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66925"/>
  <mc:AlternateContent xmlns:mc="http://schemas.openxmlformats.org/markup-compatibility/2006">
    <mc:Choice Requires="x15">
      <x15ac:absPath xmlns:x15ac="http://schemas.microsoft.com/office/spreadsheetml/2010/11/ac" url="O:\Comercial\Contratos\1.26 CHAMADA PUBLICA NTS\2025 - 2029\5 - Proposta Tarifária\Cenários CWD\"/>
    </mc:Choice>
  </mc:AlternateContent>
  <xr:revisionPtr revIDLastSave="0" documentId="8_{6A2278CC-7D45-4F50-B641-797A9D1D5606}" xr6:coauthVersionLast="47" xr6:coauthVersionMax="47" xr10:uidLastSave="{00000000-0000-0000-0000-000000000000}"/>
  <bookViews>
    <workbookView xWindow="-110" yWindow="-110" windowWidth="19420" windowHeight="10420" tabRatio="938" xr2:uid="{89632B01-E5AC-4E0F-9B71-843CD2AAAD8A}"/>
  </bookViews>
  <sheets>
    <sheet name="Resumo" sheetId="88" r:id="rId1"/>
    <sheet name="Tarifas Finais" sheetId="46" r:id="rId2"/>
    <sheet name="Premissas (GASIG)" sheetId="66" r:id="rId3"/>
    <sheet name="Premissas (Legados)" sheetId="33" r:id="rId4"/>
    <sheet name="SELIC" sheetId="56" r:id="rId5"/>
    <sheet name="Conta Regulatória (C.Reg)" sheetId="55" r:id="rId6"/>
    <sheet name="Oferta (GASIG)" sheetId="67" r:id="rId7"/>
    <sheet name="Demanda (GASIG)" sheetId="68" r:id="rId8"/>
    <sheet name="Oferta x Demanda (GASIG)" sheetId="69" r:id="rId9"/>
    <sheet name="Oferta (Legados)" sheetId="34" r:id="rId10"/>
    <sheet name="Demanda (Legados)" sheetId="35" r:id="rId11"/>
    <sheet name="Oferta x Demanda (Legados)" sheetId="36" r:id="rId12"/>
    <sheet name="Matriz Distâncias NTS" sheetId="38" r:id="rId13"/>
    <sheet name="CWD 2025 GASIG (sem desc.)" sheetId="71" r:id="rId14"/>
    <sheet name="CWD 2025 GASIG (com desc.)" sheetId="72" r:id="rId15"/>
    <sheet name="Tarifa Ponderada GASIG 2025" sheetId="73" r:id="rId16"/>
    <sheet name="CWD 2025 Legados (sem desc.)" sheetId="49" r:id="rId17"/>
    <sheet name="CWD 2025 Legados (com desc.)" sheetId="50" r:id="rId18"/>
    <sheet name="Tarifa Ponderada Legados 2025" sheetId="51" r:id="rId19"/>
    <sheet name="CWD 2026 GASIG (sem desc.)" sheetId="74" r:id="rId20"/>
    <sheet name="CWD 2026 GASIG (com desc.)" sheetId="75" r:id="rId21"/>
    <sheet name="Tarifa Ponderada GASIG 2026" sheetId="76" r:id="rId22"/>
    <sheet name="CWD 2026 Legados (sem desc.)" sheetId="52" r:id="rId23"/>
    <sheet name="CWD 2026 Legados (com desc.)" sheetId="53" r:id="rId24"/>
    <sheet name="Tarifa Ponderada Legados 2026" sheetId="54" r:id="rId25"/>
    <sheet name="CWD 2027 GASIG (sem desc.)" sheetId="77" r:id="rId26"/>
    <sheet name="CWD 2027 GASIG (com desc.)" sheetId="78" r:id="rId27"/>
    <sheet name="Tarifa Ponderada GASIG 2027" sheetId="79" r:id="rId28"/>
    <sheet name="CWD 2027 Legados (sem desc.)" sheetId="57" r:id="rId29"/>
    <sheet name="CWD 2027 Legados (com desc.)" sheetId="58" r:id="rId30"/>
    <sheet name="Tarifa Ponderada Legados 2027" sheetId="59" r:id="rId31"/>
    <sheet name="CWD 2028 GASIG (sem desc.)" sheetId="80" r:id="rId32"/>
    <sheet name="CWD 2028 GASIG (com desc.)" sheetId="81" r:id="rId33"/>
    <sheet name="Tarifa Ponderada GASIG 2028" sheetId="82" r:id="rId34"/>
    <sheet name="CWD 2028 Legados (sem desc.)" sheetId="60" r:id="rId35"/>
    <sheet name="CWD 2028 Legados (com desc.)" sheetId="61" r:id="rId36"/>
    <sheet name="Tarifa Ponderada Legados 2028" sheetId="62" r:id="rId37"/>
    <sheet name="CWD 2029 GASIG (sem desc.)" sheetId="83" r:id="rId38"/>
    <sheet name="CWD 2029 GASIG (com desc.)" sheetId="84" r:id="rId39"/>
    <sheet name="Tarifa Ponderada GASIG 2029" sheetId="85" r:id="rId40"/>
    <sheet name="Planilha1" sheetId="43" state="hidden" r:id="rId41"/>
    <sheet name="CWD 2029 Legados (sem desc.)" sheetId="63" r:id="rId42"/>
    <sheet name="CWD 2029 Legado (com desc.)" sheetId="64" r:id="rId43"/>
    <sheet name="Tarifa Ponderada Legado 2029" sheetId="65" r:id="rId44"/>
    <sheet name="SITGN Redux (2)" sheetId="22" state="hidden" r:id="rId45"/>
  </sheets>
  <externalReferences>
    <externalReference r:id="rId46"/>
    <externalReference r:id="rId47"/>
    <externalReference r:id="rId48"/>
    <externalReference r:id="rId49"/>
  </externalReferences>
  <definedNames>
    <definedName name="_tir2">'[1]T-Bill'!$S$45</definedName>
    <definedName name="A1remlife">'[2]Input (Assets)'!$G$7</definedName>
    <definedName name="A1resid" localSheetId="12">'[2]Input (Assets)'!#REF!</definedName>
    <definedName name="A1resid" localSheetId="8">'[2]Input (Assets)'!#REF!</definedName>
    <definedName name="A1resid" localSheetId="11">'[2]Input (Assets)'!#REF!</definedName>
    <definedName name="A1resid">'[2]Input (Assets)'!#REF!</definedName>
    <definedName name="A1stdlife">'[2]Input (Assets)'!$H$7</definedName>
    <definedName name="A1taxremlife">'[2]Input (Assets)'!$J$7</definedName>
    <definedName name="A1taxstdlife">'[2]Input (Assets)'!$K$7</definedName>
    <definedName name="A1taxvalue">'[2]Input (Assets)'!$I$7</definedName>
    <definedName name="A1value">'[2]Input (Assets)'!$F$7</definedName>
    <definedName name="A2remlife">'[2]Input (Assets)'!$G$8</definedName>
    <definedName name="A2resid" localSheetId="12">'[2]Input (Assets)'!#REF!</definedName>
    <definedName name="A2resid" localSheetId="8">'[2]Input (Assets)'!#REF!</definedName>
    <definedName name="A2resid" localSheetId="11">'[2]Input (Assets)'!#REF!</definedName>
    <definedName name="A2resid">'[2]Input (Assets)'!#REF!</definedName>
    <definedName name="A2stdlife">'[2]Input (Assets)'!$H$8</definedName>
    <definedName name="A2taxremlife">'[2]Input (Assets)'!$J$8</definedName>
    <definedName name="A2taxstdlife">'[2]Input (Assets)'!$K$8</definedName>
    <definedName name="A2taxvalue">'[2]Input (Assets)'!$I$8</definedName>
    <definedName name="A2value">'[2]Input (Assets)'!$F$8</definedName>
    <definedName name="A3remlife">'[2]Input (Assets)'!$G$9</definedName>
    <definedName name="A3resid" localSheetId="12">'[2]Input (Assets)'!#REF!</definedName>
    <definedName name="A3resid" localSheetId="8">'[2]Input (Assets)'!#REF!</definedName>
    <definedName name="A3resid" localSheetId="11">'[2]Input (Assets)'!#REF!</definedName>
    <definedName name="A3resid">'[2]Input (Assets)'!#REF!</definedName>
    <definedName name="A3stdlife">'[2]Input (Assets)'!$H$9</definedName>
    <definedName name="A3taxremlife">'[2]Input (Assets)'!$J$9</definedName>
    <definedName name="A3taxstdlife">'[2]Input (Assets)'!$K$9</definedName>
    <definedName name="A3taxvalue">'[2]Input (Assets)'!$I$9</definedName>
    <definedName name="A3value">'[2]Input (Assets)'!$F$9</definedName>
    <definedName name="Asset_Life" localSheetId="12">[2]Input!#REF!</definedName>
    <definedName name="Asset_Life" localSheetId="8">[2]Input!#REF!</definedName>
    <definedName name="Asset_Life" localSheetId="11">[2]Input!#REF!</definedName>
    <definedName name="Asset_Life">[2]Input!#REF!</definedName>
    <definedName name="Asset1" localSheetId="12">[2]Input!#REF!</definedName>
    <definedName name="Asset1" localSheetId="8">[2]Input!#REF!</definedName>
    <definedName name="Asset1" localSheetId="11">[2]Input!#REF!</definedName>
    <definedName name="Asset1">[2]Input!#REF!</definedName>
    <definedName name="Asset2" localSheetId="8">[2]Input!#REF!</definedName>
    <definedName name="Asset2" localSheetId="11">[2]Input!#REF!</definedName>
    <definedName name="Asset2">[2]Input!#REF!</definedName>
    <definedName name="Ba">[2]Input!$C$15</definedName>
    <definedName name="Bd">[2]Input!$C$14</definedName>
    <definedName name="Be" localSheetId="12">'[2]Input (Assets)'!#REF!</definedName>
    <definedName name="Be" localSheetId="8">'[2]Input (Assets)'!#REF!</definedName>
    <definedName name="Be" localSheetId="11">'[2]Input (Assets)'!#REF!</definedName>
    <definedName name="Be">'[2]Input (Assets)'!#REF!</definedName>
    <definedName name="Depreciação" localSheetId="12">'[2]Input (Assets)'!#REF!</definedName>
    <definedName name="Depreciação" localSheetId="8">'[2]Input (Assets)'!#REF!</definedName>
    <definedName name="Depreciação" localSheetId="11">'[2]Input (Assets)'!#REF!</definedName>
    <definedName name="Depreciação">'[2]Input (Assets)'!#REF!</definedName>
    <definedName name="dm">[2]Input!$C$10</definedName>
    <definedName name="equity">'[1]T-Bill'!$S$45</definedName>
    <definedName name="EV">[2]Input!$C$13</definedName>
    <definedName name="Fut_Exc_Rate">[3]Premissas!#REF!</definedName>
    <definedName name="Future_Exchange_Rate">[4]Premissas!#REF!</definedName>
    <definedName name="g">[2]Input!$C$12</definedName>
    <definedName name="ICB">[2]Input!$C$4</definedName>
    <definedName name="MRP">[2]Input!$C$11</definedName>
    <definedName name="OpenSolver_ChosenSolver" localSheetId="44" hidden="1">CBC</definedName>
    <definedName name="OpenSolver_DualsNewSheet" localSheetId="44" hidden="1">0</definedName>
    <definedName name="OpenSolver_LinearityCheck" localSheetId="44" hidden="1">1</definedName>
    <definedName name="OpenSolver_UpdateSensitivity" localSheetId="44" hidden="1">1</definedName>
    <definedName name="PERIOD" localSheetId="12">#REF!</definedName>
    <definedName name="PERIOD" localSheetId="8">#REF!</definedName>
    <definedName name="PERIOD" localSheetId="11">#REF!</definedName>
    <definedName name="PERIOD">#REF!</definedName>
    <definedName name="Rf">[2]Input!$C$8</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[2]Input!$C$9</definedName>
    <definedName name="solver_adj" localSheetId="44" hidden="1">'SITGN Redux (2)'!$H$8:$H$247</definedName>
    <definedName name="solver_cvg" localSheetId="44" hidden="1">0.0001</definedName>
    <definedName name="solver_drv" localSheetId="44" hidden="1">1</definedName>
    <definedName name="solver_eng" localSheetId="44" hidden="1">2</definedName>
    <definedName name="solver_est" localSheetId="44" hidden="1">1</definedName>
    <definedName name="solver_itr" localSheetId="44" hidden="1">1000</definedName>
    <definedName name="solver_lhs1" localSheetId="44" hidden="1">'SITGN Redux (2)'!$H$8:$H$247</definedName>
    <definedName name="solver_lhs2" localSheetId="44" hidden="1">'SITGN Redux (2)'!$H$8:$H$247</definedName>
    <definedName name="solver_lhs3" localSheetId="44" hidden="1">'SITGN Redux (2)'!#REF!</definedName>
    <definedName name="solver_lhs4" localSheetId="44" hidden="1">'SITGN Redux (2)'!$R$8:$R$68</definedName>
    <definedName name="solver_lhs5" localSheetId="44" hidden="1">'SITGN Redux (2)'!#REF!</definedName>
    <definedName name="solver_lhs6" localSheetId="44" hidden="1">'SITGN Redux (2)'!$J$8:$J$144</definedName>
    <definedName name="solver_lin" localSheetId="44" hidden="1">1</definedName>
    <definedName name="solver_mip" localSheetId="44" hidden="1">2147483647</definedName>
    <definedName name="solver_mni" localSheetId="44" hidden="1">30</definedName>
    <definedName name="solver_mrt" localSheetId="44" hidden="1">0.075</definedName>
    <definedName name="solver_msl" localSheetId="44" hidden="1">2</definedName>
    <definedName name="solver_neg" localSheetId="44" hidden="1">1</definedName>
    <definedName name="solver_nod" localSheetId="44" hidden="1">2147483647</definedName>
    <definedName name="solver_num" localSheetId="44" hidden="1">3</definedName>
    <definedName name="solver_nwt" localSheetId="44" hidden="1">1</definedName>
    <definedName name="solver_opt" localSheetId="44" hidden="1">'SITGN Redux (2)'!#REF!</definedName>
    <definedName name="solver_pre" localSheetId="44" hidden="1">0.0001</definedName>
    <definedName name="solver_rbv" localSheetId="44" hidden="1">1</definedName>
    <definedName name="solver_rel1" localSheetId="44" hidden="1">1</definedName>
    <definedName name="solver_rel2" localSheetId="44" hidden="1">3</definedName>
    <definedName name="solver_rel3" localSheetId="44" hidden="1">3</definedName>
    <definedName name="solver_rel4" localSheetId="44" hidden="1">3</definedName>
    <definedName name="solver_rel5" localSheetId="44" hidden="1">1</definedName>
    <definedName name="solver_rel6" localSheetId="44" hidden="1">1</definedName>
    <definedName name="solver_rhs1" localSheetId="44" hidden="1">'SITGN Redux (2)'!$I$8:$I$247</definedName>
    <definedName name="solver_rhs2" localSheetId="44" hidden="1">0</definedName>
    <definedName name="solver_rhs3" localSheetId="44" hidden="1">'SITGN Redux (2)'!#REF!</definedName>
    <definedName name="solver_rhs4" localSheetId="44" hidden="1">0</definedName>
    <definedName name="solver_rhs5" localSheetId="44" hidden="1">0</definedName>
    <definedName name="solver_rhs6" localSheetId="44" hidden="1">'SITGN Redux (2)'!$K$8:$K$144</definedName>
    <definedName name="solver_rlx" localSheetId="44" hidden="1">2</definedName>
    <definedName name="solver_rsd" localSheetId="44" hidden="1">0</definedName>
    <definedName name="solver_scl" localSheetId="44" hidden="1">2</definedName>
    <definedName name="solver_sho" localSheetId="44" hidden="1">2</definedName>
    <definedName name="solver_ssz" localSheetId="44" hidden="1">100</definedName>
    <definedName name="solver_tim" localSheetId="44" hidden="1">100</definedName>
    <definedName name="solver_tol" localSheetId="44" hidden="1">0.05</definedName>
    <definedName name="solver_typ" localSheetId="44" hidden="1">2</definedName>
    <definedName name="solver_val" localSheetId="44" hidden="1">0</definedName>
    <definedName name="solver_ver" localSheetId="44" hidden="1">3</definedName>
    <definedName name="spider">[1]TIPS!$D$20</definedName>
    <definedName name="tarifa" localSheetId="12">#REF!</definedName>
    <definedName name="tarifa" localSheetId="8">#REF!</definedName>
    <definedName name="tarifa" localSheetId="11">#REF!</definedName>
    <definedName name="tarifa">#REF!</definedName>
    <definedName name="Tax_Life" localSheetId="12">[2]Input!#REF!</definedName>
    <definedName name="Tax_Life" localSheetId="8">[2]Input!#REF!</definedName>
    <definedName name="Tax_Life" localSheetId="11">[2]Input!#REF!</definedName>
    <definedName name="Tax_Life">[2]Input!#REF!</definedName>
    <definedName name="teste">'[1]T-Bill'!$R$38</definedName>
    <definedName name="teste2">'[1]T-Bill'!$U$48</definedName>
    <definedName name="Time_Horizon">[2]Input!$C$5</definedName>
    <definedName name="tir">'[1]T-Bill'!$Q$37</definedName>
    <definedName name="tir_equity">'[1]T-Bill'!$S$47</definedName>
    <definedName name="tri_equity">'[1]T-Bill'!$S$47</definedName>
    <definedName name="vanilla">[2]WACC!$E$30</definedName>
    <definedName name="VPL" localSheetId="12">#REF!</definedName>
    <definedName name="VPL" localSheetId="8">#REF!</definedName>
    <definedName name="VPL" localSheetId="11">#REF!</definedName>
    <definedName name="VPL">#REF!</definedName>
    <definedName name="xxx" localSheetId="12">#REF!</definedName>
    <definedName name="xxx" localSheetId="8">#REF!</definedName>
    <definedName name="xxx" localSheetId="11">#REF!</definedName>
    <definedName name="xxx">#REF!</definedName>
    <definedName name="yyy" localSheetId="12">#REF!</definedName>
    <definedName name="yyy" localSheetId="8">#REF!</definedName>
    <definedName name="yyy" localSheetId="11">#REF!</definedName>
    <definedName name="yyy">#REF!</definedName>
    <definedName name="βe" localSheetId="12">'[2]Input (Assets)'!#REF!</definedName>
    <definedName name="βe" localSheetId="8">'[2]Input (Assets)'!#REF!</definedName>
    <definedName name="βe" localSheetId="11">'[2]Input (Assets)'!#REF!</definedName>
    <definedName name="βe">'[2]Input (Assets)'!#REF!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56" l="1"/>
  <c r="D6" i="56"/>
  <c r="D7" i="56"/>
  <c r="D8" i="56"/>
  <c r="D9" i="56"/>
  <c r="D10" i="56"/>
  <c r="D11" i="56"/>
  <c r="D12" i="56"/>
  <c r="D13" i="56"/>
  <c r="D14" i="56"/>
  <c r="D15" i="56"/>
  <c r="D16" i="56"/>
  <c r="D17" i="56"/>
  <c r="D18" i="56"/>
  <c r="D19" i="56"/>
  <c r="D20" i="56"/>
  <c r="D21" i="56"/>
  <c r="D22" i="56"/>
  <c r="D23" i="56"/>
  <c r="D24" i="56"/>
  <c r="D25" i="56"/>
  <c r="D26" i="56"/>
  <c r="C26" i="56"/>
  <c r="C25" i="56"/>
  <c r="D31" i="66"/>
  <c r="L82" i="71"/>
  <c r="K82" i="71"/>
  <c r="J82" i="71"/>
  <c r="I82" i="71"/>
  <c r="H82" i="71"/>
  <c r="G82" i="71"/>
  <c r="F82" i="71"/>
  <c r="E82" i="71"/>
  <c r="D82" i="71"/>
  <c r="C82" i="71"/>
  <c r="L81" i="71"/>
  <c r="K81" i="71"/>
  <c r="J81" i="71"/>
  <c r="I81" i="71"/>
  <c r="H81" i="71"/>
  <c r="G81" i="71"/>
  <c r="F81" i="71"/>
  <c r="E81" i="71"/>
  <c r="D81" i="71"/>
  <c r="C81" i="71"/>
  <c r="L80" i="71"/>
  <c r="K80" i="71"/>
  <c r="J80" i="71"/>
  <c r="I80" i="71"/>
  <c r="H80" i="71"/>
  <c r="G80" i="71"/>
  <c r="F80" i="71"/>
  <c r="E80" i="71"/>
  <c r="D80" i="71"/>
  <c r="C80" i="71"/>
  <c r="L83" i="72"/>
  <c r="K83" i="72"/>
  <c r="J83" i="72"/>
  <c r="I83" i="72"/>
  <c r="H83" i="72"/>
  <c r="G83" i="72"/>
  <c r="F83" i="72"/>
  <c r="E83" i="72"/>
  <c r="D83" i="72"/>
  <c r="C83" i="72"/>
  <c r="L82" i="72"/>
  <c r="K82" i="72"/>
  <c r="J82" i="72"/>
  <c r="I82" i="72"/>
  <c r="H82" i="72"/>
  <c r="G82" i="72"/>
  <c r="F82" i="72"/>
  <c r="E82" i="72"/>
  <c r="D82" i="72"/>
  <c r="C82" i="72"/>
  <c r="L81" i="72"/>
  <c r="K81" i="72"/>
  <c r="J81" i="72"/>
  <c r="I81" i="72"/>
  <c r="H81" i="72"/>
  <c r="G81" i="72"/>
  <c r="F81" i="72"/>
  <c r="E81" i="72"/>
  <c r="D81" i="72"/>
  <c r="C81" i="72"/>
  <c r="L82" i="74"/>
  <c r="K82" i="74"/>
  <c r="J82" i="74"/>
  <c r="I82" i="74"/>
  <c r="H82" i="74"/>
  <c r="G82" i="74"/>
  <c r="F82" i="74"/>
  <c r="E82" i="74"/>
  <c r="D82" i="74"/>
  <c r="C82" i="74"/>
  <c r="L81" i="74"/>
  <c r="K81" i="74"/>
  <c r="J81" i="74"/>
  <c r="I81" i="74"/>
  <c r="H81" i="74"/>
  <c r="G81" i="74"/>
  <c r="F81" i="74"/>
  <c r="E81" i="74"/>
  <c r="D81" i="74"/>
  <c r="C81" i="74"/>
  <c r="L80" i="74"/>
  <c r="K80" i="74"/>
  <c r="J80" i="74"/>
  <c r="I80" i="74"/>
  <c r="H80" i="74"/>
  <c r="G80" i="74"/>
  <c r="F80" i="74"/>
  <c r="E80" i="74"/>
  <c r="D80" i="74"/>
  <c r="C80" i="74"/>
  <c r="L83" i="75"/>
  <c r="K83" i="75"/>
  <c r="J83" i="75"/>
  <c r="I83" i="75"/>
  <c r="H83" i="75"/>
  <c r="G83" i="75"/>
  <c r="F83" i="75"/>
  <c r="E83" i="75"/>
  <c r="D83" i="75"/>
  <c r="C83" i="75"/>
  <c r="L82" i="75"/>
  <c r="K82" i="75"/>
  <c r="J82" i="75"/>
  <c r="I82" i="75"/>
  <c r="H82" i="75"/>
  <c r="G82" i="75"/>
  <c r="F82" i="75"/>
  <c r="E82" i="75"/>
  <c r="D82" i="75"/>
  <c r="C82" i="75"/>
  <c r="L81" i="75"/>
  <c r="K81" i="75"/>
  <c r="J81" i="75"/>
  <c r="I81" i="75"/>
  <c r="H81" i="75"/>
  <c r="G81" i="75"/>
  <c r="F81" i="75"/>
  <c r="E81" i="75"/>
  <c r="D81" i="75"/>
  <c r="C81" i="75"/>
  <c r="L82" i="77"/>
  <c r="K82" i="77"/>
  <c r="J82" i="77"/>
  <c r="I82" i="77"/>
  <c r="H82" i="77"/>
  <c r="G82" i="77"/>
  <c r="F82" i="77"/>
  <c r="E82" i="77"/>
  <c r="D82" i="77"/>
  <c r="C82" i="77"/>
  <c r="L81" i="77"/>
  <c r="K81" i="77"/>
  <c r="J81" i="77"/>
  <c r="I81" i="77"/>
  <c r="H81" i="77"/>
  <c r="G81" i="77"/>
  <c r="F81" i="77"/>
  <c r="E81" i="77"/>
  <c r="D81" i="77"/>
  <c r="C81" i="77"/>
  <c r="L80" i="77"/>
  <c r="K80" i="77"/>
  <c r="J80" i="77"/>
  <c r="I80" i="77"/>
  <c r="H80" i="77"/>
  <c r="G80" i="77"/>
  <c r="F80" i="77"/>
  <c r="E80" i="77"/>
  <c r="D80" i="77"/>
  <c r="C80" i="77"/>
  <c r="L83" i="78"/>
  <c r="K83" i="78"/>
  <c r="J83" i="78"/>
  <c r="I83" i="78"/>
  <c r="H83" i="78"/>
  <c r="G83" i="78"/>
  <c r="F83" i="78"/>
  <c r="E83" i="78"/>
  <c r="D83" i="78"/>
  <c r="C83" i="78"/>
  <c r="L82" i="78"/>
  <c r="K82" i="78"/>
  <c r="J82" i="78"/>
  <c r="I82" i="78"/>
  <c r="H82" i="78"/>
  <c r="G82" i="78"/>
  <c r="F82" i="78"/>
  <c r="E82" i="78"/>
  <c r="D82" i="78"/>
  <c r="C82" i="78"/>
  <c r="L81" i="78"/>
  <c r="K81" i="78"/>
  <c r="J81" i="78"/>
  <c r="I81" i="78"/>
  <c r="H81" i="78"/>
  <c r="G81" i="78"/>
  <c r="F81" i="78"/>
  <c r="E81" i="78"/>
  <c r="D81" i="78"/>
  <c r="C81" i="78"/>
  <c r="L82" i="80"/>
  <c r="K82" i="80"/>
  <c r="J82" i="80"/>
  <c r="I82" i="80"/>
  <c r="H82" i="80"/>
  <c r="G82" i="80"/>
  <c r="F82" i="80"/>
  <c r="E82" i="80"/>
  <c r="D82" i="80"/>
  <c r="C82" i="80"/>
  <c r="L81" i="80"/>
  <c r="K81" i="80"/>
  <c r="J81" i="80"/>
  <c r="I81" i="80"/>
  <c r="H81" i="80"/>
  <c r="G81" i="80"/>
  <c r="F81" i="80"/>
  <c r="E81" i="80"/>
  <c r="D81" i="80"/>
  <c r="C81" i="80"/>
  <c r="L80" i="80"/>
  <c r="K80" i="80"/>
  <c r="J80" i="80"/>
  <c r="I80" i="80"/>
  <c r="H80" i="80"/>
  <c r="G80" i="80"/>
  <c r="F80" i="80"/>
  <c r="E80" i="80"/>
  <c r="D80" i="80"/>
  <c r="C80" i="80"/>
  <c r="L83" i="81"/>
  <c r="K83" i="81"/>
  <c r="J83" i="81"/>
  <c r="I83" i="81"/>
  <c r="H83" i="81"/>
  <c r="G83" i="81"/>
  <c r="F83" i="81"/>
  <c r="E83" i="81"/>
  <c r="D83" i="81"/>
  <c r="C83" i="81"/>
  <c r="L82" i="81"/>
  <c r="K82" i="81"/>
  <c r="J82" i="81"/>
  <c r="I82" i="81"/>
  <c r="H82" i="81"/>
  <c r="G82" i="81"/>
  <c r="F82" i="81"/>
  <c r="E82" i="81"/>
  <c r="D82" i="81"/>
  <c r="C82" i="81"/>
  <c r="L81" i="81"/>
  <c r="K81" i="81"/>
  <c r="J81" i="81"/>
  <c r="I81" i="81"/>
  <c r="H81" i="81"/>
  <c r="G81" i="81"/>
  <c r="F81" i="81"/>
  <c r="E81" i="81"/>
  <c r="D81" i="81"/>
  <c r="C81" i="81"/>
  <c r="L82" i="83"/>
  <c r="K82" i="83"/>
  <c r="J82" i="83"/>
  <c r="I82" i="83"/>
  <c r="H82" i="83"/>
  <c r="G82" i="83"/>
  <c r="F82" i="83"/>
  <c r="E82" i="83"/>
  <c r="D82" i="83"/>
  <c r="C82" i="83"/>
  <c r="L81" i="83"/>
  <c r="K81" i="83"/>
  <c r="J81" i="83"/>
  <c r="I81" i="83"/>
  <c r="H81" i="83"/>
  <c r="G81" i="83"/>
  <c r="F81" i="83"/>
  <c r="E81" i="83"/>
  <c r="D81" i="83"/>
  <c r="C81" i="83"/>
  <c r="L80" i="83"/>
  <c r="K80" i="83"/>
  <c r="J80" i="83"/>
  <c r="I80" i="83"/>
  <c r="H80" i="83"/>
  <c r="G80" i="83"/>
  <c r="F80" i="83"/>
  <c r="E80" i="83"/>
  <c r="D80" i="83"/>
  <c r="C80" i="83"/>
  <c r="L83" i="84"/>
  <c r="K83" i="84"/>
  <c r="J83" i="84"/>
  <c r="I83" i="84"/>
  <c r="H83" i="84"/>
  <c r="G83" i="84"/>
  <c r="F83" i="84"/>
  <c r="E83" i="84"/>
  <c r="D83" i="84"/>
  <c r="C83" i="84"/>
  <c r="L82" i="84"/>
  <c r="K82" i="84"/>
  <c r="J82" i="84"/>
  <c r="I82" i="84"/>
  <c r="H82" i="84"/>
  <c r="G82" i="84"/>
  <c r="F82" i="84"/>
  <c r="E82" i="84"/>
  <c r="D82" i="84"/>
  <c r="C82" i="84"/>
  <c r="L81" i="84"/>
  <c r="K81" i="84"/>
  <c r="J81" i="84"/>
  <c r="I81" i="84"/>
  <c r="H81" i="84"/>
  <c r="G81" i="84"/>
  <c r="F81" i="84"/>
  <c r="E81" i="84"/>
  <c r="D81" i="84"/>
  <c r="C81" i="84"/>
  <c r="A30" i="85"/>
  <c r="A29" i="85"/>
  <c r="A28" i="85"/>
  <c r="A27" i="85"/>
  <c r="H26" i="85"/>
  <c r="A26" i="85"/>
  <c r="H25" i="85"/>
  <c r="A25" i="85"/>
  <c r="H24" i="85"/>
  <c r="A24" i="85"/>
  <c r="A23" i="85"/>
  <c r="H22" i="85"/>
  <c r="A22" i="85"/>
  <c r="H21" i="85"/>
  <c r="A21" i="85"/>
  <c r="H20" i="85"/>
  <c r="A20" i="85"/>
  <c r="H19" i="85"/>
  <c r="A19" i="85"/>
  <c r="A18" i="85"/>
  <c r="H17" i="85"/>
  <c r="A17" i="85"/>
  <c r="H16" i="85"/>
  <c r="A16" i="85"/>
  <c r="H15" i="85"/>
  <c r="A15" i="85"/>
  <c r="A11" i="85"/>
  <c r="A10" i="85"/>
  <c r="A9" i="85"/>
  <c r="A8" i="85"/>
  <c r="A7" i="85"/>
  <c r="A6" i="85"/>
  <c r="A5" i="85"/>
  <c r="A4" i="85"/>
  <c r="A3" i="85"/>
  <c r="A2" i="85"/>
  <c r="I261" i="84"/>
  <c r="B30" i="85" s="1"/>
  <c r="L7" i="85" s="1"/>
  <c r="L259" i="84"/>
  <c r="E28" i="85" s="1"/>
  <c r="I259" i="84"/>
  <c r="B28" i="85" s="1"/>
  <c r="L5" i="85" s="1"/>
  <c r="C253" i="84"/>
  <c r="I251" i="84"/>
  <c r="B20" i="85" s="1"/>
  <c r="I249" i="84"/>
  <c r="B18" i="85" s="1"/>
  <c r="B249" i="84"/>
  <c r="B5" i="85" s="1"/>
  <c r="I247" i="84"/>
  <c r="B16" i="85" s="1"/>
  <c r="I242" i="84"/>
  <c r="I241" i="84"/>
  <c r="I260" i="84" s="1"/>
  <c r="B29" i="85" s="1"/>
  <c r="L6" i="85" s="1"/>
  <c r="I240" i="84"/>
  <c r="I239" i="84"/>
  <c r="I258" i="84" s="1"/>
  <c r="B27" i="85" s="1"/>
  <c r="I238" i="84"/>
  <c r="I257" i="84" s="1"/>
  <c r="B26" i="85" s="1"/>
  <c r="I237" i="84"/>
  <c r="I256" i="84" s="1"/>
  <c r="B25" i="85" s="1"/>
  <c r="I236" i="84"/>
  <c r="I255" i="84" s="1"/>
  <c r="B24" i="85" s="1"/>
  <c r="B236" i="84"/>
  <c r="B255" i="84" s="1"/>
  <c r="B11" i="85" s="1"/>
  <c r="I235" i="84"/>
  <c r="I254" i="84" s="1"/>
  <c r="B23" i="85" s="1"/>
  <c r="B235" i="84"/>
  <c r="B254" i="84" s="1"/>
  <c r="B10" i="85" s="1"/>
  <c r="I234" i="84"/>
  <c r="I253" i="84" s="1"/>
  <c r="B22" i="85" s="1"/>
  <c r="B234" i="84"/>
  <c r="B253" i="84" s="1"/>
  <c r="B9" i="85" s="1"/>
  <c r="I233" i="84"/>
  <c r="I252" i="84" s="1"/>
  <c r="B21" i="85" s="1"/>
  <c r="B233" i="84"/>
  <c r="B252" i="84" s="1"/>
  <c r="B8" i="85" s="1"/>
  <c r="I232" i="84"/>
  <c r="B232" i="84"/>
  <c r="B251" i="84" s="1"/>
  <c r="B7" i="85" s="1"/>
  <c r="I231" i="84"/>
  <c r="I250" i="84" s="1"/>
  <c r="B19" i="85" s="1"/>
  <c r="B231" i="84"/>
  <c r="B250" i="84" s="1"/>
  <c r="B6" i="85" s="1"/>
  <c r="I230" i="84"/>
  <c r="B230" i="84"/>
  <c r="I229" i="84"/>
  <c r="I248" i="84" s="1"/>
  <c r="B17" i="85" s="1"/>
  <c r="B229" i="84"/>
  <c r="B248" i="84" s="1"/>
  <c r="B4" i="85" s="1"/>
  <c r="I228" i="84"/>
  <c r="B228" i="84"/>
  <c r="B247" i="84" s="1"/>
  <c r="B3" i="85" s="1"/>
  <c r="I227" i="84"/>
  <c r="I246" i="84" s="1"/>
  <c r="B15" i="85" s="1"/>
  <c r="B227" i="84"/>
  <c r="B246" i="84" s="1"/>
  <c r="B2" i="85" s="1"/>
  <c r="B83" i="84"/>
  <c r="B82" i="84"/>
  <c r="B81" i="84"/>
  <c r="B80" i="84"/>
  <c r="B79" i="84"/>
  <c r="B78" i="84"/>
  <c r="B77" i="84"/>
  <c r="B76" i="84"/>
  <c r="B75" i="84"/>
  <c r="B74" i="84"/>
  <c r="B73" i="84"/>
  <c r="B72" i="84"/>
  <c r="B71" i="84"/>
  <c r="B70" i="84"/>
  <c r="B69" i="84"/>
  <c r="B68" i="84"/>
  <c r="C58" i="84"/>
  <c r="H57" i="84"/>
  <c r="J261" i="84" s="1"/>
  <c r="G57" i="84"/>
  <c r="H56" i="84"/>
  <c r="G56" i="84"/>
  <c r="H55" i="84"/>
  <c r="J259" i="84" s="1"/>
  <c r="G55" i="84"/>
  <c r="G54" i="84"/>
  <c r="C54" i="84"/>
  <c r="G53" i="84"/>
  <c r="C53" i="84"/>
  <c r="G52" i="84"/>
  <c r="C52" i="84"/>
  <c r="C51" i="84"/>
  <c r="G51" i="84" s="1"/>
  <c r="G50" i="84"/>
  <c r="C50" i="84"/>
  <c r="G49" i="84"/>
  <c r="C49" i="84"/>
  <c r="G48" i="84"/>
  <c r="C48" i="84"/>
  <c r="C47" i="84"/>
  <c r="G47" i="84" s="1"/>
  <c r="G46" i="84"/>
  <c r="C46" i="84"/>
  <c r="G45" i="84"/>
  <c r="C45" i="84"/>
  <c r="G44" i="84"/>
  <c r="C44" i="84"/>
  <c r="C43" i="84"/>
  <c r="G43" i="84" s="1"/>
  <c r="G42" i="84"/>
  <c r="C42" i="84"/>
  <c r="G39" i="84"/>
  <c r="C39" i="84"/>
  <c r="H34" i="84"/>
  <c r="G34" i="84"/>
  <c r="H33" i="84"/>
  <c r="G33" i="84"/>
  <c r="H32" i="84"/>
  <c r="G32" i="84"/>
  <c r="G31" i="84"/>
  <c r="C31" i="84"/>
  <c r="G30" i="84"/>
  <c r="C30" i="84"/>
  <c r="G29" i="84"/>
  <c r="C29" i="84"/>
  <c r="H28" i="84"/>
  <c r="G28" i="84"/>
  <c r="G27" i="84"/>
  <c r="C27" i="84"/>
  <c r="C26" i="84"/>
  <c r="G26" i="84" s="1"/>
  <c r="C25" i="84"/>
  <c r="G22" i="84"/>
  <c r="C22" i="84"/>
  <c r="K264" i="83"/>
  <c r="I260" i="83"/>
  <c r="I256" i="83"/>
  <c r="I253" i="83"/>
  <c r="I251" i="83"/>
  <c r="I250" i="83"/>
  <c r="I249" i="83"/>
  <c r="B249" i="83"/>
  <c r="I247" i="83"/>
  <c r="I246" i="83"/>
  <c r="B246" i="83"/>
  <c r="I245" i="83"/>
  <c r="I241" i="83"/>
  <c r="I240" i="83"/>
  <c r="I259" i="83" s="1"/>
  <c r="I239" i="83"/>
  <c r="I258" i="83" s="1"/>
  <c r="I238" i="83"/>
  <c r="I257" i="83" s="1"/>
  <c r="I237" i="83"/>
  <c r="I236" i="83"/>
  <c r="I255" i="83" s="1"/>
  <c r="I235" i="83"/>
  <c r="I254" i="83" s="1"/>
  <c r="B235" i="83"/>
  <c r="B254" i="83" s="1"/>
  <c r="I234" i="83"/>
  <c r="B234" i="83"/>
  <c r="B253" i="83" s="1"/>
  <c r="I233" i="83"/>
  <c r="I252" i="83" s="1"/>
  <c r="B233" i="83"/>
  <c r="B252" i="83" s="1"/>
  <c r="I232" i="83"/>
  <c r="B232" i="83"/>
  <c r="B251" i="83" s="1"/>
  <c r="I231" i="83"/>
  <c r="B231" i="83"/>
  <c r="B250" i="83" s="1"/>
  <c r="I230" i="83"/>
  <c r="B230" i="83"/>
  <c r="I229" i="83"/>
  <c r="I248" i="83" s="1"/>
  <c r="B229" i="83"/>
  <c r="B248" i="83" s="1"/>
  <c r="I228" i="83"/>
  <c r="B228" i="83"/>
  <c r="B247" i="83" s="1"/>
  <c r="I227" i="83"/>
  <c r="B227" i="83"/>
  <c r="I226" i="83"/>
  <c r="B226" i="83"/>
  <c r="B245" i="83" s="1"/>
  <c r="B82" i="83"/>
  <c r="B81" i="83"/>
  <c r="B80" i="83"/>
  <c r="B79" i="83"/>
  <c r="B78" i="83"/>
  <c r="B77" i="83"/>
  <c r="B76" i="83"/>
  <c r="B75" i="83"/>
  <c r="B74" i="83"/>
  <c r="B73" i="83"/>
  <c r="B72" i="83"/>
  <c r="B71" i="83"/>
  <c r="B70" i="83"/>
  <c r="B69" i="83"/>
  <c r="B68" i="83"/>
  <c r="B67" i="83"/>
  <c r="G56" i="83"/>
  <c r="C56" i="83"/>
  <c r="C55" i="83"/>
  <c r="G55" i="83" s="1"/>
  <c r="C54" i="83"/>
  <c r="G54" i="83" s="1"/>
  <c r="C53" i="83"/>
  <c r="G53" i="83" s="1"/>
  <c r="C52" i="83"/>
  <c r="G52" i="83" s="1"/>
  <c r="C51" i="83"/>
  <c r="G51" i="83" s="1"/>
  <c r="C50" i="83"/>
  <c r="G50" i="83" s="1"/>
  <c r="C49" i="83"/>
  <c r="G49" i="83" s="1"/>
  <c r="G48" i="83"/>
  <c r="C48" i="83"/>
  <c r="C47" i="83"/>
  <c r="G47" i="83" s="1"/>
  <c r="G46" i="83"/>
  <c r="C46" i="83"/>
  <c r="C45" i="83"/>
  <c r="G45" i="83" s="1"/>
  <c r="C44" i="83"/>
  <c r="G44" i="83" s="1"/>
  <c r="C43" i="83"/>
  <c r="G43" i="83" s="1"/>
  <c r="C42" i="83"/>
  <c r="G42" i="83" s="1"/>
  <c r="C41" i="83"/>
  <c r="G41" i="83" s="1"/>
  <c r="C38" i="83"/>
  <c r="G33" i="83"/>
  <c r="C33" i="83"/>
  <c r="G32" i="83"/>
  <c r="C32" i="83"/>
  <c r="C31" i="83"/>
  <c r="G31" i="83" s="1"/>
  <c r="G30" i="83"/>
  <c r="C30" i="83"/>
  <c r="C29" i="83"/>
  <c r="G29" i="83" s="1"/>
  <c r="G28" i="83"/>
  <c r="C28" i="83"/>
  <c r="C27" i="83"/>
  <c r="G27" i="83" s="1"/>
  <c r="G26" i="83"/>
  <c r="C26" i="83"/>
  <c r="G25" i="83"/>
  <c r="C25" i="83"/>
  <c r="G24" i="83"/>
  <c r="C24" i="83"/>
  <c r="C34" i="83" s="1"/>
  <c r="G21" i="83"/>
  <c r="G38" i="83" s="1"/>
  <c r="C21" i="83"/>
  <c r="A30" i="82"/>
  <c r="A29" i="82"/>
  <c r="A28" i="82"/>
  <c r="A27" i="82"/>
  <c r="H26" i="82"/>
  <c r="A26" i="82"/>
  <c r="H25" i="82"/>
  <c r="A25" i="82"/>
  <c r="H24" i="82"/>
  <c r="A24" i="82"/>
  <c r="A23" i="82"/>
  <c r="H22" i="82"/>
  <c r="A22" i="82"/>
  <c r="H21" i="82"/>
  <c r="A21" i="82"/>
  <c r="H20" i="82"/>
  <c r="A20" i="82"/>
  <c r="H19" i="82"/>
  <c r="A19" i="82"/>
  <c r="A18" i="82"/>
  <c r="H17" i="82"/>
  <c r="A17" i="82"/>
  <c r="H16" i="82"/>
  <c r="A16" i="82"/>
  <c r="H15" i="82"/>
  <c r="A15" i="82"/>
  <c r="A11" i="82"/>
  <c r="A10" i="82"/>
  <c r="A9" i="82"/>
  <c r="A8" i="82"/>
  <c r="A7" i="82"/>
  <c r="A6" i="82"/>
  <c r="A5" i="82"/>
  <c r="A4" i="82"/>
  <c r="A3" i="82"/>
  <c r="B2" i="82"/>
  <c r="A2" i="82"/>
  <c r="L259" i="81"/>
  <c r="E28" i="82" s="1"/>
  <c r="J259" i="81"/>
  <c r="I256" i="81"/>
  <c r="B25" i="82" s="1"/>
  <c r="I255" i="81"/>
  <c r="B24" i="82" s="1"/>
  <c r="B255" i="81"/>
  <c r="B11" i="82" s="1"/>
  <c r="C253" i="81"/>
  <c r="B252" i="81"/>
  <c r="B8" i="82" s="1"/>
  <c r="I251" i="81"/>
  <c r="B20" i="82" s="1"/>
  <c r="I250" i="81"/>
  <c r="B19" i="82" s="1"/>
  <c r="B250" i="81"/>
  <c r="B6" i="82" s="1"/>
  <c r="I249" i="81"/>
  <c r="B18" i="82" s="1"/>
  <c r="I247" i="81"/>
  <c r="B16" i="82" s="1"/>
  <c r="B246" i="81"/>
  <c r="I242" i="81"/>
  <c r="I261" i="81" s="1"/>
  <c r="B30" i="82" s="1"/>
  <c r="L7" i="82" s="1"/>
  <c r="I241" i="81"/>
  <c r="I260" i="81" s="1"/>
  <c r="B29" i="82" s="1"/>
  <c r="L6" i="82" s="1"/>
  <c r="I240" i="81"/>
  <c r="I259" i="81" s="1"/>
  <c r="B28" i="82" s="1"/>
  <c r="L5" i="82" s="1"/>
  <c r="I239" i="81"/>
  <c r="I258" i="81" s="1"/>
  <c r="B27" i="82" s="1"/>
  <c r="I238" i="81"/>
  <c r="I257" i="81" s="1"/>
  <c r="B26" i="82" s="1"/>
  <c r="I237" i="81"/>
  <c r="I236" i="81"/>
  <c r="B236" i="81"/>
  <c r="I235" i="81"/>
  <c r="I254" i="81" s="1"/>
  <c r="B23" i="82" s="1"/>
  <c r="B235" i="81"/>
  <c r="B254" i="81" s="1"/>
  <c r="B10" i="82" s="1"/>
  <c r="I234" i="81"/>
  <c r="I253" i="81" s="1"/>
  <c r="B22" i="82" s="1"/>
  <c r="B234" i="81"/>
  <c r="B253" i="81" s="1"/>
  <c r="B9" i="82" s="1"/>
  <c r="I233" i="81"/>
  <c r="I252" i="81" s="1"/>
  <c r="B21" i="82" s="1"/>
  <c r="B233" i="81"/>
  <c r="I232" i="81"/>
  <c r="B232" i="81"/>
  <c r="B251" i="81" s="1"/>
  <c r="B7" i="82" s="1"/>
  <c r="I231" i="81"/>
  <c r="B231" i="81"/>
  <c r="I230" i="81"/>
  <c r="B230" i="81"/>
  <c r="B249" i="81" s="1"/>
  <c r="B5" i="82" s="1"/>
  <c r="I229" i="81"/>
  <c r="I248" i="81" s="1"/>
  <c r="B17" i="82" s="1"/>
  <c r="B229" i="81"/>
  <c r="B248" i="81" s="1"/>
  <c r="B4" i="82" s="1"/>
  <c r="I228" i="81"/>
  <c r="B228" i="81"/>
  <c r="B247" i="81" s="1"/>
  <c r="B3" i="82" s="1"/>
  <c r="I227" i="81"/>
  <c r="I246" i="81" s="1"/>
  <c r="B15" i="82" s="1"/>
  <c r="B227" i="81"/>
  <c r="B83" i="81"/>
  <c r="B82" i="81"/>
  <c r="B81" i="81"/>
  <c r="B80" i="81"/>
  <c r="B79" i="81"/>
  <c r="B78" i="81"/>
  <c r="B77" i="81"/>
  <c r="B76" i="81"/>
  <c r="B75" i="81"/>
  <c r="B74" i="81"/>
  <c r="B73" i="81"/>
  <c r="B72" i="81"/>
  <c r="B71" i="81"/>
  <c r="B70" i="81"/>
  <c r="B69" i="81"/>
  <c r="B68" i="81"/>
  <c r="H57" i="81"/>
  <c r="G57" i="81"/>
  <c r="H56" i="81"/>
  <c r="G56" i="81"/>
  <c r="H55" i="81"/>
  <c r="G55" i="81"/>
  <c r="C54" i="81"/>
  <c r="G54" i="81" s="1"/>
  <c r="G53" i="81"/>
  <c r="C53" i="81"/>
  <c r="C52" i="81"/>
  <c r="G52" i="81" s="1"/>
  <c r="C51" i="81"/>
  <c r="G51" i="81" s="1"/>
  <c r="C50" i="81"/>
  <c r="G50" i="81" s="1"/>
  <c r="C49" i="81"/>
  <c r="G49" i="81" s="1"/>
  <c r="C48" i="81"/>
  <c r="G48" i="81" s="1"/>
  <c r="C47" i="81"/>
  <c r="G47" i="81" s="1"/>
  <c r="C46" i="81"/>
  <c r="G46" i="81" s="1"/>
  <c r="C45" i="81"/>
  <c r="G45" i="81" s="1"/>
  <c r="C44" i="81"/>
  <c r="G44" i="81" s="1"/>
  <c r="G43" i="81"/>
  <c r="C43" i="81"/>
  <c r="C42" i="81"/>
  <c r="G39" i="81"/>
  <c r="C39" i="81"/>
  <c r="H34" i="81"/>
  <c r="G34" i="81"/>
  <c r="H33" i="81"/>
  <c r="G33" i="81"/>
  <c r="H32" i="81"/>
  <c r="G32" i="81"/>
  <c r="C31" i="81"/>
  <c r="G31" i="81" s="1"/>
  <c r="G30" i="81"/>
  <c r="C30" i="81"/>
  <c r="C29" i="81"/>
  <c r="G29" i="81" s="1"/>
  <c r="H28" i="81"/>
  <c r="G28" i="81"/>
  <c r="H27" i="81"/>
  <c r="G27" i="81"/>
  <c r="D27" i="81"/>
  <c r="C27" i="81"/>
  <c r="C26" i="81"/>
  <c r="G26" i="81" s="1"/>
  <c r="G25" i="81"/>
  <c r="G35" i="81" s="1"/>
  <c r="C25" i="81"/>
  <c r="G22" i="81"/>
  <c r="C22" i="81"/>
  <c r="K264" i="80"/>
  <c r="I259" i="80"/>
  <c r="I255" i="80"/>
  <c r="I254" i="80"/>
  <c r="I253" i="80"/>
  <c r="I252" i="80"/>
  <c r="B252" i="80"/>
  <c r="I250" i="80"/>
  <c r="B250" i="80"/>
  <c r="I248" i="80"/>
  <c r="I246" i="80"/>
  <c r="I241" i="80"/>
  <c r="I260" i="80" s="1"/>
  <c r="I240" i="80"/>
  <c r="I239" i="80"/>
  <c r="I258" i="80" s="1"/>
  <c r="I238" i="80"/>
  <c r="I257" i="80" s="1"/>
  <c r="I237" i="80"/>
  <c r="I256" i="80" s="1"/>
  <c r="I236" i="80"/>
  <c r="I235" i="80"/>
  <c r="B235" i="80"/>
  <c r="B254" i="80" s="1"/>
  <c r="I234" i="80"/>
  <c r="B234" i="80"/>
  <c r="B253" i="80" s="1"/>
  <c r="I233" i="80"/>
  <c r="B233" i="80"/>
  <c r="I232" i="80"/>
  <c r="I251" i="80" s="1"/>
  <c r="B232" i="80"/>
  <c r="B251" i="80" s="1"/>
  <c r="I231" i="80"/>
  <c r="B231" i="80"/>
  <c r="I230" i="80"/>
  <c r="I249" i="80" s="1"/>
  <c r="B230" i="80"/>
  <c r="B249" i="80" s="1"/>
  <c r="I229" i="80"/>
  <c r="B229" i="80"/>
  <c r="B248" i="80" s="1"/>
  <c r="I228" i="80"/>
  <c r="I247" i="80" s="1"/>
  <c r="B228" i="80"/>
  <c r="B247" i="80" s="1"/>
  <c r="I227" i="80"/>
  <c r="B227" i="80"/>
  <c r="B246" i="80" s="1"/>
  <c r="I226" i="80"/>
  <c r="I245" i="80" s="1"/>
  <c r="B226" i="80"/>
  <c r="B245" i="80" s="1"/>
  <c r="B82" i="80"/>
  <c r="B81" i="80"/>
  <c r="B80" i="80"/>
  <c r="B79" i="80"/>
  <c r="B78" i="80"/>
  <c r="B77" i="80"/>
  <c r="B76" i="80"/>
  <c r="B75" i="80"/>
  <c r="B74" i="80"/>
  <c r="B73" i="80"/>
  <c r="B72" i="80"/>
  <c r="B71" i="80"/>
  <c r="B70" i="80"/>
  <c r="B69" i="80"/>
  <c r="B68" i="80"/>
  <c r="B67" i="80"/>
  <c r="G56" i="80"/>
  <c r="C56" i="80"/>
  <c r="G55" i="80"/>
  <c r="C55" i="80"/>
  <c r="G54" i="80"/>
  <c r="C54" i="80"/>
  <c r="C53" i="80"/>
  <c r="G53" i="80" s="1"/>
  <c r="G52" i="80"/>
  <c r="C52" i="80"/>
  <c r="C51" i="80"/>
  <c r="G51" i="80" s="1"/>
  <c r="G50" i="80"/>
  <c r="C50" i="80"/>
  <c r="G49" i="80"/>
  <c r="C49" i="80"/>
  <c r="G48" i="80"/>
  <c r="C48" i="80"/>
  <c r="G47" i="80"/>
  <c r="C47" i="80"/>
  <c r="G46" i="80"/>
  <c r="C46" i="80"/>
  <c r="C45" i="80"/>
  <c r="G45" i="80" s="1"/>
  <c r="G57" i="80" s="1"/>
  <c r="G44" i="80"/>
  <c r="C44" i="80"/>
  <c r="C43" i="80"/>
  <c r="G43" i="80" s="1"/>
  <c r="G42" i="80"/>
  <c r="C42" i="80"/>
  <c r="G41" i="80"/>
  <c r="C41" i="80"/>
  <c r="C57" i="80" s="1"/>
  <c r="G38" i="80"/>
  <c r="G33" i="80"/>
  <c r="C33" i="80"/>
  <c r="C32" i="80"/>
  <c r="G32" i="80" s="1"/>
  <c r="G31" i="80"/>
  <c r="C31" i="80"/>
  <c r="C30" i="80"/>
  <c r="G30" i="80" s="1"/>
  <c r="G29" i="80"/>
  <c r="C29" i="80"/>
  <c r="C28" i="80"/>
  <c r="G28" i="80" s="1"/>
  <c r="G27" i="80"/>
  <c r="C27" i="80"/>
  <c r="H26" i="80"/>
  <c r="D26" i="80"/>
  <c r="C26" i="80"/>
  <c r="G26" i="80" s="1"/>
  <c r="G25" i="80"/>
  <c r="C25" i="80"/>
  <c r="C24" i="80"/>
  <c r="G21" i="80"/>
  <c r="C21" i="80"/>
  <c r="C38" i="80" s="1"/>
  <c r="A30" i="79"/>
  <c r="A29" i="79"/>
  <c r="A28" i="79"/>
  <c r="A27" i="79"/>
  <c r="H26" i="79"/>
  <c r="A26" i="79"/>
  <c r="H25" i="79"/>
  <c r="A25" i="79"/>
  <c r="H24" i="79"/>
  <c r="A24" i="79"/>
  <c r="A23" i="79"/>
  <c r="H22" i="79"/>
  <c r="A22" i="79"/>
  <c r="H21" i="79"/>
  <c r="A21" i="79"/>
  <c r="H20" i="79"/>
  <c r="A20" i="79"/>
  <c r="H19" i="79"/>
  <c r="A19" i="79"/>
  <c r="A18" i="79"/>
  <c r="H17" i="79"/>
  <c r="A17" i="79"/>
  <c r="H16" i="79"/>
  <c r="A16" i="79"/>
  <c r="H15" i="79"/>
  <c r="A15" i="79"/>
  <c r="B11" i="79"/>
  <c r="A11" i="79"/>
  <c r="A10" i="79"/>
  <c r="A9" i="79"/>
  <c r="B8" i="79"/>
  <c r="A8" i="79"/>
  <c r="B7" i="79"/>
  <c r="A7" i="79"/>
  <c r="A6" i="79"/>
  <c r="A5" i="79"/>
  <c r="A4" i="79"/>
  <c r="A3" i="79"/>
  <c r="A2" i="79"/>
  <c r="I260" i="78"/>
  <c r="B29" i="79" s="1"/>
  <c r="L6" i="79" s="1"/>
  <c r="L259" i="78"/>
  <c r="E28" i="79" s="1"/>
  <c r="I259" i="78"/>
  <c r="B28" i="79" s="1"/>
  <c r="L5" i="79" s="1"/>
  <c r="I258" i="78"/>
  <c r="B27" i="79" s="1"/>
  <c r="I256" i="78"/>
  <c r="B25" i="79" s="1"/>
  <c r="B255" i="78"/>
  <c r="B254" i="78"/>
  <c r="B10" i="79" s="1"/>
  <c r="I253" i="78"/>
  <c r="B22" i="79" s="1"/>
  <c r="C253" i="78"/>
  <c r="B253" i="78"/>
  <c r="B9" i="79" s="1"/>
  <c r="B249" i="78"/>
  <c r="B5" i="79" s="1"/>
  <c r="B248" i="78"/>
  <c r="B4" i="79" s="1"/>
  <c r="I247" i="78"/>
  <c r="B16" i="79" s="1"/>
  <c r="B247" i="78"/>
  <c r="B3" i="79" s="1"/>
  <c r="I246" i="78"/>
  <c r="B15" i="79" s="1"/>
  <c r="I242" i="78"/>
  <c r="I261" i="78" s="1"/>
  <c r="B30" i="79" s="1"/>
  <c r="L7" i="79" s="1"/>
  <c r="I241" i="78"/>
  <c r="I240" i="78"/>
  <c r="I239" i="78"/>
  <c r="I238" i="78"/>
  <c r="I257" i="78" s="1"/>
  <c r="B26" i="79" s="1"/>
  <c r="I237" i="78"/>
  <c r="I236" i="78"/>
  <c r="I255" i="78" s="1"/>
  <c r="B24" i="79" s="1"/>
  <c r="B236" i="78"/>
  <c r="I235" i="78"/>
  <c r="I254" i="78" s="1"/>
  <c r="B23" i="79" s="1"/>
  <c r="B235" i="78"/>
  <c r="I234" i="78"/>
  <c r="B234" i="78"/>
  <c r="I233" i="78"/>
  <c r="I252" i="78" s="1"/>
  <c r="B21" i="79" s="1"/>
  <c r="B233" i="78"/>
  <c r="B252" i="78" s="1"/>
  <c r="I232" i="78"/>
  <c r="I251" i="78" s="1"/>
  <c r="B20" i="79" s="1"/>
  <c r="B232" i="78"/>
  <c r="B251" i="78" s="1"/>
  <c r="I231" i="78"/>
  <c r="I250" i="78" s="1"/>
  <c r="B19" i="79" s="1"/>
  <c r="B231" i="78"/>
  <c r="B250" i="78" s="1"/>
  <c r="B6" i="79" s="1"/>
  <c r="I230" i="78"/>
  <c r="I249" i="78" s="1"/>
  <c r="B18" i="79" s="1"/>
  <c r="B230" i="78"/>
  <c r="I229" i="78"/>
  <c r="I248" i="78" s="1"/>
  <c r="B17" i="79" s="1"/>
  <c r="B229" i="78"/>
  <c r="I228" i="78"/>
  <c r="B228" i="78"/>
  <c r="I227" i="78"/>
  <c r="B227" i="78"/>
  <c r="B246" i="78" s="1"/>
  <c r="B2" i="79" s="1"/>
  <c r="B83" i="78"/>
  <c r="B82" i="78"/>
  <c r="B81" i="78"/>
  <c r="B80" i="78"/>
  <c r="B79" i="78"/>
  <c r="B78" i="78"/>
  <c r="B77" i="78"/>
  <c r="B76" i="78"/>
  <c r="B75" i="78"/>
  <c r="B74" i="78"/>
  <c r="B73" i="78"/>
  <c r="B72" i="78"/>
  <c r="B71" i="78"/>
  <c r="B70" i="78"/>
  <c r="B69" i="78"/>
  <c r="B68" i="78"/>
  <c r="H57" i="78"/>
  <c r="G57" i="78"/>
  <c r="H56" i="78"/>
  <c r="J260" i="78" s="1"/>
  <c r="G56" i="78"/>
  <c r="H55" i="78"/>
  <c r="G55" i="78"/>
  <c r="C54" i="78"/>
  <c r="G54" i="78" s="1"/>
  <c r="C53" i="78"/>
  <c r="G53" i="78" s="1"/>
  <c r="C52" i="78"/>
  <c r="G52" i="78" s="1"/>
  <c r="C51" i="78"/>
  <c r="G51" i="78" s="1"/>
  <c r="C50" i="78"/>
  <c r="G50" i="78" s="1"/>
  <c r="C49" i="78"/>
  <c r="G49" i="78" s="1"/>
  <c r="C48" i="78"/>
  <c r="G48" i="78" s="1"/>
  <c r="C47" i="78"/>
  <c r="G47" i="78" s="1"/>
  <c r="C46" i="78"/>
  <c r="G46" i="78" s="1"/>
  <c r="C45" i="78"/>
  <c r="G45" i="78" s="1"/>
  <c r="C44" i="78"/>
  <c r="G44" i="78" s="1"/>
  <c r="C43" i="78"/>
  <c r="G43" i="78" s="1"/>
  <c r="C42" i="78"/>
  <c r="H34" i="78"/>
  <c r="G34" i="78"/>
  <c r="H33" i="78"/>
  <c r="G33" i="78"/>
  <c r="H32" i="78"/>
  <c r="G32" i="78"/>
  <c r="C31" i="78"/>
  <c r="G31" i="78" s="1"/>
  <c r="C30" i="78"/>
  <c r="G30" i="78" s="1"/>
  <c r="C29" i="78"/>
  <c r="G29" i="78" s="1"/>
  <c r="H28" i="78"/>
  <c r="G28" i="78"/>
  <c r="G27" i="78"/>
  <c r="D27" i="78"/>
  <c r="H27" i="78" s="1"/>
  <c r="C27" i="78"/>
  <c r="G26" i="78"/>
  <c r="C26" i="78"/>
  <c r="G25" i="78"/>
  <c r="G35" i="78" s="1"/>
  <c r="C25" i="78"/>
  <c r="G22" i="78"/>
  <c r="G39" i="78" s="1"/>
  <c r="C22" i="78"/>
  <c r="C39" i="78" s="1"/>
  <c r="K264" i="77"/>
  <c r="I257" i="77"/>
  <c r="I256" i="77"/>
  <c r="I254" i="77"/>
  <c r="B254" i="77"/>
  <c r="B253" i="77"/>
  <c r="I252" i="77"/>
  <c r="B252" i="77"/>
  <c r="I251" i="77"/>
  <c r="I250" i="77"/>
  <c r="B250" i="77"/>
  <c r="I248" i="77"/>
  <c r="I246" i="77"/>
  <c r="I241" i="77"/>
  <c r="I260" i="77" s="1"/>
  <c r="I240" i="77"/>
  <c r="I259" i="77" s="1"/>
  <c r="I239" i="77"/>
  <c r="I258" i="77" s="1"/>
  <c r="I238" i="77"/>
  <c r="I237" i="77"/>
  <c r="I236" i="77"/>
  <c r="I255" i="77" s="1"/>
  <c r="I235" i="77"/>
  <c r="B235" i="77"/>
  <c r="I234" i="77"/>
  <c r="I253" i="77" s="1"/>
  <c r="B234" i="77"/>
  <c r="I233" i="77"/>
  <c r="B233" i="77"/>
  <c r="I232" i="77"/>
  <c r="B232" i="77"/>
  <c r="B251" i="77" s="1"/>
  <c r="I231" i="77"/>
  <c r="B231" i="77"/>
  <c r="I230" i="77"/>
  <c r="I249" i="77" s="1"/>
  <c r="B230" i="77"/>
  <c r="B249" i="77" s="1"/>
  <c r="I229" i="77"/>
  <c r="B229" i="77"/>
  <c r="B248" i="77" s="1"/>
  <c r="I228" i="77"/>
  <c r="I247" i="77" s="1"/>
  <c r="B228" i="77"/>
  <c r="B247" i="77" s="1"/>
  <c r="I227" i="77"/>
  <c r="B227" i="77"/>
  <c r="B246" i="77" s="1"/>
  <c r="I226" i="77"/>
  <c r="I245" i="77" s="1"/>
  <c r="B226" i="77"/>
  <c r="B245" i="77" s="1"/>
  <c r="B82" i="77"/>
  <c r="B81" i="77"/>
  <c r="B80" i="77"/>
  <c r="B79" i="77"/>
  <c r="B78" i="77"/>
  <c r="B77" i="77"/>
  <c r="B76" i="77"/>
  <c r="B75" i="77"/>
  <c r="B74" i="77"/>
  <c r="B73" i="77"/>
  <c r="B72" i="77"/>
  <c r="B71" i="77"/>
  <c r="B70" i="77"/>
  <c r="B69" i="77"/>
  <c r="B68" i="77"/>
  <c r="B67" i="77"/>
  <c r="C56" i="77"/>
  <c r="G56" i="77" s="1"/>
  <c r="C55" i="77"/>
  <c r="G55" i="77" s="1"/>
  <c r="C54" i="77"/>
  <c r="G54" i="77" s="1"/>
  <c r="C53" i="77"/>
  <c r="G53" i="77" s="1"/>
  <c r="C52" i="77"/>
  <c r="G52" i="77" s="1"/>
  <c r="C51" i="77"/>
  <c r="G51" i="77" s="1"/>
  <c r="C50" i="77"/>
  <c r="G50" i="77" s="1"/>
  <c r="C49" i="77"/>
  <c r="G49" i="77" s="1"/>
  <c r="C48" i="77"/>
  <c r="G48" i="77" s="1"/>
  <c r="C47" i="77"/>
  <c r="G47" i="77" s="1"/>
  <c r="C46" i="77"/>
  <c r="G46" i="77" s="1"/>
  <c r="C45" i="77"/>
  <c r="G45" i="77" s="1"/>
  <c r="C44" i="77"/>
  <c r="G44" i="77" s="1"/>
  <c r="C43" i="77"/>
  <c r="G43" i="77" s="1"/>
  <c r="C42" i="77"/>
  <c r="G42" i="77" s="1"/>
  <c r="C41" i="77"/>
  <c r="G41" i="77" s="1"/>
  <c r="G33" i="77"/>
  <c r="C33" i="77"/>
  <c r="C32" i="77"/>
  <c r="G32" i="77" s="1"/>
  <c r="G31" i="77"/>
  <c r="C31" i="77"/>
  <c r="C30" i="77"/>
  <c r="G30" i="77" s="1"/>
  <c r="G29" i="77"/>
  <c r="C29" i="77"/>
  <c r="C28" i="77"/>
  <c r="G28" i="77" s="1"/>
  <c r="G27" i="77"/>
  <c r="C27" i="77"/>
  <c r="D26" i="77"/>
  <c r="H26" i="77" s="1"/>
  <c r="C26" i="77"/>
  <c r="G26" i="77" s="1"/>
  <c r="G25" i="77"/>
  <c r="C25" i="77"/>
  <c r="C24" i="77"/>
  <c r="G24" i="77" s="1"/>
  <c r="G21" i="77"/>
  <c r="G38" i="77" s="1"/>
  <c r="C21" i="77"/>
  <c r="C38" i="77" s="1"/>
  <c r="A30" i="76"/>
  <c r="B29" i="76"/>
  <c r="L6" i="76" s="1"/>
  <c r="A29" i="76"/>
  <c r="A28" i="76"/>
  <c r="A27" i="76"/>
  <c r="H26" i="76"/>
  <c r="A26" i="76"/>
  <c r="H25" i="76"/>
  <c r="A25" i="76"/>
  <c r="H24" i="76"/>
  <c r="A24" i="76"/>
  <c r="A23" i="76"/>
  <c r="H22" i="76"/>
  <c r="A22" i="76"/>
  <c r="H21" i="76"/>
  <c r="A21" i="76"/>
  <c r="H20" i="76"/>
  <c r="B20" i="76"/>
  <c r="A20" i="76"/>
  <c r="H19" i="76"/>
  <c r="A19" i="76"/>
  <c r="A18" i="76"/>
  <c r="H17" i="76"/>
  <c r="A17" i="76"/>
  <c r="H16" i="76"/>
  <c r="A16" i="76"/>
  <c r="H15" i="76"/>
  <c r="A15" i="76"/>
  <c r="A11" i="76"/>
  <c r="A10" i="76"/>
  <c r="A9" i="76"/>
  <c r="A8" i="76"/>
  <c r="A7" i="76"/>
  <c r="A6" i="76"/>
  <c r="A5" i="76"/>
  <c r="A4" i="76"/>
  <c r="A3" i="76"/>
  <c r="A2" i="76"/>
  <c r="L259" i="75"/>
  <c r="E28" i="76" s="1"/>
  <c r="I258" i="75"/>
  <c r="B27" i="76" s="1"/>
  <c r="B254" i="75"/>
  <c r="B10" i="76" s="1"/>
  <c r="B250" i="75"/>
  <c r="B6" i="76" s="1"/>
  <c r="I249" i="75"/>
  <c r="B18" i="76" s="1"/>
  <c r="B249" i="75"/>
  <c r="B5" i="76" s="1"/>
  <c r="B247" i="75"/>
  <c r="B3" i="76" s="1"/>
  <c r="B246" i="75"/>
  <c r="B2" i="76" s="1"/>
  <c r="I242" i="75"/>
  <c r="I261" i="75" s="1"/>
  <c r="B30" i="76" s="1"/>
  <c r="L7" i="76" s="1"/>
  <c r="I241" i="75"/>
  <c r="I260" i="75" s="1"/>
  <c r="I240" i="75"/>
  <c r="I259" i="75" s="1"/>
  <c r="B28" i="76" s="1"/>
  <c r="L5" i="76" s="1"/>
  <c r="I239" i="75"/>
  <c r="I238" i="75"/>
  <c r="I257" i="75" s="1"/>
  <c r="B26" i="76" s="1"/>
  <c r="I237" i="75"/>
  <c r="I256" i="75" s="1"/>
  <c r="B25" i="76" s="1"/>
  <c r="I236" i="75"/>
  <c r="I255" i="75" s="1"/>
  <c r="B24" i="76" s="1"/>
  <c r="B236" i="75"/>
  <c r="B255" i="75" s="1"/>
  <c r="B11" i="76" s="1"/>
  <c r="I235" i="75"/>
  <c r="I254" i="75" s="1"/>
  <c r="B23" i="76" s="1"/>
  <c r="B235" i="75"/>
  <c r="I234" i="75"/>
  <c r="I253" i="75" s="1"/>
  <c r="B22" i="76" s="1"/>
  <c r="B234" i="75"/>
  <c r="B253" i="75" s="1"/>
  <c r="B9" i="76" s="1"/>
  <c r="I233" i="75"/>
  <c r="I252" i="75" s="1"/>
  <c r="B21" i="76" s="1"/>
  <c r="B233" i="75"/>
  <c r="B252" i="75" s="1"/>
  <c r="B8" i="76" s="1"/>
  <c r="I232" i="75"/>
  <c r="I251" i="75" s="1"/>
  <c r="B232" i="75"/>
  <c r="B251" i="75" s="1"/>
  <c r="B7" i="76" s="1"/>
  <c r="I231" i="75"/>
  <c r="I250" i="75" s="1"/>
  <c r="B19" i="76" s="1"/>
  <c r="B231" i="75"/>
  <c r="I230" i="75"/>
  <c r="B230" i="75"/>
  <c r="I229" i="75"/>
  <c r="I248" i="75" s="1"/>
  <c r="B17" i="76" s="1"/>
  <c r="B229" i="75"/>
  <c r="B248" i="75" s="1"/>
  <c r="B4" i="76" s="1"/>
  <c r="I228" i="75"/>
  <c r="I247" i="75" s="1"/>
  <c r="B16" i="76" s="1"/>
  <c r="B228" i="75"/>
  <c r="I227" i="75"/>
  <c r="I246" i="75" s="1"/>
  <c r="B15" i="76" s="1"/>
  <c r="B227" i="75"/>
  <c r="B83" i="75"/>
  <c r="B82" i="75"/>
  <c r="B81" i="75"/>
  <c r="B80" i="75"/>
  <c r="B79" i="75"/>
  <c r="B78" i="75"/>
  <c r="B77" i="75"/>
  <c r="B76" i="75"/>
  <c r="B75" i="75"/>
  <c r="B74" i="75"/>
  <c r="B73" i="75"/>
  <c r="B72" i="75"/>
  <c r="B71" i="75"/>
  <c r="B70" i="75"/>
  <c r="B69" i="75"/>
  <c r="B68" i="75"/>
  <c r="H57" i="75"/>
  <c r="G57" i="75"/>
  <c r="H56" i="75"/>
  <c r="G56" i="75"/>
  <c r="H55" i="75"/>
  <c r="G55" i="75"/>
  <c r="C54" i="75"/>
  <c r="G54" i="75" s="1"/>
  <c r="G53" i="75"/>
  <c r="C53" i="75"/>
  <c r="C52" i="75"/>
  <c r="G52" i="75" s="1"/>
  <c r="G51" i="75"/>
  <c r="C51" i="75"/>
  <c r="C50" i="75"/>
  <c r="G50" i="75" s="1"/>
  <c r="G49" i="75"/>
  <c r="C49" i="75"/>
  <c r="C48" i="75"/>
  <c r="G48" i="75" s="1"/>
  <c r="G47" i="75"/>
  <c r="C47" i="75"/>
  <c r="C46" i="75"/>
  <c r="G46" i="75" s="1"/>
  <c r="G45" i="75"/>
  <c r="C45" i="75"/>
  <c r="C44" i="75"/>
  <c r="G44" i="75" s="1"/>
  <c r="G43" i="75"/>
  <c r="C43" i="75"/>
  <c r="C42" i="75"/>
  <c r="C58" i="75" s="1"/>
  <c r="C39" i="75"/>
  <c r="H34" i="75"/>
  <c r="G34" i="75"/>
  <c r="H33" i="75"/>
  <c r="C254" i="75" s="1"/>
  <c r="G33" i="75"/>
  <c r="H32" i="75"/>
  <c r="G32" i="75"/>
  <c r="C31" i="75"/>
  <c r="G31" i="75" s="1"/>
  <c r="G30" i="75"/>
  <c r="C30" i="75"/>
  <c r="C29" i="75"/>
  <c r="G29" i="75" s="1"/>
  <c r="H28" i="75"/>
  <c r="G28" i="75"/>
  <c r="H27" i="75"/>
  <c r="G27" i="75"/>
  <c r="D27" i="75"/>
  <c r="C27" i="75"/>
  <c r="C26" i="75"/>
  <c r="G26" i="75" s="1"/>
  <c r="G25" i="75"/>
  <c r="C25" i="75"/>
  <c r="G22" i="75"/>
  <c r="G39" i="75" s="1"/>
  <c r="C22" i="75"/>
  <c r="K264" i="74"/>
  <c r="I260" i="74"/>
  <c r="I257" i="74"/>
  <c r="B254" i="74"/>
  <c r="B252" i="74"/>
  <c r="B250" i="74"/>
  <c r="I249" i="74"/>
  <c r="I248" i="74"/>
  <c r="I247" i="74"/>
  <c r="I246" i="74"/>
  <c r="I245" i="74"/>
  <c r="I241" i="74"/>
  <c r="I240" i="74"/>
  <c r="I259" i="74" s="1"/>
  <c r="I239" i="74"/>
  <c r="I258" i="74" s="1"/>
  <c r="I238" i="74"/>
  <c r="I237" i="74"/>
  <c r="I256" i="74" s="1"/>
  <c r="I236" i="74"/>
  <c r="I255" i="74" s="1"/>
  <c r="I235" i="74"/>
  <c r="I254" i="74" s="1"/>
  <c r="B235" i="74"/>
  <c r="I234" i="74"/>
  <c r="I253" i="74" s="1"/>
  <c r="B234" i="74"/>
  <c r="B253" i="74" s="1"/>
  <c r="I233" i="74"/>
  <c r="I252" i="74" s="1"/>
  <c r="B233" i="74"/>
  <c r="I232" i="74"/>
  <c r="I251" i="74" s="1"/>
  <c r="B232" i="74"/>
  <c r="B251" i="74" s="1"/>
  <c r="I231" i="74"/>
  <c r="I250" i="74" s="1"/>
  <c r="B231" i="74"/>
  <c r="I230" i="74"/>
  <c r="B230" i="74"/>
  <c r="B249" i="74" s="1"/>
  <c r="I229" i="74"/>
  <c r="B229" i="74"/>
  <c r="B248" i="74" s="1"/>
  <c r="I228" i="74"/>
  <c r="B228" i="74"/>
  <c r="B247" i="74" s="1"/>
  <c r="I227" i="74"/>
  <c r="B227" i="74"/>
  <c r="B246" i="74" s="1"/>
  <c r="I226" i="74"/>
  <c r="B226" i="74"/>
  <c r="B245" i="74" s="1"/>
  <c r="B82" i="74"/>
  <c r="B81" i="74"/>
  <c r="B80" i="74"/>
  <c r="B79" i="74"/>
  <c r="B78" i="74"/>
  <c r="B77" i="74"/>
  <c r="B76" i="74"/>
  <c r="B75" i="74"/>
  <c r="B74" i="74"/>
  <c r="B73" i="74"/>
  <c r="B72" i="74"/>
  <c r="B71" i="74"/>
  <c r="B70" i="74"/>
  <c r="B69" i="74"/>
  <c r="B68" i="74"/>
  <c r="B67" i="74"/>
  <c r="G56" i="74"/>
  <c r="C56" i="74"/>
  <c r="C55" i="74"/>
  <c r="G55" i="74" s="1"/>
  <c r="G54" i="74"/>
  <c r="C54" i="74"/>
  <c r="G53" i="74"/>
  <c r="C53" i="74"/>
  <c r="G52" i="74"/>
  <c r="C52" i="74"/>
  <c r="C51" i="74"/>
  <c r="G51" i="74" s="1"/>
  <c r="C50" i="74"/>
  <c r="G50" i="74" s="1"/>
  <c r="G49" i="74"/>
  <c r="C49" i="74"/>
  <c r="C48" i="74"/>
  <c r="G48" i="74" s="1"/>
  <c r="C47" i="74"/>
  <c r="G47" i="74" s="1"/>
  <c r="G46" i="74"/>
  <c r="C46" i="74"/>
  <c r="G45" i="74"/>
  <c r="C45" i="74"/>
  <c r="C44" i="74"/>
  <c r="G44" i="74" s="1"/>
  <c r="C43" i="74"/>
  <c r="G43" i="74" s="1"/>
  <c r="C42" i="74"/>
  <c r="G42" i="74" s="1"/>
  <c r="C41" i="74"/>
  <c r="G41" i="74" s="1"/>
  <c r="G38" i="74"/>
  <c r="C33" i="74"/>
  <c r="G33" i="74" s="1"/>
  <c r="C32" i="74"/>
  <c r="G32" i="74" s="1"/>
  <c r="C31" i="74"/>
  <c r="G31" i="74" s="1"/>
  <c r="G30" i="74"/>
  <c r="C30" i="74"/>
  <c r="G29" i="74"/>
  <c r="C29" i="74"/>
  <c r="G28" i="74"/>
  <c r="C28" i="74"/>
  <c r="C27" i="74"/>
  <c r="G27" i="74" s="1"/>
  <c r="G26" i="74"/>
  <c r="D26" i="74"/>
  <c r="H26" i="74" s="1"/>
  <c r="C26" i="74"/>
  <c r="C25" i="74"/>
  <c r="G25" i="74" s="1"/>
  <c r="C24" i="74"/>
  <c r="G21" i="74"/>
  <c r="C21" i="74"/>
  <c r="C38" i="74" s="1"/>
  <c r="A30" i="73"/>
  <c r="A29" i="73"/>
  <c r="A28" i="73"/>
  <c r="A27" i="73"/>
  <c r="H26" i="73"/>
  <c r="A26" i="73"/>
  <c r="H25" i="73"/>
  <c r="A25" i="73"/>
  <c r="H24" i="73"/>
  <c r="A24" i="73"/>
  <c r="A23" i="73"/>
  <c r="H22" i="73"/>
  <c r="C22" i="73"/>
  <c r="A22" i="73"/>
  <c r="H21" i="73"/>
  <c r="A21" i="73"/>
  <c r="H20" i="73"/>
  <c r="A20" i="73"/>
  <c r="H19" i="73"/>
  <c r="A19" i="73"/>
  <c r="A18" i="73"/>
  <c r="H17" i="73"/>
  <c r="A17" i="73"/>
  <c r="H16" i="73"/>
  <c r="A16" i="73"/>
  <c r="H15" i="73"/>
  <c r="B15" i="73"/>
  <c r="A15" i="73"/>
  <c r="A11" i="73"/>
  <c r="A10" i="73"/>
  <c r="A9" i="73"/>
  <c r="A8" i="73"/>
  <c r="C7" i="73"/>
  <c r="A7" i="73"/>
  <c r="A6" i="73"/>
  <c r="A5" i="73"/>
  <c r="A4" i="73"/>
  <c r="A3" i="73"/>
  <c r="A2" i="73"/>
  <c r="C273" i="72"/>
  <c r="C272" i="72"/>
  <c r="C271" i="72"/>
  <c r="C270" i="72"/>
  <c r="C269" i="72"/>
  <c r="C268" i="72"/>
  <c r="L259" i="72"/>
  <c r="E28" i="73" s="1"/>
  <c r="J259" i="72"/>
  <c r="I259" i="72"/>
  <c r="B28" i="73" s="1"/>
  <c r="L5" i="73" s="1"/>
  <c r="I256" i="72"/>
  <c r="B25" i="73" s="1"/>
  <c r="B255" i="72"/>
  <c r="B11" i="73" s="1"/>
  <c r="B254" i="72"/>
  <c r="B10" i="73" s="1"/>
  <c r="B253" i="72"/>
  <c r="B9" i="73" s="1"/>
  <c r="I250" i="72"/>
  <c r="B19" i="73" s="1"/>
  <c r="B249" i="72"/>
  <c r="B5" i="73" s="1"/>
  <c r="B247" i="72"/>
  <c r="B3" i="73" s="1"/>
  <c r="I242" i="72"/>
  <c r="I261" i="72" s="1"/>
  <c r="B30" i="73" s="1"/>
  <c r="L7" i="73" s="1"/>
  <c r="I241" i="72"/>
  <c r="I260" i="72" s="1"/>
  <c r="B29" i="73" s="1"/>
  <c r="L6" i="73" s="1"/>
  <c r="I240" i="72"/>
  <c r="I239" i="72"/>
  <c r="I258" i="72" s="1"/>
  <c r="B27" i="73" s="1"/>
  <c r="I238" i="72"/>
  <c r="I257" i="72" s="1"/>
  <c r="B26" i="73" s="1"/>
  <c r="I237" i="72"/>
  <c r="I236" i="72"/>
  <c r="I255" i="72" s="1"/>
  <c r="B24" i="73" s="1"/>
  <c r="B236" i="72"/>
  <c r="I235" i="72"/>
  <c r="I254" i="72" s="1"/>
  <c r="B23" i="73" s="1"/>
  <c r="B235" i="72"/>
  <c r="I234" i="72"/>
  <c r="I253" i="72" s="1"/>
  <c r="B22" i="73" s="1"/>
  <c r="B234" i="72"/>
  <c r="I233" i="72"/>
  <c r="I252" i="72" s="1"/>
  <c r="B21" i="73" s="1"/>
  <c r="B233" i="72"/>
  <c r="B252" i="72" s="1"/>
  <c r="B8" i="73" s="1"/>
  <c r="I232" i="72"/>
  <c r="I251" i="72" s="1"/>
  <c r="B20" i="73" s="1"/>
  <c r="B232" i="72"/>
  <c r="B251" i="72" s="1"/>
  <c r="B7" i="73" s="1"/>
  <c r="I231" i="72"/>
  <c r="B231" i="72"/>
  <c r="B250" i="72" s="1"/>
  <c r="B6" i="73" s="1"/>
  <c r="I230" i="72"/>
  <c r="I249" i="72" s="1"/>
  <c r="B18" i="73" s="1"/>
  <c r="B230" i="72"/>
  <c r="I229" i="72"/>
  <c r="I248" i="72" s="1"/>
  <c r="B17" i="73" s="1"/>
  <c r="B229" i="72"/>
  <c r="B248" i="72" s="1"/>
  <c r="B4" i="73" s="1"/>
  <c r="I228" i="72"/>
  <c r="I247" i="72" s="1"/>
  <c r="B16" i="73" s="1"/>
  <c r="B228" i="72"/>
  <c r="I227" i="72"/>
  <c r="I246" i="72" s="1"/>
  <c r="B227" i="72"/>
  <c r="B246" i="72" s="1"/>
  <c r="B2" i="73" s="1"/>
  <c r="B83" i="72"/>
  <c r="B82" i="72"/>
  <c r="B81" i="72"/>
  <c r="B80" i="72"/>
  <c r="B79" i="72"/>
  <c r="B78" i="72"/>
  <c r="B77" i="72"/>
  <c r="B76" i="72"/>
  <c r="B75" i="72"/>
  <c r="B74" i="72"/>
  <c r="B73" i="72"/>
  <c r="B72" i="72"/>
  <c r="B71" i="72"/>
  <c r="B70" i="72"/>
  <c r="B69" i="72"/>
  <c r="B68" i="72"/>
  <c r="H57" i="72"/>
  <c r="J261" i="72" s="1"/>
  <c r="G57" i="72"/>
  <c r="H56" i="72"/>
  <c r="J260" i="72" s="1"/>
  <c r="G56" i="72"/>
  <c r="H55" i="72"/>
  <c r="G55" i="72"/>
  <c r="H54" i="72"/>
  <c r="D54" i="72"/>
  <c r="C54" i="72"/>
  <c r="G54" i="72" s="1"/>
  <c r="H53" i="72"/>
  <c r="G53" i="72"/>
  <c r="D53" i="72"/>
  <c r="C53" i="72"/>
  <c r="D52" i="72"/>
  <c r="H52" i="72" s="1"/>
  <c r="C52" i="72"/>
  <c r="G52" i="72" s="1"/>
  <c r="G51" i="72"/>
  <c r="D51" i="72"/>
  <c r="H51" i="72" s="1"/>
  <c r="C51" i="72"/>
  <c r="D50" i="72"/>
  <c r="H50" i="72" s="1"/>
  <c r="C50" i="72"/>
  <c r="G50" i="72" s="1"/>
  <c r="G49" i="72"/>
  <c r="D49" i="72"/>
  <c r="H49" i="72" s="1"/>
  <c r="C49" i="72"/>
  <c r="H48" i="72"/>
  <c r="D48" i="72"/>
  <c r="C48" i="72"/>
  <c r="G48" i="72" s="1"/>
  <c r="H47" i="72"/>
  <c r="G47" i="72"/>
  <c r="D47" i="72"/>
  <c r="C47" i="72"/>
  <c r="D46" i="72"/>
  <c r="H46" i="72" s="1"/>
  <c r="C46" i="72"/>
  <c r="G46" i="72" s="1"/>
  <c r="H45" i="72"/>
  <c r="G45" i="72"/>
  <c r="D45" i="72"/>
  <c r="C45" i="72"/>
  <c r="H44" i="72"/>
  <c r="D44" i="72"/>
  <c r="C44" i="72"/>
  <c r="G44" i="72" s="1"/>
  <c r="G43" i="72"/>
  <c r="D43" i="72"/>
  <c r="H43" i="72" s="1"/>
  <c r="C43" i="72"/>
  <c r="D42" i="72"/>
  <c r="D58" i="72" s="1"/>
  <c r="D10" i="72" s="1"/>
  <c r="C42" i="72"/>
  <c r="C58" i="72" s="1"/>
  <c r="G39" i="72"/>
  <c r="C39" i="72"/>
  <c r="H34" i="72"/>
  <c r="G34" i="72"/>
  <c r="H33" i="72"/>
  <c r="G33" i="72"/>
  <c r="H32" i="72"/>
  <c r="C253" i="72" s="1"/>
  <c r="G32" i="72"/>
  <c r="D31" i="72"/>
  <c r="H31" i="72" s="1"/>
  <c r="C31" i="72"/>
  <c r="G31" i="72" s="1"/>
  <c r="G30" i="72"/>
  <c r="D30" i="72"/>
  <c r="H30" i="72" s="1"/>
  <c r="C30" i="72"/>
  <c r="D29" i="72"/>
  <c r="H29" i="72" s="1"/>
  <c r="C29" i="72"/>
  <c r="G29" i="72" s="1"/>
  <c r="H28" i="72"/>
  <c r="G28" i="72"/>
  <c r="H27" i="72"/>
  <c r="G27" i="72"/>
  <c r="D27" i="72"/>
  <c r="C27" i="72"/>
  <c r="D26" i="72"/>
  <c r="H26" i="72" s="1"/>
  <c r="C26" i="72"/>
  <c r="G26" i="72" s="1"/>
  <c r="G25" i="72"/>
  <c r="D25" i="72"/>
  <c r="H25" i="72" s="1"/>
  <c r="C25" i="72"/>
  <c r="C35" i="72" s="1"/>
  <c r="G22" i="72"/>
  <c r="C22" i="72"/>
  <c r="C272" i="71"/>
  <c r="C271" i="71"/>
  <c r="C270" i="71"/>
  <c r="C269" i="71"/>
  <c r="C268" i="71"/>
  <c r="C267" i="71"/>
  <c r="K264" i="71"/>
  <c r="I260" i="71"/>
  <c r="I257" i="71"/>
  <c r="B254" i="71"/>
  <c r="B252" i="71"/>
  <c r="B250" i="71"/>
  <c r="I249" i="71"/>
  <c r="I248" i="71"/>
  <c r="I247" i="71"/>
  <c r="I246" i="71"/>
  <c r="I245" i="71"/>
  <c r="I241" i="71"/>
  <c r="I240" i="71"/>
  <c r="I259" i="71" s="1"/>
  <c r="I239" i="71"/>
  <c r="I258" i="71" s="1"/>
  <c r="I238" i="71"/>
  <c r="I237" i="71"/>
  <c r="I256" i="71" s="1"/>
  <c r="I236" i="71"/>
  <c r="I255" i="71" s="1"/>
  <c r="I235" i="71"/>
  <c r="I254" i="71" s="1"/>
  <c r="B235" i="71"/>
  <c r="I234" i="71"/>
  <c r="I253" i="71" s="1"/>
  <c r="B234" i="71"/>
  <c r="B253" i="71" s="1"/>
  <c r="I233" i="71"/>
  <c r="I252" i="71" s="1"/>
  <c r="B233" i="71"/>
  <c r="I232" i="71"/>
  <c r="I251" i="71" s="1"/>
  <c r="B232" i="71"/>
  <c r="B251" i="71" s="1"/>
  <c r="I231" i="71"/>
  <c r="I250" i="71" s="1"/>
  <c r="B231" i="71"/>
  <c r="I230" i="71"/>
  <c r="B230" i="71"/>
  <c r="B249" i="71" s="1"/>
  <c r="I229" i="71"/>
  <c r="B229" i="71"/>
  <c r="B248" i="71" s="1"/>
  <c r="I228" i="71"/>
  <c r="B228" i="71"/>
  <c r="B247" i="71" s="1"/>
  <c r="I227" i="71"/>
  <c r="B227" i="71"/>
  <c r="B246" i="71" s="1"/>
  <c r="I226" i="71"/>
  <c r="B226" i="71"/>
  <c r="B245" i="71" s="1"/>
  <c r="B82" i="71"/>
  <c r="B81" i="71"/>
  <c r="B80" i="71"/>
  <c r="B79" i="71"/>
  <c r="B78" i="71"/>
  <c r="B77" i="71"/>
  <c r="B76" i="71"/>
  <c r="B75" i="71"/>
  <c r="B74" i="71"/>
  <c r="B73" i="71"/>
  <c r="B72" i="71"/>
  <c r="B71" i="71"/>
  <c r="B70" i="71"/>
  <c r="B69" i="71"/>
  <c r="B68" i="71"/>
  <c r="B67" i="71"/>
  <c r="H56" i="71"/>
  <c r="D56" i="71"/>
  <c r="C56" i="71"/>
  <c r="G56" i="71" s="1"/>
  <c r="H55" i="71"/>
  <c r="D55" i="71"/>
  <c r="C55" i="71"/>
  <c r="G55" i="71" s="1"/>
  <c r="H54" i="71"/>
  <c r="J258" i="71" s="1"/>
  <c r="L258" i="71" s="1"/>
  <c r="D54" i="71"/>
  <c r="C54" i="71"/>
  <c r="G54" i="71" s="1"/>
  <c r="H53" i="71"/>
  <c r="D53" i="71"/>
  <c r="C53" i="71"/>
  <c r="G53" i="71" s="1"/>
  <c r="H52" i="71"/>
  <c r="D52" i="71"/>
  <c r="C52" i="71"/>
  <c r="G52" i="71" s="1"/>
  <c r="H51" i="71"/>
  <c r="D51" i="71"/>
  <c r="C51" i="71"/>
  <c r="G51" i="71" s="1"/>
  <c r="H50" i="71"/>
  <c r="C24" i="73" s="1"/>
  <c r="D50" i="71"/>
  <c r="C50" i="71"/>
  <c r="G50" i="71" s="1"/>
  <c r="H49" i="71"/>
  <c r="D49" i="71"/>
  <c r="C49" i="71"/>
  <c r="G49" i="71" s="1"/>
  <c r="H48" i="71"/>
  <c r="D48" i="71"/>
  <c r="C48" i="71"/>
  <c r="G48" i="71" s="1"/>
  <c r="H47" i="71"/>
  <c r="D47" i="71"/>
  <c r="C47" i="71"/>
  <c r="G47" i="71" s="1"/>
  <c r="H46" i="71"/>
  <c r="C20" i="73" s="1"/>
  <c r="D46" i="71"/>
  <c r="C46" i="71"/>
  <c r="G46" i="71" s="1"/>
  <c r="H45" i="71"/>
  <c r="D45" i="71"/>
  <c r="C45" i="71"/>
  <c r="G45" i="71" s="1"/>
  <c r="H44" i="71"/>
  <c r="C18" i="73" s="1"/>
  <c r="D44" i="71"/>
  <c r="C44" i="71"/>
  <c r="G44" i="71" s="1"/>
  <c r="H43" i="71"/>
  <c r="D43" i="71"/>
  <c r="C43" i="71"/>
  <c r="G43" i="71" s="1"/>
  <c r="H42" i="71"/>
  <c r="C16" i="73" s="1"/>
  <c r="D42" i="71"/>
  <c r="C42" i="71"/>
  <c r="G42" i="71" s="1"/>
  <c r="H41" i="71"/>
  <c r="D41" i="71"/>
  <c r="D57" i="71" s="1"/>
  <c r="C41" i="71"/>
  <c r="G41" i="71" s="1"/>
  <c r="G38" i="71"/>
  <c r="C38" i="71"/>
  <c r="D33" i="71"/>
  <c r="H33" i="71" s="1"/>
  <c r="C33" i="71"/>
  <c r="G33" i="71" s="1"/>
  <c r="D32" i="71"/>
  <c r="H32" i="71" s="1"/>
  <c r="C32" i="71"/>
  <c r="G32" i="71" s="1"/>
  <c r="D31" i="71"/>
  <c r="H31" i="71" s="1"/>
  <c r="C9" i="73" s="1"/>
  <c r="C31" i="71"/>
  <c r="G31" i="71" s="1"/>
  <c r="H30" i="71"/>
  <c r="D30" i="71"/>
  <c r="C30" i="71"/>
  <c r="G30" i="71" s="1"/>
  <c r="G29" i="71"/>
  <c r="D29" i="71"/>
  <c r="H29" i="71" s="1"/>
  <c r="C29" i="71"/>
  <c r="H28" i="71"/>
  <c r="G28" i="71"/>
  <c r="D28" i="71"/>
  <c r="C28" i="71"/>
  <c r="G27" i="71"/>
  <c r="D27" i="71"/>
  <c r="H27" i="71" s="1"/>
  <c r="C27" i="71"/>
  <c r="G26" i="71"/>
  <c r="D26" i="71"/>
  <c r="H26" i="71" s="1"/>
  <c r="C26" i="71"/>
  <c r="D25" i="71"/>
  <c r="H25" i="71" s="1"/>
  <c r="C25" i="71"/>
  <c r="G25" i="71" s="1"/>
  <c r="D24" i="71"/>
  <c r="H24" i="71" s="1"/>
  <c r="C24" i="71"/>
  <c r="G21" i="71"/>
  <c r="C21" i="71"/>
  <c r="D9" i="71"/>
  <c r="U34" i="69"/>
  <c r="C34" i="69"/>
  <c r="L34" i="69" s="1"/>
  <c r="J32" i="69"/>
  <c r="S32" i="69" s="1"/>
  <c r="D32" i="69"/>
  <c r="M32" i="69" s="1"/>
  <c r="V32" i="69" s="1"/>
  <c r="C32" i="69"/>
  <c r="L32" i="69" s="1"/>
  <c r="U32" i="69" s="1"/>
  <c r="B32" i="69"/>
  <c r="K32" i="69" s="1"/>
  <c r="T32" i="69" s="1"/>
  <c r="A32" i="69"/>
  <c r="L31" i="69"/>
  <c r="U31" i="69" s="1"/>
  <c r="J31" i="69"/>
  <c r="S31" i="69" s="1"/>
  <c r="D31" i="69"/>
  <c r="M31" i="69" s="1"/>
  <c r="V31" i="69" s="1"/>
  <c r="C31" i="69"/>
  <c r="B31" i="69"/>
  <c r="K31" i="69" s="1"/>
  <c r="T31" i="69" s="1"/>
  <c r="A31" i="69"/>
  <c r="L30" i="69"/>
  <c r="U30" i="69" s="1"/>
  <c r="K30" i="69"/>
  <c r="T30" i="69" s="1"/>
  <c r="J30" i="69"/>
  <c r="S30" i="69" s="1"/>
  <c r="D30" i="69"/>
  <c r="M30" i="69" s="1"/>
  <c r="V30" i="69" s="1"/>
  <c r="C30" i="69"/>
  <c r="B30" i="69"/>
  <c r="A30" i="69"/>
  <c r="K29" i="69"/>
  <c r="T29" i="69" s="1"/>
  <c r="J29" i="69"/>
  <c r="S29" i="69" s="1"/>
  <c r="D29" i="69"/>
  <c r="M29" i="69" s="1"/>
  <c r="V29" i="69" s="1"/>
  <c r="C29" i="69"/>
  <c r="L29" i="69" s="1"/>
  <c r="U29" i="69" s="1"/>
  <c r="B29" i="69"/>
  <c r="A29" i="69"/>
  <c r="L28" i="69"/>
  <c r="U28" i="69" s="1"/>
  <c r="K28" i="69"/>
  <c r="T28" i="69" s="1"/>
  <c r="J28" i="69"/>
  <c r="S28" i="69" s="1"/>
  <c r="D28" i="69"/>
  <c r="M28" i="69" s="1"/>
  <c r="V28" i="69" s="1"/>
  <c r="C28" i="69"/>
  <c r="B28" i="69"/>
  <c r="A28" i="69"/>
  <c r="T27" i="69"/>
  <c r="K27" i="69"/>
  <c r="J27" i="69"/>
  <c r="S27" i="69" s="1"/>
  <c r="D27" i="69"/>
  <c r="M27" i="69" s="1"/>
  <c r="V27" i="69" s="1"/>
  <c r="C27" i="69"/>
  <c r="L27" i="69" s="1"/>
  <c r="U27" i="69" s="1"/>
  <c r="B27" i="69"/>
  <c r="A27" i="69"/>
  <c r="T26" i="69"/>
  <c r="K26" i="69"/>
  <c r="J26" i="69"/>
  <c r="S26" i="69" s="1"/>
  <c r="E26" i="69"/>
  <c r="N26" i="69" s="1"/>
  <c r="W26" i="69" s="1"/>
  <c r="D26" i="69"/>
  <c r="M26" i="69" s="1"/>
  <c r="V26" i="69" s="1"/>
  <c r="C26" i="69"/>
  <c r="L26" i="69" s="1"/>
  <c r="U26" i="69" s="1"/>
  <c r="B26" i="69"/>
  <c r="A26" i="69"/>
  <c r="U25" i="69"/>
  <c r="L25" i="69"/>
  <c r="J25" i="69"/>
  <c r="S25" i="69" s="1"/>
  <c r="D25" i="69"/>
  <c r="M25" i="69" s="1"/>
  <c r="V25" i="69" s="1"/>
  <c r="C25" i="69"/>
  <c r="B25" i="69"/>
  <c r="K25" i="69" s="1"/>
  <c r="T25" i="69" s="1"/>
  <c r="A25" i="69"/>
  <c r="L24" i="69"/>
  <c r="U24" i="69" s="1"/>
  <c r="K24" i="69"/>
  <c r="T24" i="69" s="1"/>
  <c r="J24" i="69"/>
  <c r="S24" i="69" s="1"/>
  <c r="D24" i="69"/>
  <c r="M24" i="69" s="1"/>
  <c r="V24" i="69" s="1"/>
  <c r="C24" i="69"/>
  <c r="B24" i="69"/>
  <c r="A24" i="69"/>
  <c r="T23" i="69"/>
  <c r="K23" i="69"/>
  <c r="J23" i="69"/>
  <c r="S23" i="69" s="1"/>
  <c r="D23" i="69"/>
  <c r="M23" i="69" s="1"/>
  <c r="V23" i="69" s="1"/>
  <c r="C23" i="69"/>
  <c r="L23" i="69" s="1"/>
  <c r="U23" i="69" s="1"/>
  <c r="B23" i="69"/>
  <c r="A23" i="69"/>
  <c r="T22" i="69"/>
  <c r="S22" i="69"/>
  <c r="L22" i="69"/>
  <c r="U22" i="69" s="1"/>
  <c r="K22" i="69"/>
  <c r="J22" i="69"/>
  <c r="D22" i="69"/>
  <c r="M22" i="69" s="1"/>
  <c r="V22" i="69" s="1"/>
  <c r="C22" i="69"/>
  <c r="B22" i="69"/>
  <c r="A22" i="69"/>
  <c r="J21" i="69"/>
  <c r="S21" i="69" s="1"/>
  <c r="D21" i="69"/>
  <c r="M21" i="69" s="1"/>
  <c r="V21" i="69" s="1"/>
  <c r="C21" i="69"/>
  <c r="L21" i="69" s="1"/>
  <c r="U21" i="69" s="1"/>
  <c r="B21" i="69"/>
  <c r="K21" i="69" s="1"/>
  <c r="T21" i="69" s="1"/>
  <c r="A21" i="69"/>
  <c r="J20" i="69"/>
  <c r="S20" i="69" s="1"/>
  <c r="D20" i="69"/>
  <c r="M20" i="69" s="1"/>
  <c r="V20" i="69" s="1"/>
  <c r="C20" i="69"/>
  <c r="L20" i="69" s="1"/>
  <c r="U20" i="69" s="1"/>
  <c r="B20" i="69"/>
  <c r="K20" i="69" s="1"/>
  <c r="T20" i="69" s="1"/>
  <c r="A20" i="69"/>
  <c r="J19" i="69"/>
  <c r="S19" i="69" s="1"/>
  <c r="D19" i="69"/>
  <c r="M19" i="69" s="1"/>
  <c r="V19" i="69" s="1"/>
  <c r="C19" i="69"/>
  <c r="L19" i="69" s="1"/>
  <c r="U19" i="69" s="1"/>
  <c r="B19" i="69"/>
  <c r="K19" i="69" s="1"/>
  <c r="T19" i="69" s="1"/>
  <c r="A19" i="69"/>
  <c r="J18" i="69"/>
  <c r="S18" i="69" s="1"/>
  <c r="D18" i="69"/>
  <c r="M18" i="69" s="1"/>
  <c r="V18" i="69" s="1"/>
  <c r="C18" i="69"/>
  <c r="L18" i="69" s="1"/>
  <c r="U18" i="69" s="1"/>
  <c r="B18" i="69"/>
  <c r="K18" i="69" s="1"/>
  <c r="T18" i="69" s="1"/>
  <c r="A18" i="69"/>
  <c r="J17" i="69"/>
  <c r="S17" i="69" s="1"/>
  <c r="D17" i="69"/>
  <c r="D33" i="69" s="1"/>
  <c r="D35" i="69" s="1"/>
  <c r="C17" i="69"/>
  <c r="L17" i="69" s="1"/>
  <c r="B17" i="69"/>
  <c r="A17" i="69"/>
  <c r="K16" i="69"/>
  <c r="D16" i="69"/>
  <c r="M16" i="69" s="1"/>
  <c r="B16" i="69"/>
  <c r="K1" i="69" s="1"/>
  <c r="T1" i="69" s="1"/>
  <c r="T16" i="69" s="1"/>
  <c r="M13" i="69"/>
  <c r="V13" i="69" s="1"/>
  <c r="D13" i="69"/>
  <c r="C13" i="69"/>
  <c r="L13" i="69" s="1"/>
  <c r="U13" i="69" s="1"/>
  <c r="C12" i="69"/>
  <c r="C14" i="69" s="1"/>
  <c r="D11" i="69"/>
  <c r="M11" i="69" s="1"/>
  <c r="V11" i="69" s="1"/>
  <c r="C11" i="69"/>
  <c r="L11" i="69" s="1"/>
  <c r="U11" i="69" s="1"/>
  <c r="B11" i="69"/>
  <c r="K11" i="69" s="1"/>
  <c r="T11" i="69" s="1"/>
  <c r="A11" i="69"/>
  <c r="J11" i="69" s="1"/>
  <c r="S11" i="69" s="1"/>
  <c r="D10" i="69"/>
  <c r="M10" i="69" s="1"/>
  <c r="V10" i="69" s="1"/>
  <c r="C10" i="69"/>
  <c r="L10" i="69" s="1"/>
  <c r="U10" i="69" s="1"/>
  <c r="B10" i="69"/>
  <c r="K10" i="69" s="1"/>
  <c r="T10" i="69" s="1"/>
  <c r="A10" i="69"/>
  <c r="J10" i="69" s="1"/>
  <c r="S10" i="69" s="1"/>
  <c r="D9" i="69"/>
  <c r="M9" i="69" s="1"/>
  <c r="V9" i="69" s="1"/>
  <c r="C9" i="69"/>
  <c r="L9" i="69" s="1"/>
  <c r="U9" i="69" s="1"/>
  <c r="B9" i="69"/>
  <c r="K9" i="69" s="1"/>
  <c r="T9" i="69" s="1"/>
  <c r="A9" i="69"/>
  <c r="J9" i="69" s="1"/>
  <c r="S9" i="69" s="1"/>
  <c r="D8" i="69"/>
  <c r="M8" i="69" s="1"/>
  <c r="V8" i="69" s="1"/>
  <c r="C8" i="69"/>
  <c r="L8" i="69" s="1"/>
  <c r="U8" i="69" s="1"/>
  <c r="B8" i="69"/>
  <c r="K8" i="69" s="1"/>
  <c r="T8" i="69" s="1"/>
  <c r="A8" i="69"/>
  <c r="J8" i="69" s="1"/>
  <c r="S8" i="69" s="1"/>
  <c r="D7" i="69"/>
  <c r="M7" i="69" s="1"/>
  <c r="V7" i="69" s="1"/>
  <c r="C7" i="69"/>
  <c r="L7" i="69" s="1"/>
  <c r="U7" i="69" s="1"/>
  <c r="B7" i="69"/>
  <c r="K7" i="69" s="1"/>
  <c r="T7" i="69" s="1"/>
  <c r="A7" i="69"/>
  <c r="J7" i="69" s="1"/>
  <c r="S7" i="69" s="1"/>
  <c r="D6" i="69"/>
  <c r="M6" i="69" s="1"/>
  <c r="V6" i="69" s="1"/>
  <c r="C6" i="69"/>
  <c r="L6" i="69" s="1"/>
  <c r="U6" i="69" s="1"/>
  <c r="B6" i="69"/>
  <c r="K6" i="69" s="1"/>
  <c r="T6" i="69" s="1"/>
  <c r="A6" i="69"/>
  <c r="J6" i="69" s="1"/>
  <c r="S6" i="69" s="1"/>
  <c r="E5" i="69"/>
  <c r="N5" i="69" s="1"/>
  <c r="W5" i="69" s="1"/>
  <c r="D5" i="69"/>
  <c r="M5" i="69" s="1"/>
  <c r="V5" i="69" s="1"/>
  <c r="C5" i="69"/>
  <c r="L5" i="69" s="1"/>
  <c r="U5" i="69" s="1"/>
  <c r="B5" i="69"/>
  <c r="K5" i="69" s="1"/>
  <c r="T5" i="69" s="1"/>
  <c r="A5" i="69"/>
  <c r="J5" i="69" s="1"/>
  <c r="S5" i="69" s="1"/>
  <c r="Q4" i="69"/>
  <c r="Z4" i="69" s="1"/>
  <c r="H4" i="69"/>
  <c r="G4" i="69"/>
  <c r="P4" i="69" s="1"/>
  <c r="Y4" i="69" s="1"/>
  <c r="F4" i="69"/>
  <c r="O4" i="69" s="1"/>
  <c r="X4" i="69" s="1"/>
  <c r="E4" i="69"/>
  <c r="N4" i="69" s="1"/>
  <c r="W4" i="69" s="1"/>
  <c r="D4" i="69"/>
  <c r="M4" i="69" s="1"/>
  <c r="V4" i="69" s="1"/>
  <c r="C4" i="69"/>
  <c r="L4" i="69" s="1"/>
  <c r="U4" i="69" s="1"/>
  <c r="B4" i="69"/>
  <c r="K4" i="69" s="1"/>
  <c r="T4" i="69" s="1"/>
  <c r="A4" i="69"/>
  <c r="J4" i="69" s="1"/>
  <c r="S4" i="69" s="1"/>
  <c r="D3" i="69"/>
  <c r="M3" i="69" s="1"/>
  <c r="V3" i="69" s="1"/>
  <c r="C3" i="69"/>
  <c r="L3" i="69" s="1"/>
  <c r="U3" i="69" s="1"/>
  <c r="B3" i="69"/>
  <c r="K3" i="69" s="1"/>
  <c r="T3" i="69" s="1"/>
  <c r="A3" i="69"/>
  <c r="J3" i="69" s="1"/>
  <c r="S3" i="69" s="1"/>
  <c r="D2" i="69"/>
  <c r="M2" i="69" s="1"/>
  <c r="C2" i="69"/>
  <c r="L2" i="69" s="1"/>
  <c r="B2" i="69"/>
  <c r="K2" i="69" s="1"/>
  <c r="A2" i="69"/>
  <c r="J2" i="69" s="1"/>
  <c r="S2" i="69" s="1"/>
  <c r="M1" i="69"/>
  <c r="V1" i="69" s="1"/>
  <c r="V16" i="69" s="1"/>
  <c r="D1" i="69"/>
  <c r="C1" i="69"/>
  <c r="C16" i="69" s="1"/>
  <c r="B1" i="69"/>
  <c r="F19" i="68"/>
  <c r="D34" i="69" s="1"/>
  <c r="M34" i="69" s="1"/>
  <c r="V34" i="69" s="1"/>
  <c r="E19" i="68"/>
  <c r="D19" i="68"/>
  <c r="B34" i="69" s="1"/>
  <c r="K34" i="69" s="1"/>
  <c r="T34" i="69" s="1"/>
  <c r="C19" i="68"/>
  <c r="G18" i="68"/>
  <c r="E32" i="69" s="1"/>
  <c r="N32" i="69" s="1"/>
  <c r="W32" i="69" s="1"/>
  <c r="H17" i="68"/>
  <c r="G17" i="68"/>
  <c r="E31" i="69" s="1"/>
  <c r="N31" i="69" s="1"/>
  <c r="W31" i="69" s="1"/>
  <c r="G16" i="68"/>
  <c r="D54" i="74" s="1"/>
  <c r="H54" i="74" s="1"/>
  <c r="H15" i="68"/>
  <c r="G15" i="68"/>
  <c r="G14" i="68"/>
  <c r="E28" i="69" s="1"/>
  <c r="N28" i="69" s="1"/>
  <c r="W28" i="69" s="1"/>
  <c r="H13" i="68"/>
  <c r="F27" i="69" s="1"/>
  <c r="O27" i="69" s="1"/>
  <c r="X27" i="69" s="1"/>
  <c r="G13" i="68"/>
  <c r="E27" i="69" s="1"/>
  <c r="N27" i="69" s="1"/>
  <c r="W27" i="69" s="1"/>
  <c r="G12" i="68"/>
  <c r="H12" i="68" s="1"/>
  <c r="H11" i="68"/>
  <c r="G11" i="68"/>
  <c r="G10" i="68"/>
  <c r="G19" i="68" s="1"/>
  <c r="E34" i="69" s="1"/>
  <c r="N34" i="69" s="1"/>
  <c r="W34" i="69" s="1"/>
  <c r="H9" i="68"/>
  <c r="F23" i="69" s="1"/>
  <c r="O23" i="69" s="1"/>
  <c r="X23" i="69" s="1"/>
  <c r="G9" i="68"/>
  <c r="E23" i="69" s="1"/>
  <c r="N23" i="69" s="1"/>
  <c r="W23" i="69" s="1"/>
  <c r="G8" i="68"/>
  <c r="H8" i="68" s="1"/>
  <c r="H7" i="68"/>
  <c r="F21" i="69" s="1"/>
  <c r="O21" i="69" s="1"/>
  <c r="X21" i="69" s="1"/>
  <c r="G7" i="68"/>
  <c r="E21" i="69" s="1"/>
  <c r="N21" i="69" s="1"/>
  <c r="W21" i="69" s="1"/>
  <c r="G6" i="68"/>
  <c r="E20" i="69" s="1"/>
  <c r="N20" i="69" s="1"/>
  <c r="W20" i="69" s="1"/>
  <c r="H5" i="68"/>
  <c r="F19" i="69" s="1"/>
  <c r="O19" i="69" s="1"/>
  <c r="X19" i="69" s="1"/>
  <c r="G5" i="68"/>
  <c r="E19" i="69" s="1"/>
  <c r="N19" i="69" s="1"/>
  <c r="W19" i="69" s="1"/>
  <c r="G4" i="68"/>
  <c r="E18" i="69" s="1"/>
  <c r="N18" i="69" s="1"/>
  <c r="W18" i="69" s="1"/>
  <c r="H3" i="68"/>
  <c r="F17" i="69" s="1"/>
  <c r="G3" i="68"/>
  <c r="E17" i="69" s="1"/>
  <c r="G2" i="68"/>
  <c r="H2" i="68" s="1"/>
  <c r="I2" i="68" s="1"/>
  <c r="J2" i="68" s="1"/>
  <c r="F13" i="67"/>
  <c r="E13" i="67"/>
  <c r="D13" i="67"/>
  <c r="B13" i="69" s="1"/>
  <c r="K13" i="69" s="1"/>
  <c r="T13" i="69" s="1"/>
  <c r="C13" i="67"/>
  <c r="H12" i="67"/>
  <c r="G12" i="67"/>
  <c r="G11" i="67"/>
  <c r="H11" i="67" s="1"/>
  <c r="H10" i="67"/>
  <c r="G10" i="67"/>
  <c r="G9" i="67"/>
  <c r="H9" i="67" s="1"/>
  <c r="H8" i="67"/>
  <c r="G8" i="67"/>
  <c r="G7" i="67"/>
  <c r="H7" i="67" s="1"/>
  <c r="H6" i="67"/>
  <c r="G6" i="67"/>
  <c r="J5" i="67"/>
  <c r="G4" i="67"/>
  <c r="H4" i="67" s="1"/>
  <c r="G3" i="67"/>
  <c r="G2" i="67"/>
  <c r="H2" i="67" s="1"/>
  <c r="D32" i="66"/>
  <c r="C18" i="66"/>
  <c r="D18" i="66" s="1"/>
  <c r="E18" i="66" s="1"/>
  <c r="F18" i="66" s="1"/>
  <c r="G18" i="66" s="1"/>
  <c r="F14" i="66"/>
  <c r="E14" i="66"/>
  <c r="D14" i="66"/>
  <c r="C14" i="66"/>
  <c r="B14" i="66"/>
  <c r="F9" i="66"/>
  <c r="E9" i="66"/>
  <c r="D9" i="66"/>
  <c r="C9" i="66"/>
  <c r="B9" i="66"/>
  <c r="C5" i="66"/>
  <c r="C8" i="55"/>
  <c r="C6" i="55"/>
  <c r="C7" i="55"/>
  <c r="D47" i="78" l="1"/>
  <c r="H47" i="78" s="1"/>
  <c r="D46" i="77"/>
  <c r="H46" i="77" s="1"/>
  <c r="F22" i="69"/>
  <c r="O22" i="69" s="1"/>
  <c r="X22" i="69" s="1"/>
  <c r="I8" i="68"/>
  <c r="L33" i="69"/>
  <c r="L35" i="69" s="1"/>
  <c r="U17" i="69"/>
  <c r="U33" i="69" s="1"/>
  <c r="U35" i="69" s="1"/>
  <c r="C268" i="78"/>
  <c r="C267" i="77"/>
  <c r="D32" i="77"/>
  <c r="H32" i="77" s="1"/>
  <c r="F10" i="69"/>
  <c r="O10" i="69" s="1"/>
  <c r="X10" i="69" s="1"/>
  <c r="I11" i="67"/>
  <c r="N17" i="69"/>
  <c r="O17" i="69"/>
  <c r="K12" i="69"/>
  <c r="K14" i="69" s="1"/>
  <c r="T2" i="69"/>
  <c r="T12" i="69" s="1"/>
  <c r="T14" i="69" s="1"/>
  <c r="U2" i="69"/>
  <c r="U12" i="69" s="1"/>
  <c r="U14" i="69" s="1"/>
  <c r="L12" i="69"/>
  <c r="L14" i="69" s="1"/>
  <c r="D26" i="78"/>
  <c r="H26" i="78" s="1"/>
  <c r="D25" i="77"/>
  <c r="H25" i="77" s="1"/>
  <c r="F3" i="69"/>
  <c r="O3" i="69" s="1"/>
  <c r="X3" i="69" s="1"/>
  <c r="I4" i="67"/>
  <c r="D51" i="78"/>
  <c r="H51" i="78" s="1"/>
  <c r="D50" i="77"/>
  <c r="H50" i="77" s="1"/>
  <c r="I12" i="68"/>
  <c r="F26" i="69"/>
  <c r="O26" i="69" s="1"/>
  <c r="X26" i="69" s="1"/>
  <c r="V2" i="69"/>
  <c r="V12" i="69" s="1"/>
  <c r="V14" i="69" s="1"/>
  <c r="M12" i="69"/>
  <c r="M14" i="69" s="1"/>
  <c r="H18" i="66"/>
  <c r="G19" i="66"/>
  <c r="I2" i="67"/>
  <c r="F1" i="69"/>
  <c r="F16" i="69" s="1"/>
  <c r="C12" i="72"/>
  <c r="D29" i="78"/>
  <c r="H29" i="78" s="1"/>
  <c r="D28" i="77"/>
  <c r="H28" i="77" s="1"/>
  <c r="F6" i="69"/>
  <c r="O6" i="69" s="1"/>
  <c r="X6" i="69" s="1"/>
  <c r="I7" i="67"/>
  <c r="D4" i="83"/>
  <c r="D4" i="84"/>
  <c r="D4" i="81"/>
  <c r="D4" i="80"/>
  <c r="D4" i="77"/>
  <c r="D4" i="75"/>
  <c r="D4" i="78"/>
  <c r="D4" i="72"/>
  <c r="D4" i="74"/>
  <c r="D4" i="71"/>
  <c r="D30" i="77"/>
  <c r="H30" i="77" s="1"/>
  <c r="D31" i="78"/>
  <c r="H31" i="78" s="1"/>
  <c r="F8" i="69"/>
  <c r="O8" i="69" s="1"/>
  <c r="X8" i="69" s="1"/>
  <c r="I9" i="67"/>
  <c r="L1" i="69"/>
  <c r="U1" i="69" s="1"/>
  <c r="U16" i="69" s="1"/>
  <c r="L16" i="69"/>
  <c r="C19" i="73"/>
  <c r="E103" i="71"/>
  <c r="C27" i="73"/>
  <c r="E111" i="71"/>
  <c r="A6" i="72"/>
  <c r="I100" i="72"/>
  <c r="C250" i="72"/>
  <c r="E250" i="72" s="1"/>
  <c r="D6" i="73" s="1"/>
  <c r="B104" i="72"/>
  <c r="D48" i="74"/>
  <c r="H48" i="74" s="1"/>
  <c r="D49" i="75"/>
  <c r="H49" i="75" s="1"/>
  <c r="M17" i="69"/>
  <c r="H4" i="68"/>
  <c r="H6" i="68"/>
  <c r="H10" i="68"/>
  <c r="H14" i="68"/>
  <c r="H16" i="68"/>
  <c r="H18" i="68"/>
  <c r="B12" i="69"/>
  <c r="B14" i="69" s="1"/>
  <c r="C4" i="73"/>
  <c r="C249" i="71"/>
  <c r="E249" i="71" s="1"/>
  <c r="C6" i="73"/>
  <c r="C3" i="73"/>
  <c r="C28" i="76"/>
  <c r="J258" i="74"/>
  <c r="L258" i="74" s="1"/>
  <c r="G57" i="71"/>
  <c r="C17" i="73"/>
  <c r="C25" i="73"/>
  <c r="C57" i="71"/>
  <c r="C251" i="72"/>
  <c r="E251" i="72" s="1"/>
  <c r="D7" i="73" s="1"/>
  <c r="B105" i="72"/>
  <c r="E1" i="69"/>
  <c r="E16" i="69" s="1"/>
  <c r="D12" i="69"/>
  <c r="D14" i="69" s="1"/>
  <c r="E24" i="69"/>
  <c r="N24" i="69" s="1"/>
  <c r="W24" i="69" s="1"/>
  <c r="C10" i="73"/>
  <c r="A5" i="83"/>
  <c r="A5" i="80"/>
  <c r="A6" i="81"/>
  <c r="C11" i="80"/>
  <c r="C12" i="75"/>
  <c r="C11" i="74"/>
  <c r="A5" i="77"/>
  <c r="A5" i="74"/>
  <c r="D28" i="74"/>
  <c r="H28" i="74" s="1"/>
  <c r="D29" i="75"/>
  <c r="H29" i="75" s="1"/>
  <c r="D30" i="74"/>
  <c r="H30" i="74" s="1"/>
  <c r="D31" i="75"/>
  <c r="H31" i="75" s="1"/>
  <c r="C268" i="75"/>
  <c r="C267" i="74"/>
  <c r="D32" i="74"/>
  <c r="H32" i="74" s="1"/>
  <c r="D51" i="75"/>
  <c r="H51" i="75" s="1"/>
  <c r="D50" i="74"/>
  <c r="H50" i="74" s="1"/>
  <c r="D24" i="74"/>
  <c r="D25" i="75"/>
  <c r="D27" i="84"/>
  <c r="H27" i="84" s="1"/>
  <c r="D26" i="83"/>
  <c r="H26" i="83" s="1"/>
  <c r="H3" i="67"/>
  <c r="C270" i="74"/>
  <c r="C271" i="75"/>
  <c r="D27" i="74"/>
  <c r="H27" i="74" s="1"/>
  <c r="D29" i="74"/>
  <c r="H29" i="74" s="1"/>
  <c r="D30" i="75"/>
  <c r="H30" i="75" s="1"/>
  <c r="C268" i="74"/>
  <c r="C269" i="75"/>
  <c r="D31" i="74"/>
  <c r="H31" i="74" s="1"/>
  <c r="C270" i="75"/>
  <c r="C269" i="74"/>
  <c r="D33" i="74"/>
  <c r="H33" i="74" s="1"/>
  <c r="G13" i="67"/>
  <c r="E13" i="69" s="1"/>
  <c r="N13" i="69" s="1"/>
  <c r="W13" i="69" s="1"/>
  <c r="D41" i="74"/>
  <c r="D42" i="75"/>
  <c r="D43" i="74"/>
  <c r="H43" i="74" s="1"/>
  <c r="D44" i="75"/>
  <c r="H44" i="75" s="1"/>
  <c r="D45" i="74"/>
  <c r="H45" i="74" s="1"/>
  <c r="D46" i="75"/>
  <c r="H46" i="75" s="1"/>
  <c r="D47" i="74"/>
  <c r="H47" i="74" s="1"/>
  <c r="D48" i="75"/>
  <c r="H48" i="75" s="1"/>
  <c r="D49" i="74"/>
  <c r="H49" i="74" s="1"/>
  <c r="D50" i="75"/>
  <c r="H50" i="75" s="1"/>
  <c r="D51" i="74"/>
  <c r="H51" i="74" s="1"/>
  <c r="D52" i="75"/>
  <c r="H52" i="75" s="1"/>
  <c r="D53" i="74"/>
  <c r="H53" i="74" s="1"/>
  <c r="D54" i="75"/>
  <c r="H54" i="75" s="1"/>
  <c r="D55" i="74"/>
  <c r="H55" i="74" s="1"/>
  <c r="C272" i="75"/>
  <c r="C271" i="74"/>
  <c r="E30" i="69"/>
  <c r="N30" i="69" s="1"/>
  <c r="W30" i="69" s="1"/>
  <c r="C34" i="71"/>
  <c r="C5" i="73"/>
  <c r="H57" i="71"/>
  <c r="E99" i="71"/>
  <c r="C15" i="73"/>
  <c r="C23" i="73"/>
  <c r="E107" i="71"/>
  <c r="D35" i="72"/>
  <c r="D7" i="72" s="1"/>
  <c r="D26" i="75"/>
  <c r="H26" i="75" s="1"/>
  <c r="D25" i="74"/>
  <c r="H25" i="74" s="1"/>
  <c r="D5" i="66"/>
  <c r="E5" i="66" s="1"/>
  <c r="F5" i="66" s="1"/>
  <c r="C273" i="75"/>
  <c r="C272" i="74"/>
  <c r="D56" i="74"/>
  <c r="H56" i="74" s="1"/>
  <c r="C269" i="78"/>
  <c r="D31" i="77"/>
  <c r="H31" i="77" s="1"/>
  <c r="C268" i="77"/>
  <c r="E2" i="69"/>
  <c r="E3" i="69"/>
  <c r="N3" i="69" s="1"/>
  <c r="W3" i="69" s="1"/>
  <c r="E7" i="69"/>
  <c r="N7" i="69" s="1"/>
  <c r="W7" i="69" s="1"/>
  <c r="E9" i="69"/>
  <c r="N9" i="69" s="1"/>
  <c r="W9" i="69" s="1"/>
  <c r="E10" i="69"/>
  <c r="N10" i="69" s="1"/>
  <c r="W10" i="69" s="1"/>
  <c r="E11" i="69"/>
  <c r="N11" i="69" s="1"/>
  <c r="W11" i="69" s="1"/>
  <c r="E25" i="69"/>
  <c r="N25" i="69" s="1"/>
  <c r="W25" i="69" s="1"/>
  <c r="E29" i="69"/>
  <c r="N29" i="69" s="1"/>
  <c r="W29" i="69" s="1"/>
  <c r="C33" i="69"/>
  <c r="C35" i="69" s="1"/>
  <c r="C2" i="73"/>
  <c r="H34" i="71"/>
  <c r="B100" i="71" s="1"/>
  <c r="C11" i="73"/>
  <c r="E101" i="71"/>
  <c r="H100" i="72"/>
  <c r="B100" i="72"/>
  <c r="H35" i="72"/>
  <c r="L100" i="72" s="1"/>
  <c r="N100" i="72"/>
  <c r="B106" i="72"/>
  <c r="D42" i="74"/>
  <c r="H42" i="74" s="1"/>
  <c r="D43" i="75"/>
  <c r="H43" i="75" s="1"/>
  <c r="D45" i="75"/>
  <c r="H45" i="75" s="1"/>
  <c r="D44" i="74"/>
  <c r="H44" i="74" s="1"/>
  <c r="D47" i="75"/>
  <c r="H47" i="75" s="1"/>
  <c r="D46" i="74"/>
  <c r="H46" i="74" s="1"/>
  <c r="D53" i="75"/>
  <c r="H53" i="75" s="1"/>
  <c r="D52" i="74"/>
  <c r="H52" i="74" s="1"/>
  <c r="C271" i="78"/>
  <c r="C270" i="77"/>
  <c r="D27" i="77"/>
  <c r="H27" i="77" s="1"/>
  <c r="D30" i="78"/>
  <c r="H30" i="78" s="1"/>
  <c r="D29" i="77"/>
  <c r="H29" i="77" s="1"/>
  <c r="C270" i="78"/>
  <c r="C269" i="77"/>
  <c r="D33" i="77"/>
  <c r="H33" i="77" s="1"/>
  <c r="D42" i="78"/>
  <c r="D41" i="77"/>
  <c r="D43" i="77"/>
  <c r="H43" i="77" s="1"/>
  <c r="D44" i="78"/>
  <c r="H44" i="78" s="1"/>
  <c r="D45" i="77"/>
  <c r="H45" i="77" s="1"/>
  <c r="D46" i="78"/>
  <c r="H46" i="78" s="1"/>
  <c r="D48" i="78"/>
  <c r="H48" i="78" s="1"/>
  <c r="D47" i="77"/>
  <c r="H47" i="77" s="1"/>
  <c r="D50" i="78"/>
  <c r="H50" i="78" s="1"/>
  <c r="D49" i="77"/>
  <c r="H49" i="77" s="1"/>
  <c r="D51" i="77"/>
  <c r="H51" i="77" s="1"/>
  <c r="D52" i="78"/>
  <c r="H52" i="78" s="1"/>
  <c r="D54" i="78"/>
  <c r="H54" i="78" s="1"/>
  <c r="D53" i="77"/>
  <c r="H53" i="77" s="1"/>
  <c r="F29" i="69"/>
  <c r="O29" i="69" s="1"/>
  <c r="X29" i="69" s="1"/>
  <c r="C272" i="78"/>
  <c r="C271" i="77"/>
  <c r="D55" i="77"/>
  <c r="H55" i="77" s="1"/>
  <c r="F31" i="69"/>
  <c r="O31" i="69" s="1"/>
  <c r="X31" i="69" s="1"/>
  <c r="E6" i="69"/>
  <c r="N6" i="69" s="1"/>
  <c r="W6" i="69" s="1"/>
  <c r="E8" i="69"/>
  <c r="N8" i="69" s="1"/>
  <c r="W8" i="69" s="1"/>
  <c r="I6" i="67"/>
  <c r="I8" i="67"/>
  <c r="I10" i="67"/>
  <c r="I12" i="67"/>
  <c r="I3" i="68"/>
  <c r="I5" i="68"/>
  <c r="I7" i="68"/>
  <c r="I9" i="68"/>
  <c r="I11" i="68"/>
  <c r="I13" i="68"/>
  <c r="I15" i="68"/>
  <c r="I17" i="68"/>
  <c r="F5" i="69"/>
  <c r="O5" i="69" s="1"/>
  <c r="X5" i="69" s="1"/>
  <c r="F7" i="69"/>
  <c r="O7" i="69" s="1"/>
  <c r="X7" i="69" s="1"/>
  <c r="F9" i="69"/>
  <c r="O9" i="69" s="1"/>
  <c r="X9" i="69" s="1"/>
  <c r="F11" i="69"/>
  <c r="O11" i="69" s="1"/>
  <c r="X11" i="69" s="1"/>
  <c r="B33" i="69"/>
  <c r="B35" i="69" s="1"/>
  <c r="K17" i="69"/>
  <c r="E22" i="69"/>
  <c r="N22" i="69" s="1"/>
  <c r="W22" i="69" s="1"/>
  <c r="F25" i="69"/>
  <c r="O25" i="69" s="1"/>
  <c r="X25" i="69" s="1"/>
  <c r="D34" i="71"/>
  <c r="D6" i="71" s="1"/>
  <c r="E105" i="71"/>
  <c r="C21" i="73"/>
  <c r="E113" i="71"/>
  <c r="C29" i="73"/>
  <c r="C4" i="76"/>
  <c r="E102" i="71"/>
  <c r="E108" i="71"/>
  <c r="C35" i="75"/>
  <c r="B107" i="72"/>
  <c r="O100" i="72"/>
  <c r="G57" i="74"/>
  <c r="C28" i="73"/>
  <c r="E112" i="71"/>
  <c r="E114" i="71"/>
  <c r="C30" i="73"/>
  <c r="E104" i="71"/>
  <c r="E110" i="71"/>
  <c r="C26" i="73"/>
  <c r="C57" i="74"/>
  <c r="C58" i="78"/>
  <c r="G42" i="78"/>
  <c r="G58" i="78" s="1"/>
  <c r="G35" i="72"/>
  <c r="J100" i="72"/>
  <c r="P100" i="72"/>
  <c r="B108" i="72"/>
  <c r="C254" i="72"/>
  <c r="C34" i="74"/>
  <c r="G24" i="74"/>
  <c r="G34" i="74" s="1"/>
  <c r="G24" i="71"/>
  <c r="G34" i="71" s="1"/>
  <c r="E100" i="71"/>
  <c r="H42" i="72"/>
  <c r="C250" i="71"/>
  <c r="E250" i="71" s="1"/>
  <c r="K100" i="72"/>
  <c r="C249" i="72"/>
  <c r="B103" i="72"/>
  <c r="B109" i="72"/>
  <c r="C255" i="72"/>
  <c r="Q100" i="72"/>
  <c r="C8" i="73"/>
  <c r="G35" i="75"/>
  <c r="C255" i="75"/>
  <c r="J261" i="75"/>
  <c r="C57" i="77"/>
  <c r="G42" i="72"/>
  <c r="G58" i="72" s="1"/>
  <c r="C4" i="79"/>
  <c r="C253" i="75"/>
  <c r="J259" i="75"/>
  <c r="G57" i="77"/>
  <c r="G34" i="77"/>
  <c r="C255" i="78"/>
  <c r="G24" i="80"/>
  <c r="G34" i="80" s="1"/>
  <c r="C34" i="80"/>
  <c r="J260" i="75"/>
  <c r="G42" i="75"/>
  <c r="G58" i="75" s="1"/>
  <c r="C249" i="75"/>
  <c r="C35" i="78"/>
  <c r="J261" i="78"/>
  <c r="C34" i="77"/>
  <c r="C254" i="81"/>
  <c r="J259" i="78"/>
  <c r="C255" i="81"/>
  <c r="C249" i="78"/>
  <c r="C254" i="78"/>
  <c r="C4" i="82"/>
  <c r="J260" i="81"/>
  <c r="J261" i="81"/>
  <c r="C58" i="81"/>
  <c r="C249" i="81"/>
  <c r="C35" i="81"/>
  <c r="G34" i="83"/>
  <c r="G57" i="83"/>
  <c r="G42" i="81"/>
  <c r="G58" i="81" s="1"/>
  <c r="C57" i="83"/>
  <c r="C255" i="84"/>
  <c r="G58" i="84"/>
  <c r="C254" i="84"/>
  <c r="G25" i="84"/>
  <c r="G35" i="84" s="1"/>
  <c r="C35" i="84"/>
  <c r="C249" i="84"/>
  <c r="J260" i="84"/>
  <c r="D31" i="33"/>
  <c r="C272" i="84" l="1"/>
  <c r="C271" i="83"/>
  <c r="C272" i="81"/>
  <c r="C271" i="80"/>
  <c r="D55" i="80"/>
  <c r="H55" i="80" s="1"/>
  <c r="G31" i="69"/>
  <c r="P31" i="69" s="1"/>
  <c r="Y31" i="69" s="1"/>
  <c r="J17" i="68"/>
  <c r="C269" i="83"/>
  <c r="C270" i="84"/>
  <c r="C270" i="81"/>
  <c r="C269" i="80"/>
  <c r="D33" i="80"/>
  <c r="H33" i="80" s="1"/>
  <c r="G11" i="69"/>
  <c r="P11" i="69" s="1"/>
  <c r="Y11" i="69" s="1"/>
  <c r="J12" i="67"/>
  <c r="H42" i="78"/>
  <c r="C16" i="76"/>
  <c r="Q99" i="71"/>
  <c r="C9" i="79"/>
  <c r="C9" i="76"/>
  <c r="D25" i="78"/>
  <c r="D24" i="77"/>
  <c r="F2" i="69"/>
  <c r="H13" i="67"/>
  <c r="F13" i="69" s="1"/>
  <c r="O13" i="69" s="1"/>
  <c r="X13" i="69" s="1"/>
  <c r="I3" i="67"/>
  <c r="A8" i="74"/>
  <c r="D8" i="74" s="1"/>
  <c r="D5" i="74"/>
  <c r="N1" i="69"/>
  <c r="W1" i="69" s="1"/>
  <c r="W16" i="69" s="1"/>
  <c r="N16" i="69"/>
  <c r="B101" i="71"/>
  <c r="D43" i="78"/>
  <c r="H43" i="78" s="1"/>
  <c r="D42" i="77"/>
  <c r="H42" i="77" s="1"/>
  <c r="I4" i="68"/>
  <c r="I19" i="68" s="1"/>
  <c r="G34" i="69" s="1"/>
  <c r="P34" i="69" s="1"/>
  <c r="Y34" i="69" s="1"/>
  <c r="F18" i="69"/>
  <c r="A9" i="72"/>
  <c r="D29" i="81"/>
  <c r="H29" i="81" s="1"/>
  <c r="D28" i="80"/>
  <c r="H28" i="80" s="1"/>
  <c r="G6" i="69"/>
  <c r="P6" i="69" s="1"/>
  <c r="Y6" i="69" s="1"/>
  <c r="J7" i="67"/>
  <c r="H19" i="66"/>
  <c r="I18" i="66"/>
  <c r="D26" i="81"/>
  <c r="H26" i="81" s="1"/>
  <c r="D25" i="80"/>
  <c r="H25" i="80" s="1"/>
  <c r="J4" i="67"/>
  <c r="G3" i="69"/>
  <c r="P3" i="69" s="1"/>
  <c r="Y3" i="69" s="1"/>
  <c r="X17" i="69"/>
  <c r="D54" i="81"/>
  <c r="H54" i="81" s="1"/>
  <c r="D53" i="80"/>
  <c r="H53" i="80" s="1"/>
  <c r="G29" i="69"/>
  <c r="P29" i="69" s="1"/>
  <c r="Y29" i="69" s="1"/>
  <c r="J15" i="68"/>
  <c r="C269" i="84"/>
  <c r="C268" i="83"/>
  <c r="C269" i="81"/>
  <c r="D31" i="80"/>
  <c r="H31" i="80" s="1"/>
  <c r="C268" i="80"/>
  <c r="J10" i="67"/>
  <c r="G9" i="69"/>
  <c r="P9" i="69" s="1"/>
  <c r="Y9" i="69" s="1"/>
  <c r="C21" i="79"/>
  <c r="C11" i="79"/>
  <c r="C26" i="76"/>
  <c r="L99" i="71"/>
  <c r="K99" i="71"/>
  <c r="C25" i="76"/>
  <c r="C17" i="76"/>
  <c r="C4" i="85"/>
  <c r="D5" i="77"/>
  <c r="A8" i="77"/>
  <c r="D8" i="77" s="1"/>
  <c r="A9" i="81"/>
  <c r="I99" i="71"/>
  <c r="M33" i="69"/>
  <c r="M35" i="69" s="1"/>
  <c r="V17" i="69"/>
  <c r="V33" i="69" s="1"/>
  <c r="V35" i="69" s="1"/>
  <c r="D30" i="81"/>
  <c r="H30" i="81" s="1"/>
  <c r="D29" i="80"/>
  <c r="H29" i="80" s="1"/>
  <c r="G7" i="69"/>
  <c r="P7" i="69" s="1"/>
  <c r="Y7" i="69" s="1"/>
  <c r="J8" i="67"/>
  <c r="C30" i="76"/>
  <c r="D18" i="73"/>
  <c r="C31" i="73"/>
  <c r="D58" i="75"/>
  <c r="D10" i="75" s="1"/>
  <c r="H42" i="75"/>
  <c r="D5" i="80"/>
  <c r="A8" i="80"/>
  <c r="D8" i="80" s="1"/>
  <c r="P99" i="71"/>
  <c r="E6" i="73"/>
  <c r="H19" i="68"/>
  <c r="F34" i="69" s="1"/>
  <c r="O34" i="69" s="1"/>
  <c r="X34" i="69" s="1"/>
  <c r="D31" i="81"/>
  <c r="H31" i="81" s="1"/>
  <c r="D30" i="80"/>
  <c r="H30" i="80" s="1"/>
  <c r="J9" i="67"/>
  <c r="G8" i="69"/>
  <c r="P8" i="69" s="1"/>
  <c r="Y8" i="69" s="1"/>
  <c r="C249" i="77"/>
  <c r="E249" i="77" s="1"/>
  <c r="C6" i="79"/>
  <c r="C3" i="79"/>
  <c r="N33" i="69"/>
  <c r="N35" i="69" s="1"/>
  <c r="W17" i="69"/>
  <c r="W33" i="69" s="1"/>
  <c r="W35" i="69" s="1"/>
  <c r="D28" i="73"/>
  <c r="F28" i="73"/>
  <c r="G28" i="73" s="1"/>
  <c r="K33" i="69"/>
  <c r="K35" i="69" s="1"/>
  <c r="T17" i="69"/>
  <c r="T33" i="69" s="1"/>
  <c r="T35" i="69" s="1"/>
  <c r="D52" i="81"/>
  <c r="H52" i="81" s="1"/>
  <c r="D51" i="80"/>
  <c r="H51" i="80" s="1"/>
  <c r="J13" i="68"/>
  <c r="G27" i="69"/>
  <c r="P27" i="69" s="1"/>
  <c r="Y27" i="69" s="1"/>
  <c r="B104" i="71"/>
  <c r="D29" i="73"/>
  <c r="D50" i="81"/>
  <c r="H50" i="81" s="1"/>
  <c r="D49" i="80"/>
  <c r="H49" i="80" s="1"/>
  <c r="G25" i="69"/>
  <c r="P25" i="69" s="1"/>
  <c r="Y25" i="69" s="1"/>
  <c r="J11" i="68"/>
  <c r="C271" i="84"/>
  <c r="C270" i="83"/>
  <c r="C270" i="80"/>
  <c r="C271" i="81"/>
  <c r="D27" i="80"/>
  <c r="H27" i="80" s="1"/>
  <c r="G5" i="69"/>
  <c r="P5" i="69" s="1"/>
  <c r="Y5" i="69" s="1"/>
  <c r="J6" i="67"/>
  <c r="C27" i="79"/>
  <c r="C20" i="76"/>
  <c r="B108" i="71"/>
  <c r="C23" i="76"/>
  <c r="D57" i="74"/>
  <c r="D9" i="74" s="1"/>
  <c r="H41" i="74"/>
  <c r="C251" i="75"/>
  <c r="E251" i="75" s="1"/>
  <c r="D7" i="76" s="1"/>
  <c r="D35" i="75"/>
  <c r="D7" i="75" s="1"/>
  <c r="H25" i="75"/>
  <c r="C8" i="76"/>
  <c r="A6" i="75"/>
  <c r="C12" i="81"/>
  <c r="C11" i="71"/>
  <c r="C273" i="78"/>
  <c r="D56" i="77"/>
  <c r="H56" i="77" s="1"/>
  <c r="C272" i="77"/>
  <c r="F32" i="69"/>
  <c r="O32" i="69" s="1"/>
  <c r="X32" i="69" s="1"/>
  <c r="I18" i="68"/>
  <c r="C22" i="76"/>
  <c r="C250" i="78"/>
  <c r="E250" i="78" s="1"/>
  <c r="D6" i="79" s="1"/>
  <c r="E33" i="69"/>
  <c r="E35" i="69" s="1"/>
  <c r="C19" i="79"/>
  <c r="B105" i="71"/>
  <c r="O99" i="71"/>
  <c r="M99" i="71"/>
  <c r="F6" i="71"/>
  <c r="E115" i="71"/>
  <c r="C7" i="76"/>
  <c r="C250" i="74"/>
  <c r="E250" i="74" s="1"/>
  <c r="H24" i="74"/>
  <c r="D34" i="74"/>
  <c r="D6" i="74" s="1"/>
  <c r="C250" i="75"/>
  <c r="E250" i="75" s="1"/>
  <c r="D6" i="76" s="1"/>
  <c r="A8" i="83"/>
  <c r="D8" i="83" s="1"/>
  <c r="D5" i="83"/>
  <c r="B107" i="71"/>
  <c r="D54" i="77"/>
  <c r="H54" i="77" s="1"/>
  <c r="F30" i="69"/>
  <c r="O30" i="69" s="1"/>
  <c r="X30" i="69" s="1"/>
  <c r="I16" i="68"/>
  <c r="C268" i="84"/>
  <c r="C267" i="83"/>
  <c r="C268" i="81"/>
  <c r="C267" i="80"/>
  <c r="D32" i="80"/>
  <c r="H32" i="80" s="1"/>
  <c r="J11" i="67"/>
  <c r="G10" i="69"/>
  <c r="P10" i="69" s="1"/>
  <c r="Y10" i="69" s="1"/>
  <c r="D46" i="80"/>
  <c r="H46" i="80" s="1"/>
  <c r="D47" i="81"/>
  <c r="H47" i="81" s="1"/>
  <c r="J8" i="68"/>
  <c r="G22" i="69"/>
  <c r="P22" i="69" s="1"/>
  <c r="Y22" i="69" s="1"/>
  <c r="D27" i="73"/>
  <c r="D45" i="80"/>
  <c r="H45" i="80" s="1"/>
  <c r="D46" i="81"/>
  <c r="H46" i="81" s="1"/>
  <c r="G21" i="69"/>
  <c r="P21" i="69" s="1"/>
  <c r="Y21" i="69" s="1"/>
  <c r="J7" i="68"/>
  <c r="C251" i="78"/>
  <c r="E251" i="78" s="1"/>
  <c r="D7" i="79" s="1"/>
  <c r="C18" i="76"/>
  <c r="B99" i="71"/>
  <c r="B109" i="71" s="1"/>
  <c r="F9" i="71"/>
  <c r="E106" i="71"/>
  <c r="C29" i="76"/>
  <c r="C21" i="76"/>
  <c r="C11" i="76"/>
  <c r="C5" i="76"/>
  <c r="C24" i="76"/>
  <c r="C6" i="76"/>
  <c r="C249" i="74"/>
  <c r="E249" i="74" s="1"/>
  <c r="C11" i="77"/>
  <c r="C11" i="83"/>
  <c r="B103" i="71"/>
  <c r="D53" i="78"/>
  <c r="H53" i="78" s="1"/>
  <c r="D52" i="77"/>
  <c r="H52" i="77" s="1"/>
  <c r="F28" i="69"/>
  <c r="O28" i="69" s="1"/>
  <c r="X28" i="69" s="1"/>
  <c r="I14" i="68"/>
  <c r="N99" i="71"/>
  <c r="C8" i="79"/>
  <c r="O16" i="69"/>
  <c r="O1" i="69"/>
  <c r="X1" i="69" s="1"/>
  <c r="X16" i="69" s="1"/>
  <c r="D51" i="81"/>
  <c r="H51" i="81" s="1"/>
  <c r="D50" i="80"/>
  <c r="H50" i="80" s="1"/>
  <c r="J12" i="68"/>
  <c r="G26" i="69"/>
  <c r="P26" i="69" s="1"/>
  <c r="Y26" i="69" s="1"/>
  <c r="D48" i="81"/>
  <c r="H48" i="81" s="1"/>
  <c r="D47" i="80"/>
  <c r="H47" i="80" s="1"/>
  <c r="G23" i="69"/>
  <c r="P23" i="69" s="1"/>
  <c r="Y23" i="69" s="1"/>
  <c r="J9" i="68"/>
  <c r="C7" i="79"/>
  <c r="C250" i="77"/>
  <c r="E250" i="77" s="1"/>
  <c r="B106" i="71"/>
  <c r="D30" i="73"/>
  <c r="E7" i="73"/>
  <c r="D43" i="80"/>
  <c r="H43" i="80" s="1"/>
  <c r="D44" i="81"/>
  <c r="H44" i="81" s="1"/>
  <c r="G19" i="69"/>
  <c r="P19" i="69" s="1"/>
  <c r="Y19" i="69" s="1"/>
  <c r="J5" i="68"/>
  <c r="C25" i="79"/>
  <c r="C17" i="79"/>
  <c r="C5" i="79"/>
  <c r="H99" i="71"/>
  <c r="N2" i="69"/>
  <c r="E12" i="69"/>
  <c r="E14" i="69" s="1"/>
  <c r="B102" i="71"/>
  <c r="A6" i="78"/>
  <c r="A6" i="84"/>
  <c r="E109" i="71"/>
  <c r="D49" i="78"/>
  <c r="H49" i="78" s="1"/>
  <c r="D48" i="77"/>
  <c r="H48" i="77" s="1"/>
  <c r="F24" i="69"/>
  <c r="O24" i="69" s="1"/>
  <c r="X24" i="69" s="1"/>
  <c r="I10" i="68"/>
  <c r="J2" i="67"/>
  <c r="H1" i="69" s="1"/>
  <c r="H16" i="69" s="1"/>
  <c r="G1" i="69"/>
  <c r="G16" i="69" s="1"/>
  <c r="C24" i="79"/>
  <c r="C10" i="79"/>
  <c r="C20" i="79"/>
  <c r="E100" i="72"/>
  <c r="H58" i="72"/>
  <c r="D42" i="81"/>
  <c r="D41" i="80"/>
  <c r="G17" i="69"/>
  <c r="J3" i="68"/>
  <c r="C29" i="79"/>
  <c r="C23" i="79"/>
  <c r="H41" i="77"/>
  <c r="F7" i="72"/>
  <c r="B102" i="72"/>
  <c r="C3" i="76"/>
  <c r="C27" i="76"/>
  <c r="C19" i="76"/>
  <c r="C10" i="76"/>
  <c r="A5" i="71"/>
  <c r="C12" i="78"/>
  <c r="C12" i="84"/>
  <c r="M100" i="72"/>
  <c r="F28" i="76"/>
  <c r="G28" i="76" s="1"/>
  <c r="D28" i="76"/>
  <c r="J99" i="71"/>
  <c r="D45" i="78"/>
  <c r="H45" i="78" s="1"/>
  <c r="D44" i="77"/>
  <c r="H44" i="77" s="1"/>
  <c r="F20" i="69"/>
  <c r="O20" i="69" s="1"/>
  <c r="X20" i="69" s="1"/>
  <c r="I6" i="68"/>
  <c r="B101" i="72"/>
  <c r="B110" i="72" s="1"/>
  <c r="D23" i="73"/>
  <c r="E7" i="76" l="1"/>
  <c r="E6" i="76"/>
  <c r="C24" i="82"/>
  <c r="C15" i="76"/>
  <c r="H57" i="74"/>
  <c r="C17" i="82"/>
  <c r="D45" i="81"/>
  <c r="H45" i="81" s="1"/>
  <c r="D44" i="80"/>
  <c r="H44" i="80" s="1"/>
  <c r="G20" i="69"/>
  <c r="P20" i="69" s="1"/>
  <c r="Y20" i="69" s="1"/>
  <c r="J6" i="68"/>
  <c r="D57" i="77"/>
  <c r="D9" i="77" s="1"/>
  <c r="E7" i="79"/>
  <c r="D23" i="79"/>
  <c r="D26" i="84"/>
  <c r="H26" i="84" s="1"/>
  <c r="D25" i="83"/>
  <c r="H25" i="83" s="1"/>
  <c r="H3" i="69"/>
  <c r="Q3" i="69" s="1"/>
  <c r="Z3" i="69" s="1"/>
  <c r="D7" i="74"/>
  <c r="D55" i="83"/>
  <c r="H55" i="83" s="1"/>
  <c r="H31" i="69"/>
  <c r="Q31" i="69" s="1"/>
  <c r="Z31" i="69" s="1"/>
  <c r="E102" i="77"/>
  <c r="C18" i="79"/>
  <c r="H28" i="76"/>
  <c r="C37" i="76" s="1"/>
  <c r="C15" i="79"/>
  <c r="E99" i="77"/>
  <c r="H57" i="77"/>
  <c r="D29" i="79"/>
  <c r="F10" i="72"/>
  <c r="E113" i="72"/>
  <c r="E105" i="72"/>
  <c r="E104" i="72"/>
  <c r="E111" i="72"/>
  <c r="E101" i="72"/>
  <c r="E114" i="72"/>
  <c r="E106" i="72"/>
  <c r="E115" i="72"/>
  <c r="E110" i="72"/>
  <c r="E102" i="72"/>
  <c r="E112" i="72"/>
  <c r="E108" i="72"/>
  <c r="E109" i="72"/>
  <c r="E107" i="72"/>
  <c r="E103" i="72"/>
  <c r="A9" i="84"/>
  <c r="D48" i="84"/>
  <c r="H48" i="84" s="1"/>
  <c r="D47" i="83"/>
  <c r="H47" i="83" s="1"/>
  <c r="H23" i="69"/>
  <c r="Q23" i="69" s="1"/>
  <c r="Z23" i="69" s="1"/>
  <c r="C19" i="82"/>
  <c r="C20" i="82"/>
  <c r="H35" i="75"/>
  <c r="H100" i="75" s="1"/>
  <c r="C23" i="82"/>
  <c r="D30" i="76"/>
  <c r="D30" i="84"/>
  <c r="H30" i="84" s="1"/>
  <c r="D29" i="83"/>
  <c r="H29" i="83" s="1"/>
  <c r="H7" i="69"/>
  <c r="Q7" i="69" s="1"/>
  <c r="Z7" i="69" s="1"/>
  <c r="D31" i="83"/>
  <c r="H31" i="83" s="1"/>
  <c r="H9" i="69"/>
  <c r="Q9" i="69" s="1"/>
  <c r="Z9" i="69" s="1"/>
  <c r="C27" i="82"/>
  <c r="C3" i="82"/>
  <c r="D10" i="74"/>
  <c r="D33" i="83"/>
  <c r="H33" i="83" s="1"/>
  <c r="H11" i="69"/>
  <c r="Q11" i="69" s="1"/>
  <c r="Z11" i="69" s="1"/>
  <c r="C26" i="79"/>
  <c r="E110" i="77"/>
  <c r="D54" i="80"/>
  <c r="H54" i="80" s="1"/>
  <c r="G30" i="69"/>
  <c r="P30" i="69" s="1"/>
  <c r="Y30" i="69" s="1"/>
  <c r="J16" i="68"/>
  <c r="D27" i="83"/>
  <c r="H27" i="83" s="1"/>
  <c r="H5" i="69"/>
  <c r="Q5" i="69" s="1"/>
  <c r="Z5" i="69" s="1"/>
  <c r="C250" i="81"/>
  <c r="E250" i="81" s="1"/>
  <c r="D6" i="82" s="1"/>
  <c r="E103" i="78"/>
  <c r="A8" i="71"/>
  <c r="D8" i="71" s="1"/>
  <c r="D5" i="71"/>
  <c r="A9" i="78"/>
  <c r="D27" i="76"/>
  <c r="C28" i="79"/>
  <c r="J258" i="77"/>
  <c r="L258" i="77" s="1"/>
  <c r="E112" i="77"/>
  <c r="C5" i="82"/>
  <c r="E6" i="79"/>
  <c r="E144" i="72"/>
  <c r="O18" i="69"/>
  <c r="F33" i="69"/>
  <c r="F35" i="69" s="1"/>
  <c r="C29" i="82"/>
  <c r="C8" i="82"/>
  <c r="C6" i="82"/>
  <c r="E6" i="82" s="1"/>
  <c r="C249" i="80"/>
  <c r="E249" i="80" s="1"/>
  <c r="D47" i="84"/>
  <c r="H47" i="84" s="1"/>
  <c r="D46" i="83"/>
  <c r="H46" i="83" s="1"/>
  <c r="H22" i="69"/>
  <c r="Q22" i="69" s="1"/>
  <c r="Z22" i="69" s="1"/>
  <c r="E111" i="78"/>
  <c r="C21" i="82"/>
  <c r="D32" i="83"/>
  <c r="H32" i="83" s="1"/>
  <c r="H10" i="69"/>
  <c r="Q10" i="69" s="1"/>
  <c r="Z10" i="69" s="1"/>
  <c r="C250" i="80"/>
  <c r="E250" i="80" s="1"/>
  <c r="C7" i="82"/>
  <c r="I19" i="66"/>
  <c r="J18" i="66"/>
  <c r="D24" i="80"/>
  <c r="D25" i="81"/>
  <c r="I13" i="67"/>
  <c r="G13" i="69" s="1"/>
  <c r="P13" i="69" s="1"/>
  <c r="Y13" i="69" s="1"/>
  <c r="J3" i="67"/>
  <c r="G2" i="69"/>
  <c r="E100" i="78"/>
  <c r="H58" i="78"/>
  <c r="E107" i="78" s="1"/>
  <c r="C11" i="82"/>
  <c r="P17" i="69"/>
  <c r="P16" i="69"/>
  <c r="P1" i="69"/>
  <c r="Y1" i="69" s="1"/>
  <c r="Y16" i="69" s="1"/>
  <c r="D49" i="81"/>
  <c r="H49" i="81" s="1"/>
  <c r="D48" i="80"/>
  <c r="H48" i="80" s="1"/>
  <c r="G24" i="69"/>
  <c r="P24" i="69" s="1"/>
  <c r="Y24" i="69" s="1"/>
  <c r="J10" i="68"/>
  <c r="E144" i="71"/>
  <c r="E145" i="71"/>
  <c r="E143" i="71"/>
  <c r="R99" i="71"/>
  <c r="D29" i="76"/>
  <c r="C10" i="82"/>
  <c r="Q5" i="76"/>
  <c r="C251" i="81"/>
  <c r="E251" i="81" s="1"/>
  <c r="D7" i="82" s="1"/>
  <c r="C16" i="79"/>
  <c r="E100" i="77"/>
  <c r="D58" i="78"/>
  <c r="D10" i="78" s="1"/>
  <c r="D42" i="84"/>
  <c r="D41" i="83"/>
  <c r="H17" i="69"/>
  <c r="D27" i="79"/>
  <c r="C273" i="84"/>
  <c r="C272" i="83"/>
  <c r="C273" i="81"/>
  <c r="C272" i="80"/>
  <c r="D56" i="80"/>
  <c r="H56" i="80" s="1"/>
  <c r="G32" i="69"/>
  <c r="P32" i="69" s="1"/>
  <c r="Y32" i="69" s="1"/>
  <c r="J18" i="68"/>
  <c r="R100" i="72"/>
  <c r="H41" i="80"/>
  <c r="D57" i="80"/>
  <c r="D9" i="80" s="1"/>
  <c r="D10" i="80" s="1"/>
  <c r="Q16" i="69"/>
  <c r="Q1" i="69"/>
  <c r="Z1" i="69" s="1"/>
  <c r="Z16" i="69" s="1"/>
  <c r="D43" i="83"/>
  <c r="H43" i="83" s="1"/>
  <c r="D44" i="84"/>
  <c r="H44" i="84" s="1"/>
  <c r="H19" i="69"/>
  <c r="Q19" i="69" s="1"/>
  <c r="Z19" i="69" s="1"/>
  <c r="D53" i="81"/>
  <c r="H53" i="81" s="1"/>
  <c r="D52" i="80"/>
  <c r="H52" i="80" s="1"/>
  <c r="G28" i="69"/>
  <c r="P28" i="69" s="1"/>
  <c r="Y28" i="69" s="1"/>
  <c r="J14" i="68"/>
  <c r="D52" i="84"/>
  <c r="H52" i="84" s="1"/>
  <c r="D51" i="83"/>
  <c r="H51" i="83" s="1"/>
  <c r="H27" i="69"/>
  <c r="Q27" i="69" s="1"/>
  <c r="Z27" i="69" s="1"/>
  <c r="D31" i="73"/>
  <c r="E145" i="72"/>
  <c r="D10" i="77"/>
  <c r="D28" i="83"/>
  <c r="H28" i="83" s="1"/>
  <c r="D29" i="84"/>
  <c r="H29" i="84" s="1"/>
  <c r="H6" i="69"/>
  <c r="Q6" i="69" s="1"/>
  <c r="Z6" i="69" s="1"/>
  <c r="E101" i="78"/>
  <c r="O2" i="69"/>
  <c r="F12" i="69"/>
  <c r="F14" i="69" s="1"/>
  <c r="D50" i="84"/>
  <c r="H50" i="84" s="1"/>
  <c r="D49" i="83"/>
  <c r="H49" i="83" s="1"/>
  <c r="H25" i="69"/>
  <c r="Q25" i="69" s="1"/>
  <c r="Z25" i="69" s="1"/>
  <c r="D54" i="84"/>
  <c r="H54" i="84" s="1"/>
  <c r="D53" i="83"/>
  <c r="H53" i="83" s="1"/>
  <c r="H29" i="69"/>
  <c r="Q29" i="69" s="1"/>
  <c r="Z29" i="69" s="1"/>
  <c r="H25" i="78"/>
  <c r="D35" i="78"/>
  <c r="D7" i="78" s="1"/>
  <c r="W2" i="69"/>
  <c r="W12" i="69" s="1"/>
  <c r="W14" i="69" s="1"/>
  <c r="N12" i="69"/>
  <c r="N14" i="69" s="1"/>
  <c r="A9" i="75"/>
  <c r="C9" i="82"/>
  <c r="D43" i="81"/>
  <c r="H43" i="81" s="1"/>
  <c r="D42" i="80"/>
  <c r="H42" i="80" s="1"/>
  <c r="G18" i="69"/>
  <c r="P18" i="69" s="1"/>
  <c r="Y18" i="69" s="1"/>
  <c r="J4" i="68"/>
  <c r="D23" i="76"/>
  <c r="H42" i="81"/>
  <c r="C22" i="79"/>
  <c r="E106" i="77"/>
  <c r="D51" i="84"/>
  <c r="H51" i="84" s="1"/>
  <c r="D50" i="83"/>
  <c r="H50" i="83" s="1"/>
  <c r="H26" i="69"/>
  <c r="Q26" i="69" s="1"/>
  <c r="Z26" i="69" s="1"/>
  <c r="D46" i="84"/>
  <c r="H46" i="84" s="1"/>
  <c r="D45" i="83"/>
  <c r="H45" i="83" s="1"/>
  <c r="H21" i="69"/>
  <c r="Q21" i="69" s="1"/>
  <c r="Z21" i="69" s="1"/>
  <c r="C2" i="76"/>
  <c r="H99" i="74"/>
  <c r="H34" i="74"/>
  <c r="B99" i="74"/>
  <c r="C30" i="79"/>
  <c r="E114" i="77"/>
  <c r="R5" i="76"/>
  <c r="C25" i="82"/>
  <c r="H28" i="73"/>
  <c r="C37" i="73" s="1"/>
  <c r="D31" i="84"/>
  <c r="H31" i="84" s="1"/>
  <c r="D30" i="83"/>
  <c r="H30" i="83" s="1"/>
  <c r="H8" i="69"/>
  <c r="Q8" i="69" s="1"/>
  <c r="Z8" i="69" s="1"/>
  <c r="H58" i="75"/>
  <c r="E146" i="72"/>
  <c r="D7" i="77"/>
  <c r="D34" i="77"/>
  <c r="D6" i="77" s="1"/>
  <c r="H24" i="77"/>
  <c r="G4" i="35"/>
  <c r="H4" i="35" s="1"/>
  <c r="I4" i="35" s="1"/>
  <c r="J4" i="35" s="1"/>
  <c r="G5" i="35"/>
  <c r="H5" i="35" s="1"/>
  <c r="I5" i="35" s="1"/>
  <c r="J5" i="35" s="1"/>
  <c r="G6" i="35"/>
  <c r="H6" i="35" s="1"/>
  <c r="I6" i="35" s="1"/>
  <c r="J6" i="35" s="1"/>
  <c r="G7" i="35"/>
  <c r="H7" i="35" s="1"/>
  <c r="I7" i="35" s="1"/>
  <c r="J7" i="35" s="1"/>
  <c r="G8" i="35"/>
  <c r="H8" i="35" s="1"/>
  <c r="I8" i="35" s="1"/>
  <c r="J8" i="35" s="1"/>
  <c r="G9" i="35"/>
  <c r="H9" i="35" s="1"/>
  <c r="I9" i="35" s="1"/>
  <c r="J9" i="35" s="1"/>
  <c r="G10" i="35"/>
  <c r="H10" i="35" s="1"/>
  <c r="I10" i="35" s="1"/>
  <c r="J10" i="35" s="1"/>
  <c r="G11" i="35"/>
  <c r="H11" i="35" s="1"/>
  <c r="I11" i="35" s="1"/>
  <c r="J11" i="35" s="1"/>
  <c r="G12" i="35"/>
  <c r="H12" i="35" s="1"/>
  <c r="I12" i="35" s="1"/>
  <c r="J12" i="35" s="1"/>
  <c r="G13" i="35"/>
  <c r="H13" i="35" s="1"/>
  <c r="I13" i="35" s="1"/>
  <c r="J13" i="35" s="1"/>
  <c r="G14" i="35"/>
  <c r="H14" i="35" s="1"/>
  <c r="I14" i="35" s="1"/>
  <c r="J14" i="35" s="1"/>
  <c r="G15" i="35"/>
  <c r="H15" i="35" s="1"/>
  <c r="I15" i="35" s="1"/>
  <c r="J15" i="35" s="1"/>
  <c r="G16" i="35"/>
  <c r="H16" i="35" s="1"/>
  <c r="I16" i="35" s="1"/>
  <c r="J16" i="35" s="1"/>
  <c r="G17" i="35"/>
  <c r="H17" i="35" s="1"/>
  <c r="I17" i="35" s="1"/>
  <c r="J17" i="35" s="1"/>
  <c r="G18" i="35"/>
  <c r="H18" i="35" s="1"/>
  <c r="I18" i="35" s="1"/>
  <c r="J18" i="35" s="1"/>
  <c r="G3" i="35"/>
  <c r="H3" i="35" s="1"/>
  <c r="I3" i="35" s="1"/>
  <c r="J3" i="35" s="1"/>
  <c r="J5" i="34"/>
  <c r="G4" i="34"/>
  <c r="H4" i="34" s="1"/>
  <c r="I4" i="34" s="1"/>
  <c r="J4" i="34" s="1"/>
  <c r="G6" i="34"/>
  <c r="H6" i="34" s="1"/>
  <c r="I6" i="34" s="1"/>
  <c r="J6" i="34" s="1"/>
  <c r="G7" i="34"/>
  <c r="H7" i="34" s="1"/>
  <c r="I7" i="34" s="1"/>
  <c r="J7" i="34" s="1"/>
  <c r="G8" i="34"/>
  <c r="H8" i="34" s="1"/>
  <c r="I8" i="34" s="1"/>
  <c r="J8" i="34" s="1"/>
  <c r="G9" i="34"/>
  <c r="H9" i="34" s="1"/>
  <c r="I9" i="34" s="1"/>
  <c r="J9" i="34" s="1"/>
  <c r="G10" i="34"/>
  <c r="H10" i="34" s="1"/>
  <c r="I10" i="34" s="1"/>
  <c r="J10" i="34" s="1"/>
  <c r="G11" i="34"/>
  <c r="H11" i="34" s="1"/>
  <c r="I11" i="34" s="1"/>
  <c r="J11" i="34" s="1"/>
  <c r="G12" i="34"/>
  <c r="H12" i="34" s="1"/>
  <c r="I12" i="34" s="1"/>
  <c r="J12" i="34" s="1"/>
  <c r="G3" i="34"/>
  <c r="H3" i="34" s="1"/>
  <c r="I3" i="34" s="1"/>
  <c r="J3" i="34" s="1"/>
  <c r="C25" i="85" l="1"/>
  <c r="E111" i="81"/>
  <c r="D25" i="84"/>
  <c r="D24" i="83"/>
  <c r="H2" i="69"/>
  <c r="J13" i="67"/>
  <c r="H13" i="69" s="1"/>
  <c r="Q13" i="69" s="1"/>
  <c r="Z13" i="69" s="1"/>
  <c r="C5" i="85"/>
  <c r="B100" i="75"/>
  <c r="C18" i="82"/>
  <c r="F9" i="74"/>
  <c r="F10" i="74" s="1"/>
  <c r="E112" i="74"/>
  <c r="E105" i="74"/>
  <c r="E109" i="74"/>
  <c r="E104" i="74"/>
  <c r="E107" i="74"/>
  <c r="E103" i="74"/>
  <c r="E108" i="74"/>
  <c r="E110" i="74"/>
  <c r="E101" i="74"/>
  <c r="E111" i="74"/>
  <c r="E114" i="74"/>
  <c r="E113" i="74"/>
  <c r="E100" i="74"/>
  <c r="E106" i="74"/>
  <c r="E102" i="74"/>
  <c r="D28" i="79"/>
  <c r="F28" i="79"/>
  <c r="G28" i="79" s="1"/>
  <c r="F10" i="75"/>
  <c r="E113" i="75"/>
  <c r="E115" i="75"/>
  <c r="E114" i="75"/>
  <c r="E107" i="75"/>
  <c r="E111" i="75"/>
  <c r="E101" i="75"/>
  <c r="E102" i="75"/>
  <c r="E109" i="75"/>
  <c r="E106" i="75"/>
  <c r="E112" i="75"/>
  <c r="E108" i="75"/>
  <c r="E104" i="75"/>
  <c r="E105" i="75"/>
  <c r="E103" i="75"/>
  <c r="E110" i="75"/>
  <c r="D43" i="84"/>
  <c r="H43" i="84" s="1"/>
  <c r="D42" i="83"/>
  <c r="H42" i="83" s="1"/>
  <c r="H18" i="69"/>
  <c r="Q18" i="69" s="1"/>
  <c r="Z18" i="69" s="1"/>
  <c r="E7" i="82"/>
  <c r="C31" i="79"/>
  <c r="D18" i="79"/>
  <c r="C29" i="85"/>
  <c r="E99" i="74"/>
  <c r="C3" i="85"/>
  <c r="C26" i="82"/>
  <c r="H42" i="84"/>
  <c r="H35" i="78"/>
  <c r="C19" i="85"/>
  <c r="E116" i="72"/>
  <c r="C27" i="85"/>
  <c r="C250" i="84"/>
  <c r="E250" i="84" s="1"/>
  <c r="D6" i="85" s="1"/>
  <c r="P33" i="69"/>
  <c r="P35" i="69" s="1"/>
  <c r="Y17" i="69"/>
  <c r="Y33" i="69" s="1"/>
  <c r="Y35" i="69" s="1"/>
  <c r="D35" i="81"/>
  <c r="D7" i="81" s="1"/>
  <c r="H25" i="81"/>
  <c r="C9" i="85"/>
  <c r="C8" i="85"/>
  <c r="D57" i="83"/>
  <c r="D9" i="83" s="1"/>
  <c r="D10" i="83" s="1"/>
  <c r="H41" i="83"/>
  <c r="C20" i="85"/>
  <c r="D45" i="84"/>
  <c r="H45" i="84" s="1"/>
  <c r="D44" i="83"/>
  <c r="H44" i="83" s="1"/>
  <c r="H20" i="69"/>
  <c r="Q20" i="69" s="1"/>
  <c r="Z20" i="69" s="1"/>
  <c r="C2" i="79"/>
  <c r="H99" i="77"/>
  <c r="B99" i="77"/>
  <c r="H34" i="77"/>
  <c r="E100" i="75"/>
  <c r="H58" i="81"/>
  <c r="E103" i="81" s="1"/>
  <c r="E100" i="81"/>
  <c r="C16" i="82"/>
  <c r="C6" i="85"/>
  <c r="C249" i="83"/>
  <c r="E249" i="83" s="1"/>
  <c r="C17" i="85"/>
  <c r="D56" i="83"/>
  <c r="H56" i="83" s="1"/>
  <c r="H32" i="69"/>
  <c r="Q32" i="69" s="1"/>
  <c r="Z32" i="69" s="1"/>
  <c r="G33" i="69"/>
  <c r="G35" i="69" s="1"/>
  <c r="D34" i="80"/>
  <c r="D6" i="80" s="1"/>
  <c r="D7" i="80" s="1"/>
  <c r="H24" i="80"/>
  <c r="D29" i="82"/>
  <c r="D54" i="83"/>
  <c r="H54" i="83" s="1"/>
  <c r="H30" i="69"/>
  <c r="Q30" i="69" s="1"/>
  <c r="Z30" i="69" s="1"/>
  <c r="C11" i="85"/>
  <c r="D18" i="76"/>
  <c r="D31" i="76" s="1"/>
  <c r="C31" i="76"/>
  <c r="C251" i="84"/>
  <c r="E251" i="84" s="1"/>
  <c r="D7" i="85" s="1"/>
  <c r="C15" i="82"/>
  <c r="H57" i="80"/>
  <c r="E100" i="80" s="1"/>
  <c r="E107" i="81"/>
  <c r="G12" i="69"/>
  <c r="G14" i="69" s="1"/>
  <c r="P2" i="69"/>
  <c r="F7" i="75"/>
  <c r="B108" i="75"/>
  <c r="K100" i="75"/>
  <c r="B107" i="75"/>
  <c r="B102" i="75"/>
  <c r="O100" i="75"/>
  <c r="P100" i="75"/>
  <c r="Q100" i="75"/>
  <c r="J100" i="75"/>
  <c r="B103" i="75"/>
  <c r="B109" i="75"/>
  <c r="B106" i="75"/>
  <c r="L100" i="75"/>
  <c r="N100" i="75"/>
  <c r="B105" i="75"/>
  <c r="B101" i="75"/>
  <c r="M100" i="75"/>
  <c r="I100" i="75"/>
  <c r="B104" i="75"/>
  <c r="Q5" i="73"/>
  <c r="R5" i="73"/>
  <c r="D30" i="79"/>
  <c r="F6" i="74"/>
  <c r="F7" i="74" s="1"/>
  <c r="J99" i="74"/>
  <c r="E144" i="74" s="1"/>
  <c r="B101" i="74"/>
  <c r="K99" i="74"/>
  <c r="B103" i="74"/>
  <c r="P99" i="74"/>
  <c r="N99" i="74"/>
  <c r="B108" i="74"/>
  <c r="B102" i="74"/>
  <c r="B107" i="74"/>
  <c r="M99" i="74"/>
  <c r="Q99" i="74"/>
  <c r="L99" i="74"/>
  <c r="B104" i="74"/>
  <c r="I99" i="74"/>
  <c r="B106" i="74"/>
  <c r="B100" i="74"/>
  <c r="B109" i="74" s="1"/>
  <c r="O99" i="74"/>
  <c r="B105" i="74"/>
  <c r="D58" i="81"/>
  <c r="D10" i="81" s="1"/>
  <c r="E101" i="81"/>
  <c r="J19" i="68"/>
  <c r="H34" i="69" s="1"/>
  <c r="Q34" i="69" s="1"/>
  <c r="Z34" i="69" s="1"/>
  <c r="D49" i="84"/>
  <c r="H49" i="84" s="1"/>
  <c r="D48" i="83"/>
  <c r="H48" i="83" s="1"/>
  <c r="H24" i="69"/>
  <c r="Q24" i="69" s="1"/>
  <c r="Z24" i="69" s="1"/>
  <c r="E113" i="78"/>
  <c r="F10" i="78"/>
  <c r="E115" i="78"/>
  <c r="E114" i="78"/>
  <c r="E108" i="78"/>
  <c r="E112" i="78"/>
  <c r="E109" i="78"/>
  <c r="E110" i="78"/>
  <c r="E106" i="78"/>
  <c r="E104" i="78"/>
  <c r="E105" i="78"/>
  <c r="E102" i="78"/>
  <c r="E116" i="78" s="1"/>
  <c r="J19" i="66"/>
  <c r="K18" i="66"/>
  <c r="C22" i="82"/>
  <c r="D10" i="71"/>
  <c r="F10" i="71"/>
  <c r="C21" i="85"/>
  <c r="C24" i="85"/>
  <c r="C23" i="85"/>
  <c r="X2" i="69"/>
  <c r="X12" i="69" s="1"/>
  <c r="X14" i="69" s="1"/>
  <c r="O12" i="69"/>
  <c r="O14" i="69" s="1"/>
  <c r="D53" i="84"/>
  <c r="H53" i="84" s="1"/>
  <c r="D52" i="83"/>
  <c r="H52" i="83" s="1"/>
  <c r="H28" i="69"/>
  <c r="Q28" i="69" s="1"/>
  <c r="Z28" i="69" s="1"/>
  <c r="C30" i="82"/>
  <c r="E114" i="80"/>
  <c r="Q17" i="69"/>
  <c r="H33" i="69"/>
  <c r="H35" i="69" s="1"/>
  <c r="C10" i="85"/>
  <c r="X18" i="69"/>
  <c r="X33" i="69" s="1"/>
  <c r="X35" i="69" s="1"/>
  <c r="O33" i="69"/>
  <c r="O35" i="69" s="1"/>
  <c r="F7" i="71"/>
  <c r="D7" i="71"/>
  <c r="C28" i="82"/>
  <c r="J258" i="80"/>
  <c r="L258" i="80" s="1"/>
  <c r="C7" i="85"/>
  <c r="C250" i="83"/>
  <c r="E250" i="83" s="1"/>
  <c r="F9" i="77"/>
  <c r="F10" i="77" s="1"/>
  <c r="E111" i="77"/>
  <c r="E103" i="77"/>
  <c r="E101" i="77"/>
  <c r="E113" i="77"/>
  <c r="E104" i="77"/>
  <c r="E105" i="77"/>
  <c r="E109" i="77"/>
  <c r="E107" i="77"/>
  <c r="E108" i="77"/>
  <c r="D27" i="82"/>
  <c r="F13" i="34"/>
  <c r="D54" i="55"/>
  <c r="D55" i="55"/>
  <c r="D56" i="55"/>
  <c r="D57" i="55"/>
  <c r="D40" i="55"/>
  <c r="D41" i="55"/>
  <c r="D22" i="55"/>
  <c r="D23" i="55"/>
  <c r="D24" i="55"/>
  <c r="D53" i="55"/>
  <c r="D52" i="55"/>
  <c r="D51" i="55"/>
  <c r="D50" i="55"/>
  <c r="D49" i="55"/>
  <c r="D48" i="55"/>
  <c r="D47" i="55"/>
  <c r="D46" i="55"/>
  <c r="D39" i="55"/>
  <c r="D38" i="55"/>
  <c r="D37" i="55"/>
  <c r="D36" i="55"/>
  <c r="D35" i="55"/>
  <c r="D34" i="55"/>
  <c r="D33" i="55"/>
  <c r="D32" i="55"/>
  <c r="D31" i="55"/>
  <c r="D30" i="55"/>
  <c r="D21" i="55"/>
  <c r="D20" i="55"/>
  <c r="D19" i="55"/>
  <c r="D18" i="55"/>
  <c r="D17" i="55"/>
  <c r="D16" i="55"/>
  <c r="D15" i="55"/>
  <c r="D14" i="55"/>
  <c r="D13" i="55"/>
  <c r="D12" i="55"/>
  <c r="D54" i="64"/>
  <c r="D53" i="64"/>
  <c r="D52" i="64"/>
  <c r="D51" i="64"/>
  <c r="D50" i="64"/>
  <c r="D49" i="64"/>
  <c r="D48" i="64"/>
  <c r="D47" i="64"/>
  <c r="D46" i="64"/>
  <c r="D45" i="64"/>
  <c r="D44" i="64"/>
  <c r="D43" i="64"/>
  <c r="D42" i="64"/>
  <c r="D31" i="64"/>
  <c r="D30" i="64"/>
  <c r="D29" i="64"/>
  <c r="D27" i="64"/>
  <c r="D26" i="64"/>
  <c r="D25" i="64"/>
  <c r="D56" i="63"/>
  <c r="D55" i="63"/>
  <c r="D54" i="63"/>
  <c r="D53" i="63"/>
  <c r="D52" i="63"/>
  <c r="D51" i="63"/>
  <c r="D50" i="63"/>
  <c r="D49" i="63"/>
  <c r="D48" i="63"/>
  <c r="D47" i="63"/>
  <c r="D46" i="63"/>
  <c r="D45" i="63"/>
  <c r="D44" i="63"/>
  <c r="D43" i="63"/>
  <c r="D42" i="63"/>
  <c r="D41" i="63"/>
  <c r="D33" i="63"/>
  <c r="D32" i="63"/>
  <c r="D31" i="63"/>
  <c r="D30" i="63"/>
  <c r="D29" i="63"/>
  <c r="D28" i="63"/>
  <c r="D27" i="63"/>
  <c r="D26" i="63"/>
  <c r="D25" i="63"/>
  <c r="D24" i="63"/>
  <c r="Y16" i="36"/>
  <c r="Z16" i="36"/>
  <c r="Y1" i="36"/>
  <c r="Z1" i="36"/>
  <c r="P16" i="36"/>
  <c r="Q16" i="36"/>
  <c r="P9" i="36"/>
  <c r="Y9" i="36" s="1"/>
  <c r="P1" i="36"/>
  <c r="Q1" i="36"/>
  <c r="G17" i="36"/>
  <c r="P17" i="36" s="1"/>
  <c r="Y17" i="36" s="1"/>
  <c r="H17" i="36"/>
  <c r="Q17" i="36" s="1"/>
  <c r="Z17" i="36" s="1"/>
  <c r="G18" i="36"/>
  <c r="P18" i="36" s="1"/>
  <c r="H18" i="36"/>
  <c r="Q18" i="36" s="1"/>
  <c r="Z18" i="36" s="1"/>
  <c r="G19" i="36"/>
  <c r="P19" i="36" s="1"/>
  <c r="Y19" i="36" s="1"/>
  <c r="H19" i="36"/>
  <c r="Q19" i="36" s="1"/>
  <c r="Z19" i="36" s="1"/>
  <c r="G20" i="36"/>
  <c r="P20" i="36" s="1"/>
  <c r="Y20" i="36" s="1"/>
  <c r="H20" i="36"/>
  <c r="Q20" i="36" s="1"/>
  <c r="Z20" i="36" s="1"/>
  <c r="G21" i="36"/>
  <c r="P21" i="36" s="1"/>
  <c r="Y21" i="36" s="1"/>
  <c r="H21" i="36"/>
  <c r="Q21" i="36" s="1"/>
  <c r="Z21" i="36" s="1"/>
  <c r="G22" i="36"/>
  <c r="P22" i="36" s="1"/>
  <c r="Y22" i="36" s="1"/>
  <c r="H22" i="36"/>
  <c r="Q22" i="36" s="1"/>
  <c r="Z22" i="36" s="1"/>
  <c r="G23" i="36"/>
  <c r="P23" i="36" s="1"/>
  <c r="Y23" i="36" s="1"/>
  <c r="H23" i="36"/>
  <c r="Q23" i="36" s="1"/>
  <c r="Z23" i="36" s="1"/>
  <c r="G24" i="36"/>
  <c r="P24" i="36" s="1"/>
  <c r="Y24" i="36" s="1"/>
  <c r="H24" i="36"/>
  <c r="Q24" i="36" s="1"/>
  <c r="Z24" i="36" s="1"/>
  <c r="G25" i="36"/>
  <c r="P25" i="36" s="1"/>
  <c r="Y25" i="36" s="1"/>
  <c r="H25" i="36"/>
  <c r="Q25" i="36" s="1"/>
  <c r="Z25" i="36" s="1"/>
  <c r="G26" i="36"/>
  <c r="P26" i="36" s="1"/>
  <c r="Y26" i="36" s="1"/>
  <c r="H26" i="36"/>
  <c r="Q26" i="36" s="1"/>
  <c r="Z26" i="36" s="1"/>
  <c r="G27" i="36"/>
  <c r="P27" i="36" s="1"/>
  <c r="Y27" i="36" s="1"/>
  <c r="H27" i="36"/>
  <c r="Q27" i="36" s="1"/>
  <c r="Z27" i="36" s="1"/>
  <c r="G28" i="36"/>
  <c r="P28" i="36" s="1"/>
  <c r="Y28" i="36" s="1"/>
  <c r="H28" i="36"/>
  <c r="Q28" i="36" s="1"/>
  <c r="Z28" i="36" s="1"/>
  <c r="G29" i="36"/>
  <c r="P29" i="36" s="1"/>
  <c r="Y29" i="36" s="1"/>
  <c r="H29" i="36"/>
  <c r="Q29" i="36" s="1"/>
  <c r="Z29" i="36" s="1"/>
  <c r="G30" i="36"/>
  <c r="P30" i="36" s="1"/>
  <c r="Y30" i="36" s="1"/>
  <c r="H30" i="36"/>
  <c r="Q30" i="36" s="1"/>
  <c r="Z30" i="36" s="1"/>
  <c r="G31" i="36"/>
  <c r="P31" i="36" s="1"/>
  <c r="Y31" i="36" s="1"/>
  <c r="H31" i="36"/>
  <c r="Q31" i="36" s="1"/>
  <c r="Z31" i="36" s="1"/>
  <c r="G32" i="36"/>
  <c r="P32" i="36" s="1"/>
  <c r="Y32" i="36" s="1"/>
  <c r="H32" i="36"/>
  <c r="Q32" i="36" s="1"/>
  <c r="Z32" i="36" s="1"/>
  <c r="G2" i="36"/>
  <c r="P2" i="36" s="1"/>
  <c r="Y2" i="36" s="1"/>
  <c r="H2" i="36"/>
  <c r="Q2" i="36" s="1"/>
  <c r="Z2" i="36" s="1"/>
  <c r="G3" i="36"/>
  <c r="P3" i="36" s="1"/>
  <c r="Y3" i="36" s="1"/>
  <c r="H3" i="36"/>
  <c r="Q3" i="36" s="1"/>
  <c r="Z3" i="36" s="1"/>
  <c r="G4" i="36"/>
  <c r="P4" i="36" s="1"/>
  <c r="Y4" i="36" s="1"/>
  <c r="H4" i="36"/>
  <c r="Q4" i="36" s="1"/>
  <c r="Z4" i="36" s="1"/>
  <c r="G5" i="36"/>
  <c r="P5" i="36" s="1"/>
  <c r="Y5" i="36" s="1"/>
  <c r="H5" i="36"/>
  <c r="Q5" i="36" s="1"/>
  <c r="Z5" i="36" s="1"/>
  <c r="G6" i="36"/>
  <c r="P6" i="36" s="1"/>
  <c r="Y6" i="36" s="1"/>
  <c r="H6" i="36"/>
  <c r="Q6" i="36" s="1"/>
  <c r="Z6" i="36" s="1"/>
  <c r="G7" i="36"/>
  <c r="P7" i="36" s="1"/>
  <c r="Y7" i="36" s="1"/>
  <c r="H7" i="36"/>
  <c r="Q7" i="36" s="1"/>
  <c r="Z7" i="36" s="1"/>
  <c r="G8" i="36"/>
  <c r="P8" i="36" s="1"/>
  <c r="Y8" i="36" s="1"/>
  <c r="H8" i="36"/>
  <c r="Q8" i="36" s="1"/>
  <c r="Z8" i="36" s="1"/>
  <c r="G9" i="36"/>
  <c r="H9" i="36"/>
  <c r="Q9" i="36" s="1"/>
  <c r="Z9" i="36" s="1"/>
  <c r="G10" i="36"/>
  <c r="P10" i="36" s="1"/>
  <c r="Y10" i="36" s="1"/>
  <c r="H10" i="36"/>
  <c r="Q10" i="36" s="1"/>
  <c r="Z10" i="36" s="1"/>
  <c r="G11" i="36"/>
  <c r="P11" i="36" s="1"/>
  <c r="Y11" i="36" s="1"/>
  <c r="H11" i="36"/>
  <c r="Q11" i="36" s="1"/>
  <c r="Z11" i="36" s="1"/>
  <c r="C1" i="36"/>
  <c r="C16" i="36" s="1"/>
  <c r="D1" i="36"/>
  <c r="D16" i="36" s="1"/>
  <c r="E1" i="36"/>
  <c r="E16" i="36" s="1"/>
  <c r="F1" i="36"/>
  <c r="F16" i="36" s="1"/>
  <c r="G1" i="36"/>
  <c r="G16" i="36" s="1"/>
  <c r="H1" i="36"/>
  <c r="H16" i="36" s="1"/>
  <c r="B1" i="36"/>
  <c r="C17" i="56"/>
  <c r="C18" i="56"/>
  <c r="C19" i="56"/>
  <c r="C20" i="56"/>
  <c r="C21" i="56"/>
  <c r="C22" i="56"/>
  <c r="C23" i="56"/>
  <c r="C24" i="56"/>
  <c r="J19" i="35"/>
  <c r="H34" i="36" s="1"/>
  <c r="Q34" i="36" s="1"/>
  <c r="Z34" i="36" s="1"/>
  <c r="J2" i="35"/>
  <c r="J13" i="34"/>
  <c r="H13" i="36" s="1"/>
  <c r="Q13" i="36" s="1"/>
  <c r="Z13" i="36" s="1"/>
  <c r="J2" i="34"/>
  <c r="E6" i="85" l="1"/>
  <c r="C18" i="85"/>
  <c r="E102" i="83"/>
  <c r="B103" i="78"/>
  <c r="F7" i="78"/>
  <c r="K100" i="78"/>
  <c r="B108" i="78"/>
  <c r="O100" i="78"/>
  <c r="B109" i="78"/>
  <c r="B102" i="78"/>
  <c r="P100" i="78"/>
  <c r="B107" i="78"/>
  <c r="Q100" i="78"/>
  <c r="J100" i="78"/>
  <c r="I100" i="78"/>
  <c r="B105" i="78"/>
  <c r="B101" i="78"/>
  <c r="M100" i="78"/>
  <c r="B106" i="78"/>
  <c r="L100" i="78"/>
  <c r="N100" i="78"/>
  <c r="B104" i="78"/>
  <c r="D30" i="82"/>
  <c r="E145" i="74"/>
  <c r="D248" i="74"/>
  <c r="D247" i="74"/>
  <c r="D246" i="74"/>
  <c r="D245" i="74"/>
  <c r="D254" i="74"/>
  <c r="D253" i="74"/>
  <c r="D252" i="74"/>
  <c r="D251" i="74"/>
  <c r="E99" i="80"/>
  <c r="C2" i="82"/>
  <c r="H99" i="80"/>
  <c r="H34" i="80"/>
  <c r="C30" i="85"/>
  <c r="E114" i="83"/>
  <c r="E116" i="75"/>
  <c r="H100" i="78"/>
  <c r="H12" i="69"/>
  <c r="H14" i="69" s="1"/>
  <c r="Q2" i="69"/>
  <c r="E145" i="75"/>
  <c r="F9" i="80"/>
  <c r="F10" i="80" s="1"/>
  <c r="E109" i="80"/>
  <c r="E111" i="80"/>
  <c r="E108" i="80"/>
  <c r="E107" i="80"/>
  <c r="E101" i="80"/>
  <c r="E103" i="80"/>
  <c r="E104" i="80"/>
  <c r="E113" i="80"/>
  <c r="E105" i="80"/>
  <c r="D58" i="84"/>
  <c r="D10" i="84" s="1"/>
  <c r="D248" i="71"/>
  <c r="D247" i="71"/>
  <c r="D246" i="71"/>
  <c r="D245" i="71"/>
  <c r="D254" i="71"/>
  <c r="D253" i="71"/>
  <c r="D252" i="71"/>
  <c r="D251" i="71"/>
  <c r="E106" i="80"/>
  <c r="E143" i="74"/>
  <c r="C31" i="82"/>
  <c r="D18" i="82"/>
  <c r="F6" i="77"/>
  <c r="F7" i="77" s="1"/>
  <c r="J99" i="77"/>
  <c r="B101" i="77"/>
  <c r="B106" i="77"/>
  <c r="N99" i="77"/>
  <c r="B104" i="77"/>
  <c r="P99" i="77"/>
  <c r="B107" i="77"/>
  <c r="O99" i="77"/>
  <c r="B100" i="77"/>
  <c r="M99" i="77"/>
  <c r="L99" i="77"/>
  <c r="I99" i="77"/>
  <c r="E145" i="77" s="1"/>
  <c r="B105" i="77"/>
  <c r="Q99" i="77"/>
  <c r="K99" i="77"/>
  <c r="B108" i="77"/>
  <c r="B102" i="77"/>
  <c r="B103" i="77"/>
  <c r="D34" i="83"/>
  <c r="D6" i="83" s="1"/>
  <c r="D7" i="83" s="1"/>
  <c r="H24" i="83"/>
  <c r="E146" i="75"/>
  <c r="H35" i="81"/>
  <c r="C26" i="85"/>
  <c r="D23" i="82"/>
  <c r="Y2" i="69"/>
  <c r="Y12" i="69" s="1"/>
  <c r="Y14" i="69" s="1"/>
  <c r="P12" i="69"/>
  <c r="P14" i="69" s="1"/>
  <c r="E110" i="80"/>
  <c r="D29" i="85"/>
  <c r="H28" i="79"/>
  <c r="C37" i="79" s="1"/>
  <c r="D35" i="84"/>
  <c r="D7" i="84" s="1"/>
  <c r="H25" i="84"/>
  <c r="E115" i="77"/>
  <c r="E115" i="74"/>
  <c r="D31" i="79"/>
  <c r="K257" i="74"/>
  <c r="K255" i="74"/>
  <c r="K248" i="74"/>
  <c r="K247" i="74"/>
  <c r="K246" i="74"/>
  <c r="K245" i="74"/>
  <c r="K260" i="74"/>
  <c r="K256" i="74"/>
  <c r="K253" i="74"/>
  <c r="K259" i="74"/>
  <c r="K251" i="74"/>
  <c r="K254" i="74"/>
  <c r="K252" i="74"/>
  <c r="K249" i="74"/>
  <c r="K250" i="74"/>
  <c r="E7" i="85"/>
  <c r="E112" i="80"/>
  <c r="Q33" i="69"/>
  <c r="Q35" i="69" s="1"/>
  <c r="Z17" i="69"/>
  <c r="Z33" i="69" s="1"/>
  <c r="Z35" i="69" s="1"/>
  <c r="C22" i="85"/>
  <c r="E106" i="83"/>
  <c r="J258" i="83"/>
  <c r="L258" i="83" s="1"/>
  <c r="C28" i="85"/>
  <c r="B109" i="77"/>
  <c r="E144" i="75"/>
  <c r="D28" i="82"/>
  <c r="F28" i="82"/>
  <c r="G28" i="82" s="1"/>
  <c r="H28" i="82" s="1"/>
  <c r="C37" i="82" s="1"/>
  <c r="K257" i="71"/>
  <c r="K255" i="71"/>
  <c r="K248" i="71"/>
  <c r="K247" i="71"/>
  <c r="K246" i="71"/>
  <c r="K245" i="71"/>
  <c r="K260" i="71"/>
  <c r="K251" i="71"/>
  <c r="K249" i="71"/>
  <c r="K259" i="71"/>
  <c r="K256" i="71"/>
  <c r="K252" i="71"/>
  <c r="K253" i="71"/>
  <c r="K250" i="71"/>
  <c r="K254" i="71"/>
  <c r="L18" i="66"/>
  <c r="K19" i="66"/>
  <c r="E107" i="84"/>
  <c r="B110" i="75"/>
  <c r="R100" i="75"/>
  <c r="K249" i="77"/>
  <c r="K260" i="77"/>
  <c r="K257" i="77"/>
  <c r="K255" i="77"/>
  <c r="K247" i="77"/>
  <c r="K245" i="77"/>
  <c r="K256" i="77"/>
  <c r="K253" i="77"/>
  <c r="K251" i="77"/>
  <c r="K259" i="77"/>
  <c r="K248" i="77"/>
  <c r="K246" i="77"/>
  <c r="K254" i="77"/>
  <c r="K250" i="77"/>
  <c r="K252" i="77"/>
  <c r="R99" i="74"/>
  <c r="F10" i="81"/>
  <c r="E115" i="81"/>
  <c r="E113" i="81"/>
  <c r="E114" i="81"/>
  <c r="E102" i="81"/>
  <c r="E106" i="81"/>
  <c r="E108" i="81"/>
  <c r="E112" i="81"/>
  <c r="E109" i="81"/>
  <c r="E105" i="81"/>
  <c r="E104" i="81"/>
  <c r="E110" i="81"/>
  <c r="C15" i="85"/>
  <c r="H57" i="83"/>
  <c r="B100" i="78"/>
  <c r="B110" i="78" s="1"/>
  <c r="H58" i="84"/>
  <c r="E103" i="84" s="1"/>
  <c r="C16" i="85"/>
  <c r="E100" i="83"/>
  <c r="E102" i="80"/>
  <c r="G12" i="36"/>
  <c r="Y12" i="36"/>
  <c r="P33" i="36"/>
  <c r="Q12" i="36"/>
  <c r="Q14" i="36" s="1"/>
  <c r="Z12" i="36"/>
  <c r="Z14" i="36" s="1"/>
  <c r="Z33" i="36"/>
  <c r="Z35" i="36" s="1"/>
  <c r="P12" i="36"/>
  <c r="Q33" i="36"/>
  <c r="Q35" i="36" s="1"/>
  <c r="Y18" i="36"/>
  <c r="Y33" i="36" s="1"/>
  <c r="H12" i="36"/>
  <c r="H14" i="36" s="1"/>
  <c r="G33" i="36"/>
  <c r="H33" i="36"/>
  <c r="H35" i="36" s="1"/>
  <c r="R5" i="82" l="1"/>
  <c r="Q5" i="82"/>
  <c r="E101" i="84"/>
  <c r="H35" i="84"/>
  <c r="B100" i="84" s="1"/>
  <c r="E145" i="80"/>
  <c r="E143" i="80"/>
  <c r="L19" i="66"/>
  <c r="M18" i="66"/>
  <c r="Q5" i="79"/>
  <c r="R5" i="79"/>
  <c r="F7" i="81"/>
  <c r="J100" i="81"/>
  <c r="B102" i="81"/>
  <c r="B107" i="81"/>
  <c r="B109" i="81"/>
  <c r="B103" i="81"/>
  <c r="O100" i="81"/>
  <c r="B108" i="81"/>
  <c r="P100" i="81"/>
  <c r="K100" i="81"/>
  <c r="Q100" i="81"/>
  <c r="B105" i="81"/>
  <c r="N100" i="81"/>
  <c r="B104" i="81"/>
  <c r="L100" i="81"/>
  <c r="B106" i="81"/>
  <c r="I100" i="81"/>
  <c r="B101" i="81"/>
  <c r="M100" i="81"/>
  <c r="C2" i="85"/>
  <c r="H34" i="83"/>
  <c r="B99" i="83" s="1"/>
  <c r="Q12" i="69"/>
  <c r="Q14" i="69" s="1"/>
  <c r="Z2" i="69"/>
  <c r="Z12" i="69" s="1"/>
  <c r="Z14" i="69" s="1"/>
  <c r="E144" i="78"/>
  <c r="E146" i="78"/>
  <c r="R100" i="78"/>
  <c r="E145" i="78"/>
  <c r="E115" i="80"/>
  <c r="E143" i="77"/>
  <c r="E100" i="84"/>
  <c r="F9" i="83"/>
  <c r="F10" i="83" s="1"/>
  <c r="E107" i="83"/>
  <c r="E108" i="83"/>
  <c r="E104" i="83"/>
  <c r="E105" i="83"/>
  <c r="E111" i="83"/>
  <c r="E101" i="83"/>
  <c r="E109" i="83"/>
  <c r="E113" i="83"/>
  <c r="E103" i="83"/>
  <c r="R99" i="77"/>
  <c r="D23" i="85"/>
  <c r="B100" i="81"/>
  <c r="D254" i="77"/>
  <c r="D253" i="77"/>
  <c r="D252" i="77"/>
  <c r="D251" i="77"/>
  <c r="D247" i="77"/>
  <c r="D246" i="77"/>
  <c r="D248" i="77"/>
  <c r="D245" i="77"/>
  <c r="D30" i="85"/>
  <c r="E116" i="81"/>
  <c r="E99" i="83"/>
  <c r="E112" i="83"/>
  <c r="H100" i="81"/>
  <c r="D27" i="85"/>
  <c r="F28" i="85"/>
  <c r="G28" i="85" s="1"/>
  <c r="H28" i="85" s="1"/>
  <c r="C37" i="85" s="1"/>
  <c r="D28" i="85"/>
  <c r="E110" i="83"/>
  <c r="F6" i="80"/>
  <c r="F7" i="80" s="1"/>
  <c r="J99" i="80"/>
  <c r="B101" i="80"/>
  <c r="O99" i="80"/>
  <c r="B107" i="80"/>
  <c r="B106" i="80"/>
  <c r="B100" i="80"/>
  <c r="Q99" i="80"/>
  <c r="L99" i="80"/>
  <c r="P99" i="80"/>
  <c r="I99" i="80"/>
  <c r="B102" i="80"/>
  <c r="N99" i="80"/>
  <c r="B103" i="80"/>
  <c r="K99" i="80"/>
  <c r="B105" i="80"/>
  <c r="M99" i="80"/>
  <c r="B108" i="80"/>
  <c r="B104" i="80"/>
  <c r="E113" i="84"/>
  <c r="F10" i="84"/>
  <c r="E115" i="84"/>
  <c r="E114" i="84"/>
  <c r="E112" i="84"/>
  <c r="E105" i="84"/>
  <c r="E108" i="84"/>
  <c r="E109" i="84"/>
  <c r="E106" i="84"/>
  <c r="E110" i="84"/>
  <c r="E104" i="84"/>
  <c r="E102" i="84"/>
  <c r="D18" i="85"/>
  <c r="D31" i="85" s="1"/>
  <c r="C31" i="85"/>
  <c r="E144" i="77"/>
  <c r="E111" i="84"/>
  <c r="D31" i="82"/>
  <c r="K257" i="80"/>
  <c r="K255" i="80"/>
  <c r="K249" i="80"/>
  <c r="K250" i="80"/>
  <c r="K260" i="80"/>
  <c r="K251" i="80"/>
  <c r="K253" i="80"/>
  <c r="K254" i="80"/>
  <c r="K246" i="80"/>
  <c r="K259" i="80"/>
  <c r="K248" i="80"/>
  <c r="K256" i="80"/>
  <c r="K252" i="80"/>
  <c r="K247" i="80"/>
  <c r="K245" i="80"/>
  <c r="B99" i="80"/>
  <c r="A30" i="65"/>
  <c r="A29" i="65"/>
  <c r="A28" i="65"/>
  <c r="A27" i="65"/>
  <c r="H26" i="65"/>
  <c r="A26" i="65"/>
  <c r="H25" i="65"/>
  <c r="A25" i="65"/>
  <c r="H24" i="65"/>
  <c r="A24" i="65"/>
  <c r="A23" i="65"/>
  <c r="H22" i="65"/>
  <c r="A22" i="65"/>
  <c r="H21" i="65"/>
  <c r="A21" i="65"/>
  <c r="H20" i="65"/>
  <c r="A20" i="65"/>
  <c r="H19" i="65"/>
  <c r="A19" i="65"/>
  <c r="A18" i="65"/>
  <c r="H17" i="65"/>
  <c r="A17" i="65"/>
  <c r="H16" i="65"/>
  <c r="A16" i="65"/>
  <c r="H15" i="65"/>
  <c r="A15" i="65"/>
  <c r="A11" i="65"/>
  <c r="B10" i="65"/>
  <c r="A10" i="65"/>
  <c r="A9" i="65"/>
  <c r="A8" i="65"/>
  <c r="A7" i="65"/>
  <c r="A6" i="65"/>
  <c r="A5" i="65"/>
  <c r="A4" i="65"/>
  <c r="A3" i="65"/>
  <c r="A2" i="65"/>
  <c r="C273" i="64"/>
  <c r="C272" i="64"/>
  <c r="C271" i="64"/>
  <c r="C270" i="64"/>
  <c r="C269" i="64"/>
  <c r="C268" i="64"/>
  <c r="L259" i="64"/>
  <c r="E28" i="65" s="1"/>
  <c r="I257" i="64"/>
  <c r="B26" i="65" s="1"/>
  <c r="B252" i="64"/>
  <c r="B8" i="65" s="1"/>
  <c r="B250" i="64"/>
  <c r="B6" i="65" s="1"/>
  <c r="I247" i="64"/>
  <c r="B16" i="65" s="1"/>
  <c r="I246" i="64"/>
  <c r="B15" i="65" s="1"/>
  <c r="B246" i="64"/>
  <c r="B2" i="65" s="1"/>
  <c r="I242" i="64"/>
  <c r="I261" i="64" s="1"/>
  <c r="B30" i="65" s="1"/>
  <c r="L7" i="65" s="1"/>
  <c r="I241" i="64"/>
  <c r="I260" i="64" s="1"/>
  <c r="B29" i="65" s="1"/>
  <c r="L6" i="65" s="1"/>
  <c r="I240" i="64"/>
  <c r="I259" i="64" s="1"/>
  <c r="B28" i="65" s="1"/>
  <c r="L5" i="65" s="1"/>
  <c r="I239" i="64"/>
  <c r="I258" i="64" s="1"/>
  <c r="B27" i="65" s="1"/>
  <c r="I238" i="64"/>
  <c r="I237" i="64"/>
  <c r="I256" i="64" s="1"/>
  <c r="B25" i="65" s="1"/>
  <c r="I236" i="64"/>
  <c r="I255" i="64" s="1"/>
  <c r="B24" i="65" s="1"/>
  <c r="B236" i="64"/>
  <c r="B255" i="64" s="1"/>
  <c r="B11" i="65" s="1"/>
  <c r="I235" i="64"/>
  <c r="I254" i="64" s="1"/>
  <c r="B23" i="65" s="1"/>
  <c r="B235" i="64"/>
  <c r="B254" i="64" s="1"/>
  <c r="I234" i="64"/>
  <c r="I253" i="64" s="1"/>
  <c r="B22" i="65" s="1"/>
  <c r="B234" i="64"/>
  <c r="B253" i="64" s="1"/>
  <c r="B9" i="65" s="1"/>
  <c r="I233" i="64"/>
  <c r="I252" i="64" s="1"/>
  <c r="B21" i="65" s="1"/>
  <c r="B233" i="64"/>
  <c r="I232" i="64"/>
  <c r="I251" i="64" s="1"/>
  <c r="B20" i="65" s="1"/>
  <c r="B232" i="64"/>
  <c r="B251" i="64" s="1"/>
  <c r="B7" i="65" s="1"/>
  <c r="I231" i="64"/>
  <c r="I250" i="64" s="1"/>
  <c r="B19" i="65" s="1"/>
  <c r="B231" i="64"/>
  <c r="I230" i="64"/>
  <c r="I249" i="64" s="1"/>
  <c r="B18" i="65" s="1"/>
  <c r="B230" i="64"/>
  <c r="B249" i="64" s="1"/>
  <c r="B5" i="65" s="1"/>
  <c r="I229" i="64"/>
  <c r="I248" i="64" s="1"/>
  <c r="B17" i="65" s="1"/>
  <c r="B229" i="64"/>
  <c r="B248" i="64" s="1"/>
  <c r="B4" i="65" s="1"/>
  <c r="I228" i="64"/>
  <c r="B228" i="64"/>
  <c r="B247" i="64" s="1"/>
  <c r="B3" i="65" s="1"/>
  <c r="I227" i="64"/>
  <c r="B227" i="64"/>
  <c r="I83" i="64"/>
  <c r="B83" i="64"/>
  <c r="H83" i="64" s="1"/>
  <c r="L82" i="64"/>
  <c r="I82" i="64"/>
  <c r="G82" i="64"/>
  <c r="E82" i="64"/>
  <c r="D82" i="64"/>
  <c r="B82" i="64"/>
  <c r="K82" i="64" s="1"/>
  <c r="H81" i="64"/>
  <c r="G81" i="64"/>
  <c r="B81" i="64"/>
  <c r="F81" i="64" s="1"/>
  <c r="B80" i="64"/>
  <c r="B79" i="64"/>
  <c r="B78" i="64"/>
  <c r="B77" i="64"/>
  <c r="B76" i="64"/>
  <c r="B75" i="64"/>
  <c r="B74" i="64"/>
  <c r="B73" i="64"/>
  <c r="B72" i="64"/>
  <c r="B71" i="64"/>
  <c r="B70" i="64"/>
  <c r="B69" i="64"/>
  <c r="B68" i="64"/>
  <c r="D58" i="64"/>
  <c r="D10" i="64" s="1"/>
  <c r="C58" i="64"/>
  <c r="H57" i="64"/>
  <c r="G57" i="64"/>
  <c r="H56" i="64"/>
  <c r="G56" i="64"/>
  <c r="H55" i="64"/>
  <c r="G55" i="64"/>
  <c r="H54" i="64"/>
  <c r="G54" i="64"/>
  <c r="C54" i="64"/>
  <c r="H53" i="64"/>
  <c r="G53" i="64"/>
  <c r="C53" i="64"/>
  <c r="H52" i="64"/>
  <c r="G52" i="64"/>
  <c r="C52" i="64"/>
  <c r="H51" i="64"/>
  <c r="G51" i="64"/>
  <c r="C51" i="64"/>
  <c r="H50" i="64"/>
  <c r="G50" i="64"/>
  <c r="C50" i="64"/>
  <c r="H49" i="64"/>
  <c r="G49" i="64"/>
  <c r="C49" i="64"/>
  <c r="H48" i="64"/>
  <c r="G48" i="64"/>
  <c r="C48" i="64"/>
  <c r="H47" i="64"/>
  <c r="G47" i="64"/>
  <c r="C47" i="64"/>
  <c r="H46" i="64"/>
  <c r="G46" i="64"/>
  <c r="C46" i="64"/>
  <c r="H45" i="64"/>
  <c r="G45" i="64"/>
  <c r="C45" i="64"/>
  <c r="H44" i="64"/>
  <c r="G44" i="64"/>
  <c r="C44" i="64"/>
  <c r="H43" i="64"/>
  <c r="G43" i="64"/>
  <c r="C43" i="64"/>
  <c r="H42" i="64"/>
  <c r="G42" i="64"/>
  <c r="C42" i="64"/>
  <c r="G39" i="64"/>
  <c r="C39" i="64"/>
  <c r="H34" i="64"/>
  <c r="G34" i="64"/>
  <c r="H33" i="64"/>
  <c r="G33" i="64"/>
  <c r="H32" i="64"/>
  <c r="G32" i="64"/>
  <c r="H31" i="64"/>
  <c r="G31" i="64"/>
  <c r="C31" i="64"/>
  <c r="H30" i="64"/>
  <c r="G30" i="64"/>
  <c r="C30" i="64"/>
  <c r="H29" i="64"/>
  <c r="G29" i="64"/>
  <c r="C29" i="64"/>
  <c r="H28" i="64"/>
  <c r="C249" i="64" s="1"/>
  <c r="G28" i="64"/>
  <c r="H27" i="64"/>
  <c r="C27" i="64"/>
  <c r="G27" i="64" s="1"/>
  <c r="H26" i="64"/>
  <c r="C26" i="64"/>
  <c r="G26" i="64" s="1"/>
  <c r="H25" i="64"/>
  <c r="C25" i="64"/>
  <c r="G22" i="64"/>
  <c r="C22" i="64"/>
  <c r="C272" i="63"/>
  <c r="C271" i="63"/>
  <c r="C270" i="63"/>
  <c r="C269" i="63"/>
  <c r="C268" i="63"/>
  <c r="C267" i="63"/>
  <c r="K264" i="63"/>
  <c r="I259" i="63"/>
  <c r="I257" i="63"/>
  <c r="I255" i="63"/>
  <c r="B254" i="63"/>
  <c r="B253" i="63"/>
  <c r="B252" i="63"/>
  <c r="B251" i="63"/>
  <c r="I241" i="63"/>
  <c r="I260" i="63" s="1"/>
  <c r="I240" i="63"/>
  <c r="I239" i="63"/>
  <c r="I258" i="63" s="1"/>
  <c r="I238" i="63"/>
  <c r="I237" i="63"/>
  <c r="I256" i="63" s="1"/>
  <c r="I236" i="63"/>
  <c r="I235" i="63"/>
  <c r="I254" i="63" s="1"/>
  <c r="B235" i="63"/>
  <c r="I234" i="63"/>
  <c r="I253" i="63" s="1"/>
  <c r="B234" i="63"/>
  <c r="I233" i="63"/>
  <c r="I252" i="63" s="1"/>
  <c r="B233" i="63"/>
  <c r="I232" i="63"/>
  <c r="I251" i="63" s="1"/>
  <c r="B232" i="63"/>
  <c r="I231" i="63"/>
  <c r="I250" i="63" s="1"/>
  <c r="B231" i="63"/>
  <c r="B250" i="63" s="1"/>
  <c r="I230" i="63"/>
  <c r="I249" i="63" s="1"/>
  <c r="B230" i="63"/>
  <c r="B249" i="63" s="1"/>
  <c r="I229" i="63"/>
  <c r="I248" i="63" s="1"/>
  <c r="B229" i="63"/>
  <c r="B248" i="63" s="1"/>
  <c r="I228" i="63"/>
  <c r="I247" i="63" s="1"/>
  <c r="B228" i="63"/>
  <c r="B247" i="63" s="1"/>
  <c r="I227" i="63"/>
  <c r="I246" i="63" s="1"/>
  <c r="B227" i="63"/>
  <c r="B246" i="63" s="1"/>
  <c r="I226" i="63"/>
  <c r="I245" i="63" s="1"/>
  <c r="B226" i="63"/>
  <c r="B245" i="63" s="1"/>
  <c r="L82" i="63"/>
  <c r="K82" i="63"/>
  <c r="H82" i="63"/>
  <c r="G82" i="63"/>
  <c r="D82" i="63"/>
  <c r="C82" i="63"/>
  <c r="B82" i="63"/>
  <c r="F82" i="63" s="1"/>
  <c r="K81" i="63"/>
  <c r="G81" i="63"/>
  <c r="F81" i="63"/>
  <c r="C81" i="63"/>
  <c r="B81" i="63"/>
  <c r="J81" i="63" s="1"/>
  <c r="I80" i="63"/>
  <c r="F80" i="63"/>
  <c r="B80" i="63"/>
  <c r="E80" i="63" s="1"/>
  <c r="B79" i="63"/>
  <c r="B78" i="63"/>
  <c r="B77" i="63"/>
  <c r="B76" i="63"/>
  <c r="B75" i="63"/>
  <c r="B74" i="63"/>
  <c r="B73" i="63"/>
  <c r="B72" i="63"/>
  <c r="B71" i="63"/>
  <c r="B70" i="63"/>
  <c r="B69" i="63"/>
  <c r="B68" i="63"/>
  <c r="B67" i="63"/>
  <c r="H56" i="63"/>
  <c r="G56" i="63"/>
  <c r="C56" i="63"/>
  <c r="H55" i="63"/>
  <c r="G55" i="63"/>
  <c r="C55" i="63"/>
  <c r="H54" i="63"/>
  <c r="G54" i="63"/>
  <c r="C54" i="63"/>
  <c r="H53" i="63"/>
  <c r="G53" i="63"/>
  <c r="C53" i="63"/>
  <c r="H52" i="63"/>
  <c r="G52" i="63"/>
  <c r="C52" i="63"/>
  <c r="H51" i="63"/>
  <c r="G51" i="63"/>
  <c r="C51" i="63"/>
  <c r="H50" i="63"/>
  <c r="G50" i="63"/>
  <c r="C50" i="63"/>
  <c r="H49" i="63"/>
  <c r="G49" i="63"/>
  <c r="C49" i="63"/>
  <c r="H48" i="63"/>
  <c r="G48" i="63"/>
  <c r="C48" i="63"/>
  <c r="H47" i="63"/>
  <c r="G47" i="63"/>
  <c r="C47" i="63"/>
  <c r="H46" i="63"/>
  <c r="G46" i="63"/>
  <c r="C46" i="63"/>
  <c r="H45" i="63"/>
  <c r="G45" i="63"/>
  <c r="C45" i="63"/>
  <c r="H44" i="63"/>
  <c r="G44" i="63"/>
  <c r="C44" i="63"/>
  <c r="H43" i="63"/>
  <c r="G43" i="63"/>
  <c r="C43" i="63"/>
  <c r="H42" i="63"/>
  <c r="G42" i="63"/>
  <c r="C42" i="63"/>
  <c r="H41" i="63"/>
  <c r="G41" i="63"/>
  <c r="D57" i="63"/>
  <c r="D9" i="63" s="1"/>
  <c r="C41" i="63"/>
  <c r="C57" i="63" s="1"/>
  <c r="G38" i="63"/>
  <c r="H33" i="63"/>
  <c r="C33" i="63"/>
  <c r="G33" i="63" s="1"/>
  <c r="H32" i="63"/>
  <c r="C32" i="63"/>
  <c r="G32" i="63" s="1"/>
  <c r="H31" i="63"/>
  <c r="C31" i="63"/>
  <c r="G31" i="63" s="1"/>
  <c r="H30" i="63"/>
  <c r="C30" i="63"/>
  <c r="G30" i="63" s="1"/>
  <c r="H29" i="63"/>
  <c r="C29" i="63"/>
  <c r="G29" i="63" s="1"/>
  <c r="H28" i="63"/>
  <c r="C28" i="63"/>
  <c r="G28" i="63" s="1"/>
  <c r="H27" i="63"/>
  <c r="C27" i="63"/>
  <c r="G27" i="63" s="1"/>
  <c r="H26" i="63"/>
  <c r="C26" i="63"/>
  <c r="G26" i="63" s="1"/>
  <c r="H25" i="63"/>
  <c r="C25" i="63"/>
  <c r="G25" i="63" s="1"/>
  <c r="H24" i="63"/>
  <c r="C24" i="63"/>
  <c r="G24" i="63" s="1"/>
  <c r="G21" i="63"/>
  <c r="C21" i="63"/>
  <c r="C38" i="63" s="1"/>
  <c r="O16" i="36"/>
  <c r="A2" i="36"/>
  <c r="J2" i="36" s="1"/>
  <c r="S2" i="36" s="1"/>
  <c r="B2" i="36"/>
  <c r="C2" i="36"/>
  <c r="L2" i="36" s="1"/>
  <c r="U2" i="36" s="1"/>
  <c r="D2" i="36"/>
  <c r="M2" i="36" s="1"/>
  <c r="E2" i="36"/>
  <c r="F2" i="36"/>
  <c r="A3" i="36"/>
  <c r="J3" i="36" s="1"/>
  <c r="S3" i="36" s="1"/>
  <c r="B3" i="36"/>
  <c r="K3" i="36" s="1"/>
  <c r="T3" i="36" s="1"/>
  <c r="C3" i="36"/>
  <c r="L3" i="36" s="1"/>
  <c r="U3" i="36" s="1"/>
  <c r="D3" i="36"/>
  <c r="E3" i="36"/>
  <c r="N3" i="36" s="1"/>
  <c r="W3" i="36" s="1"/>
  <c r="F3" i="36"/>
  <c r="O3" i="36" s="1"/>
  <c r="X3" i="36" s="1"/>
  <c r="A4" i="36"/>
  <c r="J4" i="36" s="1"/>
  <c r="S4" i="36" s="1"/>
  <c r="B4" i="36"/>
  <c r="K4" i="36" s="1"/>
  <c r="T4" i="36" s="1"/>
  <c r="C4" i="36"/>
  <c r="L4" i="36" s="1"/>
  <c r="U4" i="36" s="1"/>
  <c r="D4" i="36"/>
  <c r="M4" i="36" s="1"/>
  <c r="V4" i="36" s="1"/>
  <c r="E4" i="36"/>
  <c r="N4" i="36" s="1"/>
  <c r="W4" i="36" s="1"/>
  <c r="F4" i="36"/>
  <c r="O4" i="36" s="1"/>
  <c r="X4" i="36" s="1"/>
  <c r="A5" i="36"/>
  <c r="J5" i="36" s="1"/>
  <c r="S5" i="36" s="1"/>
  <c r="B5" i="36"/>
  <c r="K5" i="36" s="1"/>
  <c r="T5" i="36" s="1"/>
  <c r="C5" i="36"/>
  <c r="L5" i="36" s="1"/>
  <c r="U5" i="36" s="1"/>
  <c r="D5" i="36"/>
  <c r="M5" i="36" s="1"/>
  <c r="V5" i="36" s="1"/>
  <c r="E5" i="36"/>
  <c r="N5" i="36" s="1"/>
  <c r="W5" i="36" s="1"/>
  <c r="F5" i="36"/>
  <c r="O5" i="36" s="1"/>
  <c r="X5" i="36" s="1"/>
  <c r="A6" i="36"/>
  <c r="J6" i="36" s="1"/>
  <c r="S6" i="36" s="1"/>
  <c r="B6" i="36"/>
  <c r="K6" i="36" s="1"/>
  <c r="T6" i="36" s="1"/>
  <c r="C6" i="36"/>
  <c r="L6" i="36" s="1"/>
  <c r="U6" i="36" s="1"/>
  <c r="D6" i="36"/>
  <c r="M6" i="36" s="1"/>
  <c r="V6" i="36" s="1"/>
  <c r="E6" i="36"/>
  <c r="N6" i="36" s="1"/>
  <c r="W6" i="36" s="1"/>
  <c r="F6" i="36"/>
  <c r="O6" i="36" s="1"/>
  <c r="X6" i="36" s="1"/>
  <c r="A7" i="36"/>
  <c r="J7" i="36" s="1"/>
  <c r="S7" i="36" s="1"/>
  <c r="B7" i="36"/>
  <c r="K7" i="36" s="1"/>
  <c r="T7" i="36" s="1"/>
  <c r="C7" i="36"/>
  <c r="L7" i="36" s="1"/>
  <c r="U7" i="36" s="1"/>
  <c r="D7" i="36"/>
  <c r="M7" i="36" s="1"/>
  <c r="V7" i="36" s="1"/>
  <c r="E7" i="36"/>
  <c r="N7" i="36" s="1"/>
  <c r="W7" i="36" s="1"/>
  <c r="F7" i="36"/>
  <c r="O7" i="36" s="1"/>
  <c r="X7" i="36" s="1"/>
  <c r="A8" i="36"/>
  <c r="J8" i="36" s="1"/>
  <c r="S8" i="36" s="1"/>
  <c r="B8" i="36"/>
  <c r="K8" i="36" s="1"/>
  <c r="T8" i="36" s="1"/>
  <c r="C8" i="36"/>
  <c r="L8" i="36" s="1"/>
  <c r="U8" i="36" s="1"/>
  <c r="D8" i="36"/>
  <c r="M8" i="36" s="1"/>
  <c r="V8" i="36" s="1"/>
  <c r="E8" i="36"/>
  <c r="N8" i="36" s="1"/>
  <c r="W8" i="36" s="1"/>
  <c r="F8" i="36"/>
  <c r="O8" i="36" s="1"/>
  <c r="X8" i="36" s="1"/>
  <c r="A9" i="36"/>
  <c r="J9" i="36" s="1"/>
  <c r="S9" i="36" s="1"/>
  <c r="B9" i="36"/>
  <c r="K9" i="36" s="1"/>
  <c r="T9" i="36" s="1"/>
  <c r="C9" i="36"/>
  <c r="L9" i="36" s="1"/>
  <c r="U9" i="36" s="1"/>
  <c r="D9" i="36"/>
  <c r="M9" i="36" s="1"/>
  <c r="V9" i="36" s="1"/>
  <c r="E9" i="36"/>
  <c r="N9" i="36" s="1"/>
  <c r="W9" i="36" s="1"/>
  <c r="F9" i="36"/>
  <c r="O9" i="36" s="1"/>
  <c r="X9" i="36" s="1"/>
  <c r="A10" i="36"/>
  <c r="J10" i="36" s="1"/>
  <c r="S10" i="36" s="1"/>
  <c r="B10" i="36"/>
  <c r="K10" i="36" s="1"/>
  <c r="T10" i="36" s="1"/>
  <c r="C10" i="36"/>
  <c r="L10" i="36" s="1"/>
  <c r="U10" i="36" s="1"/>
  <c r="D10" i="36"/>
  <c r="M10" i="36" s="1"/>
  <c r="V10" i="36" s="1"/>
  <c r="E10" i="36"/>
  <c r="N10" i="36" s="1"/>
  <c r="W10" i="36" s="1"/>
  <c r="F10" i="36"/>
  <c r="O10" i="36" s="1"/>
  <c r="X10" i="36" s="1"/>
  <c r="A11" i="36"/>
  <c r="J11" i="36" s="1"/>
  <c r="S11" i="36" s="1"/>
  <c r="B11" i="36"/>
  <c r="K11" i="36" s="1"/>
  <c r="T11" i="36" s="1"/>
  <c r="C11" i="36"/>
  <c r="L11" i="36" s="1"/>
  <c r="U11" i="36" s="1"/>
  <c r="D11" i="36"/>
  <c r="M11" i="36" s="1"/>
  <c r="V11" i="36" s="1"/>
  <c r="E11" i="36"/>
  <c r="N11" i="36" s="1"/>
  <c r="W11" i="36" s="1"/>
  <c r="F11" i="36"/>
  <c r="O11" i="36" s="1"/>
  <c r="X11" i="36" s="1"/>
  <c r="B13" i="36"/>
  <c r="K13" i="36" s="1"/>
  <c r="T13" i="36" s="1"/>
  <c r="B16" i="36"/>
  <c r="K1" i="36" s="1"/>
  <c r="T1" i="36" s="1"/>
  <c r="T16" i="36" s="1"/>
  <c r="N1" i="36"/>
  <c r="W1" i="36" s="1"/>
  <c r="W16" i="36" s="1"/>
  <c r="A17" i="36"/>
  <c r="B17" i="36"/>
  <c r="C17" i="36"/>
  <c r="L17" i="36" s="1"/>
  <c r="D17" i="36"/>
  <c r="M17" i="36" s="1"/>
  <c r="V17" i="36" s="1"/>
  <c r="E17" i="36"/>
  <c r="N17" i="36" s="1"/>
  <c r="F17" i="36"/>
  <c r="J17" i="36"/>
  <c r="S17" i="36" s="1"/>
  <c r="A18" i="36"/>
  <c r="B18" i="36"/>
  <c r="K18" i="36" s="1"/>
  <c r="T18" i="36" s="1"/>
  <c r="C18" i="36"/>
  <c r="L18" i="36" s="1"/>
  <c r="U18" i="36" s="1"/>
  <c r="D18" i="36"/>
  <c r="M18" i="36" s="1"/>
  <c r="V18" i="36" s="1"/>
  <c r="E18" i="36"/>
  <c r="N18" i="36" s="1"/>
  <c r="W18" i="36" s="1"/>
  <c r="F18" i="36"/>
  <c r="O18" i="36" s="1"/>
  <c r="X18" i="36" s="1"/>
  <c r="J18" i="36"/>
  <c r="S18" i="36" s="1"/>
  <c r="A19" i="36"/>
  <c r="B19" i="36"/>
  <c r="K19" i="36" s="1"/>
  <c r="T19" i="36" s="1"/>
  <c r="C19" i="36"/>
  <c r="L19" i="36" s="1"/>
  <c r="U19" i="36" s="1"/>
  <c r="D19" i="36"/>
  <c r="M19" i="36" s="1"/>
  <c r="V19" i="36" s="1"/>
  <c r="E19" i="36"/>
  <c r="N19" i="36" s="1"/>
  <c r="W19" i="36" s="1"/>
  <c r="F19" i="36"/>
  <c r="O19" i="36" s="1"/>
  <c r="X19" i="36" s="1"/>
  <c r="J19" i="36"/>
  <c r="S19" i="36" s="1"/>
  <c r="A20" i="36"/>
  <c r="B20" i="36"/>
  <c r="K20" i="36" s="1"/>
  <c r="T20" i="36" s="1"/>
  <c r="C20" i="36"/>
  <c r="L20" i="36" s="1"/>
  <c r="U20" i="36" s="1"/>
  <c r="D20" i="36"/>
  <c r="M20" i="36" s="1"/>
  <c r="V20" i="36" s="1"/>
  <c r="E20" i="36"/>
  <c r="N20" i="36" s="1"/>
  <c r="W20" i="36" s="1"/>
  <c r="F20" i="36"/>
  <c r="O20" i="36" s="1"/>
  <c r="X20" i="36" s="1"/>
  <c r="J20" i="36"/>
  <c r="S20" i="36"/>
  <c r="A21" i="36"/>
  <c r="B21" i="36"/>
  <c r="K21" i="36" s="1"/>
  <c r="T21" i="36" s="1"/>
  <c r="C21" i="36"/>
  <c r="L21" i="36" s="1"/>
  <c r="U21" i="36" s="1"/>
  <c r="D21" i="36"/>
  <c r="M21" i="36" s="1"/>
  <c r="V21" i="36" s="1"/>
  <c r="E21" i="36"/>
  <c r="N21" i="36" s="1"/>
  <c r="W21" i="36" s="1"/>
  <c r="F21" i="36"/>
  <c r="O21" i="36" s="1"/>
  <c r="X21" i="36" s="1"/>
  <c r="J21" i="36"/>
  <c r="S21" i="36" s="1"/>
  <c r="A22" i="36"/>
  <c r="B22" i="36"/>
  <c r="K22" i="36" s="1"/>
  <c r="T22" i="36" s="1"/>
  <c r="C22" i="36"/>
  <c r="L22" i="36" s="1"/>
  <c r="U22" i="36" s="1"/>
  <c r="D22" i="36"/>
  <c r="M22" i="36" s="1"/>
  <c r="V22" i="36" s="1"/>
  <c r="E22" i="36"/>
  <c r="N22" i="36" s="1"/>
  <c r="W22" i="36" s="1"/>
  <c r="F22" i="36"/>
  <c r="O22" i="36" s="1"/>
  <c r="X22" i="36" s="1"/>
  <c r="J22" i="36"/>
  <c r="S22" i="36" s="1"/>
  <c r="A23" i="36"/>
  <c r="B23" i="36"/>
  <c r="K23" i="36" s="1"/>
  <c r="T23" i="36" s="1"/>
  <c r="C23" i="36"/>
  <c r="L23" i="36" s="1"/>
  <c r="U23" i="36" s="1"/>
  <c r="D23" i="36"/>
  <c r="E23" i="36"/>
  <c r="N23" i="36" s="1"/>
  <c r="W23" i="36" s="1"/>
  <c r="F23" i="36"/>
  <c r="O23" i="36" s="1"/>
  <c r="X23" i="36" s="1"/>
  <c r="J23" i="36"/>
  <c r="S23" i="36" s="1"/>
  <c r="A24" i="36"/>
  <c r="B24" i="36"/>
  <c r="K24" i="36" s="1"/>
  <c r="T24" i="36" s="1"/>
  <c r="C24" i="36"/>
  <c r="L24" i="36" s="1"/>
  <c r="U24" i="36" s="1"/>
  <c r="D24" i="36"/>
  <c r="M24" i="36" s="1"/>
  <c r="V24" i="36" s="1"/>
  <c r="E24" i="36"/>
  <c r="N24" i="36" s="1"/>
  <c r="W24" i="36" s="1"/>
  <c r="F24" i="36"/>
  <c r="O24" i="36" s="1"/>
  <c r="X24" i="36" s="1"/>
  <c r="J24" i="36"/>
  <c r="S24" i="36" s="1"/>
  <c r="A25" i="36"/>
  <c r="B25" i="36"/>
  <c r="K25" i="36" s="1"/>
  <c r="T25" i="36" s="1"/>
  <c r="C25" i="36"/>
  <c r="L25" i="36" s="1"/>
  <c r="U25" i="36" s="1"/>
  <c r="D25" i="36"/>
  <c r="M25" i="36" s="1"/>
  <c r="V25" i="36" s="1"/>
  <c r="E25" i="36"/>
  <c r="N25" i="36" s="1"/>
  <c r="W25" i="36" s="1"/>
  <c r="F25" i="36"/>
  <c r="O25" i="36" s="1"/>
  <c r="X25" i="36" s="1"/>
  <c r="J25" i="36"/>
  <c r="S25" i="36"/>
  <c r="A26" i="36"/>
  <c r="B26" i="36"/>
  <c r="K26" i="36" s="1"/>
  <c r="T26" i="36" s="1"/>
  <c r="C26" i="36"/>
  <c r="L26" i="36" s="1"/>
  <c r="U26" i="36" s="1"/>
  <c r="D26" i="36"/>
  <c r="M26" i="36" s="1"/>
  <c r="V26" i="36" s="1"/>
  <c r="E26" i="36"/>
  <c r="N26" i="36" s="1"/>
  <c r="W26" i="36" s="1"/>
  <c r="F26" i="36"/>
  <c r="O26" i="36" s="1"/>
  <c r="X26" i="36" s="1"/>
  <c r="J26" i="36"/>
  <c r="S26" i="36" s="1"/>
  <c r="A27" i="36"/>
  <c r="B27" i="36"/>
  <c r="K27" i="36" s="1"/>
  <c r="T27" i="36" s="1"/>
  <c r="C27" i="36"/>
  <c r="L27" i="36" s="1"/>
  <c r="U27" i="36" s="1"/>
  <c r="D27" i="36"/>
  <c r="M27" i="36" s="1"/>
  <c r="V27" i="36" s="1"/>
  <c r="E27" i="36"/>
  <c r="N27" i="36" s="1"/>
  <c r="W27" i="36" s="1"/>
  <c r="F27" i="36"/>
  <c r="O27" i="36" s="1"/>
  <c r="X27" i="36" s="1"/>
  <c r="J27" i="36"/>
  <c r="S27" i="36" s="1"/>
  <c r="A28" i="36"/>
  <c r="B28" i="36"/>
  <c r="K28" i="36" s="1"/>
  <c r="T28" i="36" s="1"/>
  <c r="C28" i="36"/>
  <c r="L28" i="36" s="1"/>
  <c r="U28" i="36" s="1"/>
  <c r="D28" i="36"/>
  <c r="M28" i="36" s="1"/>
  <c r="V28" i="36" s="1"/>
  <c r="E28" i="36"/>
  <c r="N28" i="36" s="1"/>
  <c r="W28" i="36" s="1"/>
  <c r="F28" i="36"/>
  <c r="O28" i="36" s="1"/>
  <c r="X28" i="36" s="1"/>
  <c r="J28" i="36"/>
  <c r="S28" i="36" s="1"/>
  <c r="A29" i="36"/>
  <c r="B29" i="36"/>
  <c r="K29" i="36" s="1"/>
  <c r="T29" i="36" s="1"/>
  <c r="C29" i="36"/>
  <c r="L29" i="36" s="1"/>
  <c r="U29" i="36" s="1"/>
  <c r="D29" i="36"/>
  <c r="M29" i="36" s="1"/>
  <c r="V29" i="36" s="1"/>
  <c r="E29" i="36"/>
  <c r="N29" i="36" s="1"/>
  <c r="W29" i="36" s="1"/>
  <c r="F29" i="36"/>
  <c r="O29" i="36" s="1"/>
  <c r="X29" i="36" s="1"/>
  <c r="J29" i="36"/>
  <c r="S29" i="36" s="1"/>
  <c r="A30" i="36"/>
  <c r="B30" i="36"/>
  <c r="K30" i="36" s="1"/>
  <c r="T30" i="36" s="1"/>
  <c r="C30" i="36"/>
  <c r="L30" i="36" s="1"/>
  <c r="U30" i="36" s="1"/>
  <c r="D30" i="36"/>
  <c r="M30" i="36" s="1"/>
  <c r="V30" i="36" s="1"/>
  <c r="E30" i="36"/>
  <c r="N30" i="36" s="1"/>
  <c r="W30" i="36" s="1"/>
  <c r="F30" i="36"/>
  <c r="O30" i="36" s="1"/>
  <c r="X30" i="36" s="1"/>
  <c r="J30" i="36"/>
  <c r="S30" i="36" s="1"/>
  <c r="A31" i="36"/>
  <c r="B31" i="36"/>
  <c r="K31" i="36" s="1"/>
  <c r="T31" i="36" s="1"/>
  <c r="C31" i="36"/>
  <c r="L31" i="36" s="1"/>
  <c r="U31" i="36" s="1"/>
  <c r="D31" i="36"/>
  <c r="M31" i="36" s="1"/>
  <c r="V31" i="36" s="1"/>
  <c r="E31" i="36"/>
  <c r="N31" i="36" s="1"/>
  <c r="W31" i="36" s="1"/>
  <c r="F31" i="36"/>
  <c r="O31" i="36" s="1"/>
  <c r="X31" i="36" s="1"/>
  <c r="J31" i="36"/>
  <c r="S31" i="36" s="1"/>
  <c r="A32" i="36"/>
  <c r="B32" i="36"/>
  <c r="K32" i="36" s="1"/>
  <c r="T32" i="36" s="1"/>
  <c r="C32" i="36"/>
  <c r="L32" i="36" s="1"/>
  <c r="U32" i="36" s="1"/>
  <c r="D32" i="36"/>
  <c r="M32" i="36" s="1"/>
  <c r="V32" i="36" s="1"/>
  <c r="E32" i="36"/>
  <c r="N32" i="36" s="1"/>
  <c r="W32" i="36" s="1"/>
  <c r="F32" i="36"/>
  <c r="O32" i="36" s="1"/>
  <c r="X32" i="36" s="1"/>
  <c r="J32" i="36"/>
  <c r="S32" i="36" s="1"/>
  <c r="B34" i="36"/>
  <c r="K34" i="36" s="1"/>
  <c r="T34" i="36" s="1"/>
  <c r="E145" i="81" l="1"/>
  <c r="E144" i="81"/>
  <c r="R100" i="81"/>
  <c r="E146" i="81"/>
  <c r="E116" i="84"/>
  <c r="Q5" i="85"/>
  <c r="R5" i="85"/>
  <c r="B110" i="81"/>
  <c r="H99" i="83"/>
  <c r="B109" i="80"/>
  <c r="E144" i="80"/>
  <c r="D254" i="80"/>
  <c r="D253" i="80"/>
  <c r="D252" i="80"/>
  <c r="D251" i="80"/>
  <c r="D248" i="80"/>
  <c r="D247" i="80"/>
  <c r="D246" i="80"/>
  <c r="D245" i="80"/>
  <c r="E115" i="83"/>
  <c r="R99" i="80"/>
  <c r="F6" i="83"/>
  <c r="F7" i="83" s="1"/>
  <c r="J99" i="83"/>
  <c r="B101" i="83"/>
  <c r="I99" i="83"/>
  <c r="B108" i="83"/>
  <c r="P99" i="83"/>
  <c r="B100" i="83"/>
  <c r="B109" i="83" s="1"/>
  <c r="B107" i="83"/>
  <c r="M99" i="83"/>
  <c r="B102" i="83"/>
  <c r="K99" i="83"/>
  <c r="L99" i="83"/>
  <c r="B105" i="83"/>
  <c r="B103" i="83"/>
  <c r="B104" i="83"/>
  <c r="B106" i="83"/>
  <c r="Q99" i="83"/>
  <c r="O99" i="83"/>
  <c r="N99" i="83"/>
  <c r="K248" i="83"/>
  <c r="K247" i="83"/>
  <c r="K246" i="83"/>
  <c r="K245" i="83"/>
  <c r="K253" i="83"/>
  <c r="K249" i="83"/>
  <c r="K255" i="83"/>
  <c r="K251" i="83"/>
  <c r="K259" i="83"/>
  <c r="K252" i="83"/>
  <c r="K250" i="83"/>
  <c r="K257" i="83"/>
  <c r="K256" i="83"/>
  <c r="K260" i="83"/>
  <c r="K254" i="83"/>
  <c r="B107" i="84"/>
  <c r="O100" i="84"/>
  <c r="F7" i="84"/>
  <c r="B109" i="84"/>
  <c r="Q100" i="84"/>
  <c r="P100" i="84"/>
  <c r="B108" i="84"/>
  <c r="B103" i="84"/>
  <c r="K100" i="84"/>
  <c r="B102" i="84"/>
  <c r="J100" i="84"/>
  <c r="B104" i="84"/>
  <c r="I100" i="84"/>
  <c r="B106" i="84"/>
  <c r="B105" i="84"/>
  <c r="B101" i="84"/>
  <c r="B110" i="84" s="1"/>
  <c r="N100" i="84"/>
  <c r="M100" i="84"/>
  <c r="L100" i="84"/>
  <c r="M19" i="66"/>
  <c r="N18" i="66"/>
  <c r="H100" i="84"/>
  <c r="H57" i="63"/>
  <c r="F9" i="63" s="1"/>
  <c r="G57" i="63"/>
  <c r="D33" i="36"/>
  <c r="M1" i="36"/>
  <c r="V1" i="36" s="1"/>
  <c r="V16" i="36" s="1"/>
  <c r="M16" i="36"/>
  <c r="E12" i="36"/>
  <c r="M23" i="36"/>
  <c r="V23" i="36" s="1"/>
  <c r="V33" i="36" s="1"/>
  <c r="B12" i="36"/>
  <c r="B14" i="36" s="1"/>
  <c r="C33" i="36"/>
  <c r="N16" i="36"/>
  <c r="N2" i="36"/>
  <c r="N12" i="36" s="1"/>
  <c r="L12" i="36"/>
  <c r="C12" i="36"/>
  <c r="C6" i="65"/>
  <c r="C249" i="63"/>
  <c r="E249" i="63" s="1"/>
  <c r="C3" i="65"/>
  <c r="C7" i="65"/>
  <c r="C250" i="63"/>
  <c r="E250" i="63" s="1"/>
  <c r="C11" i="65"/>
  <c r="C15" i="65"/>
  <c r="E99" i="63"/>
  <c r="E101" i="63"/>
  <c r="C19" i="65"/>
  <c r="E103" i="63"/>
  <c r="C21" i="65"/>
  <c r="E105" i="63"/>
  <c r="C23" i="65"/>
  <c r="E107" i="63"/>
  <c r="C25" i="65"/>
  <c r="E109" i="63"/>
  <c r="E111" i="63"/>
  <c r="C29" i="65"/>
  <c r="E113" i="63"/>
  <c r="C35" i="64"/>
  <c r="G25" i="64"/>
  <c r="G35" i="64" s="1"/>
  <c r="C17" i="65"/>
  <c r="C10" i="65"/>
  <c r="C34" i="63"/>
  <c r="H58" i="64"/>
  <c r="E108" i="64" s="1"/>
  <c r="C4" i="65"/>
  <c r="D34" i="63"/>
  <c r="D6" i="63" s="1"/>
  <c r="H35" i="64"/>
  <c r="F7" i="64" s="1"/>
  <c r="C8" i="65"/>
  <c r="D35" i="64"/>
  <c r="D7" i="64" s="1"/>
  <c r="C27" i="65"/>
  <c r="C9" i="65"/>
  <c r="C18" i="65"/>
  <c r="E102" i="63"/>
  <c r="C26" i="65"/>
  <c r="E110" i="63"/>
  <c r="C5" i="65"/>
  <c r="C16" i="65"/>
  <c r="E100" i="63"/>
  <c r="C20" i="65"/>
  <c r="E104" i="63"/>
  <c r="E106" i="63"/>
  <c r="C22" i="65"/>
  <c r="C24" i="65"/>
  <c r="E108" i="63"/>
  <c r="J258" i="63"/>
  <c r="L258" i="63" s="1"/>
  <c r="C28" i="65"/>
  <c r="C30" i="65"/>
  <c r="E114" i="63"/>
  <c r="C250" i="64"/>
  <c r="E250" i="64" s="1"/>
  <c r="D6" i="65" s="1"/>
  <c r="G34" i="63"/>
  <c r="C2" i="65"/>
  <c r="H34" i="63"/>
  <c r="M99" i="63" s="1"/>
  <c r="G80" i="63"/>
  <c r="D81" i="63"/>
  <c r="L81" i="63"/>
  <c r="I82" i="63"/>
  <c r="H80" i="63"/>
  <c r="E81" i="63"/>
  <c r="J82" i="63"/>
  <c r="C253" i="64"/>
  <c r="J259" i="64"/>
  <c r="J80" i="63"/>
  <c r="C251" i="64"/>
  <c r="E251" i="64" s="1"/>
  <c r="D7" i="65" s="1"/>
  <c r="C254" i="64"/>
  <c r="J260" i="64"/>
  <c r="C80" i="63"/>
  <c r="K80" i="63"/>
  <c r="H81" i="63"/>
  <c r="E82" i="63"/>
  <c r="D80" i="63"/>
  <c r="L80" i="63"/>
  <c r="I81" i="63"/>
  <c r="G58" i="64"/>
  <c r="J83" i="64"/>
  <c r="I81" i="64"/>
  <c r="F82" i="64"/>
  <c r="C83" i="64"/>
  <c r="K83" i="64"/>
  <c r="J81" i="64"/>
  <c r="D83" i="64"/>
  <c r="L83" i="64"/>
  <c r="J261" i="64"/>
  <c r="C81" i="64"/>
  <c r="K81" i="64"/>
  <c r="H82" i="64"/>
  <c r="E83" i="64"/>
  <c r="D81" i="64"/>
  <c r="L81" i="64"/>
  <c r="F83" i="64"/>
  <c r="C255" i="64"/>
  <c r="E81" i="64"/>
  <c r="J82" i="64"/>
  <c r="G83" i="64"/>
  <c r="C82" i="64"/>
  <c r="L1" i="36"/>
  <c r="U1" i="36" s="1"/>
  <c r="U16" i="36" s="1"/>
  <c r="L16" i="36"/>
  <c r="O17" i="36"/>
  <c r="F33" i="36"/>
  <c r="U17" i="36"/>
  <c r="U33" i="36" s="1"/>
  <c r="L33" i="36"/>
  <c r="O1" i="36"/>
  <c r="X1" i="36" s="1"/>
  <c r="X16" i="36" s="1"/>
  <c r="B33" i="36"/>
  <c r="B35" i="36" s="1"/>
  <c r="O2" i="36"/>
  <c r="F12" i="36"/>
  <c r="W17" i="36"/>
  <c r="W33" i="36" s="1"/>
  <c r="N33" i="36"/>
  <c r="M3" i="36"/>
  <c r="V3" i="36" s="1"/>
  <c r="D12" i="36"/>
  <c r="U12" i="36"/>
  <c r="E33" i="36"/>
  <c r="K17" i="36"/>
  <c r="V2" i="36"/>
  <c r="K2" i="36"/>
  <c r="K16" i="36"/>
  <c r="E143" i="83" l="1"/>
  <c r="R99" i="83"/>
  <c r="E145" i="83"/>
  <c r="E144" i="83"/>
  <c r="D252" i="83"/>
  <c r="D246" i="83"/>
  <c r="D253" i="83"/>
  <c r="D248" i="83"/>
  <c r="D245" i="83"/>
  <c r="D254" i="83"/>
  <c r="D247" i="83"/>
  <c r="D251" i="83"/>
  <c r="E145" i="84"/>
  <c r="E144" i="84"/>
  <c r="R100" i="84"/>
  <c r="E146" i="84"/>
  <c r="N19" i="66"/>
  <c r="O18" i="66"/>
  <c r="B99" i="63"/>
  <c r="B104" i="64"/>
  <c r="O100" i="64"/>
  <c r="Q100" i="64"/>
  <c r="M100" i="64"/>
  <c r="K100" i="64"/>
  <c r="L100" i="64"/>
  <c r="B106" i="64"/>
  <c r="N100" i="64"/>
  <c r="B107" i="64"/>
  <c r="J100" i="64"/>
  <c r="M33" i="36"/>
  <c r="E112" i="63"/>
  <c r="E112" i="64"/>
  <c r="B101" i="64"/>
  <c r="P100" i="64"/>
  <c r="B100" i="64"/>
  <c r="B103" i="64"/>
  <c r="B102" i="64"/>
  <c r="I100" i="64"/>
  <c r="B108" i="64"/>
  <c r="H100" i="64"/>
  <c r="B109" i="64"/>
  <c r="B105" i="64"/>
  <c r="B105" i="63"/>
  <c r="P99" i="63"/>
  <c r="I99" i="63"/>
  <c r="K99" i="63"/>
  <c r="B102" i="63"/>
  <c r="O99" i="63"/>
  <c r="B104" i="63"/>
  <c r="W2" i="36"/>
  <c r="W12" i="36" s="1"/>
  <c r="M12" i="36"/>
  <c r="E106" i="64"/>
  <c r="E100" i="64"/>
  <c r="D29" i="65"/>
  <c r="E115" i="63"/>
  <c r="L99" i="63"/>
  <c r="E109" i="64"/>
  <c r="E103" i="64"/>
  <c r="N99" i="63"/>
  <c r="J99" i="63"/>
  <c r="E113" i="64"/>
  <c r="Q99" i="63"/>
  <c r="F6" i="63"/>
  <c r="E110" i="64"/>
  <c r="E7" i="65"/>
  <c r="D27" i="65"/>
  <c r="D18" i="65"/>
  <c r="C31" i="65"/>
  <c r="B100" i="63"/>
  <c r="E6" i="65"/>
  <c r="E107" i="64"/>
  <c r="E101" i="64"/>
  <c r="H99" i="63"/>
  <c r="D30" i="65"/>
  <c r="B106" i="63"/>
  <c r="D23" i="65"/>
  <c r="B107" i="63"/>
  <c r="E115" i="64"/>
  <c r="F10" i="64"/>
  <c r="E104" i="64"/>
  <c r="E111" i="64"/>
  <c r="E105" i="64"/>
  <c r="F28" i="65"/>
  <c r="G28" i="65" s="1"/>
  <c r="D28" i="65"/>
  <c r="B103" i="63"/>
  <c r="B101" i="63"/>
  <c r="B108" i="63"/>
  <c r="E114" i="64"/>
  <c r="E102" i="64"/>
  <c r="V12" i="36"/>
  <c r="X17" i="36"/>
  <c r="X33" i="36" s="1"/>
  <c r="O33" i="36"/>
  <c r="K12" i="36"/>
  <c r="K14" i="36" s="1"/>
  <c r="T2" i="36"/>
  <c r="T12" i="36" s="1"/>
  <c r="T14" i="36" s="1"/>
  <c r="K33" i="36"/>
  <c r="K35" i="36" s="1"/>
  <c r="T17" i="36"/>
  <c r="T33" i="36" s="1"/>
  <c r="T35" i="36" s="1"/>
  <c r="X2" i="36"/>
  <c r="X12" i="36" s="1"/>
  <c r="O12" i="36"/>
  <c r="P18" i="66" l="1"/>
  <c r="O19" i="66"/>
  <c r="B110" i="64"/>
  <c r="B109" i="63"/>
  <c r="E145" i="64"/>
  <c r="E144" i="64"/>
  <c r="E146" i="64"/>
  <c r="R100" i="64"/>
  <c r="H28" i="65"/>
  <c r="C37" i="65" s="1"/>
  <c r="R5" i="65" s="1"/>
  <c r="D31" i="65"/>
  <c r="E145" i="63"/>
  <c r="E144" i="63"/>
  <c r="E143" i="63"/>
  <c r="R99" i="63"/>
  <c r="E116" i="64"/>
  <c r="C273" i="61"/>
  <c r="C272" i="61"/>
  <c r="C271" i="61"/>
  <c r="C270" i="61"/>
  <c r="C269" i="61"/>
  <c r="C268" i="61"/>
  <c r="D54" i="61"/>
  <c r="D53" i="61"/>
  <c r="H53" i="61" s="1"/>
  <c r="D52" i="61"/>
  <c r="H52" i="61" s="1"/>
  <c r="D51" i="61"/>
  <c r="H51" i="61" s="1"/>
  <c r="D50" i="61"/>
  <c r="H50" i="61" s="1"/>
  <c r="D49" i="61"/>
  <c r="H49" i="61" s="1"/>
  <c r="D48" i="61"/>
  <c r="D47" i="61"/>
  <c r="D46" i="61"/>
  <c r="H46" i="61" s="1"/>
  <c r="D45" i="61"/>
  <c r="H45" i="61" s="1"/>
  <c r="D44" i="61"/>
  <c r="H44" i="61" s="1"/>
  <c r="D43" i="61"/>
  <c r="H43" i="61" s="1"/>
  <c r="D42" i="61"/>
  <c r="H42" i="61" s="1"/>
  <c r="D31" i="61"/>
  <c r="D30" i="61"/>
  <c r="H30" i="61" s="1"/>
  <c r="D29" i="61"/>
  <c r="H29" i="61" s="1"/>
  <c r="D27" i="61"/>
  <c r="H27" i="61" s="1"/>
  <c r="D26" i="61"/>
  <c r="D25" i="61"/>
  <c r="H25" i="61" s="1"/>
  <c r="C272" i="60"/>
  <c r="C271" i="60"/>
  <c r="C270" i="60"/>
  <c r="C269" i="60"/>
  <c r="C268" i="60"/>
  <c r="C267" i="60"/>
  <c r="D42" i="60"/>
  <c r="H42" i="60" s="1"/>
  <c r="D43" i="60"/>
  <c r="H43" i="60" s="1"/>
  <c r="D44" i="60"/>
  <c r="H44" i="60" s="1"/>
  <c r="D45" i="60"/>
  <c r="H45" i="60" s="1"/>
  <c r="D46" i="60"/>
  <c r="D47" i="60"/>
  <c r="D48" i="60"/>
  <c r="D49" i="60"/>
  <c r="H49" i="60" s="1"/>
  <c r="D50" i="60"/>
  <c r="H50" i="60" s="1"/>
  <c r="D51" i="60"/>
  <c r="H51" i="60" s="1"/>
  <c r="D52" i="60"/>
  <c r="H52" i="60" s="1"/>
  <c r="D53" i="60"/>
  <c r="H53" i="60" s="1"/>
  <c r="D54" i="60"/>
  <c r="D55" i="60"/>
  <c r="D56" i="60"/>
  <c r="D41" i="60"/>
  <c r="H41" i="60" s="1"/>
  <c r="C15" i="62" s="1"/>
  <c r="D25" i="60"/>
  <c r="D26" i="60"/>
  <c r="H26" i="60" s="1"/>
  <c r="D27" i="60"/>
  <c r="H27" i="60" s="1"/>
  <c r="D28" i="60"/>
  <c r="H28" i="60" s="1"/>
  <c r="D29" i="60"/>
  <c r="D30" i="60"/>
  <c r="H30" i="60" s="1"/>
  <c r="D31" i="60"/>
  <c r="H31" i="60" s="1"/>
  <c r="D32" i="60"/>
  <c r="H32" i="60" s="1"/>
  <c r="D33" i="60"/>
  <c r="D24" i="60"/>
  <c r="H24" i="60" s="1"/>
  <c r="A30" i="62"/>
  <c r="A29" i="62"/>
  <c r="E28" i="62"/>
  <c r="A28" i="62"/>
  <c r="A27" i="62"/>
  <c r="H26" i="62"/>
  <c r="A26" i="62"/>
  <c r="H25" i="62"/>
  <c r="A25" i="62"/>
  <c r="H24" i="62"/>
  <c r="A24" i="62"/>
  <c r="A23" i="62"/>
  <c r="H22" i="62"/>
  <c r="A22" i="62"/>
  <c r="H21" i="62"/>
  <c r="A21" i="62"/>
  <c r="H20" i="62"/>
  <c r="A20" i="62"/>
  <c r="H19" i="62"/>
  <c r="A19" i="62"/>
  <c r="A18" i="62"/>
  <c r="H17" i="62"/>
  <c r="A17" i="62"/>
  <c r="H16" i="62"/>
  <c r="A16" i="62"/>
  <c r="H15" i="62"/>
  <c r="A15" i="62"/>
  <c r="A11" i="62"/>
  <c r="A10" i="62"/>
  <c r="A9" i="62"/>
  <c r="A8" i="62"/>
  <c r="A7" i="62"/>
  <c r="A6" i="62"/>
  <c r="A5" i="62"/>
  <c r="A4" i="62"/>
  <c r="A3" i="62"/>
  <c r="A2" i="62"/>
  <c r="L259" i="61"/>
  <c r="H57" i="61"/>
  <c r="G57" i="61"/>
  <c r="H56" i="61"/>
  <c r="G56" i="61"/>
  <c r="H55" i="61"/>
  <c r="J259" i="61" s="1"/>
  <c r="G55" i="61"/>
  <c r="H54" i="61"/>
  <c r="C54" i="61"/>
  <c r="G54" i="61" s="1"/>
  <c r="I239" i="61"/>
  <c r="I258" i="61" s="1"/>
  <c r="B27" i="62" s="1"/>
  <c r="C53" i="61"/>
  <c r="G53" i="61" s="1"/>
  <c r="G52" i="61"/>
  <c r="C52" i="61"/>
  <c r="I237" i="61"/>
  <c r="I256" i="61" s="1"/>
  <c r="B25" i="62" s="1"/>
  <c r="G51" i="61"/>
  <c r="C51" i="61"/>
  <c r="G50" i="61"/>
  <c r="C50" i="61"/>
  <c r="I235" i="61"/>
  <c r="I254" i="61" s="1"/>
  <c r="B23" i="62" s="1"/>
  <c r="C49" i="61"/>
  <c r="G49" i="61" s="1"/>
  <c r="H48" i="61"/>
  <c r="C48" i="61"/>
  <c r="G48" i="61" s="1"/>
  <c r="H47" i="61"/>
  <c r="G47" i="61"/>
  <c r="C47" i="61"/>
  <c r="G46" i="61"/>
  <c r="C46" i="61"/>
  <c r="I231" i="61"/>
  <c r="I250" i="61" s="1"/>
  <c r="B19" i="62" s="1"/>
  <c r="C45" i="61"/>
  <c r="G45" i="61" s="1"/>
  <c r="G44" i="61"/>
  <c r="C44" i="61"/>
  <c r="I229" i="61"/>
  <c r="I248" i="61" s="1"/>
  <c r="B17" i="62" s="1"/>
  <c r="G43" i="61"/>
  <c r="C43" i="61"/>
  <c r="G42" i="61"/>
  <c r="C42" i="61"/>
  <c r="I227" i="61"/>
  <c r="I246" i="61" s="1"/>
  <c r="B15" i="62" s="1"/>
  <c r="H34" i="61"/>
  <c r="G34" i="61"/>
  <c r="B236" i="61"/>
  <c r="B255" i="61" s="1"/>
  <c r="B11" i="62" s="1"/>
  <c r="H33" i="61"/>
  <c r="G33" i="61"/>
  <c r="B235" i="61"/>
  <c r="B254" i="61" s="1"/>
  <c r="B10" i="62" s="1"/>
  <c r="H32" i="61"/>
  <c r="C253" i="61" s="1"/>
  <c r="G32" i="61"/>
  <c r="B234" i="61"/>
  <c r="B253" i="61" s="1"/>
  <c r="B9" i="62" s="1"/>
  <c r="H31" i="61"/>
  <c r="G31" i="61"/>
  <c r="C31" i="61"/>
  <c r="B233" i="61"/>
  <c r="B252" i="61" s="1"/>
  <c r="B8" i="62" s="1"/>
  <c r="C30" i="61"/>
  <c r="G30" i="61" s="1"/>
  <c r="B232" i="61"/>
  <c r="B251" i="61" s="1"/>
  <c r="B7" i="62" s="1"/>
  <c r="G29" i="61"/>
  <c r="C29" i="61"/>
  <c r="B231" i="61"/>
  <c r="B250" i="61" s="1"/>
  <c r="B6" i="62" s="1"/>
  <c r="H28" i="61"/>
  <c r="G28" i="61"/>
  <c r="B230" i="61"/>
  <c r="B249" i="61" s="1"/>
  <c r="B5" i="62" s="1"/>
  <c r="G27" i="61"/>
  <c r="C27" i="61"/>
  <c r="B229" i="61"/>
  <c r="B248" i="61" s="1"/>
  <c r="B4" i="62" s="1"/>
  <c r="G26" i="61"/>
  <c r="H26" i="61"/>
  <c r="C26" i="61"/>
  <c r="B228" i="61"/>
  <c r="B247" i="61" s="1"/>
  <c r="B3" i="62" s="1"/>
  <c r="C25" i="61"/>
  <c r="G25" i="61" s="1"/>
  <c r="B227" i="61"/>
  <c r="B246" i="61" s="1"/>
  <c r="B2" i="62" s="1"/>
  <c r="G22" i="61"/>
  <c r="G39" i="61" s="1"/>
  <c r="C22" i="61"/>
  <c r="C39" i="61" s="1"/>
  <c r="K264" i="60"/>
  <c r="B71" i="60"/>
  <c r="H56" i="60"/>
  <c r="C56" i="60"/>
  <c r="G56" i="60" s="1"/>
  <c r="I241" i="60"/>
  <c r="I260" i="60" s="1"/>
  <c r="H55" i="60"/>
  <c r="C55" i="60"/>
  <c r="G55" i="60" s="1"/>
  <c r="I240" i="60"/>
  <c r="I259" i="60" s="1"/>
  <c r="G54" i="60"/>
  <c r="H54" i="60"/>
  <c r="C54" i="60"/>
  <c r="I239" i="60"/>
  <c r="I258" i="60" s="1"/>
  <c r="G53" i="60"/>
  <c r="C53" i="60"/>
  <c r="B79" i="60"/>
  <c r="C52" i="60"/>
  <c r="G52" i="60" s="1"/>
  <c r="C51" i="60"/>
  <c r="G51" i="60" s="1"/>
  <c r="I236" i="60"/>
  <c r="I255" i="60" s="1"/>
  <c r="G50" i="60"/>
  <c r="C50" i="60"/>
  <c r="I235" i="60"/>
  <c r="I254" i="60" s="1"/>
  <c r="C49" i="60"/>
  <c r="G49" i="60" s="1"/>
  <c r="I234" i="60"/>
  <c r="I253" i="60" s="1"/>
  <c r="H48" i="60"/>
  <c r="C48" i="60"/>
  <c r="G48" i="60" s="1"/>
  <c r="I233" i="60"/>
  <c r="I252" i="60" s="1"/>
  <c r="H47" i="60"/>
  <c r="C47" i="60"/>
  <c r="G47" i="60" s="1"/>
  <c r="I232" i="60"/>
  <c r="I251" i="60" s="1"/>
  <c r="G46" i="60"/>
  <c r="H46" i="60"/>
  <c r="C46" i="60"/>
  <c r="I231" i="60"/>
  <c r="I250" i="60" s="1"/>
  <c r="G45" i="60"/>
  <c r="C45" i="60"/>
  <c r="I230" i="60"/>
  <c r="I249" i="60" s="1"/>
  <c r="C44" i="60"/>
  <c r="C43" i="60"/>
  <c r="G43" i="60" s="1"/>
  <c r="I228" i="60"/>
  <c r="I247" i="60" s="1"/>
  <c r="G42" i="60"/>
  <c r="C42" i="60"/>
  <c r="I227" i="60"/>
  <c r="I246" i="60" s="1"/>
  <c r="C41" i="60"/>
  <c r="G41" i="60" s="1"/>
  <c r="I226" i="60"/>
  <c r="I245" i="60" s="1"/>
  <c r="G38" i="60"/>
  <c r="C38" i="60"/>
  <c r="H33" i="60"/>
  <c r="G33" i="60"/>
  <c r="C33" i="60"/>
  <c r="B235" i="60"/>
  <c r="B254" i="60" s="1"/>
  <c r="C32" i="60"/>
  <c r="G32" i="60" s="1"/>
  <c r="B234" i="60"/>
  <c r="B253" i="60" s="1"/>
  <c r="C31" i="60"/>
  <c r="G31" i="60" s="1"/>
  <c r="B233" i="60"/>
  <c r="B252" i="60" s="1"/>
  <c r="G30" i="60"/>
  <c r="C30" i="60"/>
  <c r="B232" i="60"/>
  <c r="B251" i="60" s="1"/>
  <c r="H29" i="60"/>
  <c r="C250" i="60" s="1"/>
  <c r="E250" i="60" s="1"/>
  <c r="C29" i="60"/>
  <c r="G29" i="60" s="1"/>
  <c r="B231" i="60"/>
  <c r="B250" i="60" s="1"/>
  <c r="C28" i="60"/>
  <c r="G28" i="60" s="1"/>
  <c r="B230" i="60"/>
  <c r="B249" i="60" s="1"/>
  <c r="C27" i="60"/>
  <c r="G27" i="60" s="1"/>
  <c r="B229" i="60"/>
  <c r="B248" i="60" s="1"/>
  <c r="G26" i="60"/>
  <c r="C26" i="60"/>
  <c r="B228" i="60"/>
  <c r="B247" i="60" s="1"/>
  <c r="H25" i="60"/>
  <c r="G25" i="60"/>
  <c r="C25" i="60"/>
  <c r="B227" i="60"/>
  <c r="B246" i="60" s="1"/>
  <c r="C24" i="60"/>
  <c r="G24" i="60" s="1"/>
  <c r="B226" i="60"/>
  <c r="B245" i="60" s="1"/>
  <c r="G21" i="60"/>
  <c r="C21" i="60"/>
  <c r="C273" i="58"/>
  <c r="C272" i="58"/>
  <c r="C271" i="58"/>
  <c r="C270" i="58"/>
  <c r="C269" i="58"/>
  <c r="C268" i="58"/>
  <c r="D43" i="58"/>
  <c r="D44" i="58"/>
  <c r="D45" i="58"/>
  <c r="D46" i="58"/>
  <c r="D47" i="58"/>
  <c r="D48" i="58"/>
  <c r="D49" i="58"/>
  <c r="D50" i="58"/>
  <c r="D51" i="58"/>
  <c r="D52" i="58"/>
  <c r="D53" i="58"/>
  <c r="D54" i="58"/>
  <c r="D42" i="58"/>
  <c r="D31" i="58"/>
  <c r="D30" i="58"/>
  <c r="D29" i="58"/>
  <c r="D26" i="58"/>
  <c r="D27" i="58"/>
  <c r="D25" i="58"/>
  <c r="C272" i="57"/>
  <c r="C271" i="57"/>
  <c r="C270" i="57"/>
  <c r="C269" i="57"/>
  <c r="C268" i="57"/>
  <c r="C267" i="57"/>
  <c r="D42" i="57"/>
  <c r="D43" i="57"/>
  <c r="D44" i="57"/>
  <c r="D45" i="57"/>
  <c r="D46" i="57"/>
  <c r="D47" i="57"/>
  <c r="D48" i="57"/>
  <c r="D49" i="57"/>
  <c r="D50" i="57"/>
  <c r="D51" i="57"/>
  <c r="D52" i="57"/>
  <c r="D53" i="57"/>
  <c r="D54" i="57"/>
  <c r="D55" i="57"/>
  <c r="D56" i="57"/>
  <c r="D41" i="57"/>
  <c r="D25" i="57"/>
  <c r="D26" i="57"/>
  <c r="D27" i="57"/>
  <c r="D28" i="57"/>
  <c r="D29" i="57"/>
  <c r="D30" i="57"/>
  <c r="D31" i="57"/>
  <c r="D32" i="57"/>
  <c r="D33" i="57"/>
  <c r="D24" i="57"/>
  <c r="C273" i="53"/>
  <c r="C272" i="53"/>
  <c r="C271" i="53"/>
  <c r="C270" i="53"/>
  <c r="C269" i="53"/>
  <c r="C268" i="53"/>
  <c r="D43" i="53"/>
  <c r="D44" i="53"/>
  <c r="D45" i="53"/>
  <c r="D46" i="53"/>
  <c r="D47" i="53"/>
  <c r="D48" i="53"/>
  <c r="D49" i="53"/>
  <c r="D50" i="53"/>
  <c r="D51" i="53"/>
  <c r="D52" i="53"/>
  <c r="D53" i="53"/>
  <c r="D54" i="53"/>
  <c r="D42" i="53"/>
  <c r="D31" i="53"/>
  <c r="D30" i="53"/>
  <c r="D29" i="53"/>
  <c r="D26" i="53"/>
  <c r="D27" i="53"/>
  <c r="D25" i="53"/>
  <c r="C272" i="52"/>
  <c r="C271" i="52"/>
  <c r="C270" i="52"/>
  <c r="C269" i="52"/>
  <c r="C268" i="52"/>
  <c r="C267" i="52"/>
  <c r="D56" i="52"/>
  <c r="D42" i="52"/>
  <c r="D43" i="52"/>
  <c r="D44" i="52"/>
  <c r="D45" i="52"/>
  <c r="D46" i="52"/>
  <c r="D47" i="52"/>
  <c r="D48" i="52"/>
  <c r="D49" i="52"/>
  <c r="D50" i="52"/>
  <c r="D51" i="52"/>
  <c r="D52" i="52"/>
  <c r="D53" i="52"/>
  <c r="D54" i="52"/>
  <c r="D55" i="52"/>
  <c r="D41" i="52"/>
  <c r="D25" i="52"/>
  <c r="D26" i="52"/>
  <c r="D27" i="52"/>
  <c r="D28" i="52"/>
  <c r="D29" i="52"/>
  <c r="D30" i="52"/>
  <c r="D31" i="52"/>
  <c r="D32" i="52"/>
  <c r="D33" i="52"/>
  <c r="D24" i="52"/>
  <c r="D43" i="50"/>
  <c r="D44" i="50"/>
  <c r="D45" i="50"/>
  <c r="D46" i="50"/>
  <c r="D47" i="50"/>
  <c r="D48" i="50"/>
  <c r="D49" i="50"/>
  <c r="D50" i="50"/>
  <c r="D51" i="50"/>
  <c r="D52" i="50"/>
  <c r="D53" i="50"/>
  <c r="D54" i="50"/>
  <c r="D42" i="50"/>
  <c r="D31" i="50"/>
  <c r="D30" i="50"/>
  <c r="D29" i="50"/>
  <c r="D26" i="50"/>
  <c r="D27" i="50"/>
  <c r="D25" i="50"/>
  <c r="D42" i="49"/>
  <c r="D43" i="49"/>
  <c r="D44" i="49"/>
  <c r="D45" i="49"/>
  <c r="D46" i="49"/>
  <c r="D47" i="49"/>
  <c r="D48" i="49"/>
  <c r="D49" i="49"/>
  <c r="D50" i="49"/>
  <c r="D51" i="49"/>
  <c r="D52" i="49"/>
  <c r="D53" i="49"/>
  <c r="D54" i="49"/>
  <c r="D55" i="49"/>
  <c r="D56" i="49"/>
  <c r="D41" i="49"/>
  <c r="D25" i="49"/>
  <c r="D26" i="49"/>
  <c r="D27" i="49"/>
  <c r="D28" i="49"/>
  <c r="D29" i="49"/>
  <c r="D30" i="49"/>
  <c r="D31" i="49"/>
  <c r="D32" i="49"/>
  <c r="D33" i="49"/>
  <c r="D24" i="49"/>
  <c r="P19" i="66" l="1"/>
  <c r="Q18" i="66"/>
  <c r="Q5" i="65"/>
  <c r="I238" i="60"/>
  <c r="I257" i="60" s="1"/>
  <c r="B68" i="60"/>
  <c r="B72" i="61"/>
  <c r="B76" i="60"/>
  <c r="D57" i="60"/>
  <c r="D9" i="60" s="1"/>
  <c r="C29" i="62"/>
  <c r="C9" i="62"/>
  <c r="C25" i="62"/>
  <c r="I237" i="60"/>
  <c r="I256" i="60" s="1"/>
  <c r="B78" i="60"/>
  <c r="C17" i="62"/>
  <c r="C10" i="62"/>
  <c r="I229" i="60"/>
  <c r="I248" i="60" s="1"/>
  <c r="B70" i="60"/>
  <c r="C26" i="62"/>
  <c r="C28" i="62"/>
  <c r="J258" i="60"/>
  <c r="L258" i="60" s="1"/>
  <c r="C5" i="62"/>
  <c r="C30" i="62"/>
  <c r="G34" i="60"/>
  <c r="C8" i="62"/>
  <c r="C57" i="60"/>
  <c r="C24" i="62"/>
  <c r="H34" i="60"/>
  <c r="B106" i="60" s="1"/>
  <c r="C2" i="62"/>
  <c r="C4" i="62"/>
  <c r="C6" i="62"/>
  <c r="C249" i="60"/>
  <c r="E249" i="60" s="1"/>
  <c r="C18" i="62"/>
  <c r="C20" i="62"/>
  <c r="C22" i="62"/>
  <c r="C21" i="62"/>
  <c r="C16" i="62"/>
  <c r="C3" i="62"/>
  <c r="B73" i="60"/>
  <c r="D58" i="61"/>
  <c r="D10" i="61" s="1"/>
  <c r="C34" i="60"/>
  <c r="B74" i="60"/>
  <c r="I228" i="61"/>
  <c r="I247" i="61" s="1"/>
  <c r="B16" i="62" s="1"/>
  <c r="B69" i="61"/>
  <c r="B71" i="61"/>
  <c r="I230" i="61"/>
  <c r="I249" i="61" s="1"/>
  <c r="B18" i="62" s="1"/>
  <c r="D34" i="60"/>
  <c r="G44" i="60"/>
  <c r="G57" i="60" s="1"/>
  <c r="B69" i="60"/>
  <c r="B77" i="60"/>
  <c r="H35" i="61"/>
  <c r="J100" i="61" s="1"/>
  <c r="I242" i="61"/>
  <c r="I261" i="61" s="1"/>
  <c r="B30" i="62" s="1"/>
  <c r="L7" i="62" s="1"/>
  <c r="B83" i="61"/>
  <c r="C11" i="62"/>
  <c r="G35" i="61"/>
  <c r="H57" i="60"/>
  <c r="E101" i="60" s="1"/>
  <c r="B72" i="60"/>
  <c r="B80" i="60"/>
  <c r="C251" i="61"/>
  <c r="E251" i="61" s="1"/>
  <c r="D7" i="62" s="1"/>
  <c r="I236" i="61"/>
  <c r="I255" i="61" s="1"/>
  <c r="B24" i="62" s="1"/>
  <c r="B77" i="61"/>
  <c r="I238" i="61"/>
  <c r="I257" i="61" s="1"/>
  <c r="B26" i="62" s="1"/>
  <c r="B79" i="61"/>
  <c r="G58" i="61"/>
  <c r="C19" i="62"/>
  <c r="C27" i="62"/>
  <c r="C7" i="62"/>
  <c r="C23" i="62"/>
  <c r="B67" i="60"/>
  <c r="B75" i="60"/>
  <c r="B81" i="60"/>
  <c r="B82" i="60"/>
  <c r="C58" i="61"/>
  <c r="H58" i="61"/>
  <c r="E104" i="61" s="1"/>
  <c r="C250" i="61"/>
  <c r="E250" i="61" s="1"/>
  <c r="D6" i="62" s="1"/>
  <c r="I233" i="61"/>
  <c r="I252" i="61" s="1"/>
  <c r="B21" i="62" s="1"/>
  <c r="B74" i="61"/>
  <c r="J260" i="61"/>
  <c r="B68" i="61"/>
  <c r="B76" i="61"/>
  <c r="C255" i="61"/>
  <c r="I232" i="61"/>
  <c r="I251" i="61" s="1"/>
  <c r="B20" i="62" s="1"/>
  <c r="B73" i="61"/>
  <c r="I240" i="61"/>
  <c r="I259" i="61" s="1"/>
  <c r="B28" i="62" s="1"/>
  <c r="L5" i="62" s="1"/>
  <c r="B81" i="61"/>
  <c r="J261" i="61"/>
  <c r="B78" i="61"/>
  <c r="C35" i="61"/>
  <c r="D35" i="61"/>
  <c r="D7" i="61" s="1"/>
  <c r="I234" i="61"/>
  <c r="I253" i="61" s="1"/>
  <c r="B22" i="62" s="1"/>
  <c r="B75" i="61"/>
  <c r="B70" i="61"/>
  <c r="C249" i="61"/>
  <c r="B82" i="61"/>
  <c r="I241" i="61"/>
  <c r="I260" i="61" s="1"/>
  <c r="B29" i="62" s="1"/>
  <c r="L6" i="62" s="1"/>
  <c r="B80" i="61"/>
  <c r="C254" i="61"/>
  <c r="A30" i="59"/>
  <c r="A29" i="59"/>
  <c r="A28" i="59"/>
  <c r="A27" i="59"/>
  <c r="H26" i="59"/>
  <c r="A26" i="59"/>
  <c r="H25" i="59"/>
  <c r="A25" i="59"/>
  <c r="H24" i="59"/>
  <c r="A24" i="59"/>
  <c r="A23" i="59"/>
  <c r="H22" i="59"/>
  <c r="A22" i="59"/>
  <c r="H21" i="59"/>
  <c r="A21" i="59"/>
  <c r="H20" i="59"/>
  <c r="A20" i="59"/>
  <c r="H19" i="59"/>
  <c r="A19" i="59"/>
  <c r="A18" i="59"/>
  <c r="H17" i="59"/>
  <c r="A17" i="59"/>
  <c r="H16" i="59"/>
  <c r="A16" i="59"/>
  <c r="H15" i="59"/>
  <c r="A15" i="59"/>
  <c r="A11" i="59"/>
  <c r="A10" i="59"/>
  <c r="A9" i="59"/>
  <c r="A8" i="59"/>
  <c r="A7" i="59"/>
  <c r="A6" i="59"/>
  <c r="A5" i="59"/>
  <c r="A4" i="59"/>
  <c r="A3" i="59"/>
  <c r="A2" i="59"/>
  <c r="L259" i="58"/>
  <c r="E28" i="59" s="1"/>
  <c r="H57" i="58"/>
  <c r="J261" i="58" s="1"/>
  <c r="G57" i="58"/>
  <c r="B83" i="58"/>
  <c r="L83" i="58" s="1"/>
  <c r="H56" i="58"/>
  <c r="J260" i="58" s="1"/>
  <c r="G56" i="58"/>
  <c r="B82" i="58"/>
  <c r="C82" i="58" s="1"/>
  <c r="H55" i="58"/>
  <c r="J259" i="58" s="1"/>
  <c r="G55" i="58"/>
  <c r="I240" i="58"/>
  <c r="I259" i="58" s="1"/>
  <c r="B28" i="59" s="1"/>
  <c r="L5" i="59" s="1"/>
  <c r="H54" i="58"/>
  <c r="G54" i="58"/>
  <c r="C54" i="58"/>
  <c r="G53" i="58"/>
  <c r="H53" i="58"/>
  <c r="C53" i="58"/>
  <c r="I238" i="58"/>
  <c r="I257" i="58" s="1"/>
  <c r="B26" i="59" s="1"/>
  <c r="G52" i="58"/>
  <c r="H52" i="58"/>
  <c r="C52" i="58"/>
  <c r="G51" i="58"/>
  <c r="H51" i="58"/>
  <c r="C51" i="58"/>
  <c r="B77" i="58"/>
  <c r="H50" i="58"/>
  <c r="C50" i="58"/>
  <c r="G50" i="58" s="1"/>
  <c r="B76" i="58"/>
  <c r="H49" i="58"/>
  <c r="C49" i="58"/>
  <c r="G49" i="58" s="1"/>
  <c r="B75" i="58"/>
  <c r="H48" i="58"/>
  <c r="C48" i="58"/>
  <c r="G48" i="58" s="1"/>
  <c r="I233" i="58"/>
  <c r="I252" i="58" s="1"/>
  <c r="B21" i="59" s="1"/>
  <c r="H47" i="58"/>
  <c r="C47" i="58"/>
  <c r="G47" i="58" s="1"/>
  <c r="B73" i="58"/>
  <c r="H46" i="58"/>
  <c r="G46" i="58"/>
  <c r="C46" i="58"/>
  <c r="B72" i="58"/>
  <c r="H45" i="58"/>
  <c r="C45" i="58"/>
  <c r="C58" i="58" s="1"/>
  <c r="G44" i="58"/>
  <c r="H44" i="58"/>
  <c r="C44" i="58"/>
  <c r="G43" i="58"/>
  <c r="H43" i="58"/>
  <c r="C43" i="58"/>
  <c r="I228" i="58"/>
  <c r="I247" i="58" s="1"/>
  <c r="B16" i="59" s="1"/>
  <c r="G42" i="58"/>
  <c r="C42" i="58"/>
  <c r="H34" i="58"/>
  <c r="G34" i="58"/>
  <c r="B236" i="58"/>
  <c r="B255" i="58" s="1"/>
  <c r="B11" i="59" s="1"/>
  <c r="H33" i="58"/>
  <c r="C254" i="58" s="1"/>
  <c r="G33" i="58"/>
  <c r="B235" i="58"/>
  <c r="B254" i="58" s="1"/>
  <c r="B10" i="59" s="1"/>
  <c r="H32" i="58"/>
  <c r="C253" i="58" s="1"/>
  <c r="G32" i="58"/>
  <c r="B234" i="58"/>
  <c r="B253" i="58" s="1"/>
  <c r="B9" i="59" s="1"/>
  <c r="H31" i="58"/>
  <c r="C31" i="58"/>
  <c r="B233" i="58"/>
  <c r="B252" i="58" s="1"/>
  <c r="B8" i="59" s="1"/>
  <c r="H30" i="58"/>
  <c r="G30" i="58"/>
  <c r="C30" i="58"/>
  <c r="B232" i="58"/>
  <c r="B251" i="58" s="1"/>
  <c r="B7" i="59" s="1"/>
  <c r="G29" i="58"/>
  <c r="H29" i="58"/>
  <c r="C29" i="58"/>
  <c r="B231" i="58"/>
  <c r="B250" i="58" s="1"/>
  <c r="B6" i="59" s="1"/>
  <c r="H28" i="58"/>
  <c r="G28" i="58"/>
  <c r="B230" i="58"/>
  <c r="B249" i="58" s="1"/>
  <c r="B5" i="59" s="1"/>
  <c r="G27" i="58"/>
  <c r="H27" i="58"/>
  <c r="C27" i="58"/>
  <c r="B229" i="58"/>
  <c r="B248" i="58" s="1"/>
  <c r="B4" i="59" s="1"/>
  <c r="G26" i="58"/>
  <c r="H26" i="58"/>
  <c r="C26" i="58"/>
  <c r="B228" i="58"/>
  <c r="B247" i="58" s="1"/>
  <c r="B3" i="59" s="1"/>
  <c r="G25" i="58"/>
  <c r="C25" i="58"/>
  <c r="B227" i="58"/>
  <c r="B246" i="58" s="1"/>
  <c r="B2" i="59" s="1"/>
  <c r="G22" i="58"/>
  <c r="G39" i="58" s="1"/>
  <c r="C22" i="58"/>
  <c r="C39" i="58" s="1"/>
  <c r="K264" i="57"/>
  <c r="B76" i="57"/>
  <c r="C56" i="57"/>
  <c r="G56" i="57" s="1"/>
  <c r="H55" i="57"/>
  <c r="C55" i="57"/>
  <c r="G55" i="57" s="1"/>
  <c r="I240" i="57"/>
  <c r="I259" i="57" s="1"/>
  <c r="G54" i="57"/>
  <c r="H54" i="57"/>
  <c r="C54" i="57"/>
  <c r="I239" i="57"/>
  <c r="I258" i="57" s="1"/>
  <c r="H53" i="57"/>
  <c r="G53" i="57"/>
  <c r="C53" i="57"/>
  <c r="B79" i="57"/>
  <c r="H52" i="57"/>
  <c r="C52" i="57"/>
  <c r="G52" i="57" s="1"/>
  <c r="H51" i="57"/>
  <c r="C51" i="57"/>
  <c r="G51" i="57" s="1"/>
  <c r="I236" i="57"/>
  <c r="I255" i="57" s="1"/>
  <c r="G50" i="57"/>
  <c r="H50" i="57"/>
  <c r="C50" i="57"/>
  <c r="I235" i="57"/>
  <c r="I254" i="57" s="1"/>
  <c r="H49" i="57"/>
  <c r="G49" i="57"/>
  <c r="C49" i="57"/>
  <c r="I234" i="57"/>
  <c r="I253" i="57" s="1"/>
  <c r="H48" i="57"/>
  <c r="C48" i="57"/>
  <c r="G48" i="57" s="1"/>
  <c r="B74" i="57"/>
  <c r="H47" i="57"/>
  <c r="C47" i="57"/>
  <c r="G47" i="57" s="1"/>
  <c r="I232" i="57"/>
  <c r="I251" i="57" s="1"/>
  <c r="G46" i="57"/>
  <c r="H46" i="57"/>
  <c r="C46" i="57"/>
  <c r="I231" i="57"/>
  <c r="I250" i="57" s="1"/>
  <c r="H45" i="57"/>
  <c r="G45" i="57"/>
  <c r="C45" i="57"/>
  <c r="I230" i="57"/>
  <c r="I249" i="57" s="1"/>
  <c r="H44" i="57"/>
  <c r="C44" i="57"/>
  <c r="G44" i="57" s="1"/>
  <c r="H43" i="57"/>
  <c r="C43" i="57"/>
  <c r="G43" i="57" s="1"/>
  <c r="I228" i="57"/>
  <c r="I247" i="57" s="1"/>
  <c r="G42" i="57"/>
  <c r="C42" i="57"/>
  <c r="I227" i="57"/>
  <c r="I246" i="57" s="1"/>
  <c r="H41" i="57"/>
  <c r="G41" i="57"/>
  <c r="C41" i="57"/>
  <c r="I226" i="57"/>
  <c r="I245" i="57" s="1"/>
  <c r="G38" i="57"/>
  <c r="G33" i="57"/>
  <c r="C33" i="57"/>
  <c r="B235" i="57"/>
  <c r="B254" i="57" s="1"/>
  <c r="H32" i="57"/>
  <c r="C32" i="57"/>
  <c r="G32" i="57" s="1"/>
  <c r="B234" i="57"/>
  <c r="B253" i="57" s="1"/>
  <c r="H31" i="57"/>
  <c r="C31" i="57"/>
  <c r="G31" i="57" s="1"/>
  <c r="B233" i="57"/>
  <c r="B252" i="57" s="1"/>
  <c r="G30" i="57"/>
  <c r="H30" i="57"/>
  <c r="C30" i="57"/>
  <c r="B232" i="57"/>
  <c r="B251" i="57" s="1"/>
  <c r="G29" i="57"/>
  <c r="C29" i="57"/>
  <c r="B231" i="57"/>
  <c r="B250" i="57" s="1"/>
  <c r="C28" i="57"/>
  <c r="G28" i="57" s="1"/>
  <c r="B230" i="57"/>
  <c r="B249" i="57" s="1"/>
  <c r="H27" i="57"/>
  <c r="C27" i="57"/>
  <c r="G27" i="57" s="1"/>
  <c r="B229" i="57"/>
  <c r="B248" i="57" s="1"/>
  <c r="G26" i="57"/>
  <c r="H26" i="57"/>
  <c r="C4" i="59" s="1"/>
  <c r="C26" i="57"/>
  <c r="B228" i="57"/>
  <c r="B247" i="57" s="1"/>
  <c r="H25" i="57"/>
  <c r="G25" i="57"/>
  <c r="C25" i="57"/>
  <c r="B227" i="57"/>
  <c r="B246" i="57" s="1"/>
  <c r="H24" i="57"/>
  <c r="C24" i="57"/>
  <c r="B226" i="57"/>
  <c r="B245" i="57" s="1"/>
  <c r="G21" i="57"/>
  <c r="C21" i="57"/>
  <c r="C38" i="57" s="1"/>
  <c r="Q19" i="66" l="1"/>
  <c r="R18" i="66"/>
  <c r="B105" i="61"/>
  <c r="N100" i="61"/>
  <c r="C31" i="62"/>
  <c r="I100" i="61"/>
  <c r="D18" i="62"/>
  <c r="E103" i="60"/>
  <c r="O100" i="61"/>
  <c r="K100" i="61"/>
  <c r="B72" i="57"/>
  <c r="B80" i="57"/>
  <c r="I238" i="57"/>
  <c r="I257" i="57" s="1"/>
  <c r="I231" i="58"/>
  <c r="I250" i="58" s="1"/>
  <c r="B19" i="59" s="1"/>
  <c r="B69" i="58"/>
  <c r="I232" i="58"/>
  <c r="I251" i="58" s="1"/>
  <c r="B20" i="59" s="1"/>
  <c r="B74" i="58"/>
  <c r="B68" i="57"/>
  <c r="B79" i="58"/>
  <c r="I235" i="58"/>
  <c r="I254" i="58" s="1"/>
  <c r="B23" i="59" s="1"/>
  <c r="B71" i="57"/>
  <c r="B81" i="58"/>
  <c r="I241" i="58"/>
  <c r="I260" i="58" s="1"/>
  <c r="B29" i="59" s="1"/>
  <c r="L6" i="59" s="1"/>
  <c r="E100" i="61"/>
  <c r="B107" i="61"/>
  <c r="P100" i="61"/>
  <c r="B101" i="61"/>
  <c r="B100" i="61"/>
  <c r="B106" i="61"/>
  <c r="E112" i="60"/>
  <c r="L99" i="60"/>
  <c r="B99" i="60"/>
  <c r="B104" i="60"/>
  <c r="B103" i="60"/>
  <c r="Q99" i="60"/>
  <c r="O99" i="60"/>
  <c r="I99" i="60"/>
  <c r="H99" i="60"/>
  <c r="B102" i="60"/>
  <c r="B107" i="60"/>
  <c r="J82" i="61"/>
  <c r="I82" i="61"/>
  <c r="G82" i="61"/>
  <c r="E82" i="61"/>
  <c r="L82" i="61"/>
  <c r="K82" i="61"/>
  <c r="H82" i="61"/>
  <c r="F82" i="61"/>
  <c r="D82" i="61"/>
  <c r="C82" i="61"/>
  <c r="E115" i="61"/>
  <c r="E101" i="61"/>
  <c r="E110" i="61"/>
  <c r="E104" i="60"/>
  <c r="E107" i="60"/>
  <c r="E82" i="60"/>
  <c r="H82" i="60"/>
  <c r="L82" i="60"/>
  <c r="K82" i="60"/>
  <c r="J82" i="60"/>
  <c r="F82" i="60"/>
  <c r="I82" i="60"/>
  <c r="G82" i="60"/>
  <c r="D82" i="60"/>
  <c r="C82" i="60"/>
  <c r="D23" i="62"/>
  <c r="E102" i="61"/>
  <c r="B104" i="61"/>
  <c r="E105" i="60"/>
  <c r="M99" i="60"/>
  <c r="B105" i="60"/>
  <c r="D30" i="62"/>
  <c r="E110" i="60"/>
  <c r="E113" i="60"/>
  <c r="B103" i="61"/>
  <c r="M100" i="61"/>
  <c r="G83" i="61"/>
  <c r="F83" i="61"/>
  <c r="L83" i="61"/>
  <c r="D83" i="61"/>
  <c r="J83" i="61"/>
  <c r="K83" i="61"/>
  <c r="I83" i="61"/>
  <c r="E83" i="61"/>
  <c r="H83" i="61"/>
  <c r="C83" i="61"/>
  <c r="H100" i="61"/>
  <c r="L100" i="61"/>
  <c r="E106" i="60"/>
  <c r="E6" i="62"/>
  <c r="F6" i="60"/>
  <c r="B100" i="60"/>
  <c r="N99" i="60"/>
  <c r="K99" i="60"/>
  <c r="F28" i="62"/>
  <c r="G28" i="62" s="1"/>
  <c r="D28" i="62"/>
  <c r="F10" i="61"/>
  <c r="E108" i="61"/>
  <c r="E107" i="61"/>
  <c r="F9" i="60"/>
  <c r="E105" i="61"/>
  <c r="E109" i="60"/>
  <c r="E109" i="61"/>
  <c r="E7" i="62"/>
  <c r="E102" i="60"/>
  <c r="J99" i="60"/>
  <c r="E108" i="60"/>
  <c r="P99" i="60"/>
  <c r="B108" i="60"/>
  <c r="E106" i="61"/>
  <c r="F7" i="61"/>
  <c r="B108" i="61"/>
  <c r="Q100" i="61"/>
  <c r="D29" i="62"/>
  <c r="H81" i="60"/>
  <c r="K81" i="60"/>
  <c r="C81" i="60"/>
  <c r="L81" i="60"/>
  <c r="F81" i="60"/>
  <c r="J81" i="60"/>
  <c r="I81" i="60"/>
  <c r="G81" i="60"/>
  <c r="D81" i="60"/>
  <c r="E81" i="60"/>
  <c r="E114" i="61"/>
  <c r="E111" i="61"/>
  <c r="E81" i="61"/>
  <c r="L81" i="61"/>
  <c r="D81" i="61"/>
  <c r="J81" i="61"/>
  <c r="H81" i="61"/>
  <c r="G81" i="61"/>
  <c r="F81" i="61"/>
  <c r="C81" i="61"/>
  <c r="K81" i="61"/>
  <c r="I81" i="61"/>
  <c r="E112" i="61"/>
  <c r="E113" i="61"/>
  <c r="D6" i="60"/>
  <c r="E103" i="61"/>
  <c r="B109" i="61"/>
  <c r="E111" i="60"/>
  <c r="F80" i="60"/>
  <c r="D80" i="60"/>
  <c r="L80" i="60"/>
  <c r="C80" i="60"/>
  <c r="K80" i="60"/>
  <c r="G80" i="60"/>
  <c r="J80" i="60"/>
  <c r="I80" i="60"/>
  <c r="E80" i="60"/>
  <c r="H80" i="60"/>
  <c r="B102" i="61"/>
  <c r="E99" i="60"/>
  <c r="E100" i="60"/>
  <c r="B101" i="60"/>
  <c r="D27" i="62"/>
  <c r="E114" i="60"/>
  <c r="G24" i="57"/>
  <c r="G34" i="57" s="1"/>
  <c r="C34" i="57"/>
  <c r="H42" i="57"/>
  <c r="C18" i="59"/>
  <c r="C20" i="59"/>
  <c r="C22" i="59"/>
  <c r="C24" i="59"/>
  <c r="C26" i="59"/>
  <c r="C28" i="59"/>
  <c r="J258" i="57"/>
  <c r="L258" i="57" s="1"/>
  <c r="B75" i="57"/>
  <c r="C5" i="59"/>
  <c r="C3" i="59"/>
  <c r="C57" i="57"/>
  <c r="B68" i="58"/>
  <c r="I227" i="58"/>
  <c r="I246" i="58" s="1"/>
  <c r="B15" i="59" s="1"/>
  <c r="B70" i="58"/>
  <c r="I229" i="58"/>
  <c r="I248" i="58" s="1"/>
  <c r="B17" i="59" s="1"/>
  <c r="C2" i="59"/>
  <c r="C8" i="59"/>
  <c r="C10" i="59"/>
  <c r="C9" i="59"/>
  <c r="B67" i="57"/>
  <c r="I233" i="57"/>
  <c r="I252" i="57" s="1"/>
  <c r="G57" i="57"/>
  <c r="C29" i="59"/>
  <c r="C17" i="59"/>
  <c r="C21" i="59"/>
  <c r="C25" i="59"/>
  <c r="C15" i="59"/>
  <c r="I229" i="57"/>
  <c r="I248" i="57" s="1"/>
  <c r="B70" i="57"/>
  <c r="C19" i="59"/>
  <c r="C23" i="59"/>
  <c r="I237" i="57"/>
  <c r="I256" i="57" s="1"/>
  <c r="B78" i="57"/>
  <c r="C27" i="59"/>
  <c r="I241" i="57"/>
  <c r="I260" i="57" s="1"/>
  <c r="B82" i="57"/>
  <c r="C250" i="58"/>
  <c r="E250" i="58" s="1"/>
  <c r="D6" i="59" s="1"/>
  <c r="C35" i="58"/>
  <c r="G31" i="58"/>
  <c r="G35" i="58" s="1"/>
  <c r="D80" i="57"/>
  <c r="L80" i="57"/>
  <c r="K81" i="58"/>
  <c r="C81" i="58"/>
  <c r="I81" i="58"/>
  <c r="H81" i="58"/>
  <c r="G81" i="58"/>
  <c r="J81" i="58"/>
  <c r="F81" i="58"/>
  <c r="D81" i="58"/>
  <c r="I236" i="58"/>
  <c r="I255" i="58" s="1"/>
  <c r="B24" i="59" s="1"/>
  <c r="B73" i="57"/>
  <c r="E80" i="57"/>
  <c r="B81" i="57"/>
  <c r="G45" i="58"/>
  <c r="G58" i="58" s="1"/>
  <c r="H25" i="58"/>
  <c r="D35" i="58"/>
  <c r="D7" i="58" s="1"/>
  <c r="I242" i="58"/>
  <c r="I261" i="58" s="1"/>
  <c r="B30" i="59" s="1"/>
  <c r="L7" i="59" s="1"/>
  <c r="B78" i="58"/>
  <c r="I237" i="58"/>
  <c r="I256" i="58" s="1"/>
  <c r="B25" i="59" s="1"/>
  <c r="H82" i="58"/>
  <c r="F82" i="58"/>
  <c r="E82" i="58"/>
  <c r="L82" i="58"/>
  <c r="D82" i="58"/>
  <c r="K82" i="58"/>
  <c r="I82" i="58"/>
  <c r="H80" i="57"/>
  <c r="H42" i="58"/>
  <c r="D58" i="58"/>
  <c r="D10" i="58" s="1"/>
  <c r="G82" i="58"/>
  <c r="B69" i="57"/>
  <c r="B77" i="57"/>
  <c r="I80" i="57"/>
  <c r="J82" i="58"/>
  <c r="I230" i="58"/>
  <c r="I249" i="58" s="1"/>
  <c r="B18" i="59" s="1"/>
  <c r="B71" i="58"/>
  <c r="E83" i="58"/>
  <c r="K83" i="58"/>
  <c r="C83" i="58"/>
  <c r="J83" i="58"/>
  <c r="I83" i="58"/>
  <c r="G83" i="58"/>
  <c r="D83" i="58"/>
  <c r="F83" i="58"/>
  <c r="H83" i="58"/>
  <c r="C249" i="58"/>
  <c r="C255" i="58"/>
  <c r="C251" i="58"/>
  <c r="E251" i="58" s="1"/>
  <c r="D7" i="59" s="1"/>
  <c r="I239" i="58"/>
  <c r="I258" i="58" s="1"/>
  <c r="B27" i="59" s="1"/>
  <c r="B80" i="58"/>
  <c r="I234" i="58"/>
  <c r="I253" i="58" s="1"/>
  <c r="B22" i="59" s="1"/>
  <c r="R19" i="66" l="1"/>
  <c r="S18" i="66"/>
  <c r="D31" i="62"/>
  <c r="L81" i="58"/>
  <c r="E81" i="58"/>
  <c r="J80" i="57"/>
  <c r="K80" i="57"/>
  <c r="G80" i="57"/>
  <c r="C80" i="57"/>
  <c r="F80" i="57"/>
  <c r="B110" i="61"/>
  <c r="B109" i="60"/>
  <c r="E145" i="60"/>
  <c r="E144" i="60"/>
  <c r="E143" i="60"/>
  <c r="E116" i="61"/>
  <c r="R99" i="60"/>
  <c r="H28" i="62"/>
  <c r="C37" i="62" s="1"/>
  <c r="E115" i="60"/>
  <c r="E145" i="61"/>
  <c r="R100" i="61"/>
  <c r="E144" i="61"/>
  <c r="E146" i="61"/>
  <c r="H82" i="57"/>
  <c r="F82" i="57"/>
  <c r="E82" i="57"/>
  <c r="J82" i="57"/>
  <c r="I82" i="57"/>
  <c r="G82" i="57"/>
  <c r="L82" i="57"/>
  <c r="C82" i="57"/>
  <c r="K82" i="57"/>
  <c r="D82" i="57"/>
  <c r="H58" i="58"/>
  <c r="E100" i="58" s="1"/>
  <c r="D27" i="59"/>
  <c r="D23" i="59"/>
  <c r="D29" i="59"/>
  <c r="D28" i="59"/>
  <c r="F28" i="59"/>
  <c r="G28" i="59" s="1"/>
  <c r="H28" i="59" s="1"/>
  <c r="C37" i="59" s="1"/>
  <c r="R5" i="59" s="1"/>
  <c r="H35" i="58"/>
  <c r="B100" i="58" s="1"/>
  <c r="K81" i="57"/>
  <c r="C81" i="57"/>
  <c r="H81" i="57"/>
  <c r="I81" i="57"/>
  <c r="G81" i="57"/>
  <c r="F81" i="57"/>
  <c r="L81" i="57"/>
  <c r="J81" i="57"/>
  <c r="E81" i="57"/>
  <c r="D81" i="57"/>
  <c r="C16" i="59"/>
  <c r="D18" i="59" s="1"/>
  <c r="T18" i="66" l="1"/>
  <c r="S19" i="66"/>
  <c r="R5" i="62"/>
  <c r="Q5" i="62"/>
  <c r="H100" i="58"/>
  <c r="Q5" i="59"/>
  <c r="E103" i="58"/>
  <c r="F10" i="58"/>
  <c r="E111" i="58"/>
  <c r="E105" i="58"/>
  <c r="E114" i="58"/>
  <c r="E108" i="58"/>
  <c r="E115" i="58"/>
  <c r="E107" i="58"/>
  <c r="E101" i="58"/>
  <c r="E102" i="58"/>
  <c r="E112" i="58"/>
  <c r="E110" i="58"/>
  <c r="E109" i="58"/>
  <c r="E104" i="58"/>
  <c r="E106" i="58"/>
  <c r="E113" i="58"/>
  <c r="F7" i="58"/>
  <c r="B108" i="58"/>
  <c r="B107" i="58"/>
  <c r="Q100" i="58"/>
  <c r="O100" i="58"/>
  <c r="B101" i="58"/>
  <c r="B103" i="58"/>
  <c r="P100" i="58"/>
  <c r="N100" i="58"/>
  <c r="I100" i="58"/>
  <c r="B105" i="58"/>
  <c r="J100" i="58"/>
  <c r="K100" i="58"/>
  <c r="M100" i="58"/>
  <c r="L100" i="58"/>
  <c r="B102" i="58"/>
  <c r="B106" i="58"/>
  <c r="B104" i="58"/>
  <c r="B109" i="58"/>
  <c r="T19" i="66" l="1"/>
  <c r="U18" i="66"/>
  <c r="B110" i="58"/>
  <c r="E146" i="58"/>
  <c r="E116" i="58"/>
  <c r="E144" i="58"/>
  <c r="R100" i="58"/>
  <c r="E145" i="58"/>
  <c r="V18" i="66" l="1"/>
  <c r="U19" i="66"/>
  <c r="H2" i="35"/>
  <c r="I2" i="35" s="1"/>
  <c r="G2" i="35"/>
  <c r="I19" i="35"/>
  <c r="G34" i="36" s="1"/>
  <c r="V19" i="66" l="1"/>
  <c r="W18" i="66"/>
  <c r="P34" i="36"/>
  <c r="G35" i="36"/>
  <c r="I2" i="34"/>
  <c r="I13" i="34"/>
  <c r="G13" i="36" s="1"/>
  <c r="H2" i="34"/>
  <c r="G2" i="34"/>
  <c r="X18" i="66" l="1"/>
  <c r="W19" i="66"/>
  <c r="Y34" i="36"/>
  <c r="Y35" i="36" s="1"/>
  <c r="P35" i="36"/>
  <c r="P13" i="36"/>
  <c r="G14" i="36"/>
  <c r="E40" i="55"/>
  <c r="C58" i="55"/>
  <c r="E57" i="55"/>
  <c r="E56" i="55"/>
  <c r="E55" i="55"/>
  <c r="E54" i="55"/>
  <c r="E53" i="55"/>
  <c r="E52" i="55"/>
  <c r="E51" i="55"/>
  <c r="E50" i="55"/>
  <c r="E49" i="55"/>
  <c r="E48" i="55"/>
  <c r="E47" i="55"/>
  <c r="E46" i="55"/>
  <c r="C42" i="55"/>
  <c r="E41" i="55"/>
  <c r="E39" i="55"/>
  <c r="E38" i="55"/>
  <c r="E37" i="55"/>
  <c r="E36" i="55"/>
  <c r="E35" i="55"/>
  <c r="E34" i="55"/>
  <c r="E33" i="55"/>
  <c r="E32" i="55"/>
  <c r="E31" i="55"/>
  <c r="E30" i="55"/>
  <c r="C25" i="55"/>
  <c r="E23" i="55"/>
  <c r="E24" i="55"/>
  <c r="E13" i="55"/>
  <c r="E14" i="55"/>
  <c r="E15" i="55"/>
  <c r="E16" i="55"/>
  <c r="E17" i="55"/>
  <c r="E18" i="55"/>
  <c r="E19" i="55"/>
  <c r="E20" i="55"/>
  <c r="E21" i="55"/>
  <c r="E22" i="55"/>
  <c r="E12" i="55"/>
  <c r="X19" i="66" l="1"/>
  <c r="Y18" i="66"/>
  <c r="Y13" i="36"/>
  <c r="Y14" i="36" s="1"/>
  <c r="P14" i="36"/>
  <c r="E25" i="55"/>
  <c r="B4" i="55" s="1"/>
  <c r="E58" i="55"/>
  <c r="D4" i="55" s="1"/>
  <c r="E42" i="55"/>
  <c r="E4" i="55" l="1"/>
  <c r="D37" i="33" s="1"/>
  <c r="Y19" i="66"/>
  <c r="Z18" i="66"/>
  <c r="C4" i="55"/>
  <c r="C6" i="56"/>
  <c r="C7" i="56"/>
  <c r="C8" i="56"/>
  <c r="C9" i="56"/>
  <c r="C10" i="56"/>
  <c r="C11" i="56"/>
  <c r="C12" i="56"/>
  <c r="C13" i="56"/>
  <c r="C14" i="56"/>
  <c r="C15" i="56"/>
  <c r="C16" i="56"/>
  <c r="C5" i="56"/>
  <c r="Z19" i="66" l="1"/>
  <c r="AA18" i="66"/>
  <c r="A30" i="54"/>
  <c r="A29" i="54"/>
  <c r="E28" i="54"/>
  <c r="A28" i="54"/>
  <c r="A27" i="54"/>
  <c r="H26" i="54"/>
  <c r="A26" i="54"/>
  <c r="H25" i="54"/>
  <c r="A25" i="54"/>
  <c r="H24" i="54"/>
  <c r="A24" i="54"/>
  <c r="A23" i="54"/>
  <c r="H22" i="54"/>
  <c r="A22" i="54"/>
  <c r="H21" i="54"/>
  <c r="A21" i="54"/>
  <c r="H20" i="54"/>
  <c r="A20" i="54"/>
  <c r="H19" i="54"/>
  <c r="A19" i="54"/>
  <c r="A18" i="54"/>
  <c r="H17" i="54"/>
  <c r="A17" i="54"/>
  <c r="H16" i="54"/>
  <c r="A16" i="54"/>
  <c r="H15" i="54"/>
  <c r="A15" i="54"/>
  <c r="A11" i="54"/>
  <c r="A10" i="54"/>
  <c r="A9" i="54"/>
  <c r="A8" i="54"/>
  <c r="A7" i="54"/>
  <c r="A6" i="54"/>
  <c r="A5" i="54"/>
  <c r="A4" i="54"/>
  <c r="A3" i="54"/>
  <c r="A2" i="54"/>
  <c r="L259" i="53"/>
  <c r="H57" i="53"/>
  <c r="G57" i="53"/>
  <c r="B83" i="53"/>
  <c r="H56" i="53"/>
  <c r="G56" i="53"/>
  <c r="B82" i="53"/>
  <c r="H55" i="53"/>
  <c r="G55" i="53"/>
  <c r="C54" i="53"/>
  <c r="G54" i="53" s="1"/>
  <c r="B80" i="53"/>
  <c r="C53" i="53"/>
  <c r="G53" i="53" s="1"/>
  <c r="B79" i="53"/>
  <c r="C52" i="53"/>
  <c r="G52" i="53" s="1"/>
  <c r="B78" i="53"/>
  <c r="C51" i="53"/>
  <c r="G51" i="53" s="1"/>
  <c r="B77" i="53"/>
  <c r="C50" i="53"/>
  <c r="G50" i="53" s="1"/>
  <c r="B76" i="53"/>
  <c r="G49" i="53"/>
  <c r="C49" i="53"/>
  <c r="B75" i="53"/>
  <c r="C48" i="53"/>
  <c r="G48" i="53" s="1"/>
  <c r="C47" i="53"/>
  <c r="G47" i="53" s="1"/>
  <c r="B73" i="53"/>
  <c r="C46" i="53"/>
  <c r="G46" i="53" s="1"/>
  <c r="C45" i="53"/>
  <c r="G45" i="53" s="1"/>
  <c r="B71" i="53"/>
  <c r="C44" i="53"/>
  <c r="G44" i="53" s="1"/>
  <c r="C43" i="53"/>
  <c r="G43" i="53" s="1"/>
  <c r="C42" i="53"/>
  <c r="G42" i="53" s="1"/>
  <c r="B68" i="53"/>
  <c r="H34" i="53"/>
  <c r="G34" i="53"/>
  <c r="B236" i="53"/>
  <c r="B255" i="53" s="1"/>
  <c r="B11" i="54" s="1"/>
  <c r="H33" i="53"/>
  <c r="G33" i="53"/>
  <c r="B235" i="53"/>
  <c r="B254" i="53" s="1"/>
  <c r="B10" i="54" s="1"/>
  <c r="H32" i="53"/>
  <c r="G32" i="53"/>
  <c r="B234" i="53"/>
  <c r="B253" i="53" s="1"/>
  <c r="B9" i="54" s="1"/>
  <c r="C31" i="53"/>
  <c r="G31" i="53" s="1"/>
  <c r="B233" i="53"/>
  <c r="B252" i="53" s="1"/>
  <c r="B8" i="54" s="1"/>
  <c r="C30" i="53"/>
  <c r="G30" i="53" s="1"/>
  <c r="B232" i="53"/>
  <c r="B251" i="53" s="1"/>
  <c r="B7" i="54" s="1"/>
  <c r="C29" i="53"/>
  <c r="G29" i="53" s="1"/>
  <c r="B231" i="53"/>
  <c r="B250" i="53" s="1"/>
  <c r="B6" i="54" s="1"/>
  <c r="H28" i="53"/>
  <c r="G28" i="53"/>
  <c r="B230" i="53"/>
  <c r="B249" i="53" s="1"/>
  <c r="B5" i="54" s="1"/>
  <c r="C27" i="53"/>
  <c r="G27" i="53" s="1"/>
  <c r="C26" i="53"/>
  <c r="G26" i="53" s="1"/>
  <c r="B228" i="53"/>
  <c r="B247" i="53" s="1"/>
  <c r="B3" i="54" s="1"/>
  <c r="C25" i="53"/>
  <c r="G25" i="53" s="1"/>
  <c r="G22" i="53"/>
  <c r="G39" i="53" s="1"/>
  <c r="C22" i="53"/>
  <c r="C39" i="53" s="1"/>
  <c r="K264" i="52"/>
  <c r="C56" i="52"/>
  <c r="G56" i="52" s="1"/>
  <c r="B82" i="52"/>
  <c r="C55" i="52"/>
  <c r="G55" i="52" s="1"/>
  <c r="C54" i="52"/>
  <c r="G54" i="52" s="1"/>
  <c r="B80" i="52"/>
  <c r="G53" i="52"/>
  <c r="C53" i="52"/>
  <c r="B79" i="52"/>
  <c r="C52" i="52"/>
  <c r="G52" i="52" s="1"/>
  <c r="B78" i="52"/>
  <c r="C51" i="52"/>
  <c r="G51" i="52" s="1"/>
  <c r="B77" i="52"/>
  <c r="C50" i="52"/>
  <c r="G50" i="52" s="1"/>
  <c r="C49" i="52"/>
  <c r="G49" i="52" s="1"/>
  <c r="C48" i="52"/>
  <c r="G48" i="52" s="1"/>
  <c r="C47" i="52"/>
  <c r="G47" i="52" s="1"/>
  <c r="C46" i="52"/>
  <c r="G46" i="52" s="1"/>
  <c r="B72" i="52"/>
  <c r="C45" i="52"/>
  <c r="G45" i="52" s="1"/>
  <c r="C44" i="52"/>
  <c r="G44" i="52" s="1"/>
  <c r="C43" i="52"/>
  <c r="C42" i="52"/>
  <c r="G42" i="52" s="1"/>
  <c r="C41" i="52"/>
  <c r="G41" i="52" s="1"/>
  <c r="G38" i="52"/>
  <c r="C33" i="52"/>
  <c r="G33" i="52" s="1"/>
  <c r="B235" i="52"/>
  <c r="B254" i="52" s="1"/>
  <c r="C32" i="52"/>
  <c r="G32" i="52" s="1"/>
  <c r="B234" i="52"/>
  <c r="B253" i="52" s="1"/>
  <c r="C31" i="52"/>
  <c r="G31" i="52" s="1"/>
  <c r="B233" i="52"/>
  <c r="B252" i="52" s="1"/>
  <c r="C30" i="52"/>
  <c r="G30" i="52" s="1"/>
  <c r="B232" i="52"/>
  <c r="B251" i="52" s="1"/>
  <c r="C29" i="52"/>
  <c r="G29" i="52" s="1"/>
  <c r="B231" i="52"/>
  <c r="B250" i="52" s="1"/>
  <c r="C28" i="52"/>
  <c r="G28" i="52" s="1"/>
  <c r="B230" i="52"/>
  <c r="B249" i="52" s="1"/>
  <c r="C27" i="52"/>
  <c r="G27" i="52" s="1"/>
  <c r="B229" i="52"/>
  <c r="B248" i="52" s="1"/>
  <c r="C26" i="52"/>
  <c r="G26" i="52" s="1"/>
  <c r="C25" i="52"/>
  <c r="G25" i="52" s="1"/>
  <c r="B227" i="52"/>
  <c r="B246" i="52" s="1"/>
  <c r="C24" i="52"/>
  <c r="G24" i="52" s="1"/>
  <c r="G21" i="52"/>
  <c r="C21" i="52"/>
  <c r="C38" i="52" s="1"/>
  <c r="AB18" i="66" l="1"/>
  <c r="AA19" i="66"/>
  <c r="I227" i="52"/>
  <c r="I246" i="52" s="1"/>
  <c r="B68" i="52"/>
  <c r="I235" i="52"/>
  <c r="I254" i="52" s="1"/>
  <c r="B76" i="52"/>
  <c r="I229" i="53"/>
  <c r="I248" i="53" s="1"/>
  <c r="B17" i="54" s="1"/>
  <c r="B70" i="53"/>
  <c r="I233" i="53"/>
  <c r="I252" i="53" s="1"/>
  <c r="B21" i="54" s="1"/>
  <c r="B74" i="53"/>
  <c r="I236" i="53"/>
  <c r="I255" i="53" s="1"/>
  <c r="B24" i="54" s="1"/>
  <c r="E82" i="53"/>
  <c r="H82" i="53"/>
  <c r="G82" i="53"/>
  <c r="F82" i="53"/>
  <c r="D82" i="53"/>
  <c r="L82" i="53"/>
  <c r="C82" i="53"/>
  <c r="I82" i="53"/>
  <c r="K82" i="53"/>
  <c r="J82" i="53"/>
  <c r="I232" i="52"/>
  <c r="I251" i="52" s="1"/>
  <c r="B73" i="52"/>
  <c r="I240" i="52"/>
  <c r="I259" i="52" s="1"/>
  <c r="B81" i="52"/>
  <c r="J80" i="52"/>
  <c r="C80" i="52"/>
  <c r="L80" i="52"/>
  <c r="K80" i="52"/>
  <c r="H80" i="52"/>
  <c r="E80" i="52"/>
  <c r="D80" i="52"/>
  <c r="F80" i="52"/>
  <c r="I80" i="52"/>
  <c r="G80" i="52"/>
  <c r="I229" i="52"/>
  <c r="I248" i="52" s="1"/>
  <c r="B70" i="52"/>
  <c r="I233" i="52"/>
  <c r="I252" i="52" s="1"/>
  <c r="B74" i="52"/>
  <c r="I231" i="53"/>
  <c r="I250" i="53" s="1"/>
  <c r="B19" i="54" s="1"/>
  <c r="B72" i="53"/>
  <c r="I228" i="52"/>
  <c r="I247" i="52" s="1"/>
  <c r="B69" i="52"/>
  <c r="L82" i="52"/>
  <c r="G82" i="52"/>
  <c r="F82" i="52"/>
  <c r="E82" i="52"/>
  <c r="J82" i="52"/>
  <c r="H82" i="52"/>
  <c r="C82" i="52"/>
  <c r="K82" i="52"/>
  <c r="D82" i="52"/>
  <c r="I82" i="52"/>
  <c r="J83" i="53"/>
  <c r="L83" i="53"/>
  <c r="K83" i="53"/>
  <c r="I83" i="53"/>
  <c r="E83" i="53"/>
  <c r="D83" i="53"/>
  <c r="C83" i="53"/>
  <c r="G83" i="53"/>
  <c r="F83" i="53"/>
  <c r="H83" i="53"/>
  <c r="I226" i="52"/>
  <c r="I245" i="52" s="1"/>
  <c r="B67" i="52"/>
  <c r="I230" i="52"/>
  <c r="I249" i="52" s="1"/>
  <c r="B71" i="52"/>
  <c r="I234" i="52"/>
  <c r="I253" i="52" s="1"/>
  <c r="B75" i="52"/>
  <c r="I228" i="53"/>
  <c r="I247" i="53" s="1"/>
  <c r="B16" i="54" s="1"/>
  <c r="B69" i="53"/>
  <c r="I240" i="53"/>
  <c r="I259" i="53" s="1"/>
  <c r="B28" i="54" s="1"/>
  <c r="L5" i="54" s="1"/>
  <c r="B81" i="53"/>
  <c r="C57" i="52"/>
  <c r="G34" i="52"/>
  <c r="I241" i="52"/>
  <c r="I260" i="52" s="1"/>
  <c r="G43" i="52"/>
  <c r="G57" i="52" s="1"/>
  <c r="C255" i="53"/>
  <c r="I236" i="52"/>
  <c r="I255" i="52" s="1"/>
  <c r="G35" i="53"/>
  <c r="I237" i="52"/>
  <c r="I256" i="52" s="1"/>
  <c r="I234" i="53"/>
  <c r="I253" i="53" s="1"/>
  <c r="B22" i="54" s="1"/>
  <c r="C34" i="52"/>
  <c r="I231" i="52"/>
  <c r="I250" i="52" s="1"/>
  <c r="I239" i="52"/>
  <c r="I258" i="52" s="1"/>
  <c r="C58" i="53"/>
  <c r="I238" i="52"/>
  <c r="I257" i="52" s="1"/>
  <c r="I227" i="53"/>
  <c r="I246" i="53" s="1"/>
  <c r="B15" i="54" s="1"/>
  <c r="C35" i="53"/>
  <c r="C253" i="53"/>
  <c r="I235" i="53"/>
  <c r="I254" i="53" s="1"/>
  <c r="B23" i="54" s="1"/>
  <c r="I237" i="53"/>
  <c r="I256" i="53" s="1"/>
  <c r="B25" i="54" s="1"/>
  <c r="J259" i="53"/>
  <c r="C249" i="53"/>
  <c r="G58"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AB19" i="66" l="1"/>
  <c r="AC18" i="66"/>
  <c r="H81" i="53"/>
  <c r="I81" i="53"/>
  <c r="C81" i="53"/>
  <c r="K81" i="53"/>
  <c r="J81" i="53"/>
  <c r="D81" i="53"/>
  <c r="F81" i="53"/>
  <c r="L81" i="53"/>
  <c r="E81" i="53"/>
  <c r="G81" i="53"/>
  <c r="G81" i="52"/>
  <c r="I81" i="52"/>
  <c r="H81" i="52"/>
  <c r="E81" i="52"/>
  <c r="C81" i="52"/>
  <c r="K81" i="52"/>
  <c r="F81" i="52"/>
  <c r="D81" i="52"/>
  <c r="L81" i="52"/>
  <c r="J81" i="52"/>
  <c r="H57" i="50"/>
  <c r="G57" i="50"/>
  <c r="H56" i="50"/>
  <c r="G56" i="50"/>
  <c r="H55" i="50"/>
  <c r="G55" i="50"/>
  <c r="H34" i="50"/>
  <c r="G34" i="50"/>
  <c r="H33" i="50"/>
  <c r="G33" i="50"/>
  <c r="H32" i="50"/>
  <c r="G32" i="50"/>
  <c r="H28" i="50"/>
  <c r="G28" i="50"/>
  <c r="A30" i="51"/>
  <c r="A29" i="51"/>
  <c r="E28" i="51"/>
  <c r="A28" i="51"/>
  <c r="A27" i="51"/>
  <c r="A26" i="51"/>
  <c r="A25" i="51"/>
  <c r="A24" i="51"/>
  <c r="A23" i="51"/>
  <c r="A22" i="51"/>
  <c r="A21" i="51"/>
  <c r="A20" i="51"/>
  <c r="A19" i="51"/>
  <c r="A18" i="51"/>
  <c r="A17" i="51"/>
  <c r="A16" i="51"/>
  <c r="A15" i="51"/>
  <c r="A11" i="51"/>
  <c r="A10" i="51"/>
  <c r="A9" i="51"/>
  <c r="A8" i="51"/>
  <c r="A7" i="51"/>
  <c r="A6" i="51"/>
  <c r="A5" i="51"/>
  <c r="A4" i="51"/>
  <c r="A3" i="51"/>
  <c r="A2" i="51"/>
  <c r="H26" i="51"/>
  <c r="H25" i="51"/>
  <c r="H24" i="51"/>
  <c r="H22" i="51"/>
  <c r="H21" i="51"/>
  <c r="H20" i="51"/>
  <c r="H19" i="51"/>
  <c r="H17" i="51"/>
  <c r="H16" i="51"/>
  <c r="H15" i="51"/>
  <c r="L259" i="50"/>
  <c r="B83" i="50"/>
  <c r="C54" i="50"/>
  <c r="G54" i="50" s="1"/>
  <c r="C53" i="50"/>
  <c r="G53" i="50" s="1"/>
  <c r="B79" i="50"/>
  <c r="C52" i="50"/>
  <c r="G52" i="50" s="1"/>
  <c r="C51" i="50"/>
  <c r="G51" i="50" s="1"/>
  <c r="B77" i="50"/>
  <c r="C50" i="50"/>
  <c r="G50" i="50" s="1"/>
  <c r="B76" i="50"/>
  <c r="C49" i="50"/>
  <c r="G49" i="50" s="1"/>
  <c r="B75" i="50"/>
  <c r="C48" i="50"/>
  <c r="G48" i="50" s="1"/>
  <c r="B74" i="50"/>
  <c r="C47" i="50"/>
  <c r="G47" i="50" s="1"/>
  <c r="C46" i="50"/>
  <c r="G46" i="50" s="1"/>
  <c r="C45" i="50"/>
  <c r="G45" i="50" s="1"/>
  <c r="B71" i="50"/>
  <c r="C44" i="50"/>
  <c r="G44" i="50" s="1"/>
  <c r="C43" i="50"/>
  <c r="G43" i="50" s="1"/>
  <c r="B69" i="50"/>
  <c r="C42" i="50"/>
  <c r="G42" i="50" s="1"/>
  <c r="B68" i="50"/>
  <c r="B236" i="50"/>
  <c r="B255" i="50" s="1"/>
  <c r="B11" i="51" s="1"/>
  <c r="B235" i="50"/>
  <c r="B254" i="50" s="1"/>
  <c r="B10" i="51" s="1"/>
  <c r="B234" i="50"/>
  <c r="B253" i="50" s="1"/>
  <c r="B9" i="51" s="1"/>
  <c r="C31" i="50"/>
  <c r="G31" i="50" s="1"/>
  <c r="B233" i="50"/>
  <c r="B252" i="50" s="1"/>
  <c r="B8" i="51" s="1"/>
  <c r="C30" i="50"/>
  <c r="G30" i="50" s="1"/>
  <c r="B232" i="50"/>
  <c r="B251" i="50" s="1"/>
  <c r="B7" i="51" s="1"/>
  <c r="C29" i="50"/>
  <c r="G29" i="50" s="1"/>
  <c r="B231" i="50"/>
  <c r="B250" i="50" s="1"/>
  <c r="B6" i="51" s="1"/>
  <c r="B230" i="50"/>
  <c r="B249" i="50" s="1"/>
  <c r="B5" i="51" s="1"/>
  <c r="C27" i="50"/>
  <c r="G27" i="50" s="1"/>
  <c r="C26" i="50"/>
  <c r="G26" i="50" s="1"/>
  <c r="B228" i="50"/>
  <c r="B247" i="50" s="1"/>
  <c r="B3" i="51" s="1"/>
  <c r="C25" i="50"/>
  <c r="G25" i="50" s="1"/>
  <c r="G22" i="50"/>
  <c r="G39" i="50" s="1"/>
  <c r="C22" i="50"/>
  <c r="C39" i="50" s="1"/>
  <c r="K264" i="49"/>
  <c r="I233" i="49"/>
  <c r="I252" i="49" s="1"/>
  <c r="C56" i="49"/>
  <c r="G56" i="49" s="1"/>
  <c r="B82" i="49"/>
  <c r="C55" i="49"/>
  <c r="G55" i="49" s="1"/>
  <c r="B81" i="49"/>
  <c r="C54" i="49"/>
  <c r="G54" i="49" s="1"/>
  <c r="C53" i="49"/>
  <c r="G53" i="49" s="1"/>
  <c r="B79" i="49"/>
  <c r="C52" i="49"/>
  <c r="G52" i="49" s="1"/>
  <c r="B78" i="49"/>
  <c r="C51" i="49"/>
  <c r="G51" i="49" s="1"/>
  <c r="C50" i="49"/>
  <c r="G50" i="49" s="1"/>
  <c r="B76" i="49"/>
  <c r="C49" i="49"/>
  <c r="G49" i="49" s="1"/>
  <c r="C48" i="49"/>
  <c r="G48" i="49" s="1"/>
  <c r="B74" i="49"/>
  <c r="C47" i="49"/>
  <c r="G47" i="49" s="1"/>
  <c r="B73" i="49"/>
  <c r="C46" i="49"/>
  <c r="G46" i="49" s="1"/>
  <c r="C45" i="49"/>
  <c r="G45" i="49" s="1"/>
  <c r="C44" i="49"/>
  <c r="G44" i="49" s="1"/>
  <c r="B70" i="49"/>
  <c r="C43" i="49"/>
  <c r="G43" i="49" s="1"/>
  <c r="C42" i="49"/>
  <c r="G42" i="49" s="1"/>
  <c r="B68" i="49"/>
  <c r="C41" i="49"/>
  <c r="G41" i="49" s="1"/>
  <c r="C33" i="49"/>
  <c r="G33" i="49" s="1"/>
  <c r="B235" i="49"/>
  <c r="B254" i="49" s="1"/>
  <c r="C32" i="49"/>
  <c r="G32" i="49" s="1"/>
  <c r="B234" i="49"/>
  <c r="B253" i="49" s="1"/>
  <c r="C31" i="49"/>
  <c r="G31" i="49" s="1"/>
  <c r="B233" i="49"/>
  <c r="B252" i="49" s="1"/>
  <c r="C30" i="49"/>
  <c r="G30" i="49" s="1"/>
  <c r="B232" i="49"/>
  <c r="B251" i="49" s="1"/>
  <c r="C29" i="49"/>
  <c r="G29" i="49" s="1"/>
  <c r="B231" i="49"/>
  <c r="B250" i="49" s="1"/>
  <c r="C28" i="49"/>
  <c r="G28" i="49" s="1"/>
  <c r="B230" i="49"/>
  <c r="B249" i="49" s="1"/>
  <c r="C27" i="49"/>
  <c r="G27" i="49" s="1"/>
  <c r="B229" i="49"/>
  <c r="B248" i="49" s="1"/>
  <c r="C26" i="49"/>
  <c r="G26" i="49" s="1"/>
  <c r="C25" i="49"/>
  <c r="G25" i="49" s="1"/>
  <c r="B227" i="49"/>
  <c r="B246" i="49" s="1"/>
  <c r="C24" i="49"/>
  <c r="G24" i="49" s="1"/>
  <c r="G21" i="49"/>
  <c r="G38" i="49" s="1"/>
  <c r="C21" i="49"/>
  <c r="C38" i="49" s="1"/>
  <c r="AD18" i="66" l="1"/>
  <c r="AC19" i="66"/>
  <c r="I241" i="50"/>
  <c r="I260" i="50" s="1"/>
  <c r="B29" i="51" s="1"/>
  <c r="L6" i="51" s="1"/>
  <c r="B82" i="50"/>
  <c r="I226" i="49"/>
  <c r="I245" i="49" s="1"/>
  <c r="B67" i="49"/>
  <c r="I230" i="49"/>
  <c r="I249" i="49" s="1"/>
  <c r="B71" i="49"/>
  <c r="I234" i="49"/>
  <c r="I253" i="49" s="1"/>
  <c r="B75" i="49"/>
  <c r="I227" i="49"/>
  <c r="I246" i="49" s="1"/>
  <c r="I229" i="50"/>
  <c r="I248" i="50" s="1"/>
  <c r="B17" i="51" s="1"/>
  <c r="B70" i="50"/>
  <c r="I237" i="50"/>
  <c r="I256" i="50" s="1"/>
  <c r="B25" i="51" s="1"/>
  <c r="B78" i="50"/>
  <c r="K83" i="50"/>
  <c r="E83" i="50"/>
  <c r="D83" i="50"/>
  <c r="L83" i="50"/>
  <c r="F83" i="50"/>
  <c r="C83" i="50"/>
  <c r="H83" i="50"/>
  <c r="G83" i="50"/>
  <c r="I83" i="50"/>
  <c r="J83" i="50"/>
  <c r="I236" i="50"/>
  <c r="I255" i="50" s="1"/>
  <c r="B24" i="51" s="1"/>
  <c r="I231" i="49"/>
  <c r="I250" i="49" s="1"/>
  <c r="B72" i="49"/>
  <c r="I239" i="49"/>
  <c r="I258" i="49" s="1"/>
  <c r="B80" i="49"/>
  <c r="I228" i="49"/>
  <c r="I247" i="49" s="1"/>
  <c r="B69" i="49"/>
  <c r="I236" i="49"/>
  <c r="I255" i="49" s="1"/>
  <c r="B77" i="49"/>
  <c r="G81" i="49"/>
  <c r="H81" i="49"/>
  <c r="D81" i="49"/>
  <c r="L81" i="49"/>
  <c r="F81" i="49"/>
  <c r="I81" i="49"/>
  <c r="C81" i="49"/>
  <c r="E81" i="49"/>
  <c r="K81" i="49"/>
  <c r="J81" i="49"/>
  <c r="I231" i="50"/>
  <c r="I250" i="50" s="1"/>
  <c r="B19" i="51" s="1"/>
  <c r="B72" i="50"/>
  <c r="I239" i="50"/>
  <c r="I258" i="50" s="1"/>
  <c r="B27" i="51" s="1"/>
  <c r="B80" i="50"/>
  <c r="L82" i="49"/>
  <c r="G82" i="49"/>
  <c r="H82" i="49"/>
  <c r="E82" i="49"/>
  <c r="C82" i="49"/>
  <c r="K82" i="49"/>
  <c r="D82" i="49"/>
  <c r="I82" i="49"/>
  <c r="F82" i="49"/>
  <c r="J82" i="49"/>
  <c r="I232" i="50"/>
  <c r="I251" i="50" s="1"/>
  <c r="B20" i="51" s="1"/>
  <c r="B73" i="50"/>
  <c r="I240" i="50"/>
  <c r="I259" i="50" s="1"/>
  <c r="B28" i="51" s="1"/>
  <c r="L5" i="51" s="1"/>
  <c r="B81" i="50"/>
  <c r="G57" i="49"/>
  <c r="J260" i="50"/>
  <c r="I229" i="49"/>
  <c r="I248" i="49" s="1"/>
  <c r="I230" i="50"/>
  <c r="I249" i="50" s="1"/>
  <c r="B18" i="51" s="1"/>
  <c r="I228" i="50"/>
  <c r="I247" i="50" s="1"/>
  <c r="B16" i="51" s="1"/>
  <c r="I232" i="49"/>
  <c r="I251" i="49" s="1"/>
  <c r="I240" i="49"/>
  <c r="I259" i="49" s="1"/>
  <c r="G34" i="49"/>
  <c r="I235" i="49"/>
  <c r="I254" i="49" s="1"/>
  <c r="C57" i="49"/>
  <c r="I237" i="49"/>
  <c r="I256" i="49" s="1"/>
  <c r="C34" i="49"/>
  <c r="I241" i="49"/>
  <c r="I260" i="49" s="1"/>
  <c r="I227" i="50"/>
  <c r="I246" i="50" s="1"/>
  <c r="B15" i="51" s="1"/>
  <c r="I238" i="49"/>
  <c r="I257" i="49" s="1"/>
  <c r="G35" i="50"/>
  <c r="C35" i="50"/>
  <c r="C58" i="50"/>
  <c r="I242" i="50"/>
  <c r="I261" i="50" s="1"/>
  <c r="B30" i="51" s="1"/>
  <c r="L7" i="51" s="1"/>
  <c r="I238" i="50"/>
  <c r="I257" i="50" s="1"/>
  <c r="B26" i="51" s="1"/>
  <c r="G58" i="50"/>
  <c r="I233" i="50"/>
  <c r="I252" i="50" s="1"/>
  <c r="B21" i="51" s="1"/>
  <c r="I235" i="50"/>
  <c r="I254" i="50" s="1"/>
  <c r="B23" i="51" s="1"/>
  <c r="J261" i="50"/>
  <c r="I234" i="50"/>
  <c r="I253" i="50" s="1"/>
  <c r="B22" i="51" s="1"/>
  <c r="J259" i="50"/>
  <c r="AD19" i="66" l="1"/>
  <c r="AE18" i="66"/>
  <c r="I81" i="50"/>
  <c r="D81" i="50"/>
  <c r="E81" i="50"/>
  <c r="L81" i="50"/>
  <c r="G81" i="50"/>
  <c r="F81" i="50"/>
  <c r="J81" i="50"/>
  <c r="H81" i="50"/>
  <c r="C81" i="50"/>
  <c r="K81" i="50"/>
  <c r="J80" i="49"/>
  <c r="K80" i="49"/>
  <c r="H80" i="49"/>
  <c r="F80" i="49"/>
  <c r="C80" i="49"/>
  <c r="E80" i="49"/>
  <c r="G80" i="49"/>
  <c r="D80" i="49"/>
  <c r="I80" i="49"/>
  <c r="L80" i="49"/>
  <c r="F82" i="50"/>
  <c r="D82" i="50"/>
  <c r="L82" i="50"/>
  <c r="I82" i="50"/>
  <c r="H82" i="50"/>
  <c r="G82" i="50"/>
  <c r="E82" i="50"/>
  <c r="K82" i="50"/>
  <c r="J82" i="50"/>
  <c r="C82" i="50"/>
  <c r="D32" i="33"/>
  <c r="D33" i="33"/>
  <c r="D34" i="33"/>
  <c r="D35" i="33"/>
  <c r="AF18" i="66" l="1"/>
  <c r="AF19" i="66" s="1"/>
  <c r="AE19" i="66"/>
  <c r="D36" i="33"/>
  <c r="D38" i="33" s="1"/>
  <c r="D4" i="63" l="1"/>
  <c r="D4" i="64"/>
  <c r="D4" i="60"/>
  <c r="D4" i="61"/>
  <c r="D4" i="58"/>
  <c r="D4" i="57"/>
  <c r="F9" i="33"/>
  <c r="C273" i="50" l="1"/>
  <c r="C272" i="49"/>
  <c r="C269" i="49"/>
  <c r="C270" i="50"/>
  <c r="C268" i="49"/>
  <c r="C269" i="50"/>
  <c r="C268" i="50"/>
  <c r="C267" i="49"/>
  <c r="C271" i="50"/>
  <c r="C270" i="49"/>
  <c r="C272" i="50"/>
  <c r="C271" i="49"/>
  <c r="C9" i="33"/>
  <c r="E9" i="33"/>
  <c r="E19" i="35" l="1"/>
  <c r="C34" i="36" s="1"/>
  <c r="C13" i="34"/>
  <c r="L34" i="36" l="1"/>
  <c r="C35" i="36"/>
  <c r="C19" i="35"/>
  <c r="U16" i="38"/>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D13" i="34"/>
  <c r="D13" i="36"/>
  <c r="G13" i="34"/>
  <c r="E13" i="36" s="1"/>
  <c r="H13" i="34"/>
  <c r="F13" i="36" s="1"/>
  <c r="D19" i="35"/>
  <c r="O13" i="36" l="1"/>
  <c r="F14" i="36"/>
  <c r="N13" i="36"/>
  <c r="E14" i="36"/>
  <c r="U34" i="36"/>
  <c r="U35" i="36" s="1"/>
  <c r="L35" i="36"/>
  <c r="M13" i="36"/>
  <c r="D14" i="36"/>
  <c r="H29" i="53"/>
  <c r="H29" i="50"/>
  <c r="H26" i="52"/>
  <c r="C4" i="54" s="1"/>
  <c r="H26" i="49"/>
  <c r="C4" i="51" s="1"/>
  <c r="H27" i="53"/>
  <c r="H27" i="50"/>
  <c r="H26" i="53"/>
  <c r="H26" i="50"/>
  <c r="H30" i="53"/>
  <c r="H30" i="50"/>
  <c r="H27" i="52"/>
  <c r="C5" i="54" s="1"/>
  <c r="H27" i="49"/>
  <c r="C5" i="51" s="1"/>
  <c r="H44" i="53"/>
  <c r="H44" i="50"/>
  <c r="H46" i="53"/>
  <c r="H46" i="50"/>
  <c r="H52" i="53"/>
  <c r="H52" i="50"/>
  <c r="H50" i="53"/>
  <c r="H50" i="50"/>
  <c r="H48" i="53"/>
  <c r="H48" i="50"/>
  <c r="H54" i="53"/>
  <c r="H54" i="50"/>
  <c r="H53" i="53"/>
  <c r="H53" i="50"/>
  <c r="H51" i="53"/>
  <c r="H51" i="50"/>
  <c r="H49" i="53"/>
  <c r="H49" i="50"/>
  <c r="H47" i="53"/>
  <c r="H47" i="50"/>
  <c r="H45" i="53"/>
  <c r="H45" i="50"/>
  <c r="H43" i="53"/>
  <c r="H43" i="50"/>
  <c r="H31" i="53"/>
  <c r="H31" i="50"/>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J20" i="38"/>
  <c r="J21" i="38"/>
  <c r="J22" i="38"/>
  <c r="J25" i="38"/>
  <c r="J24" i="38"/>
  <c r="J23" i="38"/>
  <c r="J26" i="38"/>
  <c r="J27" i="38"/>
  <c r="J28" i="38"/>
  <c r="J34" i="38"/>
  <c r="J29" i="38"/>
  <c r="T10" i="38" s="1"/>
  <c r="J33" i="38"/>
  <c r="J31" i="38"/>
  <c r="J32" i="38"/>
  <c r="J30" i="38"/>
  <c r="J35" i="38"/>
  <c r="J36" i="38"/>
  <c r="J37" i="38"/>
  <c r="J39" i="38"/>
  <c r="J40" i="38"/>
  <c r="J41" i="38"/>
  <c r="J42" i="38"/>
  <c r="J38" i="38"/>
  <c r="J44" i="38"/>
  <c r="J45" i="38"/>
  <c r="J43" i="38"/>
  <c r="J2" i="38"/>
  <c r="H29" i="57"/>
  <c r="C74" i="71" l="1"/>
  <c r="C75" i="72"/>
  <c r="C74" i="74"/>
  <c r="C75" i="75"/>
  <c r="C74" i="77"/>
  <c r="C75" i="78"/>
  <c r="C74" i="80"/>
  <c r="C74" i="83"/>
  <c r="C75" i="84"/>
  <c r="C75" i="81"/>
  <c r="C73" i="71"/>
  <c r="C74" i="78"/>
  <c r="C73" i="80"/>
  <c r="C74" i="81"/>
  <c r="C73" i="74"/>
  <c r="C74" i="72"/>
  <c r="C74" i="84"/>
  <c r="C74" i="75"/>
  <c r="C73" i="77"/>
  <c r="C73" i="83"/>
  <c r="X13" i="36"/>
  <c r="X14" i="36" s="1"/>
  <c r="O14" i="36"/>
  <c r="W13" i="36"/>
  <c r="W14" i="36" s="1"/>
  <c r="N14" i="36"/>
  <c r="V13" i="36"/>
  <c r="V14" i="36" s="1"/>
  <c r="M14" i="36"/>
  <c r="C74" i="63"/>
  <c r="C75" i="64"/>
  <c r="C73" i="63"/>
  <c r="C74" i="64"/>
  <c r="C74" i="61"/>
  <c r="C73" i="60"/>
  <c r="C74" i="60"/>
  <c r="C75" i="61"/>
  <c r="C7" i="59"/>
  <c r="E7" i="59" s="1"/>
  <c r="H28" i="57"/>
  <c r="C75" i="53"/>
  <c r="C74" i="57"/>
  <c r="C75" i="58"/>
  <c r="C74" i="53"/>
  <c r="C74" i="58"/>
  <c r="C73" i="57"/>
  <c r="H32" i="52"/>
  <c r="C10" i="54" s="1"/>
  <c r="H32" i="49"/>
  <c r="C10" i="51" s="1"/>
  <c r="H28" i="52"/>
  <c r="H28" i="49"/>
  <c r="H29" i="52"/>
  <c r="H29" i="49"/>
  <c r="H42" i="50"/>
  <c r="D58" i="50"/>
  <c r="D10" i="50" s="1"/>
  <c r="H42" i="53"/>
  <c r="H58" i="53" s="1"/>
  <c r="E110" i="53" s="1"/>
  <c r="D58" i="53"/>
  <c r="D10" i="53" s="1"/>
  <c r="H30" i="52"/>
  <c r="C8" i="54" s="1"/>
  <c r="H30" i="49"/>
  <c r="C8" i="51" s="1"/>
  <c r="H25" i="53"/>
  <c r="D35" i="53"/>
  <c r="D7" i="53" s="1"/>
  <c r="H24" i="49"/>
  <c r="H24" i="52"/>
  <c r="H25" i="50"/>
  <c r="D35" i="50"/>
  <c r="D7" i="50" s="1"/>
  <c r="C74" i="50"/>
  <c r="C73" i="52"/>
  <c r="C75" i="50"/>
  <c r="C74" i="52"/>
  <c r="C74" i="49"/>
  <c r="C73" i="49"/>
  <c r="T6" i="38"/>
  <c r="T15" i="38"/>
  <c r="T13" i="38"/>
  <c r="T14" i="38"/>
  <c r="T12" i="38"/>
  <c r="E13" i="34"/>
  <c r="C13" i="36" s="1"/>
  <c r="T3" i="38"/>
  <c r="T5" i="38"/>
  <c r="T4" i="38"/>
  <c r="T11" i="38"/>
  <c r="T8" i="38"/>
  <c r="T7" i="38"/>
  <c r="Y3" i="38"/>
  <c r="U12" i="38"/>
  <c r="AC12" i="38"/>
  <c r="Y13" i="38"/>
  <c r="Z15" i="38"/>
  <c r="Z13" i="38"/>
  <c r="W4" i="38"/>
  <c r="W14" i="38"/>
  <c r="AC10" i="38"/>
  <c r="Y9" i="38"/>
  <c r="W8" i="38"/>
  <c r="U14" i="38"/>
  <c r="Z14" i="38"/>
  <c r="AC15" i="38"/>
  <c r="W15" i="38"/>
  <c r="Y14" i="38"/>
  <c r="AC13" i="38"/>
  <c r="W13" i="38"/>
  <c r="Y12" i="38"/>
  <c r="AC11" i="38"/>
  <c r="W11" i="38"/>
  <c r="Y10" i="38"/>
  <c r="AC9" i="38"/>
  <c r="W9" i="38"/>
  <c r="Y8" i="38"/>
  <c r="AC7" i="38"/>
  <c r="W7" i="38"/>
  <c r="Y6" i="38"/>
  <c r="AC5" i="38"/>
  <c r="W5" i="38"/>
  <c r="Y4" i="38"/>
  <c r="AB15" i="38"/>
  <c r="V15" i="38"/>
  <c r="AB13" i="38"/>
  <c r="V13" i="38"/>
  <c r="X12" i="38"/>
  <c r="AB11" i="38"/>
  <c r="V11" i="38"/>
  <c r="X10" i="38"/>
  <c r="AB9" i="38"/>
  <c r="V9" i="38"/>
  <c r="X8" i="38"/>
  <c r="AB7" i="38"/>
  <c r="V7" i="38"/>
  <c r="X6" i="38"/>
  <c r="AB5" i="38"/>
  <c r="V5" i="38"/>
  <c r="X4" i="38"/>
  <c r="X14" i="38"/>
  <c r="AA15" i="38"/>
  <c r="U15" i="38"/>
  <c r="AA13" i="38"/>
  <c r="U13" i="38"/>
  <c r="AA11" i="38"/>
  <c r="U11" i="38"/>
  <c r="AA9" i="38"/>
  <c r="U9" i="38"/>
  <c r="AA7" i="38"/>
  <c r="U7" i="38"/>
  <c r="AA5" i="38"/>
  <c r="U5" i="38"/>
  <c r="Z5" i="38"/>
  <c r="Z9" i="38"/>
  <c r="AC14" i="38"/>
  <c r="W12" i="38"/>
  <c r="W10" i="38"/>
  <c r="Y7" i="38"/>
  <c r="W6" i="38"/>
  <c r="Y5" i="38"/>
  <c r="AC4" i="38"/>
  <c r="X15" i="38"/>
  <c r="AB14" i="38"/>
  <c r="V14" i="38"/>
  <c r="X13" i="38"/>
  <c r="AB12" i="38"/>
  <c r="V12" i="38"/>
  <c r="X11" i="38"/>
  <c r="AB10" i="38"/>
  <c r="V10" i="38"/>
  <c r="X9" i="38"/>
  <c r="AB8" i="38"/>
  <c r="V8" i="38"/>
  <c r="X7" i="38"/>
  <c r="AB6" i="38"/>
  <c r="V6" i="38"/>
  <c r="X5" i="38"/>
  <c r="AB4" i="38"/>
  <c r="V4" i="38"/>
  <c r="Y15" i="38"/>
  <c r="Y11" i="38"/>
  <c r="AC8" i="38"/>
  <c r="AC6" i="38"/>
  <c r="AA14" i="38"/>
  <c r="AA12" i="38"/>
  <c r="AA10" i="38"/>
  <c r="U10" i="38"/>
  <c r="AA8" i="38"/>
  <c r="U8" i="38"/>
  <c r="AA6" i="38"/>
  <c r="U6" i="38"/>
  <c r="AA4" i="38"/>
  <c r="U4" i="38"/>
  <c r="Z11" i="38"/>
  <c r="Z7" i="38"/>
  <c r="Z12" i="38"/>
  <c r="Z10" i="38"/>
  <c r="Z8" i="38"/>
  <c r="Z6" i="38"/>
  <c r="Z4" i="38"/>
  <c r="AC3" i="38"/>
  <c r="W3" i="38"/>
  <c r="AB3" i="38"/>
  <c r="V3" i="38"/>
  <c r="AA3" i="38"/>
  <c r="U3" i="38"/>
  <c r="Z3" i="38"/>
  <c r="X3" i="38"/>
  <c r="G75" i="71" l="1"/>
  <c r="G76" i="75"/>
  <c r="G76" i="78"/>
  <c r="G75" i="80"/>
  <c r="G76" i="81"/>
  <c r="G75" i="74"/>
  <c r="G76" i="72"/>
  <c r="G75" i="83"/>
  <c r="G76" i="84"/>
  <c r="G75" i="77"/>
  <c r="D76" i="71"/>
  <c r="D76" i="77"/>
  <c r="D77" i="78"/>
  <c r="D76" i="80"/>
  <c r="D77" i="81"/>
  <c r="D77" i="72"/>
  <c r="D77" i="75"/>
  <c r="D76" i="74"/>
  <c r="D76" i="83"/>
  <c r="D77" i="84"/>
  <c r="F76" i="71"/>
  <c r="F77" i="72"/>
  <c r="F76" i="74"/>
  <c r="F77" i="75"/>
  <c r="K76" i="71"/>
  <c r="K77" i="72"/>
  <c r="K77" i="75"/>
  <c r="K76" i="80"/>
  <c r="F77" i="81"/>
  <c r="K76" i="77"/>
  <c r="F77" i="78"/>
  <c r="F76" i="80"/>
  <c r="K76" i="83"/>
  <c r="K77" i="84"/>
  <c r="F76" i="77"/>
  <c r="K77" i="81"/>
  <c r="K76" i="74"/>
  <c r="K77" i="78"/>
  <c r="F76" i="83"/>
  <c r="F77" i="84"/>
  <c r="H72" i="71"/>
  <c r="H73" i="72"/>
  <c r="H72" i="74"/>
  <c r="H73" i="75"/>
  <c r="H72" i="77"/>
  <c r="H73" i="78"/>
  <c r="H72" i="80"/>
  <c r="H73" i="81"/>
  <c r="H72" i="83"/>
  <c r="H73" i="84"/>
  <c r="G79" i="71"/>
  <c r="G79" i="80"/>
  <c r="G80" i="81"/>
  <c r="G79" i="74"/>
  <c r="G79" i="77"/>
  <c r="G80" i="72"/>
  <c r="G80" i="75"/>
  <c r="G80" i="78"/>
  <c r="G79" i="83"/>
  <c r="G80" i="84"/>
  <c r="I73" i="72"/>
  <c r="I72" i="74"/>
  <c r="I72" i="77"/>
  <c r="I73" i="81"/>
  <c r="I72" i="71"/>
  <c r="I73" i="78"/>
  <c r="I72" i="80"/>
  <c r="I72" i="83"/>
  <c r="I73" i="84"/>
  <c r="I73" i="75"/>
  <c r="E78" i="71"/>
  <c r="E79" i="72"/>
  <c r="E78" i="74"/>
  <c r="E79" i="78"/>
  <c r="E78" i="80"/>
  <c r="E78" i="83"/>
  <c r="E79" i="84"/>
  <c r="E79" i="75"/>
  <c r="E79" i="81"/>
  <c r="E78" i="77"/>
  <c r="J76" i="71"/>
  <c r="J77" i="72"/>
  <c r="J76" i="74"/>
  <c r="J77" i="75"/>
  <c r="J77" i="78"/>
  <c r="J76" i="77"/>
  <c r="J76" i="83"/>
  <c r="J77" i="84"/>
  <c r="J77" i="81"/>
  <c r="J76" i="80"/>
  <c r="D73" i="71"/>
  <c r="D74" i="72"/>
  <c r="D73" i="74"/>
  <c r="D74" i="75"/>
  <c r="D74" i="78"/>
  <c r="D73" i="80"/>
  <c r="D73" i="77"/>
  <c r="D74" i="81"/>
  <c r="D73" i="83"/>
  <c r="D74" i="84"/>
  <c r="E73" i="71"/>
  <c r="E74" i="72"/>
  <c r="E73" i="74"/>
  <c r="E74" i="75"/>
  <c r="E73" i="77"/>
  <c r="E74" i="78"/>
  <c r="E73" i="80"/>
  <c r="E74" i="81"/>
  <c r="E73" i="83"/>
  <c r="E74" i="84"/>
  <c r="E79" i="71"/>
  <c r="E80" i="72"/>
  <c r="E79" i="80"/>
  <c r="E80" i="75"/>
  <c r="E79" i="83"/>
  <c r="E80" i="84"/>
  <c r="E79" i="77"/>
  <c r="E79" i="74"/>
  <c r="E80" i="78"/>
  <c r="E80" i="81"/>
  <c r="G72" i="71"/>
  <c r="G73" i="72"/>
  <c r="G72" i="74"/>
  <c r="G73" i="75"/>
  <c r="G72" i="77"/>
  <c r="G73" i="81"/>
  <c r="G73" i="78"/>
  <c r="G72" i="80"/>
  <c r="G72" i="83"/>
  <c r="G73" i="84"/>
  <c r="L77" i="71"/>
  <c r="L78" i="72"/>
  <c r="L77" i="74"/>
  <c r="L78" i="75"/>
  <c r="L77" i="77"/>
  <c r="L78" i="78"/>
  <c r="L77" i="80"/>
  <c r="L78" i="81"/>
  <c r="L77" i="83"/>
  <c r="L78" i="84"/>
  <c r="L74" i="71"/>
  <c r="L75" i="72"/>
  <c r="L74" i="74"/>
  <c r="L75" i="75"/>
  <c r="L74" i="77"/>
  <c r="L75" i="78"/>
  <c r="L74" i="80"/>
  <c r="L75" i="81"/>
  <c r="L74" i="83"/>
  <c r="L75" i="84"/>
  <c r="G68" i="75"/>
  <c r="G68" i="78"/>
  <c r="G67" i="80"/>
  <c r="G67" i="74"/>
  <c r="G68" i="72"/>
  <c r="G67" i="71"/>
  <c r="G67" i="77"/>
  <c r="G67" i="83"/>
  <c r="G68" i="81"/>
  <c r="G68" i="84"/>
  <c r="C76" i="71"/>
  <c r="C77" i="72"/>
  <c r="C76" i="77"/>
  <c r="C77" i="78"/>
  <c r="C76" i="80"/>
  <c r="C77" i="75"/>
  <c r="C77" i="81"/>
  <c r="C76" i="83"/>
  <c r="C77" i="84"/>
  <c r="C76" i="74"/>
  <c r="H67" i="71"/>
  <c r="H68" i="72"/>
  <c r="H67" i="74"/>
  <c r="H68" i="75"/>
  <c r="H67" i="77"/>
  <c r="H68" i="78"/>
  <c r="H67" i="80"/>
  <c r="H68" i="81"/>
  <c r="H67" i="83"/>
  <c r="H68" i="84"/>
  <c r="H71" i="71"/>
  <c r="H72" i="72"/>
  <c r="H71" i="74"/>
  <c r="H72" i="75"/>
  <c r="H71" i="77"/>
  <c r="H72" i="78"/>
  <c r="H71" i="80"/>
  <c r="H72" i="81"/>
  <c r="H71" i="83"/>
  <c r="H72" i="84"/>
  <c r="G73" i="77"/>
  <c r="G73" i="74"/>
  <c r="G74" i="72"/>
  <c r="G73" i="71"/>
  <c r="G74" i="78"/>
  <c r="G74" i="81"/>
  <c r="G73" i="83"/>
  <c r="G74" i="84"/>
  <c r="G74" i="75"/>
  <c r="G73" i="80"/>
  <c r="E67" i="71"/>
  <c r="E68" i="72"/>
  <c r="E68" i="75"/>
  <c r="E68" i="78"/>
  <c r="E67" i="80"/>
  <c r="E68" i="81"/>
  <c r="E67" i="83"/>
  <c r="E68" i="84"/>
  <c r="E67" i="74"/>
  <c r="E67" i="77"/>
  <c r="I67" i="71"/>
  <c r="I68" i="72"/>
  <c r="I67" i="74"/>
  <c r="I68" i="75"/>
  <c r="I67" i="77"/>
  <c r="I68" i="78"/>
  <c r="I68" i="81"/>
  <c r="I67" i="83"/>
  <c r="I68" i="84"/>
  <c r="I67" i="80"/>
  <c r="F71" i="71"/>
  <c r="K71" i="71"/>
  <c r="F72" i="78"/>
  <c r="F71" i="80"/>
  <c r="K72" i="72"/>
  <c r="K71" i="74"/>
  <c r="F72" i="72"/>
  <c r="F72" i="75"/>
  <c r="F71" i="74"/>
  <c r="K72" i="75"/>
  <c r="F71" i="83"/>
  <c r="F72" i="84"/>
  <c r="K71" i="80"/>
  <c r="K71" i="77"/>
  <c r="F71" i="77"/>
  <c r="F72" i="81"/>
  <c r="K71" i="83"/>
  <c r="K72" i="84"/>
  <c r="K72" i="78"/>
  <c r="K72" i="81"/>
  <c r="D74" i="71"/>
  <c r="D75" i="72"/>
  <c r="D74" i="74"/>
  <c r="D75" i="75"/>
  <c r="D74" i="77"/>
  <c r="D75" i="78"/>
  <c r="D74" i="80"/>
  <c r="D75" i="81"/>
  <c r="D74" i="83"/>
  <c r="D75" i="84"/>
  <c r="E69" i="72"/>
  <c r="E69" i="78"/>
  <c r="E68" i="80"/>
  <c r="E68" i="71"/>
  <c r="E68" i="74"/>
  <c r="E68" i="83"/>
  <c r="E69" i="75"/>
  <c r="E68" i="77"/>
  <c r="E69" i="81"/>
  <c r="E69" i="84"/>
  <c r="I78" i="71"/>
  <c r="I79" i="75"/>
  <c r="I78" i="80"/>
  <c r="I79" i="81"/>
  <c r="I79" i="72"/>
  <c r="I78" i="74"/>
  <c r="I79" i="84"/>
  <c r="I78" i="77"/>
  <c r="I78" i="83"/>
  <c r="I79" i="78"/>
  <c r="L78" i="71"/>
  <c r="L79" i="72"/>
  <c r="L78" i="74"/>
  <c r="L79" i="75"/>
  <c r="L78" i="77"/>
  <c r="L79" i="78"/>
  <c r="L78" i="80"/>
  <c r="L79" i="81"/>
  <c r="L78" i="83"/>
  <c r="L79" i="84"/>
  <c r="H73" i="71"/>
  <c r="H74" i="72"/>
  <c r="H73" i="74"/>
  <c r="H74" i="75"/>
  <c r="H73" i="77"/>
  <c r="H74" i="81"/>
  <c r="H73" i="83"/>
  <c r="H74" i="84"/>
  <c r="H74" i="78"/>
  <c r="H73" i="80"/>
  <c r="I73" i="71"/>
  <c r="I74" i="72"/>
  <c r="I74" i="75"/>
  <c r="I74" i="78"/>
  <c r="I73" i="80"/>
  <c r="I74" i="81"/>
  <c r="I73" i="83"/>
  <c r="I74" i="84"/>
  <c r="I73" i="74"/>
  <c r="I73" i="77"/>
  <c r="I79" i="71"/>
  <c r="I80" i="72"/>
  <c r="I79" i="74"/>
  <c r="I80" i="75"/>
  <c r="I79" i="77"/>
  <c r="I80" i="78"/>
  <c r="I79" i="80"/>
  <c r="I80" i="81"/>
  <c r="I79" i="83"/>
  <c r="I80" i="84"/>
  <c r="J73" i="71"/>
  <c r="J74" i="75"/>
  <c r="J74" i="78"/>
  <c r="J73" i="80"/>
  <c r="J73" i="74"/>
  <c r="J74" i="72"/>
  <c r="J73" i="77"/>
  <c r="J74" i="81"/>
  <c r="J73" i="83"/>
  <c r="J74" i="84"/>
  <c r="G78" i="71"/>
  <c r="G79" i="72"/>
  <c r="G79" i="75"/>
  <c r="G78" i="80"/>
  <c r="G78" i="77"/>
  <c r="G79" i="78"/>
  <c r="G78" i="83"/>
  <c r="G79" i="84"/>
  <c r="G79" i="81"/>
  <c r="G78" i="74"/>
  <c r="J78" i="71"/>
  <c r="J79" i="72"/>
  <c r="J78" i="74"/>
  <c r="J79" i="75"/>
  <c r="J78" i="77"/>
  <c r="J79" i="78"/>
  <c r="J79" i="81"/>
  <c r="J78" i="80"/>
  <c r="J78" i="83"/>
  <c r="J79" i="84"/>
  <c r="C71" i="74"/>
  <c r="C71" i="71"/>
  <c r="C72" i="72"/>
  <c r="C71" i="77"/>
  <c r="C72" i="75"/>
  <c r="C72" i="78"/>
  <c r="C71" i="80"/>
  <c r="C71" i="83"/>
  <c r="C72" i="84"/>
  <c r="C72" i="81"/>
  <c r="C78" i="71"/>
  <c r="C79" i="72"/>
  <c r="C78" i="74"/>
  <c r="C79" i="75"/>
  <c r="C78" i="77"/>
  <c r="C79" i="78"/>
  <c r="C78" i="80"/>
  <c r="C79" i="81"/>
  <c r="C78" i="83"/>
  <c r="C79" i="84"/>
  <c r="C72" i="71"/>
  <c r="C73" i="72"/>
  <c r="C73" i="75"/>
  <c r="C73" i="78"/>
  <c r="C72" i="80"/>
  <c r="C72" i="77"/>
  <c r="C72" i="83"/>
  <c r="C73" i="84"/>
  <c r="C72" i="74"/>
  <c r="C73" i="81"/>
  <c r="C77" i="71"/>
  <c r="C78" i="75"/>
  <c r="C77" i="80"/>
  <c r="C78" i="81"/>
  <c r="C77" i="74"/>
  <c r="C77" i="77"/>
  <c r="C78" i="78"/>
  <c r="C78" i="72"/>
  <c r="C77" i="83"/>
  <c r="C78" i="84"/>
  <c r="J77" i="71"/>
  <c r="J77" i="80"/>
  <c r="J78" i="81"/>
  <c r="J78" i="72"/>
  <c r="J78" i="75"/>
  <c r="J77" i="74"/>
  <c r="J77" i="83"/>
  <c r="J78" i="84"/>
  <c r="J78" i="78"/>
  <c r="J77" i="77"/>
  <c r="H74" i="71"/>
  <c r="H75" i="72"/>
  <c r="H75" i="78"/>
  <c r="H74" i="80"/>
  <c r="H75" i="81"/>
  <c r="H75" i="75"/>
  <c r="H74" i="74"/>
  <c r="H74" i="83"/>
  <c r="H75" i="84"/>
  <c r="H74" i="77"/>
  <c r="D75" i="71"/>
  <c r="D76" i="72"/>
  <c r="D75" i="74"/>
  <c r="D76" i="75"/>
  <c r="D75" i="77"/>
  <c r="D75" i="83"/>
  <c r="D76" i="84"/>
  <c r="D76" i="81"/>
  <c r="D76" i="78"/>
  <c r="D75" i="80"/>
  <c r="L73" i="71"/>
  <c r="L74" i="72"/>
  <c r="L73" i="74"/>
  <c r="L74" i="75"/>
  <c r="L74" i="81"/>
  <c r="L73" i="77"/>
  <c r="L74" i="78"/>
  <c r="L73" i="80"/>
  <c r="L73" i="83"/>
  <c r="L74" i="84"/>
  <c r="F69" i="71"/>
  <c r="F70" i="72"/>
  <c r="F69" i="74"/>
  <c r="F70" i="75"/>
  <c r="F69" i="77"/>
  <c r="K69" i="77"/>
  <c r="K70" i="78"/>
  <c r="K69" i="80"/>
  <c r="K70" i="72"/>
  <c r="K69" i="71"/>
  <c r="K69" i="74"/>
  <c r="F70" i="78"/>
  <c r="F69" i="80"/>
  <c r="F70" i="81"/>
  <c r="K70" i="81"/>
  <c r="K70" i="75"/>
  <c r="F69" i="83"/>
  <c r="F70" i="84"/>
  <c r="K69" i="83"/>
  <c r="K70" i="84"/>
  <c r="I69" i="71"/>
  <c r="I70" i="72"/>
  <c r="I69" i="77"/>
  <c r="I70" i="78"/>
  <c r="I69" i="80"/>
  <c r="I70" i="75"/>
  <c r="I69" i="83"/>
  <c r="I70" i="84"/>
  <c r="I70" i="81"/>
  <c r="I69" i="74"/>
  <c r="E75" i="71"/>
  <c r="E76" i="72"/>
  <c r="E75" i="77"/>
  <c r="E76" i="75"/>
  <c r="E76" i="78"/>
  <c r="E75" i="80"/>
  <c r="E75" i="74"/>
  <c r="E75" i="83"/>
  <c r="E76" i="84"/>
  <c r="E76" i="81"/>
  <c r="J69" i="77"/>
  <c r="J70" i="78"/>
  <c r="J69" i="80"/>
  <c r="J70" i="72"/>
  <c r="J69" i="71"/>
  <c r="J70" i="75"/>
  <c r="J69" i="74"/>
  <c r="J69" i="83"/>
  <c r="J70" i="84"/>
  <c r="J70" i="81"/>
  <c r="G74" i="71"/>
  <c r="G75" i="72"/>
  <c r="G74" i="77"/>
  <c r="G75" i="78"/>
  <c r="G74" i="80"/>
  <c r="G75" i="75"/>
  <c r="G74" i="74"/>
  <c r="G74" i="83"/>
  <c r="G75" i="84"/>
  <c r="G75" i="81"/>
  <c r="L79" i="71"/>
  <c r="L80" i="72"/>
  <c r="L79" i="74"/>
  <c r="L80" i="75"/>
  <c r="L80" i="78"/>
  <c r="L79" i="77"/>
  <c r="L80" i="81"/>
  <c r="L79" i="83"/>
  <c r="L80" i="84"/>
  <c r="L79" i="80"/>
  <c r="F77" i="71"/>
  <c r="F78" i="72"/>
  <c r="F77" i="74"/>
  <c r="F78" i="75"/>
  <c r="F77" i="77"/>
  <c r="F78" i="78"/>
  <c r="K77" i="71"/>
  <c r="K77" i="80"/>
  <c r="K78" i="81"/>
  <c r="K77" i="77"/>
  <c r="K78" i="78"/>
  <c r="K78" i="72"/>
  <c r="K77" i="74"/>
  <c r="F77" i="80"/>
  <c r="F78" i="81"/>
  <c r="K78" i="84"/>
  <c r="K77" i="83"/>
  <c r="F77" i="83"/>
  <c r="F78" i="84"/>
  <c r="K78" i="75"/>
  <c r="C75" i="71"/>
  <c r="C75" i="74"/>
  <c r="C76" i="81"/>
  <c r="C76" i="78"/>
  <c r="C76" i="72"/>
  <c r="C76" i="75"/>
  <c r="C75" i="83"/>
  <c r="C76" i="84"/>
  <c r="C75" i="77"/>
  <c r="C75" i="80"/>
  <c r="C80" i="72"/>
  <c r="C79" i="74"/>
  <c r="C80" i="78"/>
  <c r="C79" i="77"/>
  <c r="C80" i="75"/>
  <c r="C79" i="80"/>
  <c r="C79" i="83"/>
  <c r="C80" i="84"/>
  <c r="C79" i="71"/>
  <c r="C80" i="81"/>
  <c r="E72" i="71"/>
  <c r="E73" i="75"/>
  <c r="E73" i="78"/>
  <c r="E72" i="80"/>
  <c r="E73" i="81"/>
  <c r="E73" i="72"/>
  <c r="E72" i="74"/>
  <c r="E72" i="77"/>
  <c r="E73" i="84"/>
  <c r="E72" i="83"/>
  <c r="L71" i="71"/>
  <c r="L72" i="72"/>
  <c r="L71" i="74"/>
  <c r="L72" i="75"/>
  <c r="L71" i="77"/>
  <c r="L71" i="83"/>
  <c r="L72" i="84"/>
  <c r="L72" i="78"/>
  <c r="L71" i="80"/>
  <c r="L72" i="81"/>
  <c r="I68" i="71"/>
  <c r="I68" i="74"/>
  <c r="I68" i="80"/>
  <c r="I69" i="78"/>
  <c r="I69" i="81"/>
  <c r="I68" i="83"/>
  <c r="I69" i="84"/>
  <c r="I69" i="72"/>
  <c r="I68" i="77"/>
  <c r="I69" i="75"/>
  <c r="E69" i="71"/>
  <c r="E70" i="72"/>
  <c r="E69" i="74"/>
  <c r="E70" i="75"/>
  <c r="E69" i="77"/>
  <c r="E70" i="78"/>
  <c r="E69" i="80"/>
  <c r="E70" i="81"/>
  <c r="E69" i="83"/>
  <c r="E70" i="84"/>
  <c r="J79" i="71"/>
  <c r="J80" i="72"/>
  <c r="J79" i="74"/>
  <c r="J80" i="75"/>
  <c r="J79" i="77"/>
  <c r="J80" i="78"/>
  <c r="J79" i="80"/>
  <c r="J80" i="81"/>
  <c r="J79" i="83"/>
  <c r="J80" i="84"/>
  <c r="H76" i="71"/>
  <c r="H77" i="72"/>
  <c r="H76" i="74"/>
  <c r="H77" i="75"/>
  <c r="H76" i="77"/>
  <c r="H77" i="78"/>
  <c r="H76" i="80"/>
  <c r="H77" i="81"/>
  <c r="H76" i="83"/>
  <c r="H77" i="84"/>
  <c r="H75" i="71"/>
  <c r="H76" i="72"/>
  <c r="H75" i="74"/>
  <c r="H76" i="75"/>
  <c r="H75" i="77"/>
  <c r="H76" i="78"/>
  <c r="H75" i="80"/>
  <c r="H76" i="81"/>
  <c r="H75" i="83"/>
  <c r="H76" i="84"/>
  <c r="H68" i="71"/>
  <c r="H69" i="72"/>
  <c r="H68" i="74"/>
  <c r="H69" i="75"/>
  <c r="H68" i="77"/>
  <c r="H69" i="78"/>
  <c r="H68" i="80"/>
  <c r="H69" i="81"/>
  <c r="H68" i="83"/>
  <c r="H69" i="84"/>
  <c r="H78" i="71"/>
  <c r="H79" i="75"/>
  <c r="H78" i="80"/>
  <c r="H79" i="81"/>
  <c r="H79" i="72"/>
  <c r="H78" i="74"/>
  <c r="H78" i="83"/>
  <c r="H79" i="84"/>
  <c r="H78" i="77"/>
  <c r="H79" i="78"/>
  <c r="E71" i="72"/>
  <c r="E70" i="71"/>
  <c r="E70" i="74"/>
  <c r="E70" i="77"/>
  <c r="E71" i="75"/>
  <c r="E70" i="83"/>
  <c r="E71" i="84"/>
  <c r="E70" i="80"/>
  <c r="E71" i="78"/>
  <c r="E71" i="81"/>
  <c r="G69" i="74"/>
  <c r="G70" i="72"/>
  <c r="G69" i="71"/>
  <c r="G69" i="77"/>
  <c r="G70" i="78"/>
  <c r="G69" i="80"/>
  <c r="G69" i="83"/>
  <c r="G70" i="84"/>
  <c r="G70" i="81"/>
  <c r="G70" i="75"/>
  <c r="D69" i="71"/>
  <c r="D70" i="72"/>
  <c r="D69" i="74"/>
  <c r="D70" i="75"/>
  <c r="D69" i="77"/>
  <c r="D70" i="78"/>
  <c r="D69" i="80"/>
  <c r="D70" i="81"/>
  <c r="D69" i="83"/>
  <c r="D70" i="84"/>
  <c r="D77" i="71"/>
  <c r="D78" i="72"/>
  <c r="D77" i="74"/>
  <c r="D78" i="75"/>
  <c r="D77" i="77"/>
  <c r="D78" i="78"/>
  <c r="D78" i="81"/>
  <c r="D77" i="80"/>
  <c r="D77" i="83"/>
  <c r="D78" i="84"/>
  <c r="I75" i="71"/>
  <c r="I76" i="72"/>
  <c r="I75" i="74"/>
  <c r="I76" i="75"/>
  <c r="I75" i="77"/>
  <c r="I76" i="78"/>
  <c r="I75" i="80"/>
  <c r="I76" i="81"/>
  <c r="I75" i="83"/>
  <c r="I76" i="84"/>
  <c r="L69" i="71"/>
  <c r="L70" i="72"/>
  <c r="L69" i="74"/>
  <c r="L70" i="75"/>
  <c r="L69" i="77"/>
  <c r="L70" i="78"/>
  <c r="L69" i="80"/>
  <c r="L70" i="81"/>
  <c r="L69" i="83"/>
  <c r="L70" i="84"/>
  <c r="J75" i="71"/>
  <c r="J76" i="72"/>
  <c r="J75" i="74"/>
  <c r="J76" i="75"/>
  <c r="J75" i="77"/>
  <c r="J76" i="78"/>
  <c r="J75" i="80"/>
  <c r="J76" i="81"/>
  <c r="J75" i="83"/>
  <c r="J76" i="84"/>
  <c r="K78" i="71"/>
  <c r="K79" i="72"/>
  <c r="K78" i="74"/>
  <c r="K79" i="75"/>
  <c r="K78" i="77"/>
  <c r="F78" i="71"/>
  <c r="F79" i="72"/>
  <c r="F78" i="74"/>
  <c r="F79" i="75"/>
  <c r="K79" i="78"/>
  <c r="F78" i="77"/>
  <c r="F79" i="78"/>
  <c r="K79" i="81"/>
  <c r="F78" i="83"/>
  <c r="F79" i="84"/>
  <c r="F79" i="81"/>
  <c r="K78" i="80"/>
  <c r="K78" i="83"/>
  <c r="K79" i="84"/>
  <c r="F78" i="80"/>
  <c r="F79" i="71"/>
  <c r="K80" i="78"/>
  <c r="F79" i="80"/>
  <c r="F80" i="81"/>
  <c r="K79" i="74"/>
  <c r="K80" i="72"/>
  <c r="F80" i="75"/>
  <c r="F80" i="78"/>
  <c r="K79" i="71"/>
  <c r="F79" i="74"/>
  <c r="F79" i="77"/>
  <c r="K79" i="77"/>
  <c r="F79" i="83"/>
  <c r="F80" i="84"/>
  <c r="K80" i="75"/>
  <c r="K80" i="81"/>
  <c r="F80" i="72"/>
  <c r="K79" i="80"/>
  <c r="K79" i="83"/>
  <c r="K80" i="84"/>
  <c r="C68" i="71"/>
  <c r="C69" i="72"/>
  <c r="C68" i="77"/>
  <c r="C69" i="78"/>
  <c r="C69" i="75"/>
  <c r="C68" i="74"/>
  <c r="C69" i="81"/>
  <c r="C68" i="83"/>
  <c r="C69" i="84"/>
  <c r="C68" i="80"/>
  <c r="C70" i="71"/>
  <c r="C71" i="72"/>
  <c r="C70" i="74"/>
  <c r="C71" i="75"/>
  <c r="C70" i="77"/>
  <c r="C71" i="78"/>
  <c r="C70" i="80"/>
  <c r="C70" i="83"/>
  <c r="C71" i="84"/>
  <c r="C71" i="81"/>
  <c r="K74" i="71"/>
  <c r="K75" i="72"/>
  <c r="K74" i="74"/>
  <c r="K75" i="75"/>
  <c r="F74" i="71"/>
  <c r="F75" i="72"/>
  <c r="F74" i="74"/>
  <c r="F75" i="75"/>
  <c r="F74" i="77"/>
  <c r="K74" i="77"/>
  <c r="K75" i="78"/>
  <c r="K74" i="80"/>
  <c r="K75" i="81"/>
  <c r="F75" i="78"/>
  <c r="F74" i="80"/>
  <c r="F74" i="83"/>
  <c r="F75" i="84"/>
  <c r="F75" i="81"/>
  <c r="K74" i="83"/>
  <c r="K75" i="84"/>
  <c r="H79" i="71"/>
  <c r="H80" i="72"/>
  <c r="H79" i="74"/>
  <c r="H80" i="75"/>
  <c r="H79" i="77"/>
  <c r="H79" i="80"/>
  <c r="H80" i="78"/>
  <c r="H80" i="81"/>
  <c r="H79" i="83"/>
  <c r="H80" i="84"/>
  <c r="J67" i="71"/>
  <c r="J68" i="72"/>
  <c r="J67" i="74"/>
  <c r="J68" i="75"/>
  <c r="J67" i="77"/>
  <c r="J68" i="78"/>
  <c r="J67" i="80"/>
  <c r="J68" i="81"/>
  <c r="J67" i="83"/>
  <c r="J68" i="84"/>
  <c r="L67" i="71"/>
  <c r="L68" i="72"/>
  <c r="L67" i="74"/>
  <c r="L68" i="75"/>
  <c r="L67" i="77"/>
  <c r="L68" i="78"/>
  <c r="L68" i="81"/>
  <c r="L67" i="83"/>
  <c r="L68" i="84"/>
  <c r="L67" i="80"/>
  <c r="I74" i="71"/>
  <c r="I75" i="72"/>
  <c r="I75" i="78"/>
  <c r="I74" i="80"/>
  <c r="I75" i="81"/>
  <c r="I74" i="74"/>
  <c r="I74" i="77"/>
  <c r="I74" i="83"/>
  <c r="I75" i="75"/>
  <c r="I75" i="84"/>
  <c r="F68" i="71"/>
  <c r="F69" i="72"/>
  <c r="F68" i="74"/>
  <c r="F69" i="75"/>
  <c r="K68" i="71"/>
  <c r="K69" i="72"/>
  <c r="K68" i="77"/>
  <c r="K69" i="75"/>
  <c r="K69" i="78"/>
  <c r="F68" i="77"/>
  <c r="K68" i="74"/>
  <c r="F69" i="78"/>
  <c r="K69" i="81"/>
  <c r="K68" i="83"/>
  <c r="K69" i="84"/>
  <c r="F68" i="80"/>
  <c r="K68" i="80"/>
  <c r="F69" i="81"/>
  <c r="F68" i="83"/>
  <c r="F69" i="84"/>
  <c r="D70" i="71"/>
  <c r="D71" i="72"/>
  <c r="D70" i="74"/>
  <c r="D71" i="75"/>
  <c r="D70" i="77"/>
  <c r="D71" i="78"/>
  <c r="D70" i="80"/>
  <c r="D71" i="81"/>
  <c r="D70" i="83"/>
  <c r="D71" i="84"/>
  <c r="I70" i="71"/>
  <c r="I71" i="75"/>
  <c r="I71" i="78"/>
  <c r="I70" i="80"/>
  <c r="I70" i="74"/>
  <c r="I70" i="77"/>
  <c r="I71" i="81"/>
  <c r="I71" i="72"/>
  <c r="I71" i="84"/>
  <c r="I70" i="83"/>
  <c r="E76" i="71"/>
  <c r="E76" i="77"/>
  <c r="E77" i="78"/>
  <c r="E76" i="80"/>
  <c r="E77" i="81"/>
  <c r="E77" i="72"/>
  <c r="E76" i="74"/>
  <c r="E77" i="75"/>
  <c r="E76" i="83"/>
  <c r="E77" i="84"/>
  <c r="J70" i="71"/>
  <c r="J71" i="72"/>
  <c r="J70" i="74"/>
  <c r="J71" i="75"/>
  <c r="J70" i="77"/>
  <c r="J71" i="81"/>
  <c r="J71" i="78"/>
  <c r="J70" i="80"/>
  <c r="J70" i="83"/>
  <c r="J71" i="84"/>
  <c r="H69" i="71"/>
  <c r="H70" i="72"/>
  <c r="H69" i="74"/>
  <c r="H70" i="75"/>
  <c r="H69" i="77"/>
  <c r="H70" i="78"/>
  <c r="H69" i="80"/>
  <c r="H69" i="83"/>
  <c r="H70" i="84"/>
  <c r="H70" i="81"/>
  <c r="H77" i="71"/>
  <c r="H78" i="72"/>
  <c r="H77" i="74"/>
  <c r="H78" i="75"/>
  <c r="H77" i="77"/>
  <c r="H78" i="78"/>
  <c r="H78" i="81"/>
  <c r="H77" i="80"/>
  <c r="H77" i="83"/>
  <c r="H78" i="84"/>
  <c r="E71" i="71"/>
  <c r="E72" i="72"/>
  <c r="E72" i="78"/>
  <c r="E71" i="80"/>
  <c r="E72" i="75"/>
  <c r="E71" i="83"/>
  <c r="E72" i="84"/>
  <c r="E71" i="77"/>
  <c r="E72" i="81"/>
  <c r="E71" i="74"/>
  <c r="G70" i="71"/>
  <c r="G71" i="72"/>
  <c r="G71" i="75"/>
  <c r="G71" i="78"/>
  <c r="G70" i="80"/>
  <c r="G70" i="83"/>
  <c r="G71" i="84"/>
  <c r="G71" i="81"/>
  <c r="G70" i="74"/>
  <c r="G70" i="77"/>
  <c r="L75" i="71"/>
  <c r="L76" i="72"/>
  <c r="L75" i="74"/>
  <c r="L76" i="75"/>
  <c r="L76" i="78"/>
  <c r="L75" i="80"/>
  <c r="L76" i="81"/>
  <c r="L75" i="83"/>
  <c r="L76" i="84"/>
  <c r="L75" i="77"/>
  <c r="D78" i="71"/>
  <c r="D79" i="72"/>
  <c r="D78" i="74"/>
  <c r="D79" i="75"/>
  <c r="D78" i="77"/>
  <c r="D79" i="78"/>
  <c r="D78" i="80"/>
  <c r="D79" i="81"/>
  <c r="D78" i="83"/>
  <c r="D79" i="84"/>
  <c r="G77" i="74"/>
  <c r="G77" i="71"/>
  <c r="G78" i="72"/>
  <c r="G77" i="77"/>
  <c r="G78" i="81"/>
  <c r="G77" i="80"/>
  <c r="G77" i="83"/>
  <c r="G78" i="84"/>
  <c r="G78" i="78"/>
  <c r="G78" i="75"/>
  <c r="C70" i="75"/>
  <c r="C70" i="78"/>
  <c r="C69" i="80"/>
  <c r="C69" i="74"/>
  <c r="C70" i="72"/>
  <c r="C69" i="71"/>
  <c r="C69" i="83"/>
  <c r="C69" i="77"/>
  <c r="C70" i="81"/>
  <c r="C70" i="84"/>
  <c r="D72" i="71"/>
  <c r="D73" i="75"/>
  <c r="D73" i="78"/>
  <c r="D72" i="80"/>
  <c r="D73" i="72"/>
  <c r="D72" i="74"/>
  <c r="D72" i="83"/>
  <c r="D73" i="84"/>
  <c r="D72" i="77"/>
  <c r="D73" i="81"/>
  <c r="J74" i="71"/>
  <c r="J75" i="72"/>
  <c r="J74" i="74"/>
  <c r="J75" i="75"/>
  <c r="J74" i="77"/>
  <c r="J75" i="78"/>
  <c r="J74" i="80"/>
  <c r="J75" i="81"/>
  <c r="J74" i="83"/>
  <c r="J75" i="84"/>
  <c r="I77" i="71"/>
  <c r="I78" i="72"/>
  <c r="I77" i="80"/>
  <c r="I78" i="75"/>
  <c r="I77" i="77"/>
  <c r="I78" i="81"/>
  <c r="I77" i="83"/>
  <c r="I78" i="84"/>
  <c r="I78" i="78"/>
  <c r="I77" i="74"/>
  <c r="F75" i="71"/>
  <c r="K75" i="74"/>
  <c r="F75" i="77"/>
  <c r="F76" i="75"/>
  <c r="F76" i="78"/>
  <c r="F75" i="80"/>
  <c r="F76" i="81"/>
  <c r="F75" i="74"/>
  <c r="K75" i="71"/>
  <c r="K76" i="72"/>
  <c r="F76" i="72"/>
  <c r="F75" i="83"/>
  <c r="F76" i="84"/>
  <c r="K76" i="75"/>
  <c r="K76" i="78"/>
  <c r="K75" i="80"/>
  <c r="K76" i="81"/>
  <c r="K75" i="83"/>
  <c r="K76" i="84"/>
  <c r="K75" i="77"/>
  <c r="E74" i="74"/>
  <c r="E75" i="72"/>
  <c r="E74" i="77"/>
  <c r="E74" i="71"/>
  <c r="E75" i="78"/>
  <c r="E74" i="80"/>
  <c r="E74" i="83"/>
  <c r="E75" i="84"/>
  <c r="E75" i="75"/>
  <c r="E75" i="81"/>
  <c r="F73" i="71"/>
  <c r="F74" i="72"/>
  <c r="F73" i="74"/>
  <c r="F74" i="75"/>
  <c r="F73" i="77"/>
  <c r="K73" i="71"/>
  <c r="K74" i="75"/>
  <c r="K74" i="78"/>
  <c r="K73" i="80"/>
  <c r="K74" i="81"/>
  <c r="K73" i="74"/>
  <c r="K74" i="72"/>
  <c r="K73" i="77"/>
  <c r="F74" i="78"/>
  <c r="F73" i="80"/>
  <c r="F74" i="81"/>
  <c r="F73" i="83"/>
  <c r="F74" i="84"/>
  <c r="K73" i="83"/>
  <c r="K74" i="84"/>
  <c r="G68" i="71"/>
  <c r="G69" i="72"/>
  <c r="G68" i="74"/>
  <c r="G69" i="75"/>
  <c r="G69" i="78"/>
  <c r="G68" i="80"/>
  <c r="G68" i="77"/>
  <c r="G69" i="81"/>
  <c r="G68" i="83"/>
  <c r="G69" i="84"/>
  <c r="J68" i="71"/>
  <c r="J69" i="72"/>
  <c r="J68" i="74"/>
  <c r="J69" i="75"/>
  <c r="J68" i="77"/>
  <c r="J69" i="81"/>
  <c r="J68" i="83"/>
  <c r="J69" i="84"/>
  <c r="J69" i="78"/>
  <c r="J68" i="80"/>
  <c r="D69" i="72"/>
  <c r="D69" i="78"/>
  <c r="D68" i="80"/>
  <c r="D68" i="71"/>
  <c r="D69" i="75"/>
  <c r="D68" i="74"/>
  <c r="D69" i="81"/>
  <c r="D68" i="83"/>
  <c r="D69" i="84"/>
  <c r="D68" i="77"/>
  <c r="L68" i="77"/>
  <c r="L69" i="75"/>
  <c r="L69" i="78"/>
  <c r="L68" i="80"/>
  <c r="L68" i="74"/>
  <c r="L69" i="72"/>
  <c r="L68" i="71"/>
  <c r="L69" i="81"/>
  <c r="L68" i="83"/>
  <c r="L69" i="84"/>
  <c r="K67" i="74"/>
  <c r="F68" i="75"/>
  <c r="F68" i="78"/>
  <c r="F67" i="80"/>
  <c r="K68" i="72"/>
  <c r="F67" i="74"/>
  <c r="K67" i="77"/>
  <c r="K67" i="71"/>
  <c r="F68" i="72"/>
  <c r="F67" i="71"/>
  <c r="K68" i="75"/>
  <c r="F68" i="81"/>
  <c r="F67" i="83"/>
  <c r="F68" i="84"/>
  <c r="F67" i="77"/>
  <c r="K68" i="78"/>
  <c r="K68" i="81"/>
  <c r="K67" i="83"/>
  <c r="K68" i="84"/>
  <c r="K67" i="80"/>
  <c r="K70" i="71"/>
  <c r="K71" i="72"/>
  <c r="K70" i="74"/>
  <c r="K71" i="75"/>
  <c r="F70" i="71"/>
  <c r="F71" i="72"/>
  <c r="F70" i="74"/>
  <c r="F71" i="75"/>
  <c r="K71" i="81"/>
  <c r="F70" i="83"/>
  <c r="F71" i="84"/>
  <c r="K71" i="78"/>
  <c r="K70" i="80"/>
  <c r="F71" i="81"/>
  <c r="K70" i="77"/>
  <c r="K70" i="83"/>
  <c r="K71" i="84"/>
  <c r="F71" i="78"/>
  <c r="F70" i="80"/>
  <c r="F70" i="77"/>
  <c r="L70" i="71"/>
  <c r="L71" i="72"/>
  <c r="L70" i="74"/>
  <c r="L71" i="75"/>
  <c r="L70" i="77"/>
  <c r="L71" i="78"/>
  <c r="L70" i="80"/>
  <c r="L71" i="81"/>
  <c r="L70" i="83"/>
  <c r="L71" i="84"/>
  <c r="D67" i="71"/>
  <c r="D68" i="72"/>
  <c r="D67" i="74"/>
  <c r="D68" i="75"/>
  <c r="D67" i="77"/>
  <c r="D67" i="80"/>
  <c r="D68" i="81"/>
  <c r="D67" i="83"/>
  <c r="D68" i="84"/>
  <c r="D68" i="78"/>
  <c r="F72" i="71"/>
  <c r="F73" i="72"/>
  <c r="F72" i="74"/>
  <c r="F73" i="75"/>
  <c r="K72" i="71"/>
  <c r="K73" i="72"/>
  <c r="F72" i="77"/>
  <c r="K73" i="78"/>
  <c r="K72" i="80"/>
  <c r="K73" i="75"/>
  <c r="K72" i="77"/>
  <c r="K73" i="81"/>
  <c r="K72" i="83"/>
  <c r="K73" i="84"/>
  <c r="K72" i="74"/>
  <c r="F73" i="81"/>
  <c r="F73" i="78"/>
  <c r="F72" i="80"/>
  <c r="F72" i="83"/>
  <c r="F73" i="84"/>
  <c r="H70" i="71"/>
  <c r="H71" i="72"/>
  <c r="H71" i="75"/>
  <c r="H71" i="78"/>
  <c r="H70" i="80"/>
  <c r="H70" i="74"/>
  <c r="H70" i="77"/>
  <c r="H70" i="83"/>
  <c r="H71" i="84"/>
  <c r="H71" i="81"/>
  <c r="L72" i="71"/>
  <c r="L73" i="78"/>
  <c r="L72" i="80"/>
  <c r="L73" i="75"/>
  <c r="L72" i="77"/>
  <c r="L72" i="74"/>
  <c r="L72" i="83"/>
  <c r="L73" i="84"/>
  <c r="L73" i="72"/>
  <c r="L73" i="81"/>
  <c r="I77" i="72"/>
  <c r="I76" i="71"/>
  <c r="I76" i="74"/>
  <c r="I76" i="77"/>
  <c r="I77" i="78"/>
  <c r="I76" i="80"/>
  <c r="I76" i="83"/>
  <c r="I77" i="84"/>
  <c r="I77" i="75"/>
  <c r="I77" i="81"/>
  <c r="G71" i="71"/>
  <c r="G72" i="78"/>
  <c r="G71" i="80"/>
  <c r="G71" i="77"/>
  <c r="G72" i="72"/>
  <c r="G71" i="74"/>
  <c r="G72" i="75"/>
  <c r="G72" i="81"/>
  <c r="G71" i="83"/>
  <c r="G72" i="84"/>
  <c r="D71" i="71"/>
  <c r="D72" i="72"/>
  <c r="D71" i="74"/>
  <c r="D72" i="75"/>
  <c r="D71" i="77"/>
  <c r="D72" i="78"/>
  <c r="D71" i="80"/>
  <c r="D71" i="83"/>
  <c r="D72" i="84"/>
  <c r="D72" i="81"/>
  <c r="D79" i="71"/>
  <c r="D80" i="72"/>
  <c r="D79" i="74"/>
  <c r="D80" i="75"/>
  <c r="D79" i="77"/>
  <c r="D79" i="80"/>
  <c r="D79" i="83"/>
  <c r="D80" i="84"/>
  <c r="D80" i="78"/>
  <c r="D80" i="81"/>
  <c r="I71" i="71"/>
  <c r="I72" i="72"/>
  <c r="I71" i="74"/>
  <c r="I72" i="75"/>
  <c r="I71" i="77"/>
  <c r="I72" i="78"/>
  <c r="I71" i="80"/>
  <c r="I72" i="81"/>
  <c r="I71" i="83"/>
  <c r="I72" i="84"/>
  <c r="E77" i="71"/>
  <c r="E78" i="72"/>
  <c r="E77" i="74"/>
  <c r="E78" i="75"/>
  <c r="E77" i="77"/>
  <c r="E78" i="81"/>
  <c r="E77" i="80"/>
  <c r="E78" i="78"/>
  <c r="E77" i="83"/>
  <c r="E78" i="84"/>
  <c r="J71" i="71"/>
  <c r="J72" i="72"/>
  <c r="J71" i="74"/>
  <c r="J72" i="75"/>
  <c r="J71" i="77"/>
  <c r="J72" i="78"/>
  <c r="J71" i="80"/>
  <c r="J72" i="81"/>
  <c r="J71" i="83"/>
  <c r="J72" i="84"/>
  <c r="G76" i="71"/>
  <c r="G77" i="72"/>
  <c r="G76" i="74"/>
  <c r="G77" i="75"/>
  <c r="G76" i="77"/>
  <c r="G77" i="78"/>
  <c r="G76" i="80"/>
  <c r="G77" i="81"/>
  <c r="G76" i="83"/>
  <c r="G77" i="84"/>
  <c r="J72" i="71"/>
  <c r="J73" i="72"/>
  <c r="J72" i="74"/>
  <c r="J73" i="75"/>
  <c r="J73" i="81"/>
  <c r="J73" i="78"/>
  <c r="J72" i="80"/>
  <c r="J72" i="83"/>
  <c r="J73" i="84"/>
  <c r="J72" i="77"/>
  <c r="L76" i="71"/>
  <c r="L77" i="72"/>
  <c r="L77" i="75"/>
  <c r="L76" i="80"/>
  <c r="L77" i="81"/>
  <c r="L76" i="74"/>
  <c r="L76" i="77"/>
  <c r="L77" i="78"/>
  <c r="L76" i="83"/>
  <c r="L77" i="84"/>
  <c r="C67" i="77"/>
  <c r="C67" i="74"/>
  <c r="C68" i="72"/>
  <c r="C67" i="71"/>
  <c r="C68" i="75"/>
  <c r="C67" i="80"/>
  <c r="C68" i="78"/>
  <c r="C68" i="81"/>
  <c r="C67" i="83"/>
  <c r="C68" i="84"/>
  <c r="L13" i="36"/>
  <c r="C14" i="36"/>
  <c r="D69" i="64"/>
  <c r="D68" i="63"/>
  <c r="I74" i="63"/>
  <c r="I75" i="64"/>
  <c r="H75" i="63"/>
  <c r="H76" i="64"/>
  <c r="C76" i="64"/>
  <c r="C75" i="63"/>
  <c r="H78" i="63"/>
  <c r="H79" i="64"/>
  <c r="D78" i="64"/>
  <c r="D77" i="63"/>
  <c r="C70" i="63"/>
  <c r="C71" i="64"/>
  <c r="I70" i="63"/>
  <c r="I71" i="64"/>
  <c r="E72" i="64"/>
  <c r="E71" i="63"/>
  <c r="G70" i="63"/>
  <c r="G71" i="64"/>
  <c r="D78" i="63"/>
  <c r="D79" i="64"/>
  <c r="K73" i="64"/>
  <c r="K72" i="63"/>
  <c r="F72" i="63"/>
  <c r="F73" i="64"/>
  <c r="H70" i="63"/>
  <c r="H71" i="64"/>
  <c r="L73" i="64"/>
  <c r="L72" i="63"/>
  <c r="I77" i="64"/>
  <c r="I76" i="63"/>
  <c r="G72" i="64"/>
  <c r="G71" i="63"/>
  <c r="D71" i="63"/>
  <c r="D72" i="64"/>
  <c r="D79" i="63"/>
  <c r="D80" i="64"/>
  <c r="I71" i="63"/>
  <c r="I72" i="64"/>
  <c r="E78" i="64"/>
  <c r="E77" i="63"/>
  <c r="J72" i="64"/>
  <c r="J71" i="63"/>
  <c r="G77" i="64"/>
  <c r="G76" i="63"/>
  <c r="J72" i="63"/>
  <c r="J73" i="64"/>
  <c r="L77" i="64"/>
  <c r="L76" i="63"/>
  <c r="C68" i="64"/>
  <c r="C67" i="63"/>
  <c r="C80" i="64"/>
  <c r="C79" i="63"/>
  <c r="G69" i="63"/>
  <c r="G70" i="64"/>
  <c r="L70" i="64"/>
  <c r="L69" i="63"/>
  <c r="K78" i="63"/>
  <c r="F79" i="64"/>
  <c r="F78" i="63"/>
  <c r="K79" i="64"/>
  <c r="F68" i="64"/>
  <c r="K68" i="64"/>
  <c r="F67" i="63"/>
  <c r="K67" i="63"/>
  <c r="E77" i="64"/>
  <c r="E76" i="63"/>
  <c r="C70" i="64"/>
  <c r="C69" i="63"/>
  <c r="H67" i="63"/>
  <c r="H68" i="64"/>
  <c r="K74" i="63"/>
  <c r="F75" i="64"/>
  <c r="F74" i="63"/>
  <c r="K75" i="64"/>
  <c r="D73" i="64"/>
  <c r="D72" i="63"/>
  <c r="G76" i="64"/>
  <c r="G75" i="63"/>
  <c r="E72" i="63"/>
  <c r="E73" i="64"/>
  <c r="J74" i="63"/>
  <c r="J75" i="64"/>
  <c r="H71" i="63"/>
  <c r="H72" i="64"/>
  <c r="H79" i="63"/>
  <c r="H80" i="64"/>
  <c r="I78" i="64"/>
  <c r="I77" i="63"/>
  <c r="L71" i="63"/>
  <c r="L72" i="64"/>
  <c r="J77" i="63"/>
  <c r="J78" i="64"/>
  <c r="G74" i="64"/>
  <c r="G73" i="63"/>
  <c r="D77" i="64"/>
  <c r="D76" i="63"/>
  <c r="H77" i="64"/>
  <c r="H76" i="63"/>
  <c r="F70" i="64"/>
  <c r="K70" i="64"/>
  <c r="F69" i="63"/>
  <c r="K69" i="63"/>
  <c r="E75" i="63"/>
  <c r="E76" i="64"/>
  <c r="L79" i="63"/>
  <c r="L80" i="64"/>
  <c r="F69" i="64"/>
  <c r="K69" i="64"/>
  <c r="F68" i="63"/>
  <c r="K68" i="63"/>
  <c r="E70" i="63"/>
  <c r="E71" i="64"/>
  <c r="J75" i="63"/>
  <c r="J76" i="64"/>
  <c r="L70" i="63"/>
  <c r="L71" i="64"/>
  <c r="H70" i="64"/>
  <c r="H69" i="63"/>
  <c r="G78" i="64"/>
  <c r="G77" i="63"/>
  <c r="D68" i="64"/>
  <c r="D67" i="63"/>
  <c r="E67" i="63"/>
  <c r="E68" i="64"/>
  <c r="K77" i="64"/>
  <c r="F77" i="64"/>
  <c r="K76" i="63"/>
  <c r="F76" i="63"/>
  <c r="H73" i="64"/>
  <c r="H72" i="63"/>
  <c r="G80" i="64"/>
  <c r="G79" i="63"/>
  <c r="I72" i="63"/>
  <c r="I73" i="64"/>
  <c r="E79" i="64"/>
  <c r="E78" i="63"/>
  <c r="J76" i="63"/>
  <c r="J77" i="64"/>
  <c r="D74" i="64"/>
  <c r="D73" i="63"/>
  <c r="E74" i="64"/>
  <c r="E73" i="63"/>
  <c r="E79" i="63"/>
  <c r="E80" i="64"/>
  <c r="G73" i="64"/>
  <c r="G72" i="63"/>
  <c r="L78" i="64"/>
  <c r="L77" i="63"/>
  <c r="L75" i="64"/>
  <c r="L74" i="63"/>
  <c r="G68" i="64"/>
  <c r="G67" i="63"/>
  <c r="C77" i="64"/>
  <c r="C76" i="63"/>
  <c r="I70" i="64"/>
  <c r="I69" i="63"/>
  <c r="G74" i="63"/>
  <c r="G75" i="64"/>
  <c r="I75" i="63"/>
  <c r="I76" i="64"/>
  <c r="K80" i="64"/>
  <c r="F79" i="63"/>
  <c r="F80" i="64"/>
  <c r="K79" i="63"/>
  <c r="K70" i="63"/>
  <c r="K71" i="64"/>
  <c r="F70" i="63"/>
  <c r="F71" i="64"/>
  <c r="J70" i="63"/>
  <c r="J71" i="64"/>
  <c r="L75" i="63"/>
  <c r="L76" i="64"/>
  <c r="F72" i="64"/>
  <c r="K72" i="64"/>
  <c r="K71" i="63"/>
  <c r="F71" i="63"/>
  <c r="E69" i="64"/>
  <c r="E68" i="63"/>
  <c r="I78" i="63"/>
  <c r="I79" i="64"/>
  <c r="L78" i="63"/>
  <c r="L79" i="64"/>
  <c r="H74" i="64"/>
  <c r="H73" i="63"/>
  <c r="I74" i="64"/>
  <c r="I73" i="63"/>
  <c r="I79" i="63"/>
  <c r="I80" i="64"/>
  <c r="J74" i="64"/>
  <c r="J73" i="63"/>
  <c r="G78" i="63"/>
  <c r="G79" i="64"/>
  <c r="J78" i="63"/>
  <c r="J79" i="64"/>
  <c r="C72" i="64"/>
  <c r="C71" i="63"/>
  <c r="C78" i="63"/>
  <c r="C79" i="64"/>
  <c r="L67" i="63"/>
  <c r="L68" i="64"/>
  <c r="L69" i="64"/>
  <c r="L68" i="63"/>
  <c r="J69" i="63"/>
  <c r="J70" i="64"/>
  <c r="F78" i="64"/>
  <c r="K78" i="64"/>
  <c r="K77" i="63"/>
  <c r="F77" i="63"/>
  <c r="H69" i="64"/>
  <c r="H68" i="63"/>
  <c r="D70" i="64"/>
  <c r="D69" i="63"/>
  <c r="C69" i="64"/>
  <c r="C68" i="63"/>
  <c r="D70" i="63"/>
  <c r="D71" i="64"/>
  <c r="H78" i="64"/>
  <c r="H77" i="63"/>
  <c r="I68" i="64"/>
  <c r="I67" i="63"/>
  <c r="D74" i="63"/>
  <c r="D75" i="64"/>
  <c r="J68" i="64"/>
  <c r="J67" i="63"/>
  <c r="F76" i="64"/>
  <c r="K76" i="64"/>
  <c r="F75" i="63"/>
  <c r="K75" i="63"/>
  <c r="H74" i="63"/>
  <c r="H75" i="64"/>
  <c r="I69" i="64"/>
  <c r="I68" i="63"/>
  <c r="E74" i="63"/>
  <c r="E75" i="64"/>
  <c r="K73" i="63"/>
  <c r="F73" i="63"/>
  <c r="F74" i="64"/>
  <c r="K74" i="64"/>
  <c r="D75" i="63"/>
  <c r="D76" i="64"/>
  <c r="E70" i="64"/>
  <c r="E69" i="63"/>
  <c r="G69" i="64"/>
  <c r="G68" i="63"/>
  <c r="L74" i="64"/>
  <c r="L73" i="63"/>
  <c r="J80" i="64"/>
  <c r="J79" i="63"/>
  <c r="J68" i="63"/>
  <c r="J69" i="64"/>
  <c r="C72" i="63"/>
  <c r="C73" i="64"/>
  <c r="C78" i="64"/>
  <c r="C77" i="63"/>
  <c r="C79" i="60"/>
  <c r="C80" i="61"/>
  <c r="K72" i="60"/>
  <c r="K73" i="61"/>
  <c r="F73" i="61"/>
  <c r="F72" i="60"/>
  <c r="L73" i="61"/>
  <c r="L72" i="60"/>
  <c r="I76" i="60"/>
  <c r="I77" i="61"/>
  <c r="G71" i="60"/>
  <c r="G72" i="61"/>
  <c r="D72" i="61"/>
  <c r="D71" i="60"/>
  <c r="D79" i="60"/>
  <c r="D80" i="61"/>
  <c r="I71" i="60"/>
  <c r="I72" i="61"/>
  <c r="E77" i="60"/>
  <c r="E78" i="61"/>
  <c r="J72" i="61"/>
  <c r="J71" i="60"/>
  <c r="G76" i="60"/>
  <c r="G77" i="61"/>
  <c r="J72" i="60"/>
  <c r="J73" i="61"/>
  <c r="L76" i="60"/>
  <c r="L77" i="61"/>
  <c r="C70" i="61"/>
  <c r="C69" i="60"/>
  <c r="C71" i="61"/>
  <c r="C70" i="60"/>
  <c r="L70" i="60"/>
  <c r="L71" i="61"/>
  <c r="H77" i="60"/>
  <c r="H78" i="61"/>
  <c r="G70" i="60"/>
  <c r="G71" i="61"/>
  <c r="D79" i="61"/>
  <c r="D78" i="60"/>
  <c r="H68" i="61"/>
  <c r="H67" i="60"/>
  <c r="D73" i="61"/>
  <c r="D72" i="60"/>
  <c r="G76" i="61"/>
  <c r="G75" i="60"/>
  <c r="E73" i="61"/>
  <c r="E72" i="60"/>
  <c r="J75" i="61"/>
  <c r="J74" i="60"/>
  <c r="H71" i="60"/>
  <c r="H72" i="61"/>
  <c r="H79" i="60"/>
  <c r="H80" i="61"/>
  <c r="I77" i="60"/>
  <c r="I78" i="61"/>
  <c r="L72" i="61"/>
  <c r="L71" i="60"/>
  <c r="J77" i="60"/>
  <c r="J78" i="61"/>
  <c r="G73" i="60"/>
  <c r="G74" i="61"/>
  <c r="D76" i="60"/>
  <c r="D77" i="61"/>
  <c r="C68" i="61"/>
  <c r="C67" i="60"/>
  <c r="I71" i="61"/>
  <c r="I70" i="60"/>
  <c r="E71" i="60"/>
  <c r="E72" i="61"/>
  <c r="L75" i="60"/>
  <c r="L76" i="61"/>
  <c r="G78" i="61"/>
  <c r="G77" i="60"/>
  <c r="H70" i="60"/>
  <c r="H71" i="61"/>
  <c r="E68" i="61"/>
  <c r="E67" i="60"/>
  <c r="K76" i="60"/>
  <c r="F76" i="60"/>
  <c r="F77" i="61"/>
  <c r="K77" i="61"/>
  <c r="H72" i="60"/>
  <c r="H73" i="61"/>
  <c r="G79" i="60"/>
  <c r="G80" i="61"/>
  <c r="I73" i="61"/>
  <c r="I72" i="60"/>
  <c r="E78" i="60"/>
  <c r="E79" i="61"/>
  <c r="J76" i="60"/>
  <c r="J77" i="61"/>
  <c r="D74" i="61"/>
  <c r="D73" i="60"/>
  <c r="E74" i="61"/>
  <c r="E73" i="60"/>
  <c r="E79" i="60"/>
  <c r="E80" i="61"/>
  <c r="G72" i="60"/>
  <c r="G73" i="61"/>
  <c r="L77" i="60"/>
  <c r="L78" i="61"/>
  <c r="L75" i="61"/>
  <c r="L74" i="60"/>
  <c r="G67" i="60"/>
  <c r="G68" i="61"/>
  <c r="F71" i="61"/>
  <c r="F70" i="60"/>
  <c r="K70" i="60"/>
  <c r="K71" i="61"/>
  <c r="J70" i="60"/>
  <c r="J71" i="61"/>
  <c r="C68" i="60"/>
  <c r="C69" i="61"/>
  <c r="D68" i="61"/>
  <c r="D67" i="60"/>
  <c r="F74" i="60"/>
  <c r="F75" i="61"/>
  <c r="K75" i="61"/>
  <c r="K74" i="60"/>
  <c r="I67" i="60"/>
  <c r="I68" i="61"/>
  <c r="K72" i="61"/>
  <c r="F71" i="60"/>
  <c r="F72" i="61"/>
  <c r="K71" i="60"/>
  <c r="D75" i="61"/>
  <c r="D74" i="60"/>
  <c r="E68" i="60"/>
  <c r="E69" i="61"/>
  <c r="I78" i="60"/>
  <c r="I79" i="61"/>
  <c r="L79" i="61"/>
  <c r="L78" i="60"/>
  <c r="H73" i="60"/>
  <c r="H74" i="61"/>
  <c r="I73" i="60"/>
  <c r="I74" i="61"/>
  <c r="I79" i="60"/>
  <c r="I80" i="61"/>
  <c r="J73" i="60"/>
  <c r="J74" i="61"/>
  <c r="G79" i="61"/>
  <c r="G78" i="60"/>
  <c r="J79" i="61"/>
  <c r="J78" i="60"/>
  <c r="D71" i="61"/>
  <c r="D70" i="60"/>
  <c r="H70" i="61"/>
  <c r="H69" i="60"/>
  <c r="J67" i="60"/>
  <c r="J68" i="61"/>
  <c r="F76" i="61"/>
  <c r="K75" i="60"/>
  <c r="F75" i="60"/>
  <c r="K76" i="61"/>
  <c r="H74" i="60"/>
  <c r="H75" i="61"/>
  <c r="I68" i="60"/>
  <c r="I69" i="61"/>
  <c r="E74" i="60"/>
  <c r="E75" i="61"/>
  <c r="F73" i="60"/>
  <c r="K73" i="60"/>
  <c r="K74" i="61"/>
  <c r="F74" i="61"/>
  <c r="D75" i="60"/>
  <c r="D76" i="61"/>
  <c r="E70" i="61"/>
  <c r="E69" i="60"/>
  <c r="G68" i="60"/>
  <c r="G69" i="61"/>
  <c r="L74" i="61"/>
  <c r="L73" i="60"/>
  <c r="J79" i="60"/>
  <c r="J80" i="61"/>
  <c r="J68" i="60"/>
  <c r="J69" i="61"/>
  <c r="C72" i="61"/>
  <c r="C71" i="60"/>
  <c r="C76" i="60"/>
  <c r="C77" i="61"/>
  <c r="E76" i="60"/>
  <c r="E77" i="61"/>
  <c r="L67" i="60"/>
  <c r="L68" i="61"/>
  <c r="D68" i="60"/>
  <c r="D69" i="61"/>
  <c r="H76" i="60"/>
  <c r="H77" i="61"/>
  <c r="I75" i="61"/>
  <c r="I74" i="60"/>
  <c r="L68" i="60"/>
  <c r="L69" i="61"/>
  <c r="F70" i="61"/>
  <c r="K69" i="60"/>
  <c r="K70" i="61"/>
  <c r="F69" i="60"/>
  <c r="H76" i="61"/>
  <c r="H75" i="60"/>
  <c r="I70" i="61"/>
  <c r="I69" i="60"/>
  <c r="E76" i="61"/>
  <c r="E75" i="60"/>
  <c r="J69" i="60"/>
  <c r="J70" i="61"/>
  <c r="G74" i="60"/>
  <c r="G75" i="61"/>
  <c r="L79" i="60"/>
  <c r="L80" i="61"/>
  <c r="K78" i="61"/>
  <c r="F77" i="60"/>
  <c r="F78" i="61"/>
  <c r="K77" i="60"/>
  <c r="C72" i="60"/>
  <c r="C73" i="61"/>
  <c r="C79" i="61"/>
  <c r="C78" i="60"/>
  <c r="K68" i="61"/>
  <c r="F68" i="61"/>
  <c r="K67" i="60"/>
  <c r="F67" i="60"/>
  <c r="K68" i="60"/>
  <c r="F68" i="60"/>
  <c r="K69" i="61"/>
  <c r="F69" i="61"/>
  <c r="H68" i="60"/>
  <c r="H69" i="61"/>
  <c r="H79" i="61"/>
  <c r="H78" i="60"/>
  <c r="E71" i="61"/>
  <c r="E70" i="60"/>
  <c r="G69" i="60"/>
  <c r="G70" i="61"/>
  <c r="D69" i="60"/>
  <c r="D70" i="61"/>
  <c r="D78" i="61"/>
  <c r="D77" i="60"/>
  <c r="I75" i="60"/>
  <c r="I76" i="61"/>
  <c r="L69" i="60"/>
  <c r="L70" i="61"/>
  <c r="J76" i="61"/>
  <c r="J75" i="60"/>
  <c r="F78" i="60"/>
  <c r="K78" i="60"/>
  <c r="F79" i="61"/>
  <c r="K79" i="61"/>
  <c r="K79" i="60"/>
  <c r="F79" i="60"/>
  <c r="F80" i="61"/>
  <c r="K80" i="61"/>
  <c r="C76" i="61"/>
  <c r="C75" i="60"/>
  <c r="C78" i="61"/>
  <c r="C77" i="60"/>
  <c r="C6" i="59"/>
  <c r="E6" i="59" s="1"/>
  <c r="H67" i="57"/>
  <c r="H68" i="58"/>
  <c r="H72" i="58"/>
  <c r="H71" i="57"/>
  <c r="L71" i="57"/>
  <c r="L72" i="58"/>
  <c r="G74" i="58"/>
  <c r="G73" i="57"/>
  <c r="D77" i="53"/>
  <c r="D76" i="57"/>
  <c r="D77" i="58"/>
  <c r="K76" i="57"/>
  <c r="F77" i="58"/>
  <c r="K77" i="58"/>
  <c r="F76" i="57"/>
  <c r="G79" i="57"/>
  <c r="G80" i="58"/>
  <c r="I72" i="57"/>
  <c r="I73" i="58"/>
  <c r="E79" i="53"/>
  <c r="E79" i="58"/>
  <c r="E78" i="57"/>
  <c r="J77" i="53"/>
  <c r="J77" i="58"/>
  <c r="J76" i="57"/>
  <c r="D74" i="53"/>
  <c r="D74" i="58"/>
  <c r="D73" i="57"/>
  <c r="E74" i="53"/>
  <c r="E74" i="58"/>
  <c r="E73" i="57"/>
  <c r="E80" i="53"/>
  <c r="E79" i="57"/>
  <c r="E80" i="58"/>
  <c r="G72" i="57"/>
  <c r="G73" i="58"/>
  <c r="L77" i="57"/>
  <c r="L78" i="58"/>
  <c r="L75" i="58"/>
  <c r="L74" i="57"/>
  <c r="G68" i="58"/>
  <c r="G67" i="57"/>
  <c r="D73" i="53"/>
  <c r="D73" i="58"/>
  <c r="D72" i="57"/>
  <c r="J75" i="53"/>
  <c r="J74" i="57"/>
  <c r="J75" i="58"/>
  <c r="H79" i="57"/>
  <c r="H80" i="58"/>
  <c r="I77" i="57"/>
  <c r="I78" i="58"/>
  <c r="J78" i="53"/>
  <c r="J78" i="58"/>
  <c r="J77" i="57"/>
  <c r="C68" i="53"/>
  <c r="C67" i="57"/>
  <c r="C68" i="58"/>
  <c r="E68" i="53"/>
  <c r="E68" i="58"/>
  <c r="E67" i="57"/>
  <c r="H73" i="58"/>
  <c r="H72" i="57"/>
  <c r="I67" i="57"/>
  <c r="I68" i="58"/>
  <c r="F71" i="57"/>
  <c r="K71" i="57"/>
  <c r="F72" i="58"/>
  <c r="K72" i="58"/>
  <c r="D75" i="53"/>
  <c r="D75" i="58"/>
  <c r="D74" i="57"/>
  <c r="E69" i="53"/>
  <c r="E68" i="57"/>
  <c r="E69" i="58"/>
  <c r="I79" i="58"/>
  <c r="I78" i="57"/>
  <c r="L79" i="58"/>
  <c r="L78" i="57"/>
  <c r="H74" i="58"/>
  <c r="H73" i="57"/>
  <c r="I74" i="58"/>
  <c r="I73" i="57"/>
  <c r="I79" i="57"/>
  <c r="I80" i="58"/>
  <c r="J74" i="53"/>
  <c r="J74" i="58"/>
  <c r="J73" i="57"/>
  <c r="G79" i="58"/>
  <c r="G78" i="57"/>
  <c r="J79" i="53"/>
  <c r="J79" i="58"/>
  <c r="J78" i="57"/>
  <c r="C72" i="53"/>
  <c r="C72" i="58"/>
  <c r="C71" i="57"/>
  <c r="C77" i="53"/>
  <c r="C76" i="57"/>
  <c r="C77" i="58"/>
  <c r="L68" i="58"/>
  <c r="L67" i="57"/>
  <c r="D69" i="53"/>
  <c r="D68" i="57"/>
  <c r="D69" i="58"/>
  <c r="H77" i="58"/>
  <c r="H76" i="57"/>
  <c r="I74" i="57"/>
  <c r="I75" i="58"/>
  <c r="L68" i="57"/>
  <c r="L69" i="58"/>
  <c r="K69" i="57"/>
  <c r="F69" i="57"/>
  <c r="K70" i="58"/>
  <c r="F70" i="58"/>
  <c r="H76" i="58"/>
  <c r="H75" i="57"/>
  <c r="I69" i="57"/>
  <c r="I70" i="58"/>
  <c r="E76" i="53"/>
  <c r="E76" i="58"/>
  <c r="E75" i="57"/>
  <c r="J70" i="53"/>
  <c r="J70" i="58"/>
  <c r="J69" i="57"/>
  <c r="G75" i="58"/>
  <c r="G74" i="57"/>
  <c r="L79" i="57"/>
  <c r="L80" i="58"/>
  <c r="F77" i="57"/>
  <c r="K77" i="57"/>
  <c r="K78" i="58"/>
  <c r="F78" i="58"/>
  <c r="C73" i="53"/>
  <c r="C72" i="57"/>
  <c r="C73" i="58"/>
  <c r="C79" i="53"/>
  <c r="C79" i="58"/>
  <c r="C78" i="57"/>
  <c r="G76" i="58"/>
  <c r="G75" i="57"/>
  <c r="K76" i="58"/>
  <c r="F76" i="58"/>
  <c r="K75" i="57"/>
  <c r="F75" i="57"/>
  <c r="E75" i="53"/>
  <c r="E74" i="57"/>
  <c r="E75" i="58"/>
  <c r="E70" i="53"/>
  <c r="E69" i="57"/>
  <c r="E70" i="58"/>
  <c r="L74" i="58"/>
  <c r="L73" i="57"/>
  <c r="F68" i="57"/>
  <c r="K68" i="57"/>
  <c r="F69" i="58"/>
  <c r="K69" i="58"/>
  <c r="H69" i="58"/>
  <c r="H68" i="57"/>
  <c r="H79" i="58"/>
  <c r="H78" i="57"/>
  <c r="E71" i="53"/>
  <c r="E70" i="57"/>
  <c r="E71" i="58"/>
  <c r="G69" i="57"/>
  <c r="G70" i="58"/>
  <c r="D70" i="53"/>
  <c r="D69" i="57"/>
  <c r="D70" i="58"/>
  <c r="D78" i="53"/>
  <c r="D77" i="57"/>
  <c r="D78" i="58"/>
  <c r="I76" i="58"/>
  <c r="I75" i="57"/>
  <c r="L69" i="57"/>
  <c r="L70" i="58"/>
  <c r="J76" i="53"/>
  <c r="J76" i="58"/>
  <c r="J75" i="57"/>
  <c r="K79" i="58"/>
  <c r="F79" i="58"/>
  <c r="F78" i="57"/>
  <c r="K78" i="57"/>
  <c r="K79" i="57"/>
  <c r="F79" i="57"/>
  <c r="F80" i="58"/>
  <c r="K80" i="58"/>
  <c r="C76" i="53"/>
  <c r="C76" i="58"/>
  <c r="C75" i="57"/>
  <c r="C78" i="58"/>
  <c r="C77" i="57"/>
  <c r="K74" i="57"/>
  <c r="K75" i="58"/>
  <c r="F75" i="58"/>
  <c r="F74" i="57"/>
  <c r="J68" i="53"/>
  <c r="J67" i="57"/>
  <c r="J68" i="58"/>
  <c r="I69" i="58"/>
  <c r="I68" i="57"/>
  <c r="K74" i="58"/>
  <c r="F74" i="58"/>
  <c r="F73" i="57"/>
  <c r="K73" i="57"/>
  <c r="J80" i="53"/>
  <c r="J79" i="57"/>
  <c r="J80" i="58"/>
  <c r="K68" i="58"/>
  <c r="F68" i="58"/>
  <c r="F67" i="57"/>
  <c r="K67" i="57"/>
  <c r="D71" i="53"/>
  <c r="D71" i="58"/>
  <c r="D70" i="57"/>
  <c r="L70" i="57"/>
  <c r="L71" i="58"/>
  <c r="I70" i="57"/>
  <c r="I71" i="58"/>
  <c r="E77" i="53"/>
  <c r="E77" i="58"/>
  <c r="E76" i="57"/>
  <c r="J71" i="53"/>
  <c r="J70" i="57"/>
  <c r="J71" i="58"/>
  <c r="H70" i="58"/>
  <c r="H69" i="57"/>
  <c r="H78" i="58"/>
  <c r="H77" i="57"/>
  <c r="E72" i="53"/>
  <c r="E72" i="58"/>
  <c r="E71" i="57"/>
  <c r="G70" i="57"/>
  <c r="G71" i="58"/>
  <c r="L76" i="58"/>
  <c r="L75" i="57"/>
  <c r="D79" i="53"/>
  <c r="D79" i="58"/>
  <c r="D78" i="57"/>
  <c r="G78" i="58"/>
  <c r="G77" i="57"/>
  <c r="C69" i="53"/>
  <c r="C68" i="57"/>
  <c r="C69" i="58"/>
  <c r="C79" i="57"/>
  <c r="C80" i="58"/>
  <c r="E73" i="53"/>
  <c r="E73" i="58"/>
  <c r="E72" i="57"/>
  <c r="H74" i="57"/>
  <c r="H75" i="58"/>
  <c r="D76" i="53"/>
  <c r="D76" i="58"/>
  <c r="D75" i="57"/>
  <c r="G68" i="57"/>
  <c r="G69" i="58"/>
  <c r="J69" i="53"/>
  <c r="J69" i="58"/>
  <c r="J68" i="57"/>
  <c r="K70" i="57"/>
  <c r="F71" i="58"/>
  <c r="F70" i="57"/>
  <c r="K71" i="58"/>
  <c r="D68" i="53"/>
  <c r="D68" i="58"/>
  <c r="D67" i="57"/>
  <c r="F73" i="58"/>
  <c r="F72" i="57"/>
  <c r="K72" i="57"/>
  <c r="K73" i="58"/>
  <c r="H71" i="58"/>
  <c r="H70" i="57"/>
  <c r="L73" i="58"/>
  <c r="L72" i="57"/>
  <c r="I76" i="57"/>
  <c r="I77" i="58"/>
  <c r="G72" i="58"/>
  <c r="G71" i="57"/>
  <c r="D72" i="53"/>
  <c r="D71" i="57"/>
  <c r="D72" i="58"/>
  <c r="D80" i="53"/>
  <c r="D79" i="57"/>
  <c r="D80" i="58"/>
  <c r="I71" i="57"/>
  <c r="I72" i="58"/>
  <c r="E78" i="53"/>
  <c r="E77" i="57"/>
  <c r="E78" i="58"/>
  <c r="J72" i="53"/>
  <c r="J72" i="58"/>
  <c r="J71" i="57"/>
  <c r="G76" i="57"/>
  <c r="G77" i="58"/>
  <c r="J73" i="53"/>
  <c r="J73" i="58"/>
  <c r="J72" i="57"/>
  <c r="L76" i="57"/>
  <c r="L77" i="58"/>
  <c r="C70" i="53"/>
  <c r="C69" i="57"/>
  <c r="C70" i="58"/>
  <c r="C70" i="57"/>
  <c r="C71" i="58"/>
  <c r="E103" i="53"/>
  <c r="C6" i="51"/>
  <c r="C6" i="54"/>
  <c r="C7" i="51"/>
  <c r="H31" i="52"/>
  <c r="C9" i="54" s="1"/>
  <c r="H31" i="49"/>
  <c r="C9" i="51" s="1"/>
  <c r="C7" i="54"/>
  <c r="H58" i="50"/>
  <c r="E100" i="50" s="1"/>
  <c r="E100" i="53"/>
  <c r="F10" i="53"/>
  <c r="E114" i="53"/>
  <c r="E115" i="53"/>
  <c r="E113" i="53"/>
  <c r="E111" i="53"/>
  <c r="E104" i="53"/>
  <c r="E102" i="53"/>
  <c r="E107" i="53"/>
  <c r="E112" i="53"/>
  <c r="E108" i="53"/>
  <c r="E105" i="53"/>
  <c r="E109" i="53"/>
  <c r="E101" i="53"/>
  <c r="E106" i="53"/>
  <c r="C2" i="54"/>
  <c r="C2" i="51"/>
  <c r="H35" i="50"/>
  <c r="H100" i="50" s="1"/>
  <c r="H35" i="53"/>
  <c r="H100" i="53" s="1"/>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2" i="49"/>
  <c r="J77" i="49"/>
  <c r="E67" i="49"/>
  <c r="F76" i="49"/>
  <c r="K76" i="49"/>
  <c r="E78" i="49"/>
  <c r="J76" i="49"/>
  <c r="D73" i="49"/>
  <c r="E73" i="49"/>
  <c r="E79" i="49"/>
  <c r="K74" i="49"/>
  <c r="F74" i="49"/>
  <c r="J74" i="49"/>
  <c r="D76" i="49"/>
  <c r="K71" i="49"/>
  <c r="F71" i="49"/>
  <c r="J67" i="49"/>
  <c r="F75" i="49"/>
  <c r="K75" i="49"/>
  <c r="E74" i="49"/>
  <c r="F73" i="49"/>
  <c r="K73" i="49"/>
  <c r="D75" i="49"/>
  <c r="E69" i="49"/>
  <c r="J79" i="49"/>
  <c r="J68" i="49"/>
  <c r="C71" i="49"/>
  <c r="C76" i="49"/>
  <c r="J78" i="49"/>
  <c r="D68" i="49"/>
  <c r="K69" i="49"/>
  <c r="F69" i="49"/>
  <c r="E75" i="49"/>
  <c r="J69" i="49"/>
  <c r="K77" i="49"/>
  <c r="F77" i="49"/>
  <c r="C72" i="49"/>
  <c r="D72" i="49"/>
  <c r="E68" i="49"/>
  <c r="J73" i="49"/>
  <c r="F68" i="49"/>
  <c r="K68" i="49"/>
  <c r="E70" i="49"/>
  <c r="D69" i="49"/>
  <c r="D77" i="49"/>
  <c r="J75" i="49"/>
  <c r="F78" i="49"/>
  <c r="K78" i="49"/>
  <c r="K79" i="49"/>
  <c r="F79" i="49"/>
  <c r="C75" i="49"/>
  <c r="F67" i="49"/>
  <c r="K67" i="49"/>
  <c r="K70" i="49"/>
  <c r="F70" i="49"/>
  <c r="D70" i="49"/>
  <c r="E76" i="49"/>
  <c r="J70" i="49"/>
  <c r="E71" i="49"/>
  <c r="D78" i="49"/>
  <c r="C68" i="49"/>
  <c r="C67" i="49"/>
  <c r="D74" i="49"/>
  <c r="D67" i="49"/>
  <c r="F72" i="49"/>
  <c r="K72" i="49"/>
  <c r="D71" i="49"/>
  <c r="D79" i="49"/>
  <c r="E77" i="49"/>
  <c r="J71" i="49"/>
  <c r="J72" i="49"/>
  <c r="C69" i="49"/>
  <c r="C78" i="49"/>
  <c r="AB4" i="43"/>
  <c r="AB5" i="43"/>
  <c r="AB6" i="43"/>
  <c r="AB7" i="43"/>
  <c r="AB8" i="43"/>
  <c r="AB9" i="43"/>
  <c r="AB10" i="43"/>
  <c r="AB11" i="43"/>
  <c r="AB12" i="43"/>
  <c r="AB13" i="43"/>
  <c r="AB14" i="43"/>
  <c r="AB15" i="43"/>
  <c r="AB16" i="43"/>
  <c r="AB17" i="43"/>
  <c r="AB18" i="43"/>
  <c r="AB19" i="43"/>
  <c r="AB20" i="43"/>
  <c r="AB21" i="43"/>
  <c r="AB22" i="43"/>
  <c r="AB23" i="43"/>
  <c r="AB24" i="43"/>
  <c r="AB25" i="43"/>
  <c r="AB26" i="43"/>
  <c r="AB27" i="43"/>
  <c r="AB28" i="43"/>
  <c r="AB29" i="43"/>
  <c r="AB30" i="43"/>
  <c r="AB31" i="43"/>
  <c r="AB32" i="43"/>
  <c r="AB33" i="43"/>
  <c r="AB34" i="43"/>
  <c r="AB35" i="43"/>
  <c r="AB36" i="43"/>
  <c r="AB37" i="43"/>
  <c r="AB38" i="43"/>
  <c r="AB39" i="43"/>
  <c r="AB40" i="43"/>
  <c r="AB41" i="43"/>
  <c r="AB42" i="43"/>
  <c r="AB43" i="43"/>
  <c r="AB44" i="43"/>
  <c r="AB45" i="43"/>
  <c r="AB46" i="43"/>
  <c r="AB47" i="43"/>
  <c r="AB48" i="43"/>
  <c r="AB49" i="43"/>
  <c r="AB3" i="43"/>
  <c r="AA7" i="43"/>
  <c r="AA41" i="43"/>
  <c r="AA49" i="43"/>
  <c r="AA48" i="43"/>
  <c r="AA6" i="43"/>
  <c r="AA16" i="43"/>
  <c r="AA15" i="43"/>
  <c r="AA31" i="43"/>
  <c r="AA9" i="43"/>
  <c r="AA25" i="43"/>
  <c r="AA38" i="43"/>
  <c r="AA4" i="43"/>
  <c r="AA5" i="43"/>
  <c r="AA8" i="43"/>
  <c r="AA10" i="43"/>
  <c r="AA11" i="43"/>
  <c r="AA12" i="43"/>
  <c r="AA13" i="43"/>
  <c r="AA14" i="43"/>
  <c r="AA17" i="43"/>
  <c r="AA18" i="43"/>
  <c r="AA19" i="43"/>
  <c r="AA20" i="43"/>
  <c r="AA21" i="43"/>
  <c r="AA22" i="43"/>
  <c r="AA23" i="43"/>
  <c r="AA24" i="43"/>
  <c r="AA26" i="43"/>
  <c r="AA27" i="43"/>
  <c r="AA28" i="43"/>
  <c r="AA29" i="43"/>
  <c r="AA30" i="43"/>
  <c r="AA32" i="43"/>
  <c r="AA33" i="43"/>
  <c r="AA34" i="43"/>
  <c r="AA35" i="43"/>
  <c r="AA36" i="43"/>
  <c r="AA37" i="43"/>
  <c r="AA39" i="43"/>
  <c r="AA40" i="43"/>
  <c r="AA42" i="43"/>
  <c r="AA43" i="43"/>
  <c r="AA44" i="43"/>
  <c r="AA45" i="43"/>
  <c r="AA46" i="43"/>
  <c r="AA47" i="43"/>
  <c r="AA3" i="43"/>
  <c r="AB100" i="43"/>
  <c r="AB101" i="43"/>
  <c r="AB102" i="43"/>
  <c r="AB103" i="43"/>
  <c r="AB104" i="43"/>
  <c r="AB105" i="43"/>
  <c r="AB106" i="43"/>
  <c r="AB107" i="43"/>
  <c r="AB108" i="43"/>
  <c r="AB109" i="43"/>
  <c r="AB110" i="43"/>
  <c r="AB111" i="43"/>
  <c r="AB112" i="43"/>
  <c r="AB113" i="43"/>
  <c r="AB114" i="43"/>
  <c r="AB115" i="43"/>
  <c r="AB116" i="43"/>
  <c r="AB117" i="43"/>
  <c r="AB118" i="43"/>
  <c r="AB119" i="43"/>
  <c r="AB120" i="43"/>
  <c r="AB121" i="43"/>
  <c r="Z4" i="43"/>
  <c r="Z5" i="43"/>
  <c r="Z6" i="43"/>
  <c r="Z7" i="43"/>
  <c r="Z8" i="43"/>
  <c r="Z9" i="43"/>
  <c r="Z10" i="43"/>
  <c r="Z11" i="43"/>
  <c r="Z12" i="43"/>
  <c r="Z13" i="43"/>
  <c r="Z14" i="43"/>
  <c r="Z15" i="43"/>
  <c r="Z16" i="43"/>
  <c r="Z17" i="43"/>
  <c r="Z18" i="43"/>
  <c r="Z19" i="43"/>
  <c r="Z20" i="43"/>
  <c r="Z21" i="43"/>
  <c r="Z22" i="43"/>
  <c r="Z23" i="43"/>
  <c r="Z24" i="43"/>
  <c r="Z25" i="43"/>
  <c r="Z26" i="43"/>
  <c r="Z27" i="43"/>
  <c r="Z28" i="43"/>
  <c r="Z29" i="43"/>
  <c r="Z30" i="43"/>
  <c r="Z31" i="43"/>
  <c r="Z32" i="43"/>
  <c r="Z33" i="43"/>
  <c r="Z34" i="43"/>
  <c r="Z35" i="43"/>
  <c r="Z36" i="43"/>
  <c r="Z37" i="43"/>
  <c r="Z38" i="43"/>
  <c r="Z39" i="43"/>
  <c r="Z40" i="43"/>
  <c r="Z41" i="43"/>
  <c r="Z42" i="43"/>
  <c r="Z43" i="43"/>
  <c r="Z44" i="43"/>
  <c r="Z45" i="43"/>
  <c r="Z46" i="43"/>
  <c r="Z47" i="43"/>
  <c r="Z48" i="43"/>
  <c r="Z49" i="43"/>
  <c r="Z3" i="43"/>
  <c r="Y4" i="43"/>
  <c r="Y5" i="43"/>
  <c r="Y6" i="43"/>
  <c r="Y7" i="43"/>
  <c r="Y8" i="43"/>
  <c r="Y9" i="43"/>
  <c r="Y10" i="43"/>
  <c r="Y11" i="43"/>
  <c r="Y12" i="43"/>
  <c r="Y13" i="43"/>
  <c r="Y14" i="43"/>
  <c r="Y15" i="43"/>
  <c r="Y16" i="43"/>
  <c r="Y17" i="43"/>
  <c r="Y18" i="43"/>
  <c r="Y19" i="43"/>
  <c r="Y20" i="43"/>
  <c r="Y21" i="43"/>
  <c r="Y22" i="43"/>
  <c r="Y23" i="43"/>
  <c r="Y24" i="43"/>
  <c r="Y25" i="43"/>
  <c r="Y26" i="43"/>
  <c r="Y27" i="43"/>
  <c r="Y28" i="43"/>
  <c r="Y29" i="43"/>
  <c r="Y30" i="43"/>
  <c r="Y31" i="43"/>
  <c r="Y32" i="43"/>
  <c r="Y33" i="43"/>
  <c r="Y34" i="43"/>
  <c r="Y35" i="43"/>
  <c r="Y36" i="43"/>
  <c r="Y37" i="43"/>
  <c r="Y38" i="43"/>
  <c r="Y39" i="43"/>
  <c r="Y40" i="43"/>
  <c r="Y41" i="43"/>
  <c r="Y42" i="43"/>
  <c r="Y43" i="43"/>
  <c r="Y44" i="43"/>
  <c r="Y45" i="43"/>
  <c r="Y46" i="43"/>
  <c r="Y47" i="43"/>
  <c r="Y48" i="43"/>
  <c r="Y49" i="43"/>
  <c r="Y3" i="43"/>
  <c r="X4" i="43"/>
  <c r="X5" i="43"/>
  <c r="X6" i="43"/>
  <c r="X7" i="43"/>
  <c r="X8" i="43"/>
  <c r="X9" i="43"/>
  <c r="X10" i="43"/>
  <c r="X11" i="43"/>
  <c r="X12" i="43"/>
  <c r="X13" i="43"/>
  <c r="X14" i="43"/>
  <c r="X15" i="43"/>
  <c r="X16" i="43"/>
  <c r="X17" i="43"/>
  <c r="X18" i="43"/>
  <c r="X19" i="43"/>
  <c r="X20" i="43"/>
  <c r="X21" i="43"/>
  <c r="X22" i="43"/>
  <c r="X23" i="43"/>
  <c r="X24" i="43"/>
  <c r="X25" i="43"/>
  <c r="X26" i="43"/>
  <c r="X27" i="43"/>
  <c r="X28" i="43"/>
  <c r="X29" i="43"/>
  <c r="X30" i="43"/>
  <c r="X31" i="43"/>
  <c r="X32" i="43"/>
  <c r="X33" i="43"/>
  <c r="X34" i="43"/>
  <c r="X35" i="43"/>
  <c r="X36" i="43"/>
  <c r="X37" i="43"/>
  <c r="X38" i="43"/>
  <c r="X39" i="43"/>
  <c r="X40" i="43"/>
  <c r="X41" i="43"/>
  <c r="X42" i="43"/>
  <c r="X43" i="43"/>
  <c r="X44" i="43"/>
  <c r="X45" i="43"/>
  <c r="X46" i="43"/>
  <c r="X47" i="43"/>
  <c r="X48" i="43"/>
  <c r="X49" i="43"/>
  <c r="X3" i="43"/>
  <c r="W4" i="43"/>
  <c r="W5" i="43"/>
  <c r="W6" i="43"/>
  <c r="W7" i="43"/>
  <c r="W8" i="43"/>
  <c r="W9" i="43"/>
  <c r="W10" i="43"/>
  <c r="W11" i="43"/>
  <c r="W12" i="43"/>
  <c r="W13" i="43"/>
  <c r="W14" i="43"/>
  <c r="W15" i="43"/>
  <c r="W16" i="43"/>
  <c r="W17" i="43"/>
  <c r="W18" i="43"/>
  <c r="W19" i="43"/>
  <c r="W20" i="43"/>
  <c r="W21" i="43"/>
  <c r="W22" i="43"/>
  <c r="W23" i="43"/>
  <c r="W24" i="43"/>
  <c r="W25" i="43"/>
  <c r="W26" i="43"/>
  <c r="W27" i="43"/>
  <c r="W28" i="43"/>
  <c r="W29" i="43"/>
  <c r="W30" i="43"/>
  <c r="W31" i="43"/>
  <c r="W32" i="43"/>
  <c r="W33" i="43"/>
  <c r="W34" i="43"/>
  <c r="W35" i="43"/>
  <c r="W36" i="43"/>
  <c r="W37" i="43"/>
  <c r="W38" i="43"/>
  <c r="W39" i="43"/>
  <c r="W40" i="43"/>
  <c r="W41" i="43"/>
  <c r="W42" i="43"/>
  <c r="W43" i="43"/>
  <c r="W44" i="43"/>
  <c r="W45" i="43"/>
  <c r="W46" i="43"/>
  <c r="W47" i="43"/>
  <c r="W48" i="43"/>
  <c r="W3" i="43"/>
  <c r="V4" i="43"/>
  <c r="V5" i="43"/>
  <c r="V6" i="43"/>
  <c r="V7" i="43"/>
  <c r="V8" i="43"/>
  <c r="V9" i="43"/>
  <c r="V10" i="43"/>
  <c r="V11" i="43"/>
  <c r="V12" i="43"/>
  <c r="V13" i="43"/>
  <c r="V14" i="43"/>
  <c r="V15" i="43"/>
  <c r="V16" i="43"/>
  <c r="V17" i="43"/>
  <c r="V18" i="43"/>
  <c r="V19" i="43"/>
  <c r="V20" i="43"/>
  <c r="V21" i="43"/>
  <c r="V22" i="43"/>
  <c r="V23" i="43"/>
  <c r="V24" i="43"/>
  <c r="V25" i="43"/>
  <c r="V26" i="43"/>
  <c r="V27" i="43"/>
  <c r="V28" i="43"/>
  <c r="V29" i="43"/>
  <c r="V30" i="43"/>
  <c r="V31" i="43"/>
  <c r="V32" i="43"/>
  <c r="V33" i="43"/>
  <c r="V34" i="43"/>
  <c r="V35" i="43"/>
  <c r="V36" i="43"/>
  <c r="V37" i="43"/>
  <c r="V38" i="43"/>
  <c r="V39" i="43"/>
  <c r="V40" i="43"/>
  <c r="V41" i="43"/>
  <c r="V42" i="43"/>
  <c r="V43" i="43"/>
  <c r="V44" i="43"/>
  <c r="V45" i="43"/>
  <c r="V46" i="43"/>
  <c r="V47" i="43"/>
  <c r="V48" i="43"/>
  <c r="V49" i="43"/>
  <c r="V3" i="43"/>
  <c r="U4" i="43"/>
  <c r="U5" i="43"/>
  <c r="U6" i="43"/>
  <c r="U7" i="43"/>
  <c r="U8" i="43"/>
  <c r="U9" i="43"/>
  <c r="U10" i="43"/>
  <c r="U11" i="43"/>
  <c r="U12" i="43"/>
  <c r="U13" i="43"/>
  <c r="U14" i="43"/>
  <c r="U15" i="43"/>
  <c r="U16" i="43"/>
  <c r="U17" i="43"/>
  <c r="U18" i="43"/>
  <c r="U19" i="43"/>
  <c r="U20" i="43"/>
  <c r="U21" i="43"/>
  <c r="U22" i="43"/>
  <c r="U23" i="43"/>
  <c r="U24" i="43"/>
  <c r="U25" i="43"/>
  <c r="U26" i="43"/>
  <c r="U27" i="43"/>
  <c r="U28" i="43"/>
  <c r="U29" i="43"/>
  <c r="U30" i="43"/>
  <c r="U31" i="43"/>
  <c r="U32" i="43"/>
  <c r="U33" i="43"/>
  <c r="U34" i="43"/>
  <c r="U35" i="43"/>
  <c r="U36" i="43"/>
  <c r="U37" i="43"/>
  <c r="U38" i="43"/>
  <c r="U39" i="43"/>
  <c r="U40" i="43"/>
  <c r="U41" i="43"/>
  <c r="U42" i="43"/>
  <c r="U43" i="43"/>
  <c r="U44" i="43"/>
  <c r="U45" i="43"/>
  <c r="U46" i="43"/>
  <c r="U47" i="43"/>
  <c r="U48" i="43"/>
  <c r="U49" i="43"/>
  <c r="U3" i="43"/>
  <c r="T4" i="43"/>
  <c r="T5" i="43"/>
  <c r="T6" i="43"/>
  <c r="T7" i="43"/>
  <c r="T8" i="43"/>
  <c r="T9" i="43"/>
  <c r="T10" i="43"/>
  <c r="T11" i="43"/>
  <c r="T12" i="43"/>
  <c r="T13" i="43"/>
  <c r="T14" i="43"/>
  <c r="T15" i="43"/>
  <c r="T16" i="43"/>
  <c r="T17" i="43"/>
  <c r="T18" i="43"/>
  <c r="T19" i="43"/>
  <c r="T20" i="43"/>
  <c r="T21" i="43"/>
  <c r="T22" i="43"/>
  <c r="T23" i="43"/>
  <c r="T24" i="43"/>
  <c r="T25" i="43"/>
  <c r="T26" i="43"/>
  <c r="T27" i="43"/>
  <c r="T28" i="43"/>
  <c r="T29" i="43"/>
  <c r="T30" i="43"/>
  <c r="T31" i="43"/>
  <c r="T32" i="43"/>
  <c r="T33" i="43"/>
  <c r="T34" i="43"/>
  <c r="T35" i="43"/>
  <c r="T36" i="43"/>
  <c r="T37" i="43"/>
  <c r="T38" i="43"/>
  <c r="T39" i="43"/>
  <c r="T40" i="43"/>
  <c r="T41" i="43"/>
  <c r="T42" i="43"/>
  <c r="T43" i="43"/>
  <c r="T44" i="43"/>
  <c r="T45" i="43"/>
  <c r="T46" i="43"/>
  <c r="T47" i="43"/>
  <c r="T48" i="43"/>
  <c r="T49" i="43"/>
  <c r="T3" i="43"/>
  <c r="S4" i="43"/>
  <c r="S5" i="43"/>
  <c r="S6" i="43"/>
  <c r="S7" i="43"/>
  <c r="S8" i="43"/>
  <c r="S9" i="43"/>
  <c r="S10" i="43"/>
  <c r="S11" i="43"/>
  <c r="S12" i="43"/>
  <c r="S13" i="43"/>
  <c r="S14" i="43"/>
  <c r="S15" i="43"/>
  <c r="S16" i="43"/>
  <c r="S17" i="43"/>
  <c r="S18" i="43"/>
  <c r="S19" i="43"/>
  <c r="S20" i="43"/>
  <c r="S21" i="43"/>
  <c r="S22" i="43"/>
  <c r="S23" i="43"/>
  <c r="S24" i="43"/>
  <c r="S25" i="43"/>
  <c r="S26" i="43"/>
  <c r="S27" i="43"/>
  <c r="S28" i="43"/>
  <c r="S29" i="43"/>
  <c r="S30" i="43"/>
  <c r="S31" i="43"/>
  <c r="S32" i="43"/>
  <c r="S33" i="43"/>
  <c r="S34" i="43"/>
  <c r="S35" i="43"/>
  <c r="S36" i="43"/>
  <c r="S37" i="43"/>
  <c r="S38" i="43"/>
  <c r="S39" i="43"/>
  <c r="S40" i="43"/>
  <c r="S41" i="43"/>
  <c r="S42" i="43"/>
  <c r="S43" i="43"/>
  <c r="S44" i="43"/>
  <c r="S45" i="43"/>
  <c r="S46" i="43"/>
  <c r="S47" i="43"/>
  <c r="S48" i="43"/>
  <c r="S49" i="43"/>
  <c r="S3" i="43"/>
  <c r="R4" i="43"/>
  <c r="R5" i="43"/>
  <c r="R6" i="43"/>
  <c r="R7" i="43"/>
  <c r="R8" i="43"/>
  <c r="R9" i="43"/>
  <c r="R10" i="43"/>
  <c r="R11" i="43"/>
  <c r="R12" i="43"/>
  <c r="R13" i="43"/>
  <c r="R14" i="43"/>
  <c r="R15" i="43"/>
  <c r="R16" i="43"/>
  <c r="R17" i="43"/>
  <c r="R18" i="43"/>
  <c r="R19" i="43"/>
  <c r="R20" i="43"/>
  <c r="R21" i="43"/>
  <c r="R22" i="43"/>
  <c r="R23" i="43"/>
  <c r="R24" i="43"/>
  <c r="R25" i="43"/>
  <c r="R26" i="43"/>
  <c r="R27" i="43"/>
  <c r="R28" i="43"/>
  <c r="R29" i="43"/>
  <c r="R30" i="43"/>
  <c r="R31" i="43"/>
  <c r="R32" i="43"/>
  <c r="R33" i="43"/>
  <c r="R34" i="43"/>
  <c r="R35" i="43"/>
  <c r="R36" i="43"/>
  <c r="R37" i="43"/>
  <c r="R38" i="43"/>
  <c r="R39" i="43"/>
  <c r="R40" i="43"/>
  <c r="R41" i="43"/>
  <c r="R42" i="43"/>
  <c r="R43" i="43"/>
  <c r="R44" i="43"/>
  <c r="R45" i="43"/>
  <c r="R46" i="43"/>
  <c r="R47" i="43"/>
  <c r="R48" i="43"/>
  <c r="R49" i="43"/>
  <c r="R3" i="43"/>
  <c r="W49" i="43"/>
  <c r="E138" i="84" l="1"/>
  <c r="E132" i="74"/>
  <c r="E138" i="80"/>
  <c r="E138" i="74"/>
  <c r="E137" i="84"/>
  <c r="E138" i="78"/>
  <c r="E137" i="72"/>
  <c r="E138" i="81"/>
  <c r="B135" i="75"/>
  <c r="B139" i="81"/>
  <c r="E137" i="80"/>
  <c r="E140" i="81"/>
  <c r="E131" i="77"/>
  <c r="B135" i="74"/>
  <c r="E138" i="72"/>
  <c r="B134" i="72"/>
  <c r="B134" i="84"/>
  <c r="E137" i="71"/>
  <c r="E142" i="78"/>
  <c r="E137" i="75"/>
  <c r="E138" i="75"/>
  <c r="B136" i="80"/>
  <c r="E143" i="84"/>
  <c r="E136" i="77"/>
  <c r="E137" i="78"/>
  <c r="E136" i="83"/>
  <c r="E136" i="71"/>
  <c r="E137" i="77"/>
  <c r="B132" i="81"/>
  <c r="E137" i="81"/>
  <c r="E132" i="71"/>
  <c r="B138" i="78"/>
  <c r="E136" i="72"/>
  <c r="E136" i="74"/>
  <c r="E136" i="80"/>
  <c r="E137" i="74"/>
  <c r="E137" i="83"/>
  <c r="B130" i="77"/>
  <c r="E130" i="77"/>
  <c r="B140" i="75"/>
  <c r="B137" i="72"/>
  <c r="B135" i="81"/>
  <c r="B131" i="81"/>
  <c r="E131" i="81"/>
  <c r="B131" i="80"/>
  <c r="B139" i="78"/>
  <c r="B138" i="71"/>
  <c r="E133" i="72"/>
  <c r="B139" i="74"/>
  <c r="B137" i="77"/>
  <c r="E133" i="83"/>
  <c r="E131" i="80"/>
  <c r="E132" i="72"/>
  <c r="E142" i="83"/>
  <c r="E138" i="77"/>
  <c r="E138" i="71"/>
  <c r="E141" i="78"/>
  <c r="E135" i="74"/>
  <c r="E135" i="71"/>
  <c r="E141" i="77"/>
  <c r="E134" i="80"/>
  <c r="B137" i="84"/>
  <c r="B136" i="71"/>
  <c r="B133" i="75"/>
  <c r="B136" i="84"/>
  <c r="B136" i="72"/>
  <c r="E140" i="75"/>
  <c r="B134" i="83"/>
  <c r="B130" i="83"/>
  <c r="E130" i="83"/>
  <c r="E133" i="71"/>
  <c r="E136" i="81"/>
  <c r="B131" i="78"/>
  <c r="E131" i="78"/>
  <c r="B131" i="77"/>
  <c r="B133" i="77"/>
  <c r="B138" i="77"/>
  <c r="B139" i="80"/>
  <c r="B140" i="72"/>
  <c r="B138" i="75"/>
  <c r="E133" i="80"/>
  <c r="E132" i="84"/>
  <c r="E131" i="71"/>
  <c r="E142" i="80"/>
  <c r="E139" i="84"/>
  <c r="E140" i="77"/>
  <c r="E136" i="84"/>
  <c r="E142" i="75"/>
  <c r="E135" i="78"/>
  <c r="B136" i="83"/>
  <c r="B132" i="77"/>
  <c r="B133" i="72"/>
  <c r="B135" i="83"/>
  <c r="B135" i="71"/>
  <c r="E139" i="80"/>
  <c r="B134" i="77"/>
  <c r="B133" i="78"/>
  <c r="B130" i="80"/>
  <c r="E130" i="80"/>
  <c r="B132" i="75"/>
  <c r="B133" i="74"/>
  <c r="E132" i="80"/>
  <c r="B140" i="84"/>
  <c r="B139" i="71"/>
  <c r="B137" i="74"/>
  <c r="E134" i="78"/>
  <c r="E131" i="83"/>
  <c r="E143" i="75"/>
  <c r="E138" i="83"/>
  <c r="E140" i="74"/>
  <c r="E135" i="83"/>
  <c r="E141" i="74"/>
  <c r="E135" i="75"/>
  <c r="B137" i="81"/>
  <c r="B132" i="74"/>
  <c r="B132" i="71"/>
  <c r="B136" i="81"/>
  <c r="E140" i="78"/>
  <c r="B134" i="71"/>
  <c r="E141" i="72"/>
  <c r="E134" i="83"/>
  <c r="B131" i="75"/>
  <c r="E131" i="75"/>
  <c r="B131" i="74"/>
  <c r="B133" i="83"/>
  <c r="B139" i="72"/>
  <c r="E133" i="84"/>
  <c r="E133" i="78"/>
  <c r="B139" i="83"/>
  <c r="B138" i="84"/>
  <c r="B138" i="72"/>
  <c r="E133" i="77"/>
  <c r="E132" i="81"/>
  <c r="E142" i="77"/>
  <c r="E139" i="75"/>
  <c r="E141" i="81"/>
  <c r="E135" i="77"/>
  <c r="E142" i="84"/>
  <c r="E142" i="72"/>
  <c r="E134" i="77"/>
  <c r="B137" i="78"/>
  <c r="B133" i="84"/>
  <c r="B135" i="80"/>
  <c r="E139" i="77"/>
  <c r="B135" i="72"/>
  <c r="E134" i="84"/>
  <c r="E130" i="71"/>
  <c r="B130" i="71"/>
  <c r="B132" i="78"/>
  <c r="B132" i="72"/>
  <c r="B138" i="80"/>
  <c r="B134" i="81"/>
  <c r="B133" i="80"/>
  <c r="E133" i="81"/>
  <c r="E133" i="75"/>
  <c r="B140" i="81"/>
  <c r="B137" i="83"/>
  <c r="B137" i="71"/>
  <c r="E134" i="75"/>
  <c r="E131" i="74"/>
  <c r="E143" i="78"/>
  <c r="E139" i="72"/>
  <c r="E140" i="80"/>
  <c r="E135" i="80"/>
  <c r="E141" i="83"/>
  <c r="E141" i="71"/>
  <c r="E135" i="72"/>
  <c r="B136" i="77"/>
  <c r="B132" i="83"/>
  <c r="B136" i="78"/>
  <c r="E139" i="74"/>
  <c r="E140" i="72"/>
  <c r="B134" i="74"/>
  <c r="B138" i="74"/>
  <c r="E131" i="72"/>
  <c r="B131" i="72"/>
  <c r="B132" i="84"/>
  <c r="B131" i="71"/>
  <c r="B139" i="84"/>
  <c r="B139" i="75"/>
  <c r="B134" i="78"/>
  <c r="E132" i="77"/>
  <c r="B140" i="78"/>
  <c r="B138" i="81"/>
  <c r="E133" i="74"/>
  <c r="E132" i="75"/>
  <c r="E143" i="81"/>
  <c r="E142" i="74"/>
  <c r="E139" i="78"/>
  <c r="E141" i="84"/>
  <c r="E141" i="75"/>
  <c r="E136" i="78"/>
  <c r="E142" i="81"/>
  <c r="E135" i="81"/>
  <c r="E134" i="71"/>
  <c r="B137" i="75"/>
  <c r="B133" i="81"/>
  <c r="B135" i="77"/>
  <c r="E140" i="84"/>
  <c r="E139" i="71"/>
  <c r="B134" i="80"/>
  <c r="B131" i="84"/>
  <c r="E131" i="84"/>
  <c r="E130" i="74"/>
  <c r="B130" i="74"/>
  <c r="B131" i="83"/>
  <c r="B138" i="83"/>
  <c r="B133" i="71"/>
  <c r="B134" i="75"/>
  <c r="E132" i="83"/>
  <c r="B139" i="77"/>
  <c r="B137" i="80"/>
  <c r="E134" i="81"/>
  <c r="E134" i="72"/>
  <c r="E132" i="78"/>
  <c r="E142" i="71"/>
  <c r="E143" i="72"/>
  <c r="E139" i="81"/>
  <c r="E140" i="83"/>
  <c r="E140" i="71"/>
  <c r="E136" i="75"/>
  <c r="E141" i="80"/>
  <c r="E135" i="84"/>
  <c r="E134" i="74"/>
  <c r="B136" i="74"/>
  <c r="B132" i="80"/>
  <c r="B136" i="75"/>
  <c r="E139" i="83"/>
  <c r="B135" i="84"/>
  <c r="B135" i="78"/>
  <c r="U13" i="36"/>
  <c r="U14" i="36" s="1"/>
  <c r="L14" i="36"/>
  <c r="B100" i="53"/>
  <c r="E138" i="64"/>
  <c r="E134" i="63"/>
  <c r="E135" i="63"/>
  <c r="B137" i="64"/>
  <c r="E137" i="64"/>
  <c r="E137" i="63"/>
  <c r="E136" i="63"/>
  <c r="B139" i="64"/>
  <c r="B134" i="64"/>
  <c r="B135" i="63"/>
  <c r="B132" i="63"/>
  <c r="E132" i="63"/>
  <c r="B137" i="63"/>
  <c r="B140" i="64"/>
  <c r="E139" i="63"/>
  <c r="B131" i="63"/>
  <c r="E133" i="64"/>
  <c r="E143" i="64"/>
  <c r="E133" i="63"/>
  <c r="E138" i="63"/>
  <c r="E134" i="64"/>
  <c r="B138" i="64"/>
  <c r="B139" i="63"/>
  <c r="E140" i="64"/>
  <c r="B132" i="64"/>
  <c r="B130" i="63"/>
  <c r="E130" i="63"/>
  <c r="E135" i="64"/>
  <c r="B133" i="64"/>
  <c r="E139" i="64"/>
  <c r="E142" i="63"/>
  <c r="E140" i="63"/>
  <c r="E131" i="63"/>
  <c r="B134" i="63"/>
  <c r="E131" i="64"/>
  <c r="B131" i="64"/>
  <c r="B136" i="64"/>
  <c r="E141" i="64"/>
  <c r="E132" i="64"/>
  <c r="E142" i="64"/>
  <c r="B135" i="64"/>
  <c r="B138" i="63"/>
  <c r="E136" i="64"/>
  <c r="B136" i="63"/>
  <c r="E141" i="63"/>
  <c r="B133" i="63"/>
  <c r="E136" i="61"/>
  <c r="E137" i="61"/>
  <c r="E137" i="60"/>
  <c r="E136" i="60"/>
  <c r="E133" i="60"/>
  <c r="E139" i="61"/>
  <c r="B138" i="60"/>
  <c r="B139" i="61"/>
  <c r="E138" i="61"/>
  <c r="B134" i="61"/>
  <c r="E140" i="61"/>
  <c r="E134" i="61"/>
  <c r="E139" i="60"/>
  <c r="B132" i="60"/>
  <c r="E132" i="60"/>
  <c r="E134" i="60"/>
  <c r="B133" i="61"/>
  <c r="E133" i="61"/>
  <c r="B137" i="60"/>
  <c r="E141" i="60"/>
  <c r="B140" i="61"/>
  <c r="E135" i="61"/>
  <c r="B131" i="60"/>
  <c r="E140" i="60"/>
  <c r="E142" i="61"/>
  <c r="B139" i="60"/>
  <c r="B132" i="61"/>
  <c r="E141" i="61"/>
  <c r="B137" i="61"/>
  <c r="E132" i="61"/>
  <c r="B135" i="61"/>
  <c r="E130" i="60"/>
  <c r="B130" i="60"/>
  <c r="B135" i="60"/>
  <c r="E143" i="61"/>
  <c r="E138" i="60"/>
  <c r="B133" i="60"/>
  <c r="E135" i="60"/>
  <c r="B138" i="61"/>
  <c r="B136" i="60"/>
  <c r="E131" i="60"/>
  <c r="B134" i="60"/>
  <c r="B131" i="61"/>
  <c r="E131" i="61"/>
  <c r="B136" i="61"/>
  <c r="E142" i="60"/>
  <c r="E141" i="58"/>
  <c r="E143" i="58"/>
  <c r="E138" i="58"/>
  <c r="E137" i="58"/>
  <c r="E132" i="58"/>
  <c r="E139" i="58"/>
  <c r="B140" i="58"/>
  <c r="E140" i="58"/>
  <c r="B132" i="58"/>
  <c r="B134" i="58"/>
  <c r="B133" i="58"/>
  <c r="E134" i="58"/>
  <c r="B139" i="58"/>
  <c r="E142" i="58"/>
  <c r="E131" i="58"/>
  <c r="B131" i="58"/>
  <c r="B136" i="58"/>
  <c r="E133" i="58"/>
  <c r="B138" i="58"/>
  <c r="E136" i="58"/>
  <c r="E135" i="58"/>
  <c r="B137" i="58"/>
  <c r="B135" i="58"/>
  <c r="H25" i="49"/>
  <c r="H25" i="52"/>
  <c r="E116" i="53"/>
  <c r="E106" i="50"/>
  <c r="E113" i="50"/>
  <c r="E115" i="50"/>
  <c r="E114" i="50"/>
  <c r="F10" i="50"/>
  <c r="E103" i="50"/>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B105" i="53"/>
  <c r="K100" i="53"/>
  <c r="B104" i="53"/>
  <c r="J100" i="53"/>
  <c r="N100" i="53"/>
  <c r="B100" i="50"/>
  <c r="Q100" i="50"/>
  <c r="J100" i="50"/>
  <c r="M100" i="50"/>
  <c r="B105" i="50"/>
  <c r="B103" i="50"/>
  <c r="K100" i="50"/>
  <c r="B109" i="50"/>
  <c r="B107" i="50"/>
  <c r="L100" i="50"/>
  <c r="B106" i="50"/>
  <c r="P100" i="50"/>
  <c r="B108" i="50"/>
  <c r="B102" i="50"/>
  <c r="F7" i="50"/>
  <c r="I100" i="50"/>
  <c r="O100" i="50"/>
  <c r="B101" i="50"/>
  <c r="B104" i="50"/>
  <c r="N100" i="50"/>
  <c r="B136" i="53"/>
  <c r="B133" i="53"/>
  <c r="B139" i="53"/>
  <c r="B135" i="53"/>
  <c r="B137" i="53"/>
  <c r="B134" i="53"/>
  <c r="B131" i="53"/>
  <c r="B132" i="53"/>
  <c r="B140" i="53"/>
  <c r="B138" i="53"/>
  <c r="B166" i="72" l="1"/>
  <c r="B168" i="80"/>
  <c r="B199" i="80" s="1"/>
  <c r="C232" i="80" s="1"/>
  <c r="C251" i="80" s="1"/>
  <c r="E251" i="80" s="1"/>
  <c r="B167" i="84"/>
  <c r="B164" i="81"/>
  <c r="B169" i="83"/>
  <c r="B200" i="83" s="1"/>
  <c r="C233" i="83" s="1"/>
  <c r="C252" i="83" s="1"/>
  <c r="E252" i="83" s="1"/>
  <c r="D268" i="83" s="1"/>
  <c r="E268" i="83" s="1"/>
  <c r="F268" i="83" s="1"/>
  <c r="B170" i="78"/>
  <c r="B169" i="80"/>
  <c r="B200" i="80" s="1"/>
  <c r="C233" i="80" s="1"/>
  <c r="C252" i="80" s="1"/>
  <c r="E252" i="80" s="1"/>
  <c r="D268" i="80" s="1"/>
  <c r="D269" i="81" s="1"/>
  <c r="E269" i="81" s="1"/>
  <c r="E168" i="74"/>
  <c r="E199" i="74" s="1"/>
  <c r="J232" i="74" s="1"/>
  <c r="J251" i="74" s="1"/>
  <c r="L251" i="74" s="1"/>
  <c r="E175" i="84"/>
  <c r="B170" i="77"/>
  <c r="B201" i="77" s="1"/>
  <c r="C234" i="77" s="1"/>
  <c r="C253" i="77" s="1"/>
  <c r="E253" i="77" s="1"/>
  <c r="D267" i="77" s="1"/>
  <c r="E267" i="77" s="1"/>
  <c r="F267" i="77" s="1"/>
  <c r="B165" i="72"/>
  <c r="E174" i="80"/>
  <c r="E205" i="80" s="1"/>
  <c r="J238" i="80" s="1"/>
  <c r="J257" i="80" s="1"/>
  <c r="L257" i="80" s="1"/>
  <c r="E170" i="81"/>
  <c r="E167" i="81"/>
  <c r="E164" i="75"/>
  <c r="B167" i="75"/>
  <c r="E168" i="83"/>
  <c r="E199" i="83" s="1"/>
  <c r="J232" i="83" s="1"/>
  <c r="J251" i="83" s="1"/>
  <c r="L251" i="83" s="1"/>
  <c r="E169" i="80"/>
  <c r="E200" i="80" s="1"/>
  <c r="J233" i="80" s="1"/>
  <c r="J252" i="80" s="1"/>
  <c r="L252" i="80" s="1"/>
  <c r="E169" i="77"/>
  <c r="E200" i="77" s="1"/>
  <c r="J233" i="77" s="1"/>
  <c r="J252" i="77" s="1"/>
  <c r="L252" i="77" s="1"/>
  <c r="E173" i="83"/>
  <c r="E204" i="83" s="1"/>
  <c r="J237" i="83" s="1"/>
  <c r="J256" i="83" s="1"/>
  <c r="L256" i="83" s="1"/>
  <c r="E166" i="74"/>
  <c r="E197" i="74" s="1"/>
  <c r="J230" i="74" s="1"/>
  <c r="J249" i="74" s="1"/>
  <c r="L249" i="74" s="1"/>
  <c r="E174" i="71"/>
  <c r="E205" i="71" s="1"/>
  <c r="J238" i="71" s="1"/>
  <c r="J257" i="71" s="1"/>
  <c r="L257" i="71" s="1"/>
  <c r="B165" i="71"/>
  <c r="B196" i="71" s="1"/>
  <c r="C229" i="71" s="1"/>
  <c r="C248" i="71" s="1"/>
  <c r="E248" i="71" s="1"/>
  <c r="D270" i="71" s="1"/>
  <c r="D271" i="72" s="1"/>
  <c r="E271" i="72" s="1"/>
  <c r="B169" i="81"/>
  <c r="E169" i="78"/>
  <c r="B166" i="74"/>
  <c r="B197" i="74" s="1"/>
  <c r="C230" i="74" s="1"/>
  <c r="E171" i="77"/>
  <c r="E202" i="77" s="1"/>
  <c r="J235" i="77" s="1"/>
  <c r="J254" i="77" s="1"/>
  <c r="L254" i="77" s="1"/>
  <c r="E165" i="78"/>
  <c r="B167" i="78"/>
  <c r="E172" i="84"/>
  <c r="B165" i="75"/>
  <c r="E165" i="72"/>
  <c r="E170" i="71"/>
  <c r="E201" i="71" s="1"/>
  <c r="J234" i="71" s="1"/>
  <c r="J253" i="71" s="1"/>
  <c r="L253" i="71" s="1"/>
  <c r="E168" i="72"/>
  <c r="E169" i="71"/>
  <c r="E200" i="71" s="1"/>
  <c r="J233" i="71" s="1"/>
  <c r="J252" i="71" s="1"/>
  <c r="L252" i="71" s="1"/>
  <c r="E170" i="78"/>
  <c r="E167" i="84"/>
  <c r="E164" i="78"/>
  <c r="B170" i="83"/>
  <c r="B201" i="83" s="1"/>
  <c r="C234" i="83" s="1"/>
  <c r="C253" i="83" s="1"/>
  <c r="E253" i="83" s="1"/>
  <c r="D267" i="83" s="1"/>
  <c r="B166" i="80"/>
  <c r="B197" i="80" s="1"/>
  <c r="C230" i="80" s="1"/>
  <c r="E174" i="81"/>
  <c r="E165" i="74"/>
  <c r="E196" i="74" s="1"/>
  <c r="J229" i="74" s="1"/>
  <c r="J248" i="74" s="1"/>
  <c r="L248" i="74" s="1"/>
  <c r="B164" i="84"/>
  <c r="E172" i="72"/>
  <c r="E167" i="80"/>
  <c r="E198" i="80" s="1"/>
  <c r="J231" i="80" s="1"/>
  <c r="J250" i="80" s="1"/>
  <c r="L250" i="80" s="1"/>
  <c r="B172" i="81"/>
  <c r="B162" i="71"/>
  <c r="B167" i="80"/>
  <c r="B198" i="80" s="1"/>
  <c r="C231" i="80" s="1"/>
  <c r="E171" i="75"/>
  <c r="E165" i="84"/>
  <c r="E166" i="83"/>
  <c r="E197" i="83" s="1"/>
  <c r="J230" i="83" s="1"/>
  <c r="J249" i="83" s="1"/>
  <c r="L249" i="83" s="1"/>
  <c r="E167" i="75"/>
  <c r="B169" i="74"/>
  <c r="B200" i="74" s="1"/>
  <c r="C233" i="74" s="1"/>
  <c r="C252" i="74" s="1"/>
  <c r="E252" i="74" s="1"/>
  <c r="D268" i="74" s="1"/>
  <c r="B162" i="80"/>
  <c r="B164" i="77"/>
  <c r="B195" i="77" s="1"/>
  <c r="C228" i="77" s="1"/>
  <c r="C247" i="77" s="1"/>
  <c r="E247" i="77" s="1"/>
  <c r="E163" i="71"/>
  <c r="E194" i="71" s="1"/>
  <c r="J227" i="71" s="1"/>
  <c r="J246" i="71" s="1"/>
  <c r="L246" i="71" s="1"/>
  <c r="B165" i="77"/>
  <c r="B196" i="77" s="1"/>
  <c r="C229" i="77" s="1"/>
  <c r="C248" i="77" s="1"/>
  <c r="E248" i="77" s="1"/>
  <c r="D270" i="77" s="1"/>
  <c r="B168" i="71"/>
  <c r="B199" i="71" s="1"/>
  <c r="C232" i="71" s="1"/>
  <c r="C251" i="71" s="1"/>
  <c r="E251" i="71" s="1"/>
  <c r="E170" i="77"/>
  <c r="E201" i="77" s="1"/>
  <c r="J234" i="77" s="1"/>
  <c r="J253" i="77" s="1"/>
  <c r="L253" i="77" s="1"/>
  <c r="B170" i="71"/>
  <c r="B201" i="71" s="1"/>
  <c r="C234" i="71" s="1"/>
  <c r="C253" i="71" s="1"/>
  <c r="E253" i="71" s="1"/>
  <c r="D267" i="71" s="1"/>
  <c r="E169" i="81"/>
  <c r="E173" i="80"/>
  <c r="E204" i="80" s="1"/>
  <c r="J237" i="80" s="1"/>
  <c r="J256" i="80" s="1"/>
  <c r="L256" i="80" s="1"/>
  <c r="E166" i="72"/>
  <c r="B163" i="83"/>
  <c r="B194" i="83" s="1"/>
  <c r="C227" i="83" s="1"/>
  <c r="C246" i="83" s="1"/>
  <c r="E246" i="83" s="1"/>
  <c r="E171" i="71"/>
  <c r="E202" i="71" s="1"/>
  <c r="J235" i="71" s="1"/>
  <c r="J254" i="71" s="1"/>
  <c r="L254" i="71" s="1"/>
  <c r="E168" i="78"/>
  <c r="B170" i="81"/>
  <c r="B163" i="72"/>
  <c r="E171" i="74"/>
  <c r="E202" i="74" s="1"/>
  <c r="J235" i="74" s="1"/>
  <c r="J254" i="74" s="1"/>
  <c r="L254" i="74" s="1"/>
  <c r="E172" i="80"/>
  <c r="E203" i="80" s="1"/>
  <c r="J236" i="80" s="1"/>
  <c r="J255" i="80" s="1"/>
  <c r="L255" i="80" s="1"/>
  <c r="E165" i="75"/>
  <c r="E177" i="71"/>
  <c r="E208" i="71" s="1"/>
  <c r="J241" i="71" s="1"/>
  <c r="J260" i="71" s="1"/>
  <c r="L260" i="71" s="1"/>
  <c r="D272" i="71" s="1"/>
  <c r="E175" i="71"/>
  <c r="E206" i="71" s="1"/>
  <c r="J239" i="71" s="1"/>
  <c r="E176" i="71"/>
  <c r="E207" i="71" s="1"/>
  <c r="J240" i="71" s="1"/>
  <c r="J259" i="71" s="1"/>
  <c r="L259" i="71" s="1"/>
  <c r="D271" i="71" s="1"/>
  <c r="E162" i="71"/>
  <c r="B165" i="84"/>
  <c r="E174" i="77"/>
  <c r="E205" i="77" s="1"/>
  <c r="J238" i="77" s="1"/>
  <c r="J257" i="77" s="1"/>
  <c r="L257" i="77" s="1"/>
  <c r="B171" i="72"/>
  <c r="E173" i="72"/>
  <c r="E173" i="74"/>
  <c r="E204" i="74" s="1"/>
  <c r="J237" i="74" s="1"/>
  <c r="J256" i="74" s="1"/>
  <c r="L256" i="74" s="1"/>
  <c r="B171" i="71"/>
  <c r="B202" i="71" s="1"/>
  <c r="C235" i="71" s="1"/>
  <c r="C254" i="71" s="1"/>
  <c r="E254" i="71" s="1"/>
  <c r="D269" i="71" s="1"/>
  <c r="B168" i="83"/>
  <c r="B199" i="83" s="1"/>
  <c r="C232" i="83" s="1"/>
  <c r="C251" i="83" s="1"/>
  <c r="E251" i="83" s="1"/>
  <c r="E164" i="84"/>
  <c r="B163" i="77"/>
  <c r="B194" i="77" s="1"/>
  <c r="C227" i="77" s="1"/>
  <c r="C246" i="77" s="1"/>
  <c r="E246" i="77" s="1"/>
  <c r="E176" i="83"/>
  <c r="E207" i="83" s="1"/>
  <c r="J240" i="83" s="1"/>
  <c r="J259" i="83" s="1"/>
  <c r="L259" i="83" s="1"/>
  <c r="D271" i="83" s="1"/>
  <c r="E162" i="83"/>
  <c r="E175" i="83"/>
  <c r="E206" i="83" s="1"/>
  <c r="J239" i="83" s="1"/>
  <c r="E177" i="83"/>
  <c r="E208" i="83" s="1"/>
  <c r="J241" i="83" s="1"/>
  <c r="J260" i="83" s="1"/>
  <c r="L260" i="83" s="1"/>
  <c r="D272" i="83" s="1"/>
  <c r="B169" i="84"/>
  <c r="E174" i="83"/>
  <c r="E205" i="83" s="1"/>
  <c r="J238" i="83" s="1"/>
  <c r="J257" i="83" s="1"/>
  <c r="L257" i="83" s="1"/>
  <c r="B171" i="78"/>
  <c r="B172" i="75"/>
  <c r="B163" i="71"/>
  <c r="B194" i="71" s="1"/>
  <c r="C227" i="71" s="1"/>
  <c r="C246" i="71" s="1"/>
  <c r="E246" i="71" s="1"/>
  <c r="E168" i="75"/>
  <c r="E166" i="81"/>
  <c r="B162" i="74"/>
  <c r="E173" i="75"/>
  <c r="B172" i="78"/>
  <c r="E178" i="72"/>
  <c r="E176" i="72"/>
  <c r="E177" i="72"/>
  <c r="E163" i="72"/>
  <c r="B168" i="78"/>
  <c r="E171" i="72"/>
  <c r="E165" i="81"/>
  <c r="B167" i="74"/>
  <c r="B198" i="74" s="1"/>
  <c r="C231" i="74" s="1"/>
  <c r="B169" i="78"/>
  <c r="E164" i="81"/>
  <c r="B165" i="83"/>
  <c r="B196" i="83" s="1"/>
  <c r="C229" i="83" s="1"/>
  <c r="C248" i="83" s="1"/>
  <c r="E248" i="83" s="1"/>
  <c r="D270" i="83" s="1"/>
  <c r="B166" i="71"/>
  <c r="B197" i="71" s="1"/>
  <c r="C230" i="71" s="1"/>
  <c r="E167" i="83"/>
  <c r="E198" i="83" s="1"/>
  <c r="J231" i="83" s="1"/>
  <c r="J250" i="83" s="1"/>
  <c r="L250" i="83" s="1"/>
  <c r="B172" i="84"/>
  <c r="B165" i="78"/>
  <c r="E167" i="78"/>
  <c r="E165" i="80"/>
  <c r="E196" i="80" s="1"/>
  <c r="J229" i="80" s="1"/>
  <c r="J248" i="80" s="1"/>
  <c r="L248" i="80" s="1"/>
  <c r="E177" i="78"/>
  <c r="E176" i="78"/>
  <c r="E163" i="78"/>
  <c r="E178" i="78"/>
  <c r="B162" i="83"/>
  <c r="E166" i="80"/>
  <c r="E197" i="80" s="1"/>
  <c r="J230" i="80" s="1"/>
  <c r="J249" i="80" s="1"/>
  <c r="L249" i="80" s="1"/>
  <c r="E164" i="72"/>
  <c r="B163" i="80"/>
  <c r="B194" i="80" s="1"/>
  <c r="C227" i="80" s="1"/>
  <c r="C246" i="80" s="1"/>
  <c r="E246" i="80" s="1"/>
  <c r="E162" i="77"/>
  <c r="E177" i="77"/>
  <c r="E208" i="77" s="1"/>
  <c r="J241" i="77" s="1"/>
  <c r="J260" i="77" s="1"/>
  <c r="L260" i="77" s="1"/>
  <c r="D272" i="77" s="1"/>
  <c r="E175" i="77"/>
  <c r="E206" i="77" s="1"/>
  <c r="J239" i="77" s="1"/>
  <c r="E176" i="77"/>
  <c r="E207" i="77" s="1"/>
  <c r="J240" i="77" s="1"/>
  <c r="J259" i="77" s="1"/>
  <c r="L259" i="77" s="1"/>
  <c r="D271" i="77" s="1"/>
  <c r="E168" i="71"/>
  <c r="E199" i="71" s="1"/>
  <c r="J232" i="71" s="1"/>
  <c r="J251" i="71" s="1"/>
  <c r="L251" i="71" s="1"/>
  <c r="E173" i="81"/>
  <c r="E171" i="83"/>
  <c r="E202" i="83" s="1"/>
  <c r="J235" i="83" s="1"/>
  <c r="J254" i="83" s="1"/>
  <c r="L254" i="83" s="1"/>
  <c r="E176" i="74"/>
  <c r="E207" i="74" s="1"/>
  <c r="J240" i="74" s="1"/>
  <c r="J259" i="74" s="1"/>
  <c r="L259" i="74" s="1"/>
  <c r="D271" i="74" s="1"/>
  <c r="E162" i="74"/>
  <c r="E175" i="74"/>
  <c r="E206" i="74" s="1"/>
  <c r="J239" i="74" s="1"/>
  <c r="E177" i="74"/>
  <c r="E208" i="74" s="1"/>
  <c r="J241" i="74" s="1"/>
  <c r="J260" i="74" s="1"/>
  <c r="L260" i="74" s="1"/>
  <c r="D272" i="74" s="1"/>
  <c r="B167" i="77"/>
  <c r="B198" i="77" s="1"/>
  <c r="C231" i="77" s="1"/>
  <c r="E173" i="84"/>
  <c r="E164" i="77"/>
  <c r="E195" i="77" s="1"/>
  <c r="J228" i="77" s="1"/>
  <c r="J247" i="77" s="1"/>
  <c r="L247" i="77" s="1"/>
  <c r="E169" i="84"/>
  <c r="B164" i="83"/>
  <c r="B195" i="83" s="1"/>
  <c r="C228" i="83" s="1"/>
  <c r="C247" i="83" s="1"/>
  <c r="E247" i="83" s="1"/>
  <c r="E175" i="78"/>
  <c r="B165" i="80"/>
  <c r="B196" i="80" s="1"/>
  <c r="C229" i="80" s="1"/>
  <c r="C248" i="80" s="1"/>
  <c r="E248" i="80" s="1"/>
  <c r="D270" i="80" s="1"/>
  <c r="E174" i="78"/>
  <c r="E166" i="77"/>
  <c r="E197" i="77" s="1"/>
  <c r="J230" i="77" s="1"/>
  <c r="J249" i="77" s="1"/>
  <c r="L249" i="77" s="1"/>
  <c r="E165" i="77"/>
  <c r="E196" i="77" s="1"/>
  <c r="J229" i="77" s="1"/>
  <c r="J248" i="77" s="1"/>
  <c r="L248" i="77" s="1"/>
  <c r="B163" i="74"/>
  <c r="B194" i="74" s="1"/>
  <c r="C227" i="74" s="1"/>
  <c r="C246" i="74" s="1"/>
  <c r="E246" i="74" s="1"/>
  <c r="E172" i="78"/>
  <c r="E172" i="74"/>
  <c r="E203" i="74" s="1"/>
  <c r="J236" i="74" s="1"/>
  <c r="J255" i="74" s="1"/>
  <c r="L255" i="74" s="1"/>
  <c r="E164" i="80"/>
  <c r="E195" i="80" s="1"/>
  <c r="J228" i="80" s="1"/>
  <c r="J247" i="80" s="1"/>
  <c r="L247" i="80" s="1"/>
  <c r="B166" i="77"/>
  <c r="B197" i="77" s="1"/>
  <c r="C230" i="77" s="1"/>
  <c r="E174" i="75"/>
  <c r="B170" i="75"/>
  <c r="B163" i="78"/>
  <c r="B166" i="83"/>
  <c r="B197" i="83" s="1"/>
  <c r="C230" i="83" s="1"/>
  <c r="E173" i="77"/>
  <c r="E204" i="77" s="1"/>
  <c r="J237" i="77" s="1"/>
  <c r="J256" i="77" s="1"/>
  <c r="L256" i="77" s="1"/>
  <c r="E163" i="80"/>
  <c r="E194" i="80" s="1"/>
  <c r="J227" i="80" s="1"/>
  <c r="J246" i="80" s="1"/>
  <c r="L246" i="80" s="1"/>
  <c r="E177" i="81"/>
  <c r="E163" i="81"/>
  <c r="E176" i="81"/>
  <c r="E178" i="81"/>
  <c r="B162" i="77"/>
  <c r="E162" i="80"/>
  <c r="E175" i="80"/>
  <c r="E206" i="80" s="1"/>
  <c r="J239" i="80" s="1"/>
  <c r="E177" i="80"/>
  <c r="E208" i="80" s="1"/>
  <c r="J241" i="80" s="1"/>
  <c r="J260" i="80" s="1"/>
  <c r="L260" i="80" s="1"/>
  <c r="D272" i="80" s="1"/>
  <c r="E176" i="80"/>
  <c r="E207" i="80" s="1"/>
  <c r="J240" i="80" s="1"/>
  <c r="J259" i="80" s="1"/>
  <c r="L259" i="80" s="1"/>
  <c r="D271" i="80" s="1"/>
  <c r="E172" i="71"/>
  <c r="E203" i="71" s="1"/>
  <c r="J236" i="71" s="1"/>
  <c r="J255" i="71" s="1"/>
  <c r="L255" i="71" s="1"/>
  <c r="B168" i="75"/>
  <c r="E172" i="83"/>
  <c r="E203" i="83" s="1"/>
  <c r="J236" i="83" s="1"/>
  <c r="J255" i="83" s="1"/>
  <c r="L255" i="83" s="1"/>
  <c r="B171" i="77"/>
  <c r="B202" i="77" s="1"/>
  <c r="C235" i="77" s="1"/>
  <c r="C254" i="77" s="1"/>
  <c r="E254" i="77" s="1"/>
  <c r="D269" i="77" s="1"/>
  <c r="E178" i="84"/>
  <c r="E176" i="84"/>
  <c r="E177" i="84"/>
  <c r="E163" i="84"/>
  <c r="B165" i="81"/>
  <c r="E171" i="78"/>
  <c r="B166" i="78"/>
  <c r="E163" i="77"/>
  <c r="E194" i="77" s="1"/>
  <c r="J227" i="77" s="1"/>
  <c r="J246" i="77" s="1"/>
  <c r="L246" i="77" s="1"/>
  <c r="B168" i="77"/>
  <c r="B199" i="77" s="1"/>
  <c r="C232" i="77" s="1"/>
  <c r="C251" i="77" s="1"/>
  <c r="E251" i="77" s="1"/>
  <c r="E163" i="74"/>
  <c r="E194" i="74" s="1"/>
  <c r="J227" i="74" s="1"/>
  <c r="J246" i="74" s="1"/>
  <c r="L246" i="74" s="1"/>
  <c r="B166" i="81"/>
  <c r="E166" i="84"/>
  <c r="E174" i="72"/>
  <c r="B170" i="72"/>
  <c r="E177" i="75"/>
  <c r="E176" i="75"/>
  <c r="E163" i="75"/>
  <c r="E178" i="75"/>
  <c r="B168" i="81"/>
  <c r="E170" i="83"/>
  <c r="E201" i="83" s="1"/>
  <c r="J234" i="83" s="1"/>
  <c r="J253" i="83" s="1"/>
  <c r="L253" i="83" s="1"/>
  <c r="B165" i="74"/>
  <c r="B196" i="74" s="1"/>
  <c r="C229" i="74" s="1"/>
  <c r="C248" i="74" s="1"/>
  <c r="E248" i="74" s="1"/>
  <c r="D270" i="74" s="1"/>
  <c r="E171" i="80"/>
  <c r="E202" i="80" s="1"/>
  <c r="J235" i="80" s="1"/>
  <c r="J254" i="80" s="1"/>
  <c r="L254" i="80" s="1"/>
  <c r="E168" i="84"/>
  <c r="B172" i="72"/>
  <c r="E168" i="81"/>
  <c r="E172" i="75"/>
  <c r="E167" i="71"/>
  <c r="E198" i="71" s="1"/>
  <c r="J231" i="71" s="1"/>
  <c r="J250" i="71" s="1"/>
  <c r="L250" i="71" s="1"/>
  <c r="E165" i="83"/>
  <c r="E196" i="83" s="1"/>
  <c r="J229" i="83" s="1"/>
  <c r="J248" i="83" s="1"/>
  <c r="L248" i="83" s="1"/>
  <c r="B163" i="81"/>
  <c r="E169" i="83"/>
  <c r="E200" i="83" s="1"/>
  <c r="J233" i="83" s="1"/>
  <c r="J252" i="83" s="1"/>
  <c r="L252" i="83" s="1"/>
  <c r="E169" i="75"/>
  <c r="E168" i="77"/>
  <c r="E199" i="77" s="1"/>
  <c r="J232" i="77" s="1"/>
  <c r="J251" i="77" s="1"/>
  <c r="L251" i="77" s="1"/>
  <c r="B164" i="78"/>
  <c r="E166" i="78"/>
  <c r="B164" i="80"/>
  <c r="B195" i="80" s="1"/>
  <c r="C228" i="80" s="1"/>
  <c r="C247" i="80" s="1"/>
  <c r="E247" i="80" s="1"/>
  <c r="E171" i="81"/>
  <c r="E164" i="83"/>
  <c r="E195" i="83" s="1"/>
  <c r="J228" i="83" s="1"/>
  <c r="J247" i="83" s="1"/>
  <c r="L247" i="83" s="1"/>
  <c r="B163" i="84"/>
  <c r="B169" i="75"/>
  <c r="E174" i="74"/>
  <c r="E205" i="74" s="1"/>
  <c r="J238" i="74" s="1"/>
  <c r="J257" i="74" s="1"/>
  <c r="L257" i="74" s="1"/>
  <c r="B171" i="75"/>
  <c r="E164" i="71"/>
  <c r="E195" i="71" s="1"/>
  <c r="J228" i="71" s="1"/>
  <c r="J247" i="71" s="1"/>
  <c r="L247" i="71" s="1"/>
  <c r="E167" i="72"/>
  <c r="E166" i="75"/>
  <c r="B170" i="80"/>
  <c r="B201" i="80" s="1"/>
  <c r="C234" i="80" s="1"/>
  <c r="C253" i="80" s="1"/>
  <c r="E253" i="80" s="1"/>
  <c r="D267" i="80" s="1"/>
  <c r="B171" i="81"/>
  <c r="E174" i="84"/>
  <c r="B170" i="84"/>
  <c r="B163" i="75"/>
  <c r="B164" i="71"/>
  <c r="B195" i="71" s="1"/>
  <c r="C228" i="71" s="1"/>
  <c r="C247" i="71" s="1"/>
  <c r="E247" i="71" s="1"/>
  <c r="E175" i="75"/>
  <c r="B166" i="84"/>
  <c r="B167" i="71"/>
  <c r="B198" i="71" s="1"/>
  <c r="C231" i="71" s="1"/>
  <c r="E172" i="77"/>
  <c r="E203" i="77" s="1"/>
  <c r="J236" i="77" s="1"/>
  <c r="J255" i="77" s="1"/>
  <c r="L255" i="77" s="1"/>
  <c r="B171" i="80"/>
  <c r="B202" i="80" s="1"/>
  <c r="C235" i="80" s="1"/>
  <c r="C254" i="80" s="1"/>
  <c r="E254" i="80" s="1"/>
  <c r="D269" i="80" s="1"/>
  <c r="E170" i="74"/>
  <c r="E201" i="74" s="1"/>
  <c r="J234" i="74" s="1"/>
  <c r="J253" i="74" s="1"/>
  <c r="L253" i="74" s="1"/>
  <c r="B168" i="72"/>
  <c r="E167" i="74"/>
  <c r="E198" i="74" s="1"/>
  <c r="J231" i="74" s="1"/>
  <c r="J250" i="74" s="1"/>
  <c r="L250" i="74" s="1"/>
  <c r="B169" i="77"/>
  <c r="B200" i="77" s="1"/>
  <c r="C233" i="77" s="1"/>
  <c r="C252" i="77" s="1"/>
  <c r="E252" i="77" s="1"/>
  <c r="D268" i="77" s="1"/>
  <c r="B167" i="81"/>
  <c r="E169" i="74"/>
  <c r="E200" i="74" s="1"/>
  <c r="J233" i="74" s="1"/>
  <c r="J252" i="74" s="1"/>
  <c r="L252" i="74" s="1"/>
  <c r="E170" i="75"/>
  <c r="E170" i="72"/>
  <c r="B168" i="74"/>
  <c r="B199" i="74" s="1"/>
  <c r="C232" i="74" s="1"/>
  <c r="C251" i="74" s="1"/>
  <c r="E251" i="74" s="1"/>
  <c r="E175" i="72"/>
  <c r="B166" i="75"/>
  <c r="E170" i="80"/>
  <c r="E201" i="80" s="1"/>
  <c r="J234" i="80" s="1"/>
  <c r="J253" i="80" s="1"/>
  <c r="L253" i="80" s="1"/>
  <c r="E166" i="71"/>
  <c r="E197" i="71" s="1"/>
  <c r="J230" i="71" s="1"/>
  <c r="J249" i="71" s="1"/>
  <c r="L249" i="71" s="1"/>
  <c r="E175" i="81"/>
  <c r="B171" i="84"/>
  <c r="B170" i="74"/>
  <c r="B201" i="74" s="1"/>
  <c r="C234" i="74" s="1"/>
  <c r="C253" i="74" s="1"/>
  <c r="E253" i="74" s="1"/>
  <c r="D267" i="74" s="1"/>
  <c r="E173" i="71"/>
  <c r="E204" i="71" s="1"/>
  <c r="J237" i="71" s="1"/>
  <c r="J256" i="71" s="1"/>
  <c r="L256" i="71" s="1"/>
  <c r="B169" i="71"/>
  <c r="B200" i="71" s="1"/>
  <c r="C233" i="71" s="1"/>
  <c r="C252" i="71" s="1"/>
  <c r="E252" i="71" s="1"/>
  <c r="D268" i="71" s="1"/>
  <c r="B164" i="72"/>
  <c r="B167" i="72"/>
  <c r="E167" i="77"/>
  <c r="E198" i="77" s="1"/>
  <c r="J231" i="77" s="1"/>
  <c r="J250" i="77" s="1"/>
  <c r="L250" i="77" s="1"/>
  <c r="B171" i="83"/>
  <c r="B202" i="83" s="1"/>
  <c r="C235" i="83" s="1"/>
  <c r="C254" i="83" s="1"/>
  <c r="E254" i="83" s="1"/>
  <c r="D269" i="83" s="1"/>
  <c r="E172" i="81"/>
  <c r="B164" i="74"/>
  <c r="B195" i="74" s="1"/>
  <c r="C228" i="74" s="1"/>
  <c r="C247" i="74" s="1"/>
  <c r="E247" i="74" s="1"/>
  <c r="E163" i="83"/>
  <c r="E194" i="83" s="1"/>
  <c r="J227" i="83" s="1"/>
  <c r="J246" i="83" s="1"/>
  <c r="L246" i="83" s="1"/>
  <c r="B164" i="75"/>
  <c r="B167" i="83"/>
  <c r="B198" i="83" s="1"/>
  <c r="C231" i="83" s="1"/>
  <c r="E171" i="84"/>
  <c r="E164" i="74"/>
  <c r="E195" i="74" s="1"/>
  <c r="J228" i="74" s="1"/>
  <c r="J247" i="74" s="1"/>
  <c r="L247" i="74" s="1"/>
  <c r="E165" i="71"/>
  <c r="E196" i="71" s="1"/>
  <c r="J229" i="71" s="1"/>
  <c r="J248" i="71" s="1"/>
  <c r="L248" i="71" s="1"/>
  <c r="B168" i="84"/>
  <c r="E173" i="78"/>
  <c r="B171" i="74"/>
  <c r="B202" i="74" s="1"/>
  <c r="C235" i="74" s="1"/>
  <c r="C254" i="74" s="1"/>
  <c r="E254" i="74" s="1"/>
  <c r="D269" i="74" s="1"/>
  <c r="B169" i="72"/>
  <c r="E168" i="80"/>
  <c r="E199" i="80" s="1"/>
  <c r="J232" i="80" s="1"/>
  <c r="J251" i="80" s="1"/>
  <c r="L251" i="80" s="1"/>
  <c r="E169" i="72"/>
  <c r="E170" i="84"/>
  <c r="B164" i="64"/>
  <c r="B166" i="64"/>
  <c r="E173" i="64"/>
  <c r="B169" i="64"/>
  <c r="E174" i="63"/>
  <c r="E168" i="63"/>
  <c r="B165" i="63"/>
  <c r="B167" i="63"/>
  <c r="E174" i="64"/>
  <c r="E163" i="63"/>
  <c r="E175" i="64"/>
  <c r="E164" i="64"/>
  <c r="E172" i="63"/>
  <c r="E172" i="64"/>
  <c r="E165" i="64"/>
  <c r="E166" i="63"/>
  <c r="E173" i="63"/>
  <c r="B170" i="64"/>
  <c r="B168" i="63"/>
  <c r="B165" i="64"/>
  <c r="E166" i="64"/>
  <c r="B172" i="64"/>
  <c r="E169" i="63"/>
  <c r="B168" i="64"/>
  <c r="B171" i="64"/>
  <c r="E168" i="64"/>
  <c r="B163" i="64"/>
  <c r="E167" i="64"/>
  <c r="E170" i="63"/>
  <c r="B169" i="63"/>
  <c r="B163" i="63"/>
  <c r="E171" i="63"/>
  <c r="B170" i="63"/>
  <c r="E163" i="64"/>
  <c r="E176" i="64"/>
  <c r="E177" i="64"/>
  <c r="E178" i="64"/>
  <c r="E162" i="63"/>
  <c r="E177" i="63"/>
  <c r="E176" i="63"/>
  <c r="E175" i="63"/>
  <c r="E167" i="63"/>
  <c r="E164" i="63"/>
  <c r="E169" i="64"/>
  <c r="B171" i="63"/>
  <c r="E171" i="64"/>
  <c r="B167" i="64"/>
  <c r="B166" i="63"/>
  <c r="B162" i="63"/>
  <c r="E165" i="63"/>
  <c r="B164" i="63"/>
  <c r="E170" i="64"/>
  <c r="E166" i="61"/>
  <c r="E165" i="61"/>
  <c r="E174" i="61"/>
  <c r="B168" i="60"/>
  <c r="E169" i="60"/>
  <c r="B170" i="61"/>
  <c r="B171" i="60"/>
  <c r="B162" i="60"/>
  <c r="B170" i="60"/>
  <c r="E174" i="60"/>
  <c r="E167" i="60"/>
  <c r="B167" i="61"/>
  <c r="E172" i="60"/>
  <c r="B165" i="61"/>
  <c r="E172" i="61"/>
  <c r="B168" i="61"/>
  <c r="B165" i="60"/>
  <c r="E164" i="61"/>
  <c r="E165" i="60"/>
  <c r="E166" i="60"/>
  <c r="B166" i="61"/>
  <c r="E163" i="61"/>
  <c r="E176" i="61"/>
  <c r="E178" i="61"/>
  <c r="E177" i="61"/>
  <c r="E170" i="60"/>
  <c r="B169" i="61"/>
  <c r="B163" i="60"/>
  <c r="E164" i="60"/>
  <c r="B169" i="60"/>
  <c r="B163" i="61"/>
  <c r="E171" i="61"/>
  <c r="E168" i="61"/>
  <c r="E167" i="61"/>
  <c r="B164" i="60"/>
  <c r="E170" i="61"/>
  <c r="B166" i="60"/>
  <c r="E175" i="61"/>
  <c r="E173" i="61"/>
  <c r="B172" i="61"/>
  <c r="E171" i="60"/>
  <c r="E169" i="61"/>
  <c r="E162" i="60"/>
  <c r="E175" i="60"/>
  <c r="E177" i="60"/>
  <c r="E176" i="60"/>
  <c r="E163" i="60"/>
  <c r="B167" i="60"/>
  <c r="B164" i="61"/>
  <c r="E173" i="60"/>
  <c r="B171" i="61"/>
  <c r="E168" i="60"/>
  <c r="E140" i="53"/>
  <c r="E133" i="50"/>
  <c r="E168" i="58"/>
  <c r="B169" i="58"/>
  <c r="E170" i="58"/>
  <c r="B168" i="58"/>
  <c r="B166" i="58"/>
  <c r="E175" i="58"/>
  <c r="B170" i="58"/>
  <c r="E173" i="58"/>
  <c r="B164" i="58"/>
  <c r="B172" i="58"/>
  <c r="B167" i="58"/>
  <c r="E165" i="58"/>
  <c r="E174" i="58"/>
  <c r="E171" i="58"/>
  <c r="B171" i="58"/>
  <c r="E169" i="58"/>
  <c r="E166" i="58"/>
  <c r="E172" i="58"/>
  <c r="E164" i="58"/>
  <c r="B163" i="58"/>
  <c r="B165" i="58"/>
  <c r="E167" i="58"/>
  <c r="E163" i="58"/>
  <c r="E178" i="58"/>
  <c r="E177" i="58"/>
  <c r="E176" i="58"/>
  <c r="B134" i="50"/>
  <c r="E132" i="50"/>
  <c r="C3" i="54"/>
  <c r="E132" i="53"/>
  <c r="E133" i="53"/>
  <c r="C3" i="51"/>
  <c r="E135" i="53"/>
  <c r="E143" i="53"/>
  <c r="B139" i="50"/>
  <c r="B138" i="50"/>
  <c r="E116" i="50"/>
  <c r="B132" i="50"/>
  <c r="B131" i="50"/>
  <c r="B136" i="50"/>
  <c r="B140" i="50"/>
  <c r="B133" i="50"/>
  <c r="B135" i="50"/>
  <c r="B137" i="50"/>
  <c r="B110" i="53"/>
  <c r="E142" i="50"/>
  <c r="R100" i="50"/>
  <c r="E141" i="50"/>
  <c r="E145" i="53"/>
  <c r="E136" i="50"/>
  <c r="E135" i="50"/>
  <c r="E137" i="50"/>
  <c r="E140" i="50"/>
  <c r="E131" i="53"/>
  <c r="E141" i="53"/>
  <c r="E146" i="53"/>
  <c r="E131" i="50"/>
  <c r="E137" i="53"/>
  <c r="R100" i="53"/>
  <c r="E144" i="53"/>
  <c r="E143" i="50"/>
  <c r="E136" i="53"/>
  <c r="E134" i="53"/>
  <c r="E145" i="50"/>
  <c r="E139" i="50"/>
  <c r="E138" i="50"/>
  <c r="E139" i="53"/>
  <c r="E138" i="53"/>
  <c r="E144" i="50"/>
  <c r="E134" i="50"/>
  <c r="E142" i="53"/>
  <c r="B110" i="50"/>
  <c r="E146" i="50"/>
  <c r="B167" i="53"/>
  <c r="B165" i="53"/>
  <c r="B163" i="53"/>
  <c r="B166" i="53"/>
  <c r="B168" i="53"/>
  <c r="B172" i="53"/>
  <c r="B169" i="53"/>
  <c r="B171" i="53"/>
  <c r="B170" i="53"/>
  <c r="B164" i="53"/>
  <c r="D269" i="84" l="1"/>
  <c r="E269" i="84" s="1"/>
  <c r="F269" i="84" s="1"/>
  <c r="E268" i="80"/>
  <c r="F268" i="80" s="1"/>
  <c r="E270" i="71"/>
  <c r="F270" i="71" s="1"/>
  <c r="D268" i="78"/>
  <c r="E268" i="78" s="1"/>
  <c r="F268" i="78" s="1"/>
  <c r="E269" i="83"/>
  <c r="F269" i="83" s="1"/>
  <c r="D270" i="84"/>
  <c r="E270" i="84" s="1"/>
  <c r="B173" i="84"/>
  <c r="E253" i="81"/>
  <c r="D9" i="82" s="1"/>
  <c r="F269" i="81"/>
  <c r="B172" i="83"/>
  <c r="B193" i="83"/>
  <c r="E271" i="71"/>
  <c r="F271" i="71" s="1"/>
  <c r="D272" i="72"/>
  <c r="E272" i="72" s="1"/>
  <c r="E193" i="80"/>
  <c r="E178" i="80"/>
  <c r="B173" i="72"/>
  <c r="D268" i="81"/>
  <c r="E268" i="81" s="1"/>
  <c r="E267" i="80"/>
  <c r="F267" i="80" s="1"/>
  <c r="B193" i="77"/>
  <c r="B172" i="77"/>
  <c r="B173" i="78"/>
  <c r="E271" i="77"/>
  <c r="F271" i="77" s="1"/>
  <c r="D272" i="78"/>
  <c r="E272" i="78" s="1"/>
  <c r="B193" i="74"/>
  <c r="B172" i="74"/>
  <c r="E269" i="71"/>
  <c r="F269" i="71" s="1"/>
  <c r="D270" i="72"/>
  <c r="E270" i="72" s="1"/>
  <c r="D270" i="78"/>
  <c r="E270" i="78" s="1"/>
  <c r="E269" i="77"/>
  <c r="F269" i="77" s="1"/>
  <c r="B173" i="81"/>
  <c r="D271" i="75"/>
  <c r="E271" i="75" s="1"/>
  <c r="E270" i="74"/>
  <c r="F270" i="74" s="1"/>
  <c r="E179" i="78"/>
  <c r="E179" i="72"/>
  <c r="E272" i="83"/>
  <c r="F272" i="83" s="1"/>
  <c r="D273" i="84"/>
  <c r="E273" i="84" s="1"/>
  <c r="D273" i="72"/>
  <c r="E273" i="72" s="1"/>
  <c r="E272" i="71"/>
  <c r="F272" i="71" s="1"/>
  <c r="E270" i="77"/>
  <c r="F270" i="77" s="1"/>
  <c r="D271" i="78"/>
  <c r="E271" i="78" s="1"/>
  <c r="E267" i="74"/>
  <c r="F267" i="74" s="1"/>
  <c r="D268" i="75"/>
  <c r="E268" i="75" s="1"/>
  <c r="E271" i="74"/>
  <c r="F271" i="74" s="1"/>
  <c r="D272" i="75"/>
  <c r="E272" i="75" s="1"/>
  <c r="D270" i="81"/>
  <c r="E270" i="81" s="1"/>
  <c r="E269" i="80"/>
  <c r="F269" i="80" s="1"/>
  <c r="E193" i="71"/>
  <c r="E178" i="71"/>
  <c r="D269" i="78"/>
  <c r="E269" i="78" s="1"/>
  <c r="E268" i="77"/>
  <c r="F268" i="77" s="1"/>
  <c r="E179" i="84"/>
  <c r="D272" i="81"/>
  <c r="E272" i="81" s="1"/>
  <c r="E271" i="80"/>
  <c r="F271" i="80" s="1"/>
  <c r="D273" i="75"/>
  <c r="E273" i="75" s="1"/>
  <c r="E272" i="74"/>
  <c r="F272" i="74" s="1"/>
  <c r="D273" i="78"/>
  <c r="E273" i="78" s="1"/>
  <c r="E272" i="77"/>
  <c r="F272" i="77" s="1"/>
  <c r="D271" i="84"/>
  <c r="E271" i="84" s="1"/>
  <c r="E270" i="83"/>
  <c r="F270" i="83" s="1"/>
  <c r="E179" i="75"/>
  <c r="D269" i="72"/>
  <c r="E269" i="72" s="1"/>
  <c r="E268" i="71"/>
  <c r="F268" i="71" s="1"/>
  <c r="D273" i="81"/>
  <c r="E273" i="81" s="1"/>
  <c r="E272" i="80"/>
  <c r="F272" i="80" s="1"/>
  <c r="E179" i="81"/>
  <c r="D271" i="81"/>
  <c r="E271" i="81" s="1"/>
  <c r="E270" i="80"/>
  <c r="F270" i="80" s="1"/>
  <c r="E193" i="77"/>
  <c r="E178" i="77"/>
  <c r="E193" i="83"/>
  <c r="E178" i="83"/>
  <c r="B172" i="71"/>
  <c r="B193" i="71"/>
  <c r="D268" i="84"/>
  <c r="E268" i="84" s="1"/>
  <c r="E267" i="83"/>
  <c r="F267" i="83" s="1"/>
  <c r="D269" i="75"/>
  <c r="E269" i="75" s="1"/>
  <c r="E268" i="74"/>
  <c r="F268" i="74" s="1"/>
  <c r="E249" i="72"/>
  <c r="F271" i="72"/>
  <c r="D268" i="72"/>
  <c r="E268" i="72" s="1"/>
  <c r="E267" i="71"/>
  <c r="F267" i="71" s="1"/>
  <c r="E269" i="74"/>
  <c r="F269" i="74" s="1"/>
  <c r="D270" i="75"/>
  <c r="E270" i="75" s="1"/>
  <c r="B173" i="75"/>
  <c r="E178" i="74"/>
  <c r="E193" i="74"/>
  <c r="D272" i="84"/>
  <c r="E272" i="84" s="1"/>
  <c r="E271" i="83"/>
  <c r="F271" i="83" s="1"/>
  <c r="B193" i="80"/>
  <c r="B172" i="80"/>
  <c r="E179" i="64"/>
  <c r="B173" i="64"/>
  <c r="E178" i="63"/>
  <c r="B172" i="63"/>
  <c r="B173" i="61"/>
  <c r="B172" i="60"/>
  <c r="E179" i="61"/>
  <c r="E178" i="60"/>
  <c r="H56" i="57"/>
  <c r="D57" i="57"/>
  <c r="H33" i="57"/>
  <c r="D34" i="57"/>
  <c r="D6" i="57" s="1"/>
  <c r="B173" i="58"/>
  <c r="E179" i="58"/>
  <c r="H54" i="52"/>
  <c r="H54" i="49"/>
  <c r="H56" i="52"/>
  <c r="C30" i="54" s="1"/>
  <c r="D30" i="54" s="1"/>
  <c r="H56" i="49"/>
  <c r="C30" i="51" s="1"/>
  <c r="D30" i="51" s="1"/>
  <c r="E173" i="53"/>
  <c r="B169" i="50"/>
  <c r="B172" i="50"/>
  <c r="B171" i="50"/>
  <c r="B165" i="50"/>
  <c r="B170" i="50"/>
  <c r="E176" i="50"/>
  <c r="H53" i="52"/>
  <c r="H53" i="49"/>
  <c r="H44" i="52"/>
  <c r="H44" i="49"/>
  <c r="B164" i="50"/>
  <c r="H45" i="52"/>
  <c r="H45" i="49"/>
  <c r="B168" i="50"/>
  <c r="H43" i="52"/>
  <c r="H43" i="49"/>
  <c r="H51" i="52"/>
  <c r="H51" i="49"/>
  <c r="H42" i="52"/>
  <c r="C16" i="54" s="1"/>
  <c r="H42" i="49"/>
  <c r="C16" i="51" s="1"/>
  <c r="B163" i="50"/>
  <c r="B166" i="50"/>
  <c r="E175" i="53"/>
  <c r="H47" i="52"/>
  <c r="H47" i="49"/>
  <c r="H46" i="52"/>
  <c r="H46" i="49"/>
  <c r="H49" i="52"/>
  <c r="H49" i="49"/>
  <c r="B167" i="50"/>
  <c r="E164" i="53"/>
  <c r="E176" i="53"/>
  <c r="E174" i="53"/>
  <c r="H52" i="52"/>
  <c r="H52" i="49"/>
  <c r="H48" i="52"/>
  <c r="H48" i="49"/>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E253" i="84" l="1"/>
  <c r="D9" i="85" s="1"/>
  <c r="T5" i="85" s="1"/>
  <c r="E254" i="78"/>
  <c r="D10" i="79" s="1"/>
  <c r="U5" i="79" s="1"/>
  <c r="F273" i="77"/>
  <c r="F273" i="80"/>
  <c r="E254" i="75"/>
  <c r="D10" i="76" s="1"/>
  <c r="F268" i="75"/>
  <c r="F273" i="83"/>
  <c r="F273" i="71"/>
  <c r="L261" i="78"/>
  <c r="E30" i="79" s="1"/>
  <c r="F30" i="79" s="1"/>
  <c r="G30" i="79" s="1"/>
  <c r="H30" i="79" s="1"/>
  <c r="F273" i="78"/>
  <c r="L260" i="81"/>
  <c r="E29" i="82" s="1"/>
  <c r="F29" i="82" s="1"/>
  <c r="G29" i="82" s="1"/>
  <c r="H29" i="82" s="1"/>
  <c r="F272" i="81"/>
  <c r="E255" i="81"/>
  <c r="D11" i="82" s="1"/>
  <c r="F270" i="81"/>
  <c r="C226" i="74"/>
  <c r="C245" i="74" s="1"/>
  <c r="E245" i="74" s="1"/>
  <c r="B203" i="74"/>
  <c r="C226" i="83"/>
  <c r="C245" i="83" s="1"/>
  <c r="E245" i="83" s="1"/>
  <c r="B203" i="83"/>
  <c r="F271" i="84"/>
  <c r="E249" i="84"/>
  <c r="E255" i="84"/>
  <c r="D11" i="85" s="1"/>
  <c r="F270" i="84"/>
  <c r="F269" i="75"/>
  <c r="E253" i="75"/>
  <c r="D9" i="76" s="1"/>
  <c r="F271" i="81"/>
  <c r="E249" i="81"/>
  <c r="E253" i="78"/>
  <c r="D9" i="79" s="1"/>
  <c r="F269" i="78"/>
  <c r="E254" i="84"/>
  <c r="D10" i="85" s="1"/>
  <c r="F268" i="84"/>
  <c r="E249" i="75"/>
  <c r="F271" i="75"/>
  <c r="C226" i="77"/>
  <c r="C245" i="77" s="1"/>
  <c r="E245" i="77" s="1"/>
  <c r="B203" i="77"/>
  <c r="E209" i="80"/>
  <c r="J226" i="80"/>
  <c r="J245" i="80" s="1"/>
  <c r="L245" i="80" s="1"/>
  <c r="E255" i="78"/>
  <c r="D11" i="79" s="1"/>
  <c r="F270" i="78"/>
  <c r="L260" i="84"/>
  <c r="E29" i="85" s="1"/>
  <c r="F29" i="85" s="1"/>
  <c r="G29" i="85" s="1"/>
  <c r="H29" i="85" s="1"/>
  <c r="F272" i="84"/>
  <c r="E249" i="78"/>
  <c r="F271" i="78"/>
  <c r="J226" i="74"/>
  <c r="J245" i="74" s="1"/>
  <c r="L245" i="74" s="1"/>
  <c r="E209" i="74"/>
  <c r="C226" i="71"/>
  <c r="C245" i="71" s="1"/>
  <c r="E245" i="71" s="1"/>
  <c r="B203" i="71"/>
  <c r="F269" i="72"/>
  <c r="E253" i="72"/>
  <c r="D9" i="73" s="1"/>
  <c r="D17" i="88" s="1"/>
  <c r="C226" i="80"/>
  <c r="C245" i="80" s="1"/>
  <c r="E245" i="80" s="1"/>
  <c r="B203" i="80"/>
  <c r="L261" i="84"/>
  <c r="E30" i="85" s="1"/>
  <c r="F30" i="85" s="1"/>
  <c r="G30" i="85" s="1"/>
  <c r="H30" i="85" s="1"/>
  <c r="F273" i="84"/>
  <c r="F273" i="74"/>
  <c r="F268" i="72"/>
  <c r="E254" i="72"/>
  <c r="D10" i="73" s="1"/>
  <c r="D18" i="88" s="1"/>
  <c r="D5" i="73"/>
  <c r="D15" i="88" s="1"/>
  <c r="F249" i="72"/>
  <c r="E209" i="77"/>
  <c r="J226" i="77"/>
  <c r="J245" i="77" s="1"/>
  <c r="L245" i="77" s="1"/>
  <c r="F273" i="81"/>
  <c r="L261" i="81"/>
  <c r="E30" i="82" s="1"/>
  <c r="F30" i="82" s="1"/>
  <c r="G30" i="82" s="1"/>
  <c r="H30" i="82" s="1"/>
  <c r="L261" i="75"/>
  <c r="E30" i="76" s="1"/>
  <c r="F30" i="76" s="1"/>
  <c r="G30" i="76" s="1"/>
  <c r="H30" i="76" s="1"/>
  <c r="F273" i="75"/>
  <c r="L260" i="75"/>
  <c r="E29" i="76" s="1"/>
  <c r="F29" i="76" s="1"/>
  <c r="G29" i="76" s="1"/>
  <c r="H29" i="76" s="1"/>
  <c r="F272" i="75"/>
  <c r="L260" i="78"/>
  <c r="E29" i="79" s="1"/>
  <c r="F29" i="79" s="1"/>
  <c r="G29" i="79" s="1"/>
  <c r="H29" i="79" s="1"/>
  <c r="F272" i="78"/>
  <c r="T5" i="82"/>
  <c r="E9" i="82"/>
  <c r="F270" i="75"/>
  <c r="E255" i="75"/>
  <c r="D11" i="76" s="1"/>
  <c r="E209" i="83"/>
  <c r="J226" i="83"/>
  <c r="J245" i="83" s="1"/>
  <c r="L245" i="83" s="1"/>
  <c r="E254" i="81"/>
  <c r="D10" i="82" s="1"/>
  <c r="F268" i="81"/>
  <c r="J226" i="71"/>
  <c r="J245" i="71" s="1"/>
  <c r="L245" i="71" s="1"/>
  <c r="E209" i="71"/>
  <c r="F273" i="72"/>
  <c r="L261" i="72"/>
  <c r="E30" i="73" s="1"/>
  <c r="F30" i="73" s="1"/>
  <c r="G30" i="73" s="1"/>
  <c r="H30" i="73" s="1"/>
  <c r="D27" i="88" s="1"/>
  <c r="E255" i="72"/>
  <c r="D11" i="73" s="1"/>
  <c r="D19" i="88" s="1"/>
  <c r="F270" i="72"/>
  <c r="F272" i="72"/>
  <c r="L260" i="72"/>
  <c r="E29" i="73" s="1"/>
  <c r="F29" i="73" s="1"/>
  <c r="G29" i="73" s="1"/>
  <c r="H29" i="73" s="1"/>
  <c r="D26" i="88" s="1"/>
  <c r="D9" i="57"/>
  <c r="C30" i="59"/>
  <c r="H57" i="57"/>
  <c r="E114" i="57" s="1"/>
  <c r="C11" i="59"/>
  <c r="H34" i="57"/>
  <c r="B108" i="57" s="1"/>
  <c r="C28" i="51"/>
  <c r="J258" i="49"/>
  <c r="C28" i="54"/>
  <c r="J258" i="52"/>
  <c r="H33" i="49"/>
  <c r="D34" i="49"/>
  <c r="H33" i="52"/>
  <c r="D34" i="52"/>
  <c r="B173" i="50"/>
  <c r="H55" i="52"/>
  <c r="C29" i="54" s="1"/>
  <c r="D29" i="54" s="1"/>
  <c r="H55" i="49"/>
  <c r="C29" i="51" s="1"/>
  <c r="D29" i="51" s="1"/>
  <c r="C22" i="54"/>
  <c r="C20" i="51"/>
  <c r="C18" i="54"/>
  <c r="C17" i="51"/>
  <c r="C26" i="51"/>
  <c r="C19" i="54"/>
  <c r="C27" i="51"/>
  <c r="C25" i="54"/>
  <c r="C18" i="51"/>
  <c r="C23" i="51"/>
  <c r="C21" i="51"/>
  <c r="C17" i="54"/>
  <c r="C20" i="54"/>
  <c r="C19" i="51"/>
  <c r="C26" i="54"/>
  <c r="C23" i="54"/>
  <c r="C21" i="54"/>
  <c r="C27" i="54"/>
  <c r="C25" i="51"/>
  <c r="H50" i="52"/>
  <c r="H50" i="49"/>
  <c r="C22" i="51"/>
  <c r="E179" i="50"/>
  <c r="E179" i="53"/>
  <c r="E9" i="85" l="1"/>
  <c r="E10" i="79"/>
  <c r="D9" i="84"/>
  <c r="F11" i="84" s="1"/>
  <c r="D9" i="72"/>
  <c r="E207" i="72" s="1"/>
  <c r="J240" i="72" s="1"/>
  <c r="D9" i="75"/>
  <c r="D11" i="75" s="1"/>
  <c r="D6" i="78"/>
  <c r="B201" i="78" s="1"/>
  <c r="C234" i="78" s="1"/>
  <c r="F274" i="78"/>
  <c r="C38" i="76"/>
  <c r="T6" i="76" s="1"/>
  <c r="C38" i="73"/>
  <c r="D5" i="79"/>
  <c r="F249" i="78"/>
  <c r="V5" i="73"/>
  <c r="E11" i="73"/>
  <c r="F249" i="81"/>
  <c r="D5" i="82"/>
  <c r="P5" i="73"/>
  <c r="E5" i="73"/>
  <c r="C38" i="85"/>
  <c r="V6" i="85" s="1"/>
  <c r="C38" i="79"/>
  <c r="V6" i="79" s="1"/>
  <c r="T5" i="73"/>
  <c r="E9" i="73"/>
  <c r="T5" i="76"/>
  <c r="E9" i="76"/>
  <c r="D5" i="76"/>
  <c r="F249" i="75"/>
  <c r="C39" i="76"/>
  <c r="T7" i="76" s="1"/>
  <c r="C39" i="82"/>
  <c r="U7" i="82" s="1"/>
  <c r="E11" i="79"/>
  <c r="V5" i="79"/>
  <c r="E10" i="85"/>
  <c r="U5" i="85"/>
  <c r="V5" i="85"/>
  <c r="E11" i="85"/>
  <c r="V5" i="82"/>
  <c r="E11" i="82"/>
  <c r="C39" i="79"/>
  <c r="T7" i="79" s="1"/>
  <c r="C39" i="73"/>
  <c r="U7" i="73" s="1"/>
  <c r="F274" i="84"/>
  <c r="D6" i="84"/>
  <c r="F249" i="84"/>
  <c r="D5" i="85"/>
  <c r="D9" i="81"/>
  <c r="F274" i="75"/>
  <c r="D6" i="75"/>
  <c r="D6" i="81"/>
  <c r="F274" i="81"/>
  <c r="U5" i="82"/>
  <c r="E10" i="82"/>
  <c r="U5" i="73"/>
  <c r="E10" i="73"/>
  <c r="V5" i="76"/>
  <c r="E11" i="76"/>
  <c r="F274" i="72"/>
  <c r="D6" i="72"/>
  <c r="D9" i="78"/>
  <c r="C39" i="85"/>
  <c r="T5" i="79"/>
  <c r="E9" i="79"/>
  <c r="C38" i="82"/>
  <c r="U6" i="82" s="1"/>
  <c r="U5" i="76"/>
  <c r="E10" i="76"/>
  <c r="Q99" i="57"/>
  <c r="E112" i="57"/>
  <c r="E109" i="57"/>
  <c r="F9" i="57"/>
  <c r="E105" i="57"/>
  <c r="E99" i="57"/>
  <c r="E102" i="57"/>
  <c r="E104" i="57"/>
  <c r="E108" i="57"/>
  <c r="E113" i="57"/>
  <c r="E110" i="57"/>
  <c r="E111" i="57"/>
  <c r="E107" i="57"/>
  <c r="E103" i="57"/>
  <c r="E106" i="57"/>
  <c r="E101" i="57"/>
  <c r="E100" i="57"/>
  <c r="C31" i="59"/>
  <c r="D30" i="59"/>
  <c r="D31" i="59" s="1"/>
  <c r="L99" i="57"/>
  <c r="B103" i="57"/>
  <c r="B101" i="57"/>
  <c r="O99" i="57"/>
  <c r="N99" i="57"/>
  <c r="B107" i="57"/>
  <c r="B105" i="57"/>
  <c r="I99" i="57"/>
  <c r="B106" i="57"/>
  <c r="J99" i="57"/>
  <c r="B104" i="57"/>
  <c r="B100" i="57"/>
  <c r="H99" i="57"/>
  <c r="M99" i="57"/>
  <c r="P99" i="57"/>
  <c r="B99" i="57"/>
  <c r="B102" i="57"/>
  <c r="K99" i="57"/>
  <c r="F6" i="57"/>
  <c r="F28" i="54"/>
  <c r="G28" i="54" s="1"/>
  <c r="D28" i="54"/>
  <c r="F28" i="51"/>
  <c r="G28" i="51" s="1"/>
  <c r="D28" i="51"/>
  <c r="D6" i="52"/>
  <c r="C11" i="54"/>
  <c r="H34" i="52"/>
  <c r="B108" i="52" s="1"/>
  <c r="D6" i="49"/>
  <c r="C11" i="51"/>
  <c r="H34" i="49"/>
  <c r="D23" i="51"/>
  <c r="D57" i="52"/>
  <c r="H41" i="52"/>
  <c r="D23" i="54"/>
  <c r="C24" i="54"/>
  <c r="D27" i="54" s="1"/>
  <c r="C24" i="51"/>
  <c r="D27" i="51" s="1"/>
  <c r="H41" i="49"/>
  <c r="D57" i="49"/>
  <c r="E209" i="75" l="1"/>
  <c r="J242" i="75" s="1"/>
  <c r="E195" i="75"/>
  <c r="J228" i="75" s="1"/>
  <c r="J247" i="75" s="1"/>
  <c r="E203" i="75"/>
  <c r="J236" i="75" s="1"/>
  <c r="J255" i="75" s="1"/>
  <c r="E202" i="75"/>
  <c r="J235" i="75" s="1"/>
  <c r="J254" i="75" s="1"/>
  <c r="E205" i="75"/>
  <c r="J238" i="75" s="1"/>
  <c r="J257" i="75" s="1"/>
  <c r="E206" i="75"/>
  <c r="J239" i="75" s="1"/>
  <c r="J258" i="75" s="1"/>
  <c r="E199" i="75"/>
  <c r="J232" i="75" s="1"/>
  <c r="J251" i="75" s="1"/>
  <c r="E201" i="84"/>
  <c r="J234" i="84" s="1"/>
  <c r="J253" i="84" s="1"/>
  <c r="E202" i="84"/>
  <c r="J235" i="84" s="1"/>
  <c r="J254" i="84" s="1"/>
  <c r="E199" i="72"/>
  <c r="J232" i="72" s="1"/>
  <c r="J251" i="72" s="1"/>
  <c r="E200" i="75"/>
  <c r="J233" i="75" s="1"/>
  <c r="J252" i="75" s="1"/>
  <c r="E204" i="75"/>
  <c r="J237" i="75" s="1"/>
  <c r="J256" i="75" s="1"/>
  <c r="E196" i="75"/>
  <c r="J229" i="75" s="1"/>
  <c r="J248" i="75" s="1"/>
  <c r="E200" i="84"/>
  <c r="J233" i="84" s="1"/>
  <c r="J252" i="84" s="1"/>
  <c r="E197" i="72"/>
  <c r="J230" i="72" s="1"/>
  <c r="J249" i="72" s="1"/>
  <c r="E196" i="84"/>
  <c r="J229" i="84" s="1"/>
  <c r="J248" i="84" s="1"/>
  <c r="F11" i="72"/>
  <c r="K255" i="72" s="1"/>
  <c r="E208" i="72"/>
  <c r="J241" i="72" s="1"/>
  <c r="E209" i="72"/>
  <c r="J242" i="72" s="1"/>
  <c r="E194" i="72"/>
  <c r="F11" i="75"/>
  <c r="K257" i="75" s="1"/>
  <c r="E208" i="75"/>
  <c r="J241" i="75" s="1"/>
  <c r="E197" i="75"/>
  <c r="J230" i="75" s="1"/>
  <c r="J249" i="75" s="1"/>
  <c r="B196" i="78"/>
  <c r="C229" i="78" s="1"/>
  <c r="C248" i="78" s="1"/>
  <c r="E198" i="75"/>
  <c r="J231" i="75" s="1"/>
  <c r="J250" i="75" s="1"/>
  <c r="E201" i="75"/>
  <c r="J234" i="75" s="1"/>
  <c r="J253" i="75" s="1"/>
  <c r="E207" i="75"/>
  <c r="J240" i="75" s="1"/>
  <c r="E194" i="75"/>
  <c r="J227" i="75" s="1"/>
  <c r="J246" i="75" s="1"/>
  <c r="E202" i="72"/>
  <c r="J235" i="72" s="1"/>
  <c r="J254" i="72" s="1"/>
  <c r="B203" i="78"/>
  <c r="C236" i="78" s="1"/>
  <c r="E208" i="84"/>
  <c r="J241" i="84" s="1"/>
  <c r="E194" i="84"/>
  <c r="J227" i="84" s="1"/>
  <c r="J246" i="84" s="1"/>
  <c r="E209" i="84"/>
  <c r="J242" i="84" s="1"/>
  <c r="B198" i="78"/>
  <c r="C231" i="78" s="1"/>
  <c r="E198" i="84"/>
  <c r="J231" i="84" s="1"/>
  <c r="J250" i="84" s="1"/>
  <c r="E203" i="84"/>
  <c r="J236" i="84" s="1"/>
  <c r="J255" i="84" s="1"/>
  <c r="E195" i="84"/>
  <c r="J228" i="84" s="1"/>
  <c r="J247" i="84" s="1"/>
  <c r="E207" i="84"/>
  <c r="J240" i="84" s="1"/>
  <c r="E205" i="84"/>
  <c r="J238" i="84" s="1"/>
  <c r="J257" i="84" s="1"/>
  <c r="D11" i="84"/>
  <c r="E204" i="84"/>
  <c r="J237" i="84" s="1"/>
  <c r="J256" i="84" s="1"/>
  <c r="E206" i="84"/>
  <c r="J239" i="84" s="1"/>
  <c r="J258" i="84" s="1"/>
  <c r="E199" i="84"/>
  <c r="J232" i="84" s="1"/>
  <c r="J251" i="84" s="1"/>
  <c r="E197" i="84"/>
  <c r="J230" i="84" s="1"/>
  <c r="J249" i="84" s="1"/>
  <c r="B197" i="78"/>
  <c r="C230" i="78" s="1"/>
  <c r="E205" i="72"/>
  <c r="J238" i="72" s="1"/>
  <c r="J257" i="72" s="1"/>
  <c r="E195" i="72"/>
  <c r="J228" i="72" s="1"/>
  <c r="J247" i="72" s="1"/>
  <c r="B202" i="78"/>
  <c r="C235" i="78" s="1"/>
  <c r="D8" i="78"/>
  <c r="E203" i="72"/>
  <c r="J236" i="72" s="1"/>
  <c r="J255" i="72" s="1"/>
  <c r="E198" i="72"/>
  <c r="J231" i="72" s="1"/>
  <c r="J250" i="72" s="1"/>
  <c r="B200" i="78"/>
  <c r="C233" i="78" s="1"/>
  <c r="C252" i="78" s="1"/>
  <c r="F8" i="78"/>
  <c r="D248" i="78" s="1"/>
  <c r="E204" i="72"/>
  <c r="J237" i="72" s="1"/>
  <c r="J256" i="72" s="1"/>
  <c r="E196" i="72"/>
  <c r="J229" i="72" s="1"/>
  <c r="J248" i="72" s="1"/>
  <c r="B199" i="78"/>
  <c r="C232" i="78" s="1"/>
  <c r="E206" i="72"/>
  <c r="J239" i="72" s="1"/>
  <c r="J258" i="72" s="1"/>
  <c r="E201" i="72"/>
  <c r="J234" i="72" s="1"/>
  <c r="J253" i="72" s="1"/>
  <c r="D11" i="72"/>
  <c r="B195" i="78"/>
  <c r="C228" i="78" s="1"/>
  <c r="C247" i="78" s="1"/>
  <c r="E200" i="72"/>
  <c r="J233" i="72" s="1"/>
  <c r="J252" i="72" s="1"/>
  <c r="B194" i="78"/>
  <c r="C227" i="78" s="1"/>
  <c r="C246" i="78" s="1"/>
  <c r="U6" i="85"/>
  <c r="V7" i="79"/>
  <c r="V7" i="73"/>
  <c r="V6" i="76"/>
  <c r="V7" i="76"/>
  <c r="P7" i="73"/>
  <c r="D11" i="78"/>
  <c r="F11" i="78"/>
  <c r="E196" i="78"/>
  <c r="J229" i="78" s="1"/>
  <c r="J248" i="78" s="1"/>
  <c r="E200" i="78"/>
  <c r="J233" i="78" s="1"/>
  <c r="J252" i="78" s="1"/>
  <c r="E205" i="78"/>
  <c r="J238" i="78" s="1"/>
  <c r="J257" i="78" s="1"/>
  <c r="E206" i="78"/>
  <c r="J239" i="78" s="1"/>
  <c r="J258" i="78" s="1"/>
  <c r="E207" i="78"/>
  <c r="J240" i="78" s="1"/>
  <c r="E199" i="78"/>
  <c r="J232" i="78" s="1"/>
  <c r="J251" i="78" s="1"/>
  <c r="E202" i="78"/>
  <c r="J235" i="78" s="1"/>
  <c r="J254" i="78" s="1"/>
  <c r="E208" i="78"/>
  <c r="J241" i="78" s="1"/>
  <c r="E209" i="78"/>
  <c r="J242" i="78" s="1"/>
  <c r="E194" i="78"/>
  <c r="E195" i="78"/>
  <c r="J228" i="78" s="1"/>
  <c r="J247" i="78" s="1"/>
  <c r="E204" i="78"/>
  <c r="J237" i="78" s="1"/>
  <c r="J256" i="78" s="1"/>
  <c r="E203" i="78"/>
  <c r="J236" i="78" s="1"/>
  <c r="J255" i="78" s="1"/>
  <c r="E198" i="78"/>
  <c r="J231" i="78" s="1"/>
  <c r="J250" i="78" s="1"/>
  <c r="E197" i="78"/>
  <c r="J230" i="78" s="1"/>
  <c r="J249" i="78" s="1"/>
  <c r="E201" i="78"/>
  <c r="J234" i="78" s="1"/>
  <c r="J253" i="78" s="1"/>
  <c r="F8" i="84"/>
  <c r="D8" i="84"/>
  <c r="D5" i="84"/>
  <c r="B198" i="84"/>
  <c r="C231" i="84" s="1"/>
  <c r="B199" i="84"/>
  <c r="C232" i="84" s="1"/>
  <c r="B196" i="84"/>
  <c r="C229" i="84" s="1"/>
  <c r="C248" i="84" s="1"/>
  <c r="B195" i="84"/>
  <c r="C228" i="84" s="1"/>
  <c r="C247" i="84" s="1"/>
  <c r="B202" i="84"/>
  <c r="C235" i="84" s="1"/>
  <c r="B197" i="84"/>
  <c r="C230" i="84" s="1"/>
  <c r="B200" i="84"/>
  <c r="C233" i="84" s="1"/>
  <c r="C252" i="84" s="1"/>
  <c r="B194" i="84"/>
  <c r="B201" i="84"/>
  <c r="C234" i="84" s="1"/>
  <c r="B203" i="84"/>
  <c r="C236" i="84" s="1"/>
  <c r="J227" i="72"/>
  <c r="J246" i="72" s="1"/>
  <c r="V7" i="82"/>
  <c r="R7" i="82"/>
  <c r="Q7" i="82"/>
  <c r="T7" i="82"/>
  <c r="P6" i="76"/>
  <c r="P5" i="76"/>
  <c r="P7" i="76"/>
  <c r="E5" i="76"/>
  <c r="U6" i="76"/>
  <c r="R6" i="76"/>
  <c r="Q6" i="76"/>
  <c r="V6" i="73"/>
  <c r="R6" i="73"/>
  <c r="Q6" i="73"/>
  <c r="P7" i="85"/>
  <c r="R7" i="85"/>
  <c r="Q7" i="85"/>
  <c r="T7" i="85"/>
  <c r="U6" i="73"/>
  <c r="V7" i="85"/>
  <c r="D5" i="81"/>
  <c r="F8" i="81"/>
  <c r="D8" i="81"/>
  <c r="B195" i="81"/>
  <c r="C228" i="81" s="1"/>
  <c r="C247" i="81" s="1"/>
  <c r="B200" i="81"/>
  <c r="C233" i="81" s="1"/>
  <c r="C252" i="81" s="1"/>
  <c r="B203" i="81"/>
  <c r="C236" i="81" s="1"/>
  <c r="B202" i="81"/>
  <c r="C235" i="81" s="1"/>
  <c r="B194" i="81"/>
  <c r="B196" i="81"/>
  <c r="C229" i="81" s="1"/>
  <c r="C248" i="81" s="1"/>
  <c r="B199" i="81"/>
  <c r="C232" i="81" s="1"/>
  <c r="B197" i="81"/>
  <c r="C230" i="81" s="1"/>
  <c r="B201" i="81"/>
  <c r="C234" i="81" s="1"/>
  <c r="B198" i="81"/>
  <c r="C231" i="81" s="1"/>
  <c r="P6" i="85"/>
  <c r="R6" i="85"/>
  <c r="Q6" i="85"/>
  <c r="T6" i="85"/>
  <c r="D5" i="75"/>
  <c r="D8" i="75"/>
  <c r="F8" i="75"/>
  <c r="B196" i="75"/>
  <c r="C229" i="75" s="1"/>
  <c r="C248" i="75" s="1"/>
  <c r="B198" i="75"/>
  <c r="C231" i="75" s="1"/>
  <c r="B201" i="75"/>
  <c r="C234" i="75" s="1"/>
  <c r="B203" i="75"/>
  <c r="C236" i="75" s="1"/>
  <c r="B195" i="75"/>
  <c r="C228" i="75" s="1"/>
  <c r="C247" i="75" s="1"/>
  <c r="B194" i="75"/>
  <c r="B199" i="75"/>
  <c r="C232" i="75" s="1"/>
  <c r="B202" i="75"/>
  <c r="C235" i="75" s="1"/>
  <c r="B200" i="75"/>
  <c r="C233" i="75" s="1"/>
  <c r="C252" i="75" s="1"/>
  <c r="B197" i="75"/>
  <c r="C230" i="75" s="1"/>
  <c r="P7" i="82"/>
  <c r="P5" i="82"/>
  <c r="P6" i="82"/>
  <c r="E5" i="82"/>
  <c r="U7" i="85"/>
  <c r="V6" i="82"/>
  <c r="Q6" i="82"/>
  <c r="R6" i="82"/>
  <c r="T6" i="82"/>
  <c r="D5" i="72"/>
  <c r="F8" i="72"/>
  <c r="D8" i="72"/>
  <c r="B197" i="72"/>
  <c r="C230" i="72" s="1"/>
  <c r="B196" i="72"/>
  <c r="C229" i="72" s="1"/>
  <c r="C248" i="72" s="1"/>
  <c r="B201" i="72"/>
  <c r="C234" i="72" s="1"/>
  <c r="B200" i="72"/>
  <c r="C233" i="72" s="1"/>
  <c r="C252" i="72" s="1"/>
  <c r="B202" i="72"/>
  <c r="C235" i="72" s="1"/>
  <c r="B195" i="72"/>
  <c r="C228" i="72" s="1"/>
  <c r="C247" i="72" s="1"/>
  <c r="B198" i="72"/>
  <c r="C231" i="72" s="1"/>
  <c r="B203" i="72"/>
  <c r="C236" i="72" s="1"/>
  <c r="B194" i="72"/>
  <c r="B199" i="72"/>
  <c r="C232" i="72" s="1"/>
  <c r="T7" i="73"/>
  <c r="R7" i="73"/>
  <c r="Q7" i="73"/>
  <c r="T6" i="79"/>
  <c r="R6" i="79"/>
  <c r="Q6" i="79"/>
  <c r="U6" i="79"/>
  <c r="D5" i="78"/>
  <c r="F11" i="81"/>
  <c r="D11" i="81"/>
  <c r="E201" i="81"/>
  <c r="J234" i="81" s="1"/>
  <c r="J253" i="81" s="1"/>
  <c r="E198" i="81"/>
  <c r="J231" i="81" s="1"/>
  <c r="J250" i="81" s="1"/>
  <c r="E206" i="81"/>
  <c r="J239" i="81" s="1"/>
  <c r="J258" i="81" s="1"/>
  <c r="E202" i="81"/>
  <c r="J235" i="81" s="1"/>
  <c r="J254" i="81" s="1"/>
  <c r="E199" i="81"/>
  <c r="J232" i="81" s="1"/>
  <c r="J251" i="81" s="1"/>
  <c r="E196" i="81"/>
  <c r="J229" i="81" s="1"/>
  <c r="J248" i="81" s="1"/>
  <c r="E203" i="81"/>
  <c r="J236" i="81" s="1"/>
  <c r="J255" i="81" s="1"/>
  <c r="E197" i="81"/>
  <c r="J230" i="81" s="1"/>
  <c r="J249" i="81" s="1"/>
  <c r="E205" i="81"/>
  <c r="J238" i="81" s="1"/>
  <c r="J257" i="81" s="1"/>
  <c r="E204" i="81"/>
  <c r="J237" i="81" s="1"/>
  <c r="J256" i="81" s="1"/>
  <c r="E194" i="81"/>
  <c r="E195" i="81"/>
  <c r="J228" i="81" s="1"/>
  <c r="J247" i="81" s="1"/>
  <c r="E208" i="81"/>
  <c r="J241" i="81" s="1"/>
  <c r="E200" i="81"/>
  <c r="J233" i="81" s="1"/>
  <c r="J252" i="81" s="1"/>
  <c r="E207" i="81"/>
  <c r="J240" i="81" s="1"/>
  <c r="E209" i="81"/>
  <c r="J242" i="81" s="1"/>
  <c r="T6" i="73"/>
  <c r="P5" i="79"/>
  <c r="E5" i="79"/>
  <c r="P6" i="79"/>
  <c r="K252" i="84"/>
  <c r="K254" i="84"/>
  <c r="K246" i="84"/>
  <c r="K255" i="84"/>
  <c r="K250" i="84"/>
  <c r="K251" i="84"/>
  <c r="K249" i="84"/>
  <c r="K247" i="84"/>
  <c r="K256" i="84"/>
  <c r="K258" i="84"/>
  <c r="K257" i="84"/>
  <c r="K248" i="84"/>
  <c r="K253" i="84"/>
  <c r="P5" i="85"/>
  <c r="E5" i="85"/>
  <c r="P7" i="79"/>
  <c r="Q7" i="79"/>
  <c r="R7" i="79"/>
  <c r="U7" i="79"/>
  <c r="U7" i="76"/>
  <c r="Q7" i="76"/>
  <c r="R7" i="76"/>
  <c r="P6" i="73"/>
  <c r="H28" i="54"/>
  <c r="C37" i="54" s="1"/>
  <c r="H28" i="51"/>
  <c r="C37" i="51" s="1"/>
  <c r="E115" i="57"/>
  <c r="B138" i="57"/>
  <c r="B135" i="57"/>
  <c r="B134" i="57"/>
  <c r="B137" i="57"/>
  <c r="B131" i="57"/>
  <c r="B133" i="57"/>
  <c r="B139" i="57"/>
  <c r="B136" i="57"/>
  <c r="B132" i="57"/>
  <c r="B130" i="57"/>
  <c r="E139" i="57"/>
  <c r="E138" i="57"/>
  <c r="E137" i="57"/>
  <c r="E134" i="57"/>
  <c r="E141" i="57"/>
  <c r="R99" i="57"/>
  <c r="E142" i="57"/>
  <c r="E136" i="57"/>
  <c r="E140" i="57"/>
  <c r="E132" i="57"/>
  <c r="E135" i="57"/>
  <c r="E133" i="57"/>
  <c r="E130" i="57"/>
  <c r="E145" i="57"/>
  <c r="E144" i="57"/>
  <c r="E143" i="57"/>
  <c r="E131" i="57"/>
  <c r="B109" i="57"/>
  <c r="H99" i="52"/>
  <c r="K99" i="52"/>
  <c r="B102" i="52"/>
  <c r="F6" i="52"/>
  <c r="B104" i="52"/>
  <c r="O99" i="52"/>
  <c r="P99" i="52"/>
  <c r="B100" i="52"/>
  <c r="B106" i="52"/>
  <c r="N99" i="52"/>
  <c r="M99" i="52"/>
  <c r="B101" i="52"/>
  <c r="I99" i="52"/>
  <c r="B103" i="52"/>
  <c r="B99" i="52"/>
  <c r="J99" i="52"/>
  <c r="B105" i="52"/>
  <c r="L99" i="52"/>
  <c r="B107" i="52"/>
  <c r="Q99" i="52"/>
  <c r="J99" i="49"/>
  <c r="F6" i="49"/>
  <c r="B99" i="49"/>
  <c r="B103" i="49"/>
  <c r="M99" i="49"/>
  <c r="B102" i="49"/>
  <c r="N99" i="49"/>
  <c r="B101" i="49"/>
  <c r="B100" i="49"/>
  <c r="B104" i="49"/>
  <c r="B107" i="49"/>
  <c r="B105" i="49"/>
  <c r="P99" i="49"/>
  <c r="L99" i="49"/>
  <c r="I99" i="49"/>
  <c r="B106" i="49"/>
  <c r="O99" i="49"/>
  <c r="K99" i="49"/>
  <c r="H99" i="49"/>
  <c r="Q99" i="49"/>
  <c r="B108" i="49"/>
  <c r="D9" i="49"/>
  <c r="C15" i="54"/>
  <c r="H57" i="52"/>
  <c r="C15" i="51"/>
  <c r="H57" i="49"/>
  <c r="E99" i="49" s="1"/>
  <c r="D9" i="52"/>
  <c r="L257" i="75" l="1"/>
  <c r="E26" i="76" s="1"/>
  <c r="F26" i="76" s="1"/>
  <c r="K255" i="75"/>
  <c r="L255" i="75" s="1"/>
  <c r="E24" i="76" s="1"/>
  <c r="F24" i="76" s="1"/>
  <c r="L248" i="84"/>
  <c r="M248" i="84" s="1"/>
  <c r="L254" i="84"/>
  <c r="E23" i="85" s="1"/>
  <c r="F23" i="85" s="1"/>
  <c r="K248" i="72"/>
  <c r="L248" i="72" s="1"/>
  <c r="E17" i="73" s="1"/>
  <c r="F17" i="73" s="1"/>
  <c r="K247" i="75"/>
  <c r="L247" i="75" s="1"/>
  <c r="E16" i="76" s="1"/>
  <c r="F16" i="76" s="1"/>
  <c r="L253" i="84"/>
  <c r="E22" i="85" s="1"/>
  <c r="F22" i="85" s="1"/>
  <c r="K257" i="72"/>
  <c r="L257" i="72" s="1"/>
  <c r="E26" i="73" s="1"/>
  <c r="F26" i="73" s="1"/>
  <c r="K251" i="72"/>
  <c r="L251" i="72" s="1"/>
  <c r="M251" i="72" s="1"/>
  <c r="K249" i="75"/>
  <c r="L249" i="75" s="1"/>
  <c r="E18" i="76" s="1"/>
  <c r="F18" i="76" s="1"/>
  <c r="K258" i="75"/>
  <c r="L258" i="75" s="1"/>
  <c r="E27" i="76" s="1"/>
  <c r="F27" i="76" s="1"/>
  <c r="L252" i="84"/>
  <c r="M252" i="84" s="1"/>
  <c r="K246" i="75"/>
  <c r="L246" i="75" s="1"/>
  <c r="K248" i="75"/>
  <c r="L248" i="75" s="1"/>
  <c r="E17" i="76" s="1"/>
  <c r="F17" i="76" s="1"/>
  <c r="K256" i="75"/>
  <c r="L256" i="75" s="1"/>
  <c r="K254" i="75"/>
  <c r="L254" i="75" s="1"/>
  <c r="M254" i="75" s="1"/>
  <c r="L256" i="84"/>
  <c r="E25" i="85" s="1"/>
  <c r="F25" i="85" s="1"/>
  <c r="K258" i="72"/>
  <c r="L258" i="72" s="1"/>
  <c r="M258" i="72" s="1"/>
  <c r="K247" i="72"/>
  <c r="L247" i="72" s="1"/>
  <c r="M247" i="72" s="1"/>
  <c r="K253" i="72"/>
  <c r="L253" i="72" s="1"/>
  <c r="M253" i="72" s="1"/>
  <c r="K252" i="72"/>
  <c r="L252" i="72" s="1"/>
  <c r="M252" i="72" s="1"/>
  <c r="K249" i="72"/>
  <c r="L249" i="72" s="1"/>
  <c r="E18" i="73" s="1"/>
  <c r="F18" i="73" s="1"/>
  <c r="K256" i="72"/>
  <c r="L256" i="72" s="1"/>
  <c r="M256" i="72" s="1"/>
  <c r="K254" i="72"/>
  <c r="L254" i="72" s="1"/>
  <c r="K246" i="72"/>
  <c r="L246" i="72" s="1"/>
  <c r="M246" i="72" s="1"/>
  <c r="K250" i="72"/>
  <c r="L250" i="72" s="1"/>
  <c r="M250" i="72" s="1"/>
  <c r="L258" i="84"/>
  <c r="M258" i="84" s="1"/>
  <c r="K250" i="75"/>
  <c r="L250" i="75" s="1"/>
  <c r="E19" i="76" s="1"/>
  <c r="F19" i="76" s="1"/>
  <c r="K251" i="75"/>
  <c r="L251" i="75" s="1"/>
  <c r="E20" i="76" s="1"/>
  <c r="F20" i="76" s="1"/>
  <c r="K253" i="75"/>
  <c r="L253" i="75" s="1"/>
  <c r="M253" i="75" s="1"/>
  <c r="L257" i="84"/>
  <c r="E26" i="85" s="1"/>
  <c r="F26" i="85" s="1"/>
  <c r="K252" i="75"/>
  <c r="L252" i="75" s="1"/>
  <c r="E21" i="76" s="1"/>
  <c r="F21" i="76" s="1"/>
  <c r="L255" i="84"/>
  <c r="E24" i="85" s="1"/>
  <c r="F24" i="85" s="1"/>
  <c r="E248" i="78"/>
  <c r="F248" i="78" s="1"/>
  <c r="E210" i="75"/>
  <c r="L250" i="84"/>
  <c r="M250" i="84" s="1"/>
  <c r="L251" i="84"/>
  <c r="E20" i="85" s="1"/>
  <c r="F20" i="85" s="1"/>
  <c r="L247" i="84"/>
  <c r="E16" i="85" s="1"/>
  <c r="F16" i="85" s="1"/>
  <c r="L249" i="84"/>
  <c r="M249" i="84" s="1"/>
  <c r="E210" i="84"/>
  <c r="L255" i="72"/>
  <c r="E24" i="73" s="1"/>
  <c r="F24" i="73" s="1"/>
  <c r="D247" i="78"/>
  <c r="E247" i="78" s="1"/>
  <c r="F247" i="78" s="1"/>
  <c r="D252" i="78"/>
  <c r="E252" i="78" s="1"/>
  <c r="F252" i="78" s="1"/>
  <c r="E210" i="72"/>
  <c r="D249" i="78"/>
  <c r="B204" i="78"/>
  <c r="D246" i="78"/>
  <c r="E246" i="78" s="1"/>
  <c r="M257" i="75"/>
  <c r="D248" i="84"/>
  <c r="E248" i="84" s="1"/>
  <c r="D247" i="84"/>
  <c r="E247" i="84" s="1"/>
  <c r="D252" i="84"/>
  <c r="E252" i="84" s="1"/>
  <c r="D246" i="84"/>
  <c r="D249" i="84"/>
  <c r="D249" i="81"/>
  <c r="D248" i="81"/>
  <c r="E248" i="81" s="1"/>
  <c r="D252" i="81"/>
  <c r="E252" i="81" s="1"/>
  <c r="D246" i="81"/>
  <c r="D247" i="81"/>
  <c r="E247" i="81" s="1"/>
  <c r="B204" i="72"/>
  <c r="C227" i="72"/>
  <c r="C246" i="72" s="1"/>
  <c r="C227" i="81"/>
  <c r="C246" i="81" s="1"/>
  <c r="B204" i="81"/>
  <c r="J227" i="81"/>
  <c r="J246" i="81" s="1"/>
  <c r="E210" i="81"/>
  <c r="L246" i="84"/>
  <c r="C227" i="84"/>
  <c r="C246" i="84" s="1"/>
  <c r="B204" i="84"/>
  <c r="C227" i="75"/>
  <c r="C246" i="75" s="1"/>
  <c r="B204" i="75"/>
  <c r="K252" i="78"/>
  <c r="L252" i="78" s="1"/>
  <c r="K247" i="78"/>
  <c r="L247" i="78" s="1"/>
  <c r="K251" i="78"/>
  <c r="L251" i="78" s="1"/>
  <c r="K250" i="78"/>
  <c r="L250" i="78" s="1"/>
  <c r="K255" i="78"/>
  <c r="L255" i="78" s="1"/>
  <c r="K248" i="78"/>
  <c r="L248" i="78" s="1"/>
  <c r="K254" i="78"/>
  <c r="L254" i="78" s="1"/>
  <c r="K257" i="78"/>
  <c r="L257" i="78" s="1"/>
  <c r="K256" i="78"/>
  <c r="L256" i="78" s="1"/>
  <c r="K253" i="78"/>
  <c r="L253" i="78" s="1"/>
  <c r="K258" i="78"/>
  <c r="L258" i="78" s="1"/>
  <c r="K249" i="78"/>
  <c r="L249" i="78" s="1"/>
  <c r="K246" i="78"/>
  <c r="K247" i="81"/>
  <c r="L247" i="81" s="1"/>
  <c r="K254" i="81"/>
  <c r="L254" i="81" s="1"/>
  <c r="K252" i="81"/>
  <c r="L252" i="81" s="1"/>
  <c r="K256" i="81"/>
  <c r="L256" i="81" s="1"/>
  <c r="K250" i="81"/>
  <c r="L250" i="81" s="1"/>
  <c r="K249" i="81"/>
  <c r="L249" i="81" s="1"/>
  <c r="K255" i="81"/>
  <c r="L255" i="81" s="1"/>
  <c r="K251" i="81"/>
  <c r="L251" i="81" s="1"/>
  <c r="K258" i="81"/>
  <c r="L258" i="81" s="1"/>
  <c r="K257" i="81"/>
  <c r="L257" i="81" s="1"/>
  <c r="K246" i="81"/>
  <c r="K248" i="81"/>
  <c r="L248" i="81" s="1"/>
  <c r="K253" i="81"/>
  <c r="L253" i="81" s="1"/>
  <c r="D247" i="72"/>
  <c r="E247" i="72" s="1"/>
  <c r="D249" i="72"/>
  <c r="D246" i="72"/>
  <c r="D248" i="72"/>
  <c r="E248" i="72" s="1"/>
  <c r="D252" i="72"/>
  <c r="E252" i="72" s="1"/>
  <c r="D246" i="75"/>
  <c r="D252" i="75"/>
  <c r="E252" i="75" s="1"/>
  <c r="D248" i="75"/>
  <c r="E248" i="75" s="1"/>
  <c r="D249" i="75"/>
  <c r="D247" i="75"/>
  <c r="E247" i="75" s="1"/>
  <c r="E210" i="78"/>
  <c r="J227" i="78"/>
  <c r="J246" i="78" s="1"/>
  <c r="E163" i="57"/>
  <c r="B162" i="57"/>
  <c r="B164" i="57"/>
  <c r="B171" i="57"/>
  <c r="B165" i="57"/>
  <c r="B163" i="57"/>
  <c r="B169" i="57"/>
  <c r="B166" i="57"/>
  <c r="B167" i="57"/>
  <c r="B170" i="57"/>
  <c r="E162" i="57"/>
  <c r="B168" i="57"/>
  <c r="E177" i="57"/>
  <c r="E173" i="57"/>
  <c r="E165" i="57"/>
  <c r="E166" i="57"/>
  <c r="E167" i="57"/>
  <c r="E169" i="57"/>
  <c r="E164" i="57"/>
  <c r="E170" i="57"/>
  <c r="E172" i="57"/>
  <c r="E171" i="57"/>
  <c r="E174" i="57"/>
  <c r="E175" i="57"/>
  <c r="E168" i="57"/>
  <c r="E176" i="57"/>
  <c r="E143" i="49"/>
  <c r="E135" i="49"/>
  <c r="E138" i="49"/>
  <c r="R99" i="49"/>
  <c r="E144" i="49"/>
  <c r="E137" i="49"/>
  <c r="E131" i="49"/>
  <c r="E130" i="49"/>
  <c r="E145" i="49"/>
  <c r="E141" i="49"/>
  <c r="E132" i="49"/>
  <c r="E136" i="49"/>
  <c r="E133" i="49"/>
  <c r="E142" i="49"/>
  <c r="E140" i="49"/>
  <c r="E139" i="49"/>
  <c r="E134" i="49"/>
  <c r="E131" i="52"/>
  <c r="E138" i="52"/>
  <c r="E137" i="52"/>
  <c r="E142" i="52"/>
  <c r="E135" i="52"/>
  <c r="E140" i="52"/>
  <c r="E143" i="52"/>
  <c r="E145" i="52"/>
  <c r="E139" i="52"/>
  <c r="E132" i="52"/>
  <c r="E141" i="52"/>
  <c r="E130" i="52"/>
  <c r="E136" i="52"/>
  <c r="E134" i="52"/>
  <c r="E133" i="52"/>
  <c r="E144" i="52"/>
  <c r="R99" i="52"/>
  <c r="B109" i="49"/>
  <c r="B109" i="52"/>
  <c r="D18" i="51"/>
  <c r="D31" i="51" s="1"/>
  <c r="C31" i="51"/>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F19" i="35"/>
  <c r="D34" i="36" s="1"/>
  <c r="G19" i="35"/>
  <c r="E34" i="36" s="1"/>
  <c r="H19" i="35"/>
  <c r="F34" i="36" s="1"/>
  <c r="M254" i="84" l="1"/>
  <c r="E21" i="85"/>
  <c r="F21" i="85" s="1"/>
  <c r="M255" i="75"/>
  <c r="M247" i="75"/>
  <c r="M250" i="75"/>
  <c r="E17" i="85"/>
  <c r="F17" i="85" s="1"/>
  <c r="M258" i="75"/>
  <c r="M253" i="84"/>
  <c r="E20" i="73"/>
  <c r="F20" i="73" s="1"/>
  <c r="M248" i="75"/>
  <c r="E23" i="76"/>
  <c r="F23" i="76" s="1"/>
  <c r="M249" i="75"/>
  <c r="M256" i="75"/>
  <c r="E25" i="76"/>
  <c r="F25" i="76" s="1"/>
  <c r="G27" i="76" s="1"/>
  <c r="H27" i="76" s="1"/>
  <c r="M255" i="84"/>
  <c r="M256" i="84"/>
  <c r="D4" i="79"/>
  <c r="O6" i="79" s="1"/>
  <c r="E27" i="85"/>
  <c r="F27" i="85" s="1"/>
  <c r="G27" i="85" s="1"/>
  <c r="H27" i="85" s="1"/>
  <c r="E19" i="85"/>
  <c r="F19" i="85" s="1"/>
  <c r="M251" i="75"/>
  <c r="M249" i="72"/>
  <c r="M251" i="84"/>
  <c r="E23" i="73"/>
  <c r="F23" i="73" s="1"/>
  <c r="M254" i="72"/>
  <c r="M257" i="84"/>
  <c r="E25" i="73"/>
  <c r="F25" i="73" s="1"/>
  <c r="E22" i="76"/>
  <c r="F22" i="76" s="1"/>
  <c r="M252" i="75"/>
  <c r="E18" i="85"/>
  <c r="F18" i="85" s="1"/>
  <c r="M257" i="72"/>
  <c r="M255" i="72"/>
  <c r="E27" i="73"/>
  <c r="F27" i="73" s="1"/>
  <c r="E19" i="73"/>
  <c r="F19" i="73" s="1"/>
  <c r="E16" i="73"/>
  <c r="F16" i="73" s="1"/>
  <c r="E22" i="73"/>
  <c r="F22" i="73" s="1"/>
  <c r="D3" i="79"/>
  <c r="N5" i="79" s="1"/>
  <c r="M247" i="84"/>
  <c r="M248" i="72"/>
  <c r="E246" i="75"/>
  <c r="D2" i="76" s="1"/>
  <c r="E15" i="73"/>
  <c r="F15" i="73" s="1"/>
  <c r="D8" i="79"/>
  <c r="S7" i="79" s="1"/>
  <c r="E21" i="73"/>
  <c r="F21" i="73" s="1"/>
  <c r="E246" i="81"/>
  <c r="F246" i="81" s="1"/>
  <c r="D3" i="73"/>
  <c r="D13" i="88" s="1"/>
  <c r="F247" i="72"/>
  <c r="F248" i="75"/>
  <c r="D4" i="76"/>
  <c r="F252" i="75"/>
  <c r="D8" i="76"/>
  <c r="E246" i="84"/>
  <c r="F252" i="84"/>
  <c r="D8" i="85"/>
  <c r="E15" i="85"/>
  <c r="F15" i="85" s="1"/>
  <c r="M246" i="84"/>
  <c r="D3" i="85"/>
  <c r="F247" i="84"/>
  <c r="E23" i="82"/>
  <c r="F23" i="82" s="1"/>
  <c r="M254" i="81"/>
  <c r="M249" i="78"/>
  <c r="E18" i="79"/>
  <c r="F18" i="79" s="1"/>
  <c r="M246" i="75"/>
  <c r="E15" i="76"/>
  <c r="F15" i="76" s="1"/>
  <c r="M255" i="81"/>
  <c r="E24" i="82"/>
  <c r="F24" i="82" s="1"/>
  <c r="E22" i="79"/>
  <c r="F22" i="79" s="1"/>
  <c r="M253" i="78"/>
  <c r="M247" i="78"/>
  <c r="E16" i="79"/>
  <c r="F16" i="79" s="1"/>
  <c r="D4" i="85"/>
  <c r="F248" i="84"/>
  <c r="E19" i="79"/>
  <c r="F19" i="79" s="1"/>
  <c r="M250" i="78"/>
  <c r="E18" i="82"/>
  <c r="F18" i="82" s="1"/>
  <c r="M249" i="81"/>
  <c r="M256" i="78"/>
  <c r="E25" i="79"/>
  <c r="F25" i="79" s="1"/>
  <c r="E21" i="79"/>
  <c r="F21" i="79" s="1"/>
  <c r="M252" i="78"/>
  <c r="E17" i="79"/>
  <c r="F17" i="79" s="1"/>
  <c r="M248" i="78"/>
  <c r="D3" i="82"/>
  <c r="F247" i="81"/>
  <c r="E20" i="79"/>
  <c r="F20" i="79" s="1"/>
  <c r="M251" i="78"/>
  <c r="F252" i="72"/>
  <c r="D8" i="73"/>
  <c r="F248" i="72"/>
  <c r="D4" i="73"/>
  <c r="D14" i="88" s="1"/>
  <c r="M253" i="81"/>
  <c r="E22" i="82"/>
  <c r="F22" i="82" s="1"/>
  <c r="E19" i="82"/>
  <c r="F19" i="82" s="1"/>
  <c r="M250" i="81"/>
  <c r="M257" i="78"/>
  <c r="E26" i="79"/>
  <c r="F26" i="79" s="1"/>
  <c r="D2" i="79"/>
  <c r="F246" i="78"/>
  <c r="F254" i="78" s="1"/>
  <c r="L246" i="81"/>
  <c r="M255" i="78"/>
  <c r="E24" i="79"/>
  <c r="F24" i="79" s="1"/>
  <c r="E16" i="82"/>
  <c r="F16" i="82" s="1"/>
  <c r="M247" i="81"/>
  <c r="L246" i="78"/>
  <c r="E20" i="82"/>
  <c r="F20" i="82" s="1"/>
  <c r="M251" i="81"/>
  <c r="D3" i="76"/>
  <c r="F247" i="75"/>
  <c r="M248" i="81"/>
  <c r="E17" i="82"/>
  <c r="F17" i="82" s="1"/>
  <c r="E25" i="82"/>
  <c r="F25" i="82" s="1"/>
  <c r="M256" i="81"/>
  <c r="M254" i="78"/>
  <c r="E23" i="79"/>
  <c r="F23" i="79" s="1"/>
  <c r="E246" i="72"/>
  <c r="D8" i="82"/>
  <c r="F252" i="81"/>
  <c r="M257" i="81"/>
  <c r="E26" i="82"/>
  <c r="F26" i="82" s="1"/>
  <c r="E27" i="82"/>
  <c r="F27" i="82" s="1"/>
  <c r="M258" i="81"/>
  <c r="M258" i="78"/>
  <c r="E27" i="79"/>
  <c r="F27" i="79" s="1"/>
  <c r="M252" i="81"/>
  <c r="E21" i="82"/>
  <c r="F21" i="82" s="1"/>
  <c r="D4" i="82"/>
  <c r="F248" i="81"/>
  <c r="O34" i="36"/>
  <c r="F35" i="36"/>
  <c r="N34" i="36"/>
  <c r="E35" i="36"/>
  <c r="M34" i="36"/>
  <c r="D35" i="36"/>
  <c r="B172" i="57"/>
  <c r="E178" i="57"/>
  <c r="E175" i="52"/>
  <c r="E163" i="49"/>
  <c r="E168" i="52"/>
  <c r="E167" i="52"/>
  <c r="E174" i="49"/>
  <c r="E169" i="49"/>
  <c r="E172" i="49"/>
  <c r="E162" i="52"/>
  <c r="E174" i="52"/>
  <c r="E165" i="49"/>
  <c r="E176" i="49"/>
  <c r="E166" i="52"/>
  <c r="E173" i="52"/>
  <c r="E169" i="52"/>
  <c r="E168" i="49"/>
  <c r="E172" i="52"/>
  <c r="E164" i="52"/>
  <c r="E170" i="52"/>
  <c r="E164" i="49"/>
  <c r="E170" i="49"/>
  <c r="E162" i="49"/>
  <c r="E171" i="52"/>
  <c r="E163" i="52"/>
  <c r="E173" i="49"/>
  <c r="E167" i="49"/>
  <c r="E165" i="52"/>
  <c r="E171" i="49"/>
  <c r="E176" i="52"/>
  <c r="E177" i="52"/>
  <c r="E166" i="49"/>
  <c r="E177" i="49"/>
  <c r="E175" i="49"/>
  <c r="E115" i="49"/>
  <c r="B138" i="49"/>
  <c r="B139" i="49"/>
  <c r="B136" i="49"/>
  <c r="B133" i="49"/>
  <c r="B137" i="49"/>
  <c r="E115" i="52"/>
  <c r="B136" i="52"/>
  <c r="B130" i="52"/>
  <c r="B138" i="52"/>
  <c r="B135" i="52"/>
  <c r="B132" i="52"/>
  <c r="B131" i="52"/>
  <c r="B133" i="52"/>
  <c r="B139" i="52"/>
  <c r="B134" i="52"/>
  <c r="B137" i="52"/>
  <c r="B135" i="49"/>
  <c r="B130" i="49"/>
  <c r="B132" i="49"/>
  <c r="B134" i="49"/>
  <c r="B131" i="49"/>
  <c r="B229" i="53"/>
  <c r="B248" i="53" s="1"/>
  <c r="B4" i="54" s="1"/>
  <c r="B228" i="52"/>
  <c r="B247" i="52" s="1"/>
  <c r="B229" i="50"/>
  <c r="B248" i="50" s="1"/>
  <c r="B4" i="51" s="1"/>
  <c r="B228" i="49"/>
  <c r="B247" i="49" s="1"/>
  <c r="D16" i="88" l="1"/>
  <c r="G23" i="85"/>
  <c r="H23" i="85" s="1"/>
  <c r="C35" i="85" s="1"/>
  <c r="O3" i="85" s="1"/>
  <c r="G23" i="76"/>
  <c r="H23" i="76" s="1"/>
  <c r="C35" i="76" s="1"/>
  <c r="N3" i="76" s="1"/>
  <c r="O7" i="79"/>
  <c r="O5" i="79"/>
  <c r="E4" i="79"/>
  <c r="G27" i="73"/>
  <c r="H27" i="73" s="1"/>
  <c r="M260" i="72"/>
  <c r="M260" i="75"/>
  <c r="M260" i="84"/>
  <c r="G18" i="73"/>
  <c r="H18" i="73" s="1"/>
  <c r="D23" i="88" s="1"/>
  <c r="N7" i="79"/>
  <c r="F31" i="73"/>
  <c r="F246" i="75"/>
  <c r="F254" i="75" s="1"/>
  <c r="N6" i="79"/>
  <c r="D2" i="82"/>
  <c r="E2" i="82" s="1"/>
  <c r="G23" i="73"/>
  <c r="H23" i="73" s="1"/>
  <c r="E3" i="79"/>
  <c r="S6" i="79"/>
  <c r="E8" i="79"/>
  <c r="S5" i="79"/>
  <c r="G23" i="82"/>
  <c r="H23" i="82" s="1"/>
  <c r="C35" i="82" s="1"/>
  <c r="G27" i="79"/>
  <c r="H27" i="79" s="1"/>
  <c r="C36" i="79" s="1"/>
  <c r="E8" i="76"/>
  <c r="S7" i="76"/>
  <c r="S5" i="76"/>
  <c r="S6" i="76"/>
  <c r="O5" i="82"/>
  <c r="O6" i="82"/>
  <c r="O7" i="82"/>
  <c r="E4" i="82"/>
  <c r="C36" i="76"/>
  <c r="O4" i="76" s="1"/>
  <c r="C36" i="85"/>
  <c r="S4" i="85" s="1"/>
  <c r="D2" i="73"/>
  <c r="D12" i="88" s="1"/>
  <c r="F246" i="72"/>
  <c r="F254" i="72" s="1"/>
  <c r="N7" i="76"/>
  <c r="N6" i="76"/>
  <c r="N5" i="76"/>
  <c r="E3" i="76"/>
  <c r="E15" i="82"/>
  <c r="F15" i="82" s="1"/>
  <c r="M246" i="81"/>
  <c r="M260" i="81" s="1"/>
  <c r="O5" i="85"/>
  <c r="O7" i="85"/>
  <c r="O6" i="85"/>
  <c r="E4" i="85"/>
  <c r="G27" i="82"/>
  <c r="H27" i="82" s="1"/>
  <c r="N6" i="85"/>
  <c r="E3" i="85"/>
  <c r="N7" i="85"/>
  <c r="N5" i="85"/>
  <c r="E4" i="76"/>
  <c r="O5" i="76"/>
  <c r="O6" i="76"/>
  <c r="O7" i="76"/>
  <c r="E2" i="76"/>
  <c r="M6" i="76"/>
  <c r="M5" i="76"/>
  <c r="M7" i="76"/>
  <c r="E4" i="73"/>
  <c r="O5" i="73"/>
  <c r="O7" i="73"/>
  <c r="O6" i="73"/>
  <c r="F31" i="76"/>
  <c r="G18" i="76"/>
  <c r="D2" i="85"/>
  <c r="F246" i="84"/>
  <c r="F254" i="84" s="1"/>
  <c r="S5" i="82"/>
  <c r="S6" i="82"/>
  <c r="S7" i="82"/>
  <c r="E8" i="82"/>
  <c r="G23" i="79"/>
  <c r="H23" i="79" s="1"/>
  <c r="M6" i="79"/>
  <c r="M5" i="79"/>
  <c r="M7" i="79"/>
  <c r="E2" i="79"/>
  <c r="N5" i="82"/>
  <c r="E3" i="82"/>
  <c r="N6" i="82"/>
  <c r="N7" i="82"/>
  <c r="F254" i="81"/>
  <c r="G18" i="85"/>
  <c r="F31" i="85"/>
  <c r="E15" i="79"/>
  <c r="F15" i="79" s="1"/>
  <c r="M246" i="78"/>
  <c r="M260" i="78" s="1"/>
  <c r="F276" i="78" s="1"/>
  <c r="F277" i="78" s="1"/>
  <c r="S5" i="73"/>
  <c r="E8" i="73"/>
  <c r="S6" i="73"/>
  <c r="S7" i="73"/>
  <c r="S6" i="85"/>
  <c r="S5" i="85"/>
  <c r="S7" i="85"/>
  <c r="E8" i="85"/>
  <c r="N7" i="73"/>
  <c r="N6" i="73"/>
  <c r="E3" i="73"/>
  <c r="N5" i="73"/>
  <c r="X34" i="36"/>
  <c r="X35" i="36" s="1"/>
  <c r="O35" i="36"/>
  <c r="W34" i="36"/>
  <c r="W35" i="36" s="1"/>
  <c r="N35" i="36"/>
  <c r="V34" i="36"/>
  <c r="V35" i="36" s="1"/>
  <c r="M35" i="36"/>
  <c r="E178" i="52"/>
  <c r="E178" i="49"/>
  <c r="B166" i="49"/>
  <c r="B171" i="52"/>
  <c r="B169" i="52"/>
  <c r="B162" i="52"/>
  <c r="B163" i="49"/>
  <c r="B166" i="52"/>
  <c r="B168" i="52"/>
  <c r="B164" i="49"/>
  <c r="B165" i="52"/>
  <c r="B169" i="49"/>
  <c r="B165" i="49"/>
  <c r="B167" i="49"/>
  <c r="B164" i="52"/>
  <c r="B168" i="49"/>
  <c r="B162" i="49"/>
  <c r="B167" i="52"/>
  <c r="B171" i="49"/>
  <c r="B163" i="52"/>
  <c r="B170" i="52"/>
  <c r="B170" i="49"/>
  <c r="C36" i="73" l="1"/>
  <c r="N4" i="73" s="1"/>
  <c r="D25" i="88"/>
  <c r="C35" i="73"/>
  <c r="N3" i="73" s="1"/>
  <c r="D24" i="88"/>
  <c r="F276" i="75"/>
  <c r="F277" i="75" s="1"/>
  <c r="F276" i="72"/>
  <c r="F277" i="72" s="1"/>
  <c r="F276" i="84"/>
  <c r="F277" i="84" s="1"/>
  <c r="N4" i="85"/>
  <c r="M7" i="82"/>
  <c r="M5" i="82"/>
  <c r="M6" i="82"/>
  <c r="E12" i="79"/>
  <c r="G31" i="73"/>
  <c r="S3" i="82"/>
  <c r="N3" i="82"/>
  <c r="M3" i="82"/>
  <c r="N4" i="76"/>
  <c r="O3" i="82"/>
  <c r="M4" i="76"/>
  <c r="N3" i="85"/>
  <c r="M3" i="76"/>
  <c r="S3" i="85"/>
  <c r="O3" i="76"/>
  <c r="G31" i="76"/>
  <c r="H18" i="76"/>
  <c r="Q4" i="76"/>
  <c r="R4" i="76"/>
  <c r="U4" i="76"/>
  <c r="V4" i="76"/>
  <c r="T4" i="76"/>
  <c r="P4" i="76"/>
  <c r="M7" i="85"/>
  <c r="M6" i="85"/>
  <c r="E2" i="85"/>
  <c r="E12" i="85" s="1"/>
  <c r="M5" i="85"/>
  <c r="M3" i="85"/>
  <c r="M4" i="85"/>
  <c r="E12" i="82"/>
  <c r="C36" i="82"/>
  <c r="Q4" i="85"/>
  <c r="R4" i="85"/>
  <c r="T4" i="85"/>
  <c r="V4" i="85"/>
  <c r="U4" i="85"/>
  <c r="P4" i="85"/>
  <c r="H18" i="85"/>
  <c r="G31" i="85"/>
  <c r="E12" i="76"/>
  <c r="F276" i="81"/>
  <c r="F277" i="81" s="1"/>
  <c r="F31" i="79"/>
  <c r="G18" i="79"/>
  <c r="R3" i="76"/>
  <c r="Q3" i="76"/>
  <c r="V3" i="76"/>
  <c r="U3" i="76"/>
  <c r="T3" i="76"/>
  <c r="P3" i="76"/>
  <c r="G18" i="82"/>
  <c r="F31" i="82"/>
  <c r="S3" i="76"/>
  <c r="C34" i="73"/>
  <c r="M2" i="73" s="1"/>
  <c r="O4" i="79"/>
  <c r="Q4" i="79"/>
  <c r="R4" i="79"/>
  <c r="U4" i="79"/>
  <c r="V4" i="79"/>
  <c r="T4" i="79"/>
  <c r="P4" i="79"/>
  <c r="N4" i="79"/>
  <c r="S4" i="79"/>
  <c r="C35" i="79"/>
  <c r="O4" i="85"/>
  <c r="Q3" i="85"/>
  <c r="R3" i="85"/>
  <c r="T3" i="85"/>
  <c r="U3" i="85"/>
  <c r="V3" i="85"/>
  <c r="P3" i="85"/>
  <c r="S4" i="76"/>
  <c r="M4" i="79"/>
  <c r="M5" i="73"/>
  <c r="M6" i="73"/>
  <c r="M7" i="73"/>
  <c r="E2" i="73"/>
  <c r="E12" i="73" s="1"/>
  <c r="R3" i="82"/>
  <c r="Q3" i="82"/>
  <c r="T3" i="82"/>
  <c r="V3" i="82"/>
  <c r="U3" i="82"/>
  <c r="P3" i="82"/>
  <c r="B172" i="49"/>
  <c r="B172" i="52"/>
  <c r="C18" i="33"/>
  <c r="D18" i="33" s="1"/>
  <c r="E18" i="33" s="1"/>
  <c r="F18" i="33" s="1"/>
  <c r="G18" i="33" s="1"/>
  <c r="F14" i="33"/>
  <c r="E14" i="33"/>
  <c r="D14" i="33"/>
  <c r="C14" i="33"/>
  <c r="B14" i="33"/>
  <c r="D9" i="33"/>
  <c r="B9" i="33"/>
  <c r="C5" i="33"/>
  <c r="Q3" i="73" l="1"/>
  <c r="R4" i="73"/>
  <c r="V4" i="73"/>
  <c r="M4" i="73"/>
  <c r="S4" i="73"/>
  <c r="Q4" i="73"/>
  <c r="O4" i="73"/>
  <c r="P4" i="73"/>
  <c r="T4" i="73"/>
  <c r="U4" i="73"/>
  <c r="U3" i="73"/>
  <c r="V3" i="73"/>
  <c r="S3" i="73"/>
  <c r="T3" i="73"/>
  <c r="O3" i="73"/>
  <c r="P3" i="73"/>
  <c r="M3" i="73"/>
  <c r="R3" i="73"/>
  <c r="C34" i="85"/>
  <c r="Q2" i="73"/>
  <c r="R2" i="73"/>
  <c r="V2" i="73"/>
  <c r="U2" i="73"/>
  <c r="T2" i="73"/>
  <c r="P2" i="73"/>
  <c r="N2" i="73"/>
  <c r="O2" i="73"/>
  <c r="S2" i="73"/>
  <c r="H18" i="82"/>
  <c r="G31" i="82"/>
  <c r="Q4" i="82"/>
  <c r="R4" i="82"/>
  <c r="T4" i="82"/>
  <c r="V4" i="82"/>
  <c r="U4" i="82"/>
  <c r="P4" i="82"/>
  <c r="M4" i="82"/>
  <c r="O4" i="82"/>
  <c r="N4" i="82"/>
  <c r="S4" i="82"/>
  <c r="R3" i="79"/>
  <c r="Q3" i="79"/>
  <c r="U3" i="79"/>
  <c r="V3" i="79"/>
  <c r="T3" i="79"/>
  <c r="P3" i="79"/>
  <c r="S3" i="79"/>
  <c r="O3" i="79"/>
  <c r="N3" i="79"/>
  <c r="M3" i="79"/>
  <c r="C34" i="76"/>
  <c r="H18" i="79"/>
  <c r="G31" i="79"/>
  <c r="B226" i="52"/>
  <c r="B245" i="52" s="1"/>
  <c r="B227" i="53"/>
  <c r="B246" i="53" s="1"/>
  <c r="B2" i="54" s="1"/>
  <c r="B226" i="49"/>
  <c r="B245" i="49" s="1"/>
  <c r="B227" i="50"/>
  <c r="B246" i="50" s="1"/>
  <c r="B2" i="51" s="1"/>
  <c r="D5" i="33"/>
  <c r="H18" i="33"/>
  <c r="G19" i="33"/>
  <c r="C34" i="82" l="1"/>
  <c r="Q2" i="76"/>
  <c r="R2" i="76"/>
  <c r="V2" i="76"/>
  <c r="U2" i="76"/>
  <c r="T2" i="76"/>
  <c r="P2" i="76"/>
  <c r="O2" i="76"/>
  <c r="N2" i="76"/>
  <c r="M2" i="76"/>
  <c r="S2" i="76"/>
  <c r="Q2" i="85"/>
  <c r="R2" i="85"/>
  <c r="T2" i="85"/>
  <c r="U2" i="85"/>
  <c r="V2" i="85"/>
  <c r="P2" i="85"/>
  <c r="N2" i="85"/>
  <c r="O2" i="85"/>
  <c r="S2" i="85"/>
  <c r="M2" i="85"/>
  <c r="C34" i="79"/>
  <c r="E5" i="33"/>
  <c r="I18" i="33"/>
  <c r="H19" i="33"/>
  <c r="R2" i="79" l="1"/>
  <c r="Q2" i="79"/>
  <c r="U2" i="79"/>
  <c r="V2" i="79"/>
  <c r="T2" i="79"/>
  <c r="P2" i="79"/>
  <c r="O2" i="79"/>
  <c r="N2" i="79"/>
  <c r="S2" i="79"/>
  <c r="M2" i="79"/>
  <c r="R2" i="82"/>
  <c r="Q2" i="82"/>
  <c r="T2" i="82"/>
  <c r="V2" i="82"/>
  <c r="U2" i="82"/>
  <c r="P2" i="82"/>
  <c r="S2" i="82"/>
  <c r="O2" i="82"/>
  <c r="M2" i="82"/>
  <c r="N2" i="82"/>
  <c r="A6" i="53"/>
  <c r="A9" i="53" s="1"/>
  <c r="F5" i="33"/>
  <c r="A5" i="60" s="1"/>
  <c r="I19" i="33"/>
  <c r="J18" i="33"/>
  <c r="C12" i="64" l="1"/>
  <c r="C11" i="49"/>
  <c r="C12" i="50"/>
  <c r="A5" i="57"/>
  <c r="A8" i="57" s="1"/>
  <c r="D8" i="57" s="1"/>
  <c r="C12" i="53"/>
  <c r="A8" i="60"/>
  <c r="D8" i="60" s="1"/>
  <c r="D5" i="60"/>
  <c r="A6" i="58"/>
  <c r="A6" i="61"/>
  <c r="A5" i="52"/>
  <c r="A8" i="52" s="1"/>
  <c r="C12" i="61"/>
  <c r="C11" i="63"/>
  <c r="C11" i="57"/>
  <c r="C11" i="60"/>
  <c r="A5" i="63"/>
  <c r="C11" i="52"/>
  <c r="C12" i="58"/>
  <c r="A6" i="64"/>
  <c r="A6" i="50"/>
  <c r="A5" i="49"/>
  <c r="J19" i="33"/>
  <c r="K18" i="33"/>
  <c r="D5" i="57" l="1"/>
  <c r="B199" i="57" s="1"/>
  <c r="C232" i="57" s="1"/>
  <c r="C251" i="57" s="1"/>
  <c r="A9" i="64"/>
  <c r="A9" i="61"/>
  <c r="A9" i="58"/>
  <c r="D10" i="57"/>
  <c r="F10" i="57"/>
  <c r="E203" i="57"/>
  <c r="J236" i="57" s="1"/>
  <c r="J255" i="57" s="1"/>
  <c r="E194" i="57"/>
  <c r="J227" i="57" s="1"/>
  <c r="J246" i="57" s="1"/>
  <c r="E204" i="57"/>
  <c r="J237" i="57" s="1"/>
  <c r="J256" i="57" s="1"/>
  <c r="E207" i="57"/>
  <c r="J240" i="57" s="1"/>
  <c r="J259" i="57" s="1"/>
  <c r="E206" i="57"/>
  <c r="J239" i="57" s="1"/>
  <c r="E201" i="57"/>
  <c r="J234" i="57" s="1"/>
  <c r="J253" i="57" s="1"/>
  <c r="E200" i="57"/>
  <c r="J233" i="57" s="1"/>
  <c r="J252" i="57" s="1"/>
  <c r="E197" i="57"/>
  <c r="J230" i="57" s="1"/>
  <c r="J249" i="57" s="1"/>
  <c r="E202" i="57"/>
  <c r="J235" i="57" s="1"/>
  <c r="J254" i="57" s="1"/>
  <c r="E208" i="57"/>
  <c r="J241" i="57" s="1"/>
  <c r="J260" i="57" s="1"/>
  <c r="E195" i="57"/>
  <c r="J228" i="57" s="1"/>
  <c r="J247" i="57" s="1"/>
  <c r="E205" i="57"/>
  <c r="J238" i="57" s="1"/>
  <c r="J257" i="57" s="1"/>
  <c r="E193" i="57"/>
  <c r="E199" i="57"/>
  <c r="J232" i="57" s="1"/>
  <c r="J251" i="57" s="1"/>
  <c r="E196" i="57"/>
  <c r="J229" i="57" s="1"/>
  <c r="J248" i="57" s="1"/>
  <c r="E198" i="57"/>
  <c r="J231" i="57" s="1"/>
  <c r="J250" i="57" s="1"/>
  <c r="A8" i="63"/>
  <c r="D8" i="63" s="1"/>
  <c r="D5" i="63"/>
  <c r="D7" i="60"/>
  <c r="F7" i="60"/>
  <c r="B199" i="60"/>
  <c r="C232" i="60" s="1"/>
  <c r="C251" i="60" s="1"/>
  <c r="B195" i="60"/>
  <c r="C228" i="60" s="1"/>
  <c r="C247" i="60" s="1"/>
  <c r="B196" i="60"/>
  <c r="C229" i="60" s="1"/>
  <c r="C248" i="60" s="1"/>
  <c r="B198" i="60"/>
  <c r="C231" i="60" s="1"/>
  <c r="B197" i="60"/>
  <c r="C230" i="60" s="1"/>
  <c r="B193" i="60"/>
  <c r="B201" i="60"/>
  <c r="C234" i="60" s="1"/>
  <c r="C253" i="60" s="1"/>
  <c r="B194" i="60"/>
  <c r="C227" i="60" s="1"/>
  <c r="C246" i="60" s="1"/>
  <c r="B200" i="60"/>
  <c r="C233" i="60" s="1"/>
  <c r="C252" i="60" s="1"/>
  <c r="B202" i="60"/>
  <c r="C235" i="60" s="1"/>
  <c r="C254" i="60" s="1"/>
  <c r="D10" i="60"/>
  <c r="F10" i="60"/>
  <c r="E204" i="60"/>
  <c r="J237" i="60" s="1"/>
  <c r="J256" i="60" s="1"/>
  <c r="E196" i="60"/>
  <c r="J229" i="60" s="1"/>
  <c r="J248" i="60" s="1"/>
  <c r="E201" i="60"/>
  <c r="J234" i="60" s="1"/>
  <c r="J253" i="60" s="1"/>
  <c r="E207" i="60"/>
  <c r="J240" i="60" s="1"/>
  <c r="J259" i="60" s="1"/>
  <c r="E195" i="60"/>
  <c r="J228" i="60" s="1"/>
  <c r="J247" i="60" s="1"/>
  <c r="E198" i="60"/>
  <c r="J231" i="60" s="1"/>
  <c r="J250" i="60" s="1"/>
  <c r="E205" i="60"/>
  <c r="J238" i="60" s="1"/>
  <c r="J257" i="60" s="1"/>
  <c r="E203" i="60"/>
  <c r="J236" i="60" s="1"/>
  <c r="J255" i="60" s="1"/>
  <c r="E194" i="60"/>
  <c r="J227" i="60" s="1"/>
  <c r="J246" i="60" s="1"/>
  <c r="E200" i="60"/>
  <c r="J233" i="60" s="1"/>
  <c r="J252" i="60" s="1"/>
  <c r="E208" i="60"/>
  <c r="J241" i="60" s="1"/>
  <c r="J260" i="60" s="1"/>
  <c r="E197" i="60"/>
  <c r="J230" i="60" s="1"/>
  <c r="J249" i="60" s="1"/>
  <c r="E206" i="60"/>
  <c r="J239" i="60" s="1"/>
  <c r="E199" i="60"/>
  <c r="J232" i="60" s="1"/>
  <c r="J251" i="60" s="1"/>
  <c r="E193" i="60"/>
  <c r="E202" i="60"/>
  <c r="J235" i="60" s="1"/>
  <c r="J254" i="60" s="1"/>
  <c r="A8" i="49"/>
  <c r="A9" i="50"/>
  <c r="K19" i="33"/>
  <c r="L18" i="33"/>
  <c r="D7" i="57" l="1"/>
  <c r="B198" i="57"/>
  <c r="C231" i="57" s="1"/>
  <c r="C250" i="57" s="1"/>
  <c r="E250" i="57" s="1"/>
  <c r="B195" i="57"/>
  <c r="C228" i="57" s="1"/>
  <c r="C247" i="57" s="1"/>
  <c r="B197" i="57"/>
  <c r="C230" i="57" s="1"/>
  <c r="C249" i="57" s="1"/>
  <c r="E249" i="57" s="1"/>
  <c r="F7" i="57"/>
  <c r="D246" i="57" s="1"/>
  <c r="B193" i="57"/>
  <c r="C226" i="57" s="1"/>
  <c r="C245" i="57" s="1"/>
  <c r="B201" i="57"/>
  <c r="C234" i="57" s="1"/>
  <c r="C253" i="57" s="1"/>
  <c r="B194" i="57"/>
  <c r="C227" i="57" s="1"/>
  <c r="C246" i="57" s="1"/>
  <c r="B202" i="57"/>
  <c r="C235" i="57" s="1"/>
  <c r="C254" i="57" s="1"/>
  <c r="B196" i="57"/>
  <c r="C229" i="57" s="1"/>
  <c r="C248" i="57" s="1"/>
  <c r="B200" i="57"/>
  <c r="C233" i="57" s="1"/>
  <c r="C252" i="57" s="1"/>
  <c r="B203" i="60"/>
  <c r="C226" i="60"/>
  <c r="C245" i="60" s="1"/>
  <c r="D10" i="63"/>
  <c r="F10" i="63"/>
  <c r="E207" i="63"/>
  <c r="J240" i="63" s="1"/>
  <c r="J259" i="63" s="1"/>
  <c r="E195" i="63"/>
  <c r="J228" i="63" s="1"/>
  <c r="J247" i="63" s="1"/>
  <c r="E197" i="63"/>
  <c r="J230" i="63" s="1"/>
  <c r="J249" i="63" s="1"/>
  <c r="E208" i="63"/>
  <c r="J241" i="63" s="1"/>
  <c r="J260" i="63" s="1"/>
  <c r="E201" i="63"/>
  <c r="J234" i="63" s="1"/>
  <c r="J253" i="63" s="1"/>
  <c r="E196" i="63"/>
  <c r="J229" i="63" s="1"/>
  <c r="J248" i="63" s="1"/>
  <c r="E202" i="63"/>
  <c r="J235" i="63" s="1"/>
  <c r="J254" i="63" s="1"/>
  <c r="E199" i="63"/>
  <c r="J232" i="63" s="1"/>
  <c r="J251" i="63" s="1"/>
  <c r="E203" i="63"/>
  <c r="J236" i="63" s="1"/>
  <c r="J255" i="63" s="1"/>
  <c r="E198" i="63"/>
  <c r="J231" i="63" s="1"/>
  <c r="J250" i="63" s="1"/>
  <c r="E206" i="63"/>
  <c r="J239" i="63" s="1"/>
  <c r="E204" i="63"/>
  <c r="J237" i="63" s="1"/>
  <c r="J256" i="63" s="1"/>
  <c r="E200" i="63"/>
  <c r="J233" i="63" s="1"/>
  <c r="J252" i="63" s="1"/>
  <c r="E205" i="63"/>
  <c r="J238" i="63" s="1"/>
  <c r="J257" i="63" s="1"/>
  <c r="E194" i="63"/>
  <c r="J227" i="63" s="1"/>
  <c r="J246" i="63" s="1"/>
  <c r="E193" i="63"/>
  <c r="D7" i="63"/>
  <c r="F7" i="63"/>
  <c r="B199" i="63"/>
  <c r="C232" i="63" s="1"/>
  <c r="C251" i="63" s="1"/>
  <c r="B197" i="63"/>
  <c r="C230" i="63" s="1"/>
  <c r="B202" i="63"/>
  <c r="C235" i="63" s="1"/>
  <c r="C254" i="63" s="1"/>
  <c r="B198" i="63"/>
  <c r="C231" i="63" s="1"/>
  <c r="B193" i="63"/>
  <c r="B200" i="63"/>
  <c r="C233" i="63" s="1"/>
  <c r="C252" i="63" s="1"/>
  <c r="B194" i="63"/>
  <c r="C227" i="63" s="1"/>
  <c r="C246" i="63" s="1"/>
  <c r="B196" i="63"/>
  <c r="C229" i="63" s="1"/>
  <c r="C248" i="63" s="1"/>
  <c r="B195" i="63"/>
  <c r="C228" i="63" s="1"/>
  <c r="C247" i="63" s="1"/>
  <c r="B201" i="63"/>
  <c r="C234" i="63" s="1"/>
  <c r="C253" i="63" s="1"/>
  <c r="K255" i="60"/>
  <c r="L255" i="60" s="1"/>
  <c r="K254" i="60"/>
  <c r="L254" i="60" s="1"/>
  <c r="K247" i="60"/>
  <c r="L247" i="60" s="1"/>
  <c r="K250" i="60"/>
  <c r="L250" i="60" s="1"/>
  <c r="K251" i="60"/>
  <c r="L251" i="60" s="1"/>
  <c r="K259" i="60"/>
  <c r="L259" i="60" s="1"/>
  <c r="D271" i="60" s="1"/>
  <c r="K253" i="60"/>
  <c r="L253" i="60" s="1"/>
  <c r="K256" i="60"/>
  <c r="L256" i="60" s="1"/>
  <c r="K249" i="60"/>
  <c r="L249" i="60" s="1"/>
  <c r="K245" i="60"/>
  <c r="K248" i="60"/>
  <c r="L248" i="60" s="1"/>
  <c r="K252" i="60"/>
  <c r="L252" i="60" s="1"/>
  <c r="K246" i="60"/>
  <c r="L246" i="60" s="1"/>
  <c r="K260" i="60"/>
  <c r="L260" i="60" s="1"/>
  <c r="D272" i="60" s="1"/>
  <c r="K257" i="60"/>
  <c r="L257" i="60" s="1"/>
  <c r="K259" i="57"/>
  <c r="L259" i="57" s="1"/>
  <c r="D271" i="57" s="1"/>
  <c r="K248" i="57"/>
  <c r="L248" i="57" s="1"/>
  <c r="K256" i="57"/>
  <c r="L256" i="57" s="1"/>
  <c r="K251" i="57"/>
  <c r="L251" i="57" s="1"/>
  <c r="K255" i="57"/>
  <c r="L255" i="57" s="1"/>
  <c r="K247" i="57"/>
  <c r="L247" i="57" s="1"/>
  <c r="K254" i="57"/>
  <c r="L254" i="57" s="1"/>
  <c r="K250" i="57"/>
  <c r="L250" i="57" s="1"/>
  <c r="K257" i="57"/>
  <c r="L257" i="57" s="1"/>
  <c r="K246" i="57"/>
  <c r="L246" i="57" s="1"/>
  <c r="K253" i="57"/>
  <c r="L253" i="57" s="1"/>
  <c r="K245" i="57"/>
  <c r="K260" i="57"/>
  <c r="L260" i="57" s="1"/>
  <c r="D272" i="57" s="1"/>
  <c r="K249" i="57"/>
  <c r="L249" i="57" s="1"/>
  <c r="K252" i="57"/>
  <c r="L252" i="57" s="1"/>
  <c r="D248" i="60"/>
  <c r="E248" i="60" s="1"/>
  <c r="D270" i="60" s="1"/>
  <c r="D247" i="60"/>
  <c r="E247" i="60" s="1"/>
  <c r="D246" i="60"/>
  <c r="E246" i="60" s="1"/>
  <c r="D254" i="60"/>
  <c r="E254" i="60" s="1"/>
  <c r="D269" i="60" s="1"/>
  <c r="D245" i="60"/>
  <c r="D251" i="60"/>
  <c r="E251" i="60" s="1"/>
  <c r="D253" i="60"/>
  <c r="E253" i="60" s="1"/>
  <c r="D267" i="60" s="1"/>
  <c r="D252" i="60"/>
  <c r="E252" i="60" s="1"/>
  <c r="D268" i="60" s="1"/>
  <c r="E209" i="60"/>
  <c r="J226" i="60"/>
  <c r="J245" i="60" s="1"/>
  <c r="E209" i="57"/>
  <c r="J226" i="57"/>
  <c r="J245" i="57" s="1"/>
  <c r="M18" i="33"/>
  <c r="L19" i="33"/>
  <c r="D245" i="57" l="1"/>
  <c r="E245" i="57" s="1"/>
  <c r="D253" i="57"/>
  <c r="E253" i="57" s="1"/>
  <c r="D267" i="57" s="1"/>
  <c r="D268" i="58" s="1"/>
  <c r="E268" i="58" s="1"/>
  <c r="D251" i="57"/>
  <c r="E251" i="57" s="1"/>
  <c r="D252" i="57"/>
  <c r="E252" i="57" s="1"/>
  <c r="D268" i="57" s="1"/>
  <c r="D269" i="58" s="1"/>
  <c r="E269" i="58" s="1"/>
  <c r="D248" i="57"/>
  <c r="E248" i="57" s="1"/>
  <c r="D270" i="57" s="1"/>
  <c r="D271" i="58" s="1"/>
  <c r="E271" i="58" s="1"/>
  <c r="D254" i="57"/>
  <c r="E254" i="57" s="1"/>
  <c r="D269" i="57" s="1"/>
  <c r="D270" i="58" s="1"/>
  <c r="E270" i="58" s="1"/>
  <c r="D247" i="57"/>
  <c r="E247" i="57" s="1"/>
  <c r="B203" i="57"/>
  <c r="L245" i="60"/>
  <c r="E246" i="57"/>
  <c r="L245" i="57"/>
  <c r="E271" i="57"/>
  <c r="F271" i="57" s="1"/>
  <c r="D272" i="58"/>
  <c r="E272" i="58" s="1"/>
  <c r="D268" i="61"/>
  <c r="E268" i="61" s="1"/>
  <c r="E267" i="60"/>
  <c r="F267" i="60" s="1"/>
  <c r="E272" i="60"/>
  <c r="F272" i="60" s="1"/>
  <c r="D273" i="61"/>
  <c r="E273" i="61" s="1"/>
  <c r="D272" i="61"/>
  <c r="E272" i="61" s="1"/>
  <c r="E271" i="60"/>
  <c r="F271" i="60" s="1"/>
  <c r="D273" i="58"/>
  <c r="E273" i="58" s="1"/>
  <c r="E272" i="57"/>
  <c r="F272" i="57" s="1"/>
  <c r="D271" i="61"/>
  <c r="E271" i="61" s="1"/>
  <c r="E270" i="60"/>
  <c r="F270" i="60" s="1"/>
  <c r="E245" i="60"/>
  <c r="E269" i="60"/>
  <c r="F269" i="60" s="1"/>
  <c r="D270" i="61"/>
  <c r="E270" i="61" s="1"/>
  <c r="C226" i="63"/>
  <c r="C245" i="63" s="1"/>
  <c r="B203" i="63"/>
  <c r="D248" i="63"/>
  <c r="E248" i="63" s="1"/>
  <c r="D270" i="63" s="1"/>
  <c r="D247" i="63"/>
  <c r="E247" i="63" s="1"/>
  <c r="D253" i="63"/>
  <c r="E253" i="63" s="1"/>
  <c r="D267" i="63" s="1"/>
  <c r="D246" i="63"/>
  <c r="E246" i="63" s="1"/>
  <c r="D245" i="63"/>
  <c r="D254" i="63"/>
  <c r="E254" i="63" s="1"/>
  <c r="D269" i="63" s="1"/>
  <c r="D252" i="63"/>
  <c r="E252" i="63" s="1"/>
  <c r="D268" i="63" s="1"/>
  <c r="D251" i="63"/>
  <c r="E251" i="63" s="1"/>
  <c r="E209" i="63"/>
  <c r="J226" i="63"/>
  <c r="J245" i="63" s="1"/>
  <c r="K250" i="63"/>
  <c r="L250" i="63" s="1"/>
  <c r="K259" i="63"/>
  <c r="L259" i="63" s="1"/>
  <c r="D271" i="63" s="1"/>
  <c r="K247" i="63"/>
  <c r="L247" i="63" s="1"/>
  <c r="K253" i="63"/>
  <c r="L253" i="63" s="1"/>
  <c r="K260" i="63"/>
  <c r="L260" i="63" s="1"/>
  <c r="D272" i="63" s="1"/>
  <c r="K245" i="63"/>
  <c r="K246" i="63"/>
  <c r="L246" i="63" s="1"/>
  <c r="K251" i="63"/>
  <c r="L251" i="63" s="1"/>
  <c r="K249" i="63"/>
  <c r="L249" i="63" s="1"/>
  <c r="K252" i="63"/>
  <c r="L252" i="63" s="1"/>
  <c r="K257" i="63"/>
  <c r="L257" i="63" s="1"/>
  <c r="K256" i="63"/>
  <c r="L256" i="63" s="1"/>
  <c r="K255" i="63"/>
  <c r="L255" i="63" s="1"/>
  <c r="K248" i="63"/>
  <c r="L248" i="63" s="1"/>
  <c r="K254" i="63"/>
  <c r="L254" i="63" s="1"/>
  <c r="E268" i="60"/>
  <c r="F268" i="60" s="1"/>
  <c r="D269" i="61"/>
  <c r="E269" i="61" s="1"/>
  <c r="N18" i="33"/>
  <c r="M19" i="33"/>
  <c r="E267" i="57" l="1"/>
  <c r="F267" i="57" s="1"/>
  <c r="E270" i="57"/>
  <c r="F270" i="57" s="1"/>
  <c r="E268" i="57"/>
  <c r="F268" i="57" s="1"/>
  <c r="E269" i="57"/>
  <c r="F269" i="57" s="1"/>
  <c r="E270" i="63"/>
  <c r="F270" i="63" s="1"/>
  <c r="D271" i="64"/>
  <c r="E271" i="64" s="1"/>
  <c r="D269" i="64"/>
  <c r="E269" i="64" s="1"/>
  <c r="E268" i="63"/>
  <c r="F268" i="63" s="1"/>
  <c r="E271" i="63"/>
  <c r="F271" i="63" s="1"/>
  <c r="D272" i="64"/>
  <c r="E272" i="64" s="1"/>
  <c r="E267" i="63"/>
  <c r="F267" i="63" s="1"/>
  <c r="D268" i="64"/>
  <c r="E268" i="64" s="1"/>
  <c r="L245" i="63"/>
  <c r="L260" i="61"/>
  <c r="E29" i="62" s="1"/>
  <c r="F29" i="62" s="1"/>
  <c r="G29" i="62" s="1"/>
  <c r="H29" i="62" s="1"/>
  <c r="C72" i="46" s="1"/>
  <c r="F272" i="61"/>
  <c r="D273" i="64"/>
  <c r="E273" i="64" s="1"/>
  <c r="E272" i="63"/>
  <c r="F272" i="63" s="1"/>
  <c r="L261" i="61"/>
  <c r="E30" i="62" s="1"/>
  <c r="F30" i="62" s="1"/>
  <c r="G30" i="62" s="1"/>
  <c r="H30" i="62" s="1"/>
  <c r="C75" i="46" s="1"/>
  <c r="F273" i="61"/>
  <c r="E254" i="58"/>
  <c r="D10" i="59" s="1"/>
  <c r="I42" i="46" s="1"/>
  <c r="F268" i="58"/>
  <c r="E255" i="61"/>
  <c r="D11" i="62" s="1"/>
  <c r="J61" i="46" s="1"/>
  <c r="F270" i="61"/>
  <c r="E249" i="61"/>
  <c r="F271" i="61"/>
  <c r="F273" i="60"/>
  <c r="D270" i="64"/>
  <c r="E270" i="64" s="1"/>
  <c r="E269" i="63"/>
  <c r="F269" i="63" s="1"/>
  <c r="F273" i="58"/>
  <c r="L261" i="58"/>
  <c r="E30" i="59" s="1"/>
  <c r="F30" i="59" s="1"/>
  <c r="G30" i="59" s="1"/>
  <c r="H30" i="59" s="1"/>
  <c r="C56" i="46" s="1"/>
  <c r="E254" i="61"/>
  <c r="D10" i="62" s="1"/>
  <c r="I61" i="46" s="1"/>
  <c r="F268" i="61"/>
  <c r="E245" i="63"/>
  <c r="E253" i="58"/>
  <c r="D9" i="59" s="1"/>
  <c r="H42" i="46" s="1"/>
  <c r="F269" i="58"/>
  <c r="L260" i="58"/>
  <c r="E29" i="59" s="1"/>
  <c r="F29" i="59" s="1"/>
  <c r="G29" i="59" s="1"/>
  <c r="H29" i="59" s="1"/>
  <c r="C53" i="46" s="1"/>
  <c r="F272" i="58"/>
  <c r="E253" i="61"/>
  <c r="D9" i="62" s="1"/>
  <c r="H61" i="46" s="1"/>
  <c r="F269" i="61"/>
  <c r="E249" i="58"/>
  <c r="F271" i="58"/>
  <c r="E255" i="58"/>
  <c r="D11" i="59" s="1"/>
  <c r="J42" i="46" s="1"/>
  <c r="F270" i="58"/>
  <c r="O18" i="33"/>
  <c r="N19" i="33"/>
  <c r="J75" i="46" l="1"/>
  <c r="I75" i="46"/>
  <c r="H75" i="46"/>
  <c r="G75" i="46"/>
  <c r="D75" i="46"/>
  <c r="E75" i="46"/>
  <c r="J72" i="46"/>
  <c r="I72" i="46"/>
  <c r="H72" i="46"/>
  <c r="G72" i="46"/>
  <c r="D72" i="46"/>
  <c r="E72" i="46"/>
  <c r="J56" i="46"/>
  <c r="I56" i="46"/>
  <c r="H56" i="46"/>
  <c r="G56" i="46"/>
  <c r="D56" i="46"/>
  <c r="E56" i="46"/>
  <c r="J53" i="46"/>
  <c r="I53" i="46"/>
  <c r="H53" i="46"/>
  <c r="G53" i="46"/>
  <c r="D53" i="46"/>
  <c r="E53" i="46"/>
  <c r="D9" i="58"/>
  <c r="E199" i="58" s="1"/>
  <c r="J232" i="58" s="1"/>
  <c r="J251" i="58" s="1"/>
  <c r="F273" i="57"/>
  <c r="D9" i="61"/>
  <c r="E203" i="61" s="1"/>
  <c r="J236" i="61" s="1"/>
  <c r="J255" i="61" s="1"/>
  <c r="E10" i="59"/>
  <c r="U5" i="59"/>
  <c r="V5" i="59"/>
  <c r="E11" i="59"/>
  <c r="C39" i="62"/>
  <c r="V7" i="62" s="1"/>
  <c r="F272" i="64"/>
  <c r="L260" i="64"/>
  <c r="E29" i="65" s="1"/>
  <c r="F29" i="65" s="1"/>
  <c r="G29" i="65" s="1"/>
  <c r="H29" i="65" s="1"/>
  <c r="C91" i="46" s="1"/>
  <c r="C38" i="59"/>
  <c r="E254" i="64"/>
  <c r="D10" i="65" s="1"/>
  <c r="I80" i="46" s="1"/>
  <c r="F268" i="64"/>
  <c r="F270" i="64"/>
  <c r="E255" i="64"/>
  <c r="D11" i="65" s="1"/>
  <c r="J80" i="46" s="1"/>
  <c r="F273" i="63"/>
  <c r="T5" i="59"/>
  <c r="E9" i="59"/>
  <c r="F249" i="58"/>
  <c r="D5" i="59"/>
  <c r="F42" i="46" s="1"/>
  <c r="F274" i="61"/>
  <c r="D6" i="61"/>
  <c r="D5" i="62"/>
  <c r="F61" i="46" s="1"/>
  <c r="F249" i="61"/>
  <c r="L261" i="64"/>
  <c r="E30" i="65" s="1"/>
  <c r="F30" i="65" s="1"/>
  <c r="G30" i="65" s="1"/>
  <c r="H30" i="65" s="1"/>
  <c r="C94" i="46" s="1"/>
  <c r="F273" i="64"/>
  <c r="E253" i="64"/>
  <c r="D9" i="65" s="1"/>
  <c r="H80" i="46" s="1"/>
  <c r="F269" i="64"/>
  <c r="T5" i="62"/>
  <c r="E9" i="62"/>
  <c r="V5" i="62"/>
  <c r="E11" i="62"/>
  <c r="C38" i="62"/>
  <c r="V6" i="62" s="1"/>
  <c r="E249" i="64"/>
  <c r="F271" i="64"/>
  <c r="E10" i="62"/>
  <c r="U5" i="62"/>
  <c r="C39" i="59"/>
  <c r="F274" i="58"/>
  <c r="D6" i="58"/>
  <c r="P18" i="33"/>
  <c r="O19" i="33"/>
  <c r="J94" i="46" l="1"/>
  <c r="I94" i="46"/>
  <c r="H94" i="46"/>
  <c r="G94" i="46"/>
  <c r="D94" i="46"/>
  <c r="E94" i="46"/>
  <c r="J91" i="46"/>
  <c r="I91" i="46"/>
  <c r="H91" i="46"/>
  <c r="G91" i="46"/>
  <c r="D91" i="46"/>
  <c r="E91" i="46"/>
  <c r="E203" i="58"/>
  <c r="J236" i="58" s="1"/>
  <c r="J255" i="58" s="1"/>
  <c r="D11" i="58"/>
  <c r="E205" i="58"/>
  <c r="J238" i="58" s="1"/>
  <c r="J257" i="58" s="1"/>
  <c r="E194" i="58"/>
  <c r="J227" i="58" s="1"/>
  <c r="J246" i="58" s="1"/>
  <c r="E208" i="58"/>
  <c r="J241" i="58" s="1"/>
  <c r="E204" i="58"/>
  <c r="J237" i="58" s="1"/>
  <c r="J256" i="58" s="1"/>
  <c r="E206" i="58"/>
  <c r="J239" i="58" s="1"/>
  <c r="J258" i="58" s="1"/>
  <c r="E197" i="58"/>
  <c r="J230" i="58" s="1"/>
  <c r="J249" i="58" s="1"/>
  <c r="E200" i="58"/>
  <c r="J233" i="58" s="1"/>
  <c r="J252" i="58" s="1"/>
  <c r="E201" i="58"/>
  <c r="J234" i="58" s="1"/>
  <c r="J253" i="58" s="1"/>
  <c r="E195" i="58"/>
  <c r="J228" i="58" s="1"/>
  <c r="J247" i="58" s="1"/>
  <c r="E202" i="58"/>
  <c r="J235" i="58" s="1"/>
  <c r="J254" i="58" s="1"/>
  <c r="E207" i="58"/>
  <c r="J240" i="58" s="1"/>
  <c r="E198" i="58"/>
  <c r="J231" i="58" s="1"/>
  <c r="J250" i="58" s="1"/>
  <c r="E196" i="58"/>
  <c r="J229" i="58" s="1"/>
  <c r="J248" i="58" s="1"/>
  <c r="E209" i="58"/>
  <c r="J242" i="58" s="1"/>
  <c r="F11" i="58"/>
  <c r="K256" i="58" s="1"/>
  <c r="E194" i="61"/>
  <c r="J227" i="61" s="1"/>
  <c r="J246" i="61" s="1"/>
  <c r="E202" i="61"/>
  <c r="J235" i="61" s="1"/>
  <c r="J254" i="61" s="1"/>
  <c r="E195" i="61"/>
  <c r="J228" i="61" s="1"/>
  <c r="J247" i="61" s="1"/>
  <c r="E200" i="61"/>
  <c r="J233" i="61" s="1"/>
  <c r="J252" i="61" s="1"/>
  <c r="E205" i="61"/>
  <c r="J238" i="61" s="1"/>
  <c r="J257" i="61" s="1"/>
  <c r="E201" i="61"/>
  <c r="J234" i="61" s="1"/>
  <c r="J253" i="61" s="1"/>
  <c r="U7" i="62"/>
  <c r="D11" i="61"/>
  <c r="F11" i="61"/>
  <c r="K254" i="61" s="1"/>
  <c r="E197" i="61"/>
  <c r="J230" i="61" s="1"/>
  <c r="J249" i="61" s="1"/>
  <c r="E198" i="61"/>
  <c r="J231" i="61" s="1"/>
  <c r="J250" i="61" s="1"/>
  <c r="U6" i="62"/>
  <c r="E204" i="61"/>
  <c r="J237" i="61" s="1"/>
  <c r="J256" i="61" s="1"/>
  <c r="E206" i="61"/>
  <c r="J239" i="61" s="1"/>
  <c r="J258" i="61" s="1"/>
  <c r="E209" i="61"/>
  <c r="J242" i="61" s="1"/>
  <c r="E199" i="61"/>
  <c r="J232" i="61" s="1"/>
  <c r="J251" i="61" s="1"/>
  <c r="E196" i="61"/>
  <c r="J229" i="61" s="1"/>
  <c r="J248" i="61" s="1"/>
  <c r="E207" i="61"/>
  <c r="J240" i="61" s="1"/>
  <c r="E208" i="61"/>
  <c r="J241" i="61" s="1"/>
  <c r="D9" i="64"/>
  <c r="E199" i="64" s="1"/>
  <c r="J232" i="64" s="1"/>
  <c r="J251" i="64" s="1"/>
  <c r="D5" i="65"/>
  <c r="F80" i="46" s="1"/>
  <c r="F249" i="64"/>
  <c r="E5" i="59"/>
  <c r="P5" i="59"/>
  <c r="P7" i="59"/>
  <c r="P6" i="59"/>
  <c r="V5" i="65"/>
  <c r="E11" i="65"/>
  <c r="T6" i="59"/>
  <c r="R6" i="59"/>
  <c r="Q6" i="59"/>
  <c r="U7" i="59"/>
  <c r="Q7" i="59"/>
  <c r="R7" i="59"/>
  <c r="C39" i="65"/>
  <c r="U7" i="65" s="1"/>
  <c r="T7" i="62"/>
  <c r="R7" i="62"/>
  <c r="Q7" i="62"/>
  <c r="V7" i="59"/>
  <c r="U6" i="59"/>
  <c r="T6" i="62"/>
  <c r="Q6" i="62"/>
  <c r="R6" i="62"/>
  <c r="F274" i="64"/>
  <c r="D6" i="64"/>
  <c r="V6" i="59"/>
  <c r="T5" i="65"/>
  <c r="E9" i="65"/>
  <c r="B199" i="58"/>
  <c r="C232" i="58" s="1"/>
  <c r="B201" i="58"/>
  <c r="C234" i="58" s="1"/>
  <c r="B196" i="58"/>
  <c r="C229" i="58" s="1"/>
  <c r="C248" i="58" s="1"/>
  <c r="D8" i="58"/>
  <c r="B195" i="58"/>
  <c r="C228" i="58" s="1"/>
  <c r="C247" i="58" s="1"/>
  <c r="B198" i="58"/>
  <c r="C231" i="58" s="1"/>
  <c r="B200" i="58"/>
  <c r="C233" i="58" s="1"/>
  <c r="C252" i="58" s="1"/>
  <c r="B202" i="58"/>
  <c r="C235" i="58" s="1"/>
  <c r="B203" i="58"/>
  <c r="C236" i="58" s="1"/>
  <c r="B197" i="58"/>
  <c r="C230" i="58" s="1"/>
  <c r="F8" i="58"/>
  <c r="D5" i="58"/>
  <c r="B194" i="58"/>
  <c r="I73" i="46"/>
  <c r="I76" i="46"/>
  <c r="H73" i="46"/>
  <c r="H76" i="46"/>
  <c r="P7" i="62"/>
  <c r="P6" i="62"/>
  <c r="P5" i="62"/>
  <c r="E5" i="62"/>
  <c r="T7" i="59"/>
  <c r="E10" i="65"/>
  <c r="U5" i="65"/>
  <c r="J73" i="46"/>
  <c r="J76" i="46"/>
  <c r="F8" i="61"/>
  <c r="B198" i="61"/>
  <c r="C231" i="61" s="1"/>
  <c r="D5" i="61"/>
  <c r="B199" i="61"/>
  <c r="C232" i="61" s="1"/>
  <c r="D8" i="61"/>
  <c r="B203" i="61"/>
  <c r="C236" i="61" s="1"/>
  <c r="B201" i="61"/>
  <c r="C234" i="61" s="1"/>
  <c r="B197" i="61"/>
  <c r="C230" i="61" s="1"/>
  <c r="B195" i="61"/>
  <c r="C228" i="61" s="1"/>
  <c r="C247" i="61" s="1"/>
  <c r="B196" i="61"/>
  <c r="C229" i="61" s="1"/>
  <c r="C248" i="61" s="1"/>
  <c r="B200" i="61"/>
  <c r="C233" i="61" s="1"/>
  <c r="C252" i="61" s="1"/>
  <c r="B194" i="61"/>
  <c r="B202" i="61"/>
  <c r="C235" i="61" s="1"/>
  <c r="C38" i="65"/>
  <c r="T6" i="65" s="1"/>
  <c r="P19" i="33"/>
  <c r="Q18" i="33"/>
  <c r="K246" i="58" l="1"/>
  <c r="L246" i="58" s="1"/>
  <c r="M246" i="58" s="1"/>
  <c r="K248" i="58"/>
  <c r="L248" i="58" s="1"/>
  <c r="E17" i="59" s="1"/>
  <c r="F17" i="59" s="1"/>
  <c r="K255" i="58"/>
  <c r="L255" i="58" s="1"/>
  <c r="E24" i="59" s="1"/>
  <c r="F24" i="59" s="1"/>
  <c r="L256" i="58"/>
  <c r="M256" i="58" s="1"/>
  <c r="K251" i="58"/>
  <c r="L251" i="58" s="1"/>
  <c r="E20" i="59" s="1"/>
  <c r="F20" i="59" s="1"/>
  <c r="K250" i="58"/>
  <c r="L250" i="58" s="1"/>
  <c r="M250" i="58" s="1"/>
  <c r="E210" i="58"/>
  <c r="K247" i="58"/>
  <c r="L247" i="58" s="1"/>
  <c r="M247" i="58" s="1"/>
  <c r="K257" i="58"/>
  <c r="L257" i="58" s="1"/>
  <c r="E26" i="59" s="1"/>
  <c r="F26" i="59" s="1"/>
  <c r="K249" i="58"/>
  <c r="L249" i="58" s="1"/>
  <c r="M249" i="58" s="1"/>
  <c r="K254" i="58"/>
  <c r="L254" i="58" s="1"/>
  <c r="E23" i="59" s="1"/>
  <c r="F23" i="59" s="1"/>
  <c r="K253" i="58"/>
  <c r="L253" i="58" s="1"/>
  <c r="M253" i="58" s="1"/>
  <c r="K252" i="58"/>
  <c r="L252" i="58" s="1"/>
  <c r="E21" i="59" s="1"/>
  <c r="F21" i="59" s="1"/>
  <c r="K258" i="58"/>
  <c r="L258" i="58" s="1"/>
  <c r="E27" i="59" s="1"/>
  <c r="F27" i="59" s="1"/>
  <c r="K248" i="61"/>
  <c r="L248" i="61" s="1"/>
  <c r="M248" i="61" s="1"/>
  <c r="L254" i="61"/>
  <c r="E23" i="62" s="1"/>
  <c r="F23" i="62" s="1"/>
  <c r="K257" i="61"/>
  <c r="L257" i="61" s="1"/>
  <c r="E26" i="62" s="1"/>
  <c r="F26" i="62" s="1"/>
  <c r="K253" i="61"/>
  <c r="L253" i="61" s="1"/>
  <c r="E22" i="62" s="1"/>
  <c r="F22" i="62" s="1"/>
  <c r="K251" i="61"/>
  <c r="L251" i="61" s="1"/>
  <c r="E20" i="62" s="1"/>
  <c r="F20" i="62" s="1"/>
  <c r="K249" i="61"/>
  <c r="L249" i="61" s="1"/>
  <c r="E18" i="62" s="1"/>
  <c r="F18" i="62" s="1"/>
  <c r="K256" i="61"/>
  <c r="L256" i="61" s="1"/>
  <c r="E25" i="62" s="1"/>
  <c r="F25" i="62" s="1"/>
  <c r="K250" i="61"/>
  <c r="L250" i="61" s="1"/>
  <c r="M250" i="61" s="1"/>
  <c r="K247" i="61"/>
  <c r="L247" i="61" s="1"/>
  <c r="E16" i="62" s="1"/>
  <c r="F16" i="62" s="1"/>
  <c r="K258" i="61"/>
  <c r="L258" i="61" s="1"/>
  <c r="K255" i="61"/>
  <c r="L255" i="61" s="1"/>
  <c r="E24" i="62" s="1"/>
  <c r="F24" i="62" s="1"/>
  <c r="E203" i="64"/>
  <c r="J236" i="64" s="1"/>
  <c r="J255" i="64" s="1"/>
  <c r="F11" i="64"/>
  <c r="K254" i="64" s="1"/>
  <c r="K246" i="61"/>
  <c r="L246" i="61" s="1"/>
  <c r="K252" i="61"/>
  <c r="L252" i="61" s="1"/>
  <c r="E21" i="62" s="1"/>
  <c r="F21" i="62" s="1"/>
  <c r="E196" i="64"/>
  <c r="J229" i="64" s="1"/>
  <c r="J248" i="64" s="1"/>
  <c r="E205" i="64"/>
  <c r="J238" i="64" s="1"/>
  <c r="J257" i="64" s="1"/>
  <c r="E202" i="64"/>
  <c r="J235" i="64" s="1"/>
  <c r="J254" i="64" s="1"/>
  <c r="E209" i="64"/>
  <c r="J242" i="64" s="1"/>
  <c r="E201" i="64"/>
  <c r="J234" i="64" s="1"/>
  <c r="J253" i="64" s="1"/>
  <c r="E195" i="64"/>
  <c r="J228" i="64" s="1"/>
  <c r="J247" i="64" s="1"/>
  <c r="E197" i="64"/>
  <c r="J230" i="64" s="1"/>
  <c r="J249" i="64" s="1"/>
  <c r="E210" i="61"/>
  <c r="E200" i="64"/>
  <c r="J233" i="64" s="1"/>
  <c r="J252" i="64" s="1"/>
  <c r="E194" i="64"/>
  <c r="J227" i="64" s="1"/>
  <c r="J246" i="64" s="1"/>
  <c r="D11" i="64"/>
  <c r="E206" i="64"/>
  <c r="J239" i="64" s="1"/>
  <c r="J258" i="64" s="1"/>
  <c r="E207" i="64"/>
  <c r="J240" i="64" s="1"/>
  <c r="E208" i="64"/>
  <c r="J241" i="64" s="1"/>
  <c r="H92" i="46"/>
  <c r="E204" i="64"/>
  <c r="J237" i="64" s="1"/>
  <c r="J256" i="64" s="1"/>
  <c r="E198" i="64"/>
  <c r="J231" i="64" s="1"/>
  <c r="J250" i="64" s="1"/>
  <c r="H95" i="46"/>
  <c r="J92" i="46"/>
  <c r="D8" i="64"/>
  <c r="B203" i="64"/>
  <c r="C236" i="64" s="1"/>
  <c r="D5" i="64"/>
  <c r="B194" i="64"/>
  <c r="B200" i="64"/>
  <c r="C233" i="64" s="1"/>
  <c r="C252" i="64" s="1"/>
  <c r="B199" i="64"/>
  <c r="C232" i="64" s="1"/>
  <c r="B195" i="64"/>
  <c r="C228" i="64" s="1"/>
  <c r="C247" i="64" s="1"/>
  <c r="B198" i="64"/>
  <c r="C231" i="64" s="1"/>
  <c r="B197" i="64"/>
  <c r="C230" i="64" s="1"/>
  <c r="B196" i="64"/>
  <c r="C229" i="64" s="1"/>
  <c r="C248" i="64" s="1"/>
  <c r="F8" i="64"/>
  <c r="B202" i="64"/>
  <c r="C235" i="64" s="1"/>
  <c r="B201" i="64"/>
  <c r="C234" i="64" s="1"/>
  <c r="T7" i="65"/>
  <c r="Q7" i="65"/>
  <c r="R7" i="65"/>
  <c r="J95" i="46"/>
  <c r="P7" i="65"/>
  <c r="P6" i="65"/>
  <c r="P5" i="65"/>
  <c r="E5" i="65"/>
  <c r="V7" i="65"/>
  <c r="C227" i="61"/>
  <c r="C246" i="61" s="1"/>
  <c r="B204" i="61"/>
  <c r="I92" i="46"/>
  <c r="D248" i="61"/>
  <c r="E248" i="61" s="1"/>
  <c r="D247" i="61"/>
  <c r="E247" i="61" s="1"/>
  <c r="D246" i="61"/>
  <c r="D252" i="61"/>
  <c r="E252" i="61" s="1"/>
  <c r="D249" i="61"/>
  <c r="C227" i="58"/>
  <c r="C246" i="58" s="1"/>
  <c r="B204" i="58"/>
  <c r="I95" i="46"/>
  <c r="U6" i="65"/>
  <c r="R6" i="65"/>
  <c r="Q6" i="65"/>
  <c r="D248" i="58"/>
  <c r="E248" i="58" s="1"/>
  <c r="D252" i="58"/>
  <c r="E252" i="58" s="1"/>
  <c r="D247" i="58"/>
  <c r="E247" i="58" s="1"/>
  <c r="D249" i="58"/>
  <c r="D246" i="58"/>
  <c r="V6" i="65"/>
  <c r="Q19" i="33"/>
  <c r="R18" i="33"/>
  <c r="M255" i="58" l="1"/>
  <c r="M248" i="58"/>
  <c r="E18" i="59"/>
  <c r="F18" i="59" s="1"/>
  <c r="M257" i="61"/>
  <c r="M257" i="58"/>
  <c r="M252" i="58"/>
  <c r="M251" i="58"/>
  <c r="E19" i="59"/>
  <c r="F19" i="59" s="1"/>
  <c r="E17" i="62"/>
  <c r="F17" i="62" s="1"/>
  <c r="E25" i="59"/>
  <c r="F25" i="59" s="1"/>
  <c r="G27" i="59" s="1"/>
  <c r="H27" i="59" s="1"/>
  <c r="C47" i="46" s="1"/>
  <c r="M258" i="58"/>
  <c r="E16" i="59"/>
  <c r="F16" i="59" s="1"/>
  <c r="E15" i="59"/>
  <c r="F15" i="59" s="1"/>
  <c r="M254" i="58"/>
  <c r="E22" i="59"/>
  <c r="F22" i="59" s="1"/>
  <c r="K255" i="64"/>
  <c r="L255" i="64" s="1"/>
  <c r="M255" i="64" s="1"/>
  <c r="M249" i="61"/>
  <c r="M254" i="61"/>
  <c r="M251" i="61"/>
  <c r="M253" i="61"/>
  <c r="K250" i="64"/>
  <c r="L250" i="64" s="1"/>
  <c r="M250" i="64" s="1"/>
  <c r="K258" i="64"/>
  <c r="L258" i="64" s="1"/>
  <c r="K256" i="64"/>
  <c r="L256" i="64" s="1"/>
  <c r="M256" i="64" s="1"/>
  <c r="K252" i="64"/>
  <c r="L252" i="64" s="1"/>
  <c r="M252" i="64" s="1"/>
  <c r="K249" i="64"/>
  <c r="L249" i="64" s="1"/>
  <c r="E18" i="65" s="1"/>
  <c r="F18" i="65" s="1"/>
  <c r="M256" i="61"/>
  <c r="K247" i="64"/>
  <c r="L247" i="64" s="1"/>
  <c r="M247" i="64" s="1"/>
  <c r="M247" i="61"/>
  <c r="K248" i="64"/>
  <c r="L248" i="64" s="1"/>
  <c r="E17" i="65" s="1"/>
  <c r="F17" i="65" s="1"/>
  <c r="M252" i="61"/>
  <c r="M258" i="61"/>
  <c r="E27" i="62"/>
  <c r="F27" i="62" s="1"/>
  <c r="G27" i="62" s="1"/>
  <c r="H27" i="62" s="1"/>
  <c r="K253" i="64"/>
  <c r="L253" i="64" s="1"/>
  <c r="E22" i="65" s="1"/>
  <c r="F22" i="65" s="1"/>
  <c r="K257" i="64"/>
  <c r="L257" i="64" s="1"/>
  <c r="K251" i="64"/>
  <c r="L251" i="64" s="1"/>
  <c r="E20" i="65" s="1"/>
  <c r="F20" i="65" s="1"/>
  <c r="M255" i="61"/>
  <c r="K246" i="64"/>
  <c r="L246" i="64" s="1"/>
  <c r="E19" i="62"/>
  <c r="F19" i="62" s="1"/>
  <c r="G23" i="62" s="1"/>
  <c r="H23" i="62" s="1"/>
  <c r="C69" i="46" s="1"/>
  <c r="L254" i="64"/>
  <c r="E23" i="65" s="1"/>
  <c r="F23" i="65" s="1"/>
  <c r="E210" i="64"/>
  <c r="E246" i="58"/>
  <c r="D2" i="59" s="1"/>
  <c r="C42" i="46" s="1"/>
  <c r="D4" i="59"/>
  <c r="E42" i="46" s="1"/>
  <c r="F248" i="58"/>
  <c r="D8" i="62"/>
  <c r="G61" i="46" s="1"/>
  <c r="F252" i="61"/>
  <c r="D248" i="64"/>
  <c r="E248" i="64" s="1"/>
  <c r="D247" i="64"/>
  <c r="E247" i="64" s="1"/>
  <c r="D252" i="64"/>
  <c r="E252" i="64" s="1"/>
  <c r="D246" i="64"/>
  <c r="D249" i="64"/>
  <c r="E246" i="61"/>
  <c r="F247" i="58"/>
  <c r="D3" i="59"/>
  <c r="D42" i="46" s="1"/>
  <c r="D8" i="59"/>
  <c r="G42" i="46" s="1"/>
  <c r="F252" i="58"/>
  <c r="E15" i="62"/>
  <c r="F15" i="62" s="1"/>
  <c r="M246" i="61"/>
  <c r="F247" i="61"/>
  <c r="D3" i="62"/>
  <c r="D61" i="46" s="1"/>
  <c r="D4" i="62"/>
  <c r="E61" i="46" s="1"/>
  <c r="F248" i="61"/>
  <c r="B204" i="64"/>
  <c r="C227" i="64"/>
  <c r="C246" i="64" s="1"/>
  <c r="R19" i="33"/>
  <c r="S18" i="33"/>
  <c r="J69" i="46" l="1"/>
  <c r="J70" i="46" s="1"/>
  <c r="I69" i="46"/>
  <c r="I70" i="46" s="1"/>
  <c r="H69" i="46"/>
  <c r="H70" i="46" s="1"/>
  <c r="G69" i="46"/>
  <c r="D69" i="46"/>
  <c r="E69" i="46"/>
  <c r="C66" i="46"/>
  <c r="G47" i="46"/>
  <c r="H47" i="46"/>
  <c r="I47" i="46"/>
  <c r="J47" i="46"/>
  <c r="D47" i="46"/>
  <c r="E47" i="46"/>
  <c r="M260" i="58"/>
  <c r="G18" i="59"/>
  <c r="G23" i="59"/>
  <c r="H23" i="59" s="1"/>
  <c r="F31" i="59"/>
  <c r="E24" i="65"/>
  <c r="F24" i="65" s="1"/>
  <c r="M254" i="64"/>
  <c r="M248" i="64"/>
  <c r="M253" i="64"/>
  <c r="M258" i="64"/>
  <c r="E27" i="65"/>
  <c r="F27" i="65" s="1"/>
  <c r="M249" i="64"/>
  <c r="M251" i="64"/>
  <c r="E19" i="65"/>
  <c r="F19" i="65" s="1"/>
  <c r="E15" i="65"/>
  <c r="F15" i="65" s="1"/>
  <c r="M246" i="64"/>
  <c r="M257" i="64"/>
  <c r="E26" i="65"/>
  <c r="F26" i="65" s="1"/>
  <c r="M260" i="61"/>
  <c r="E21" i="65"/>
  <c r="F21" i="65" s="1"/>
  <c r="E246" i="64"/>
  <c r="F246" i="64" s="1"/>
  <c r="E25" i="65"/>
  <c r="F25" i="65" s="1"/>
  <c r="E16" i="65"/>
  <c r="F16" i="65" s="1"/>
  <c r="F246" i="58"/>
  <c r="F254" i="58" s="1"/>
  <c r="C35" i="62"/>
  <c r="S3" i="62" s="1"/>
  <c r="C36" i="62"/>
  <c r="P4" i="62" s="1"/>
  <c r="E8" i="59"/>
  <c r="S5" i="59"/>
  <c r="S6" i="59"/>
  <c r="S7" i="59"/>
  <c r="C36" i="59"/>
  <c r="N4" i="59" s="1"/>
  <c r="G18" i="62"/>
  <c r="F31" i="62"/>
  <c r="F246" i="61"/>
  <c r="F254" i="61" s="1"/>
  <c r="D2" i="62"/>
  <c r="C61" i="46" s="1"/>
  <c r="F247" i="64"/>
  <c r="D3" i="65"/>
  <c r="D80" i="46" s="1"/>
  <c r="S7" i="62"/>
  <c r="S5" i="62"/>
  <c r="S6" i="62"/>
  <c r="E8" i="62"/>
  <c r="O6" i="62"/>
  <c r="E4" i="62"/>
  <c r="O5" i="62"/>
  <c r="O7" i="62"/>
  <c r="F252" i="64"/>
  <c r="D8" i="65"/>
  <c r="G80" i="46" s="1"/>
  <c r="N5" i="59"/>
  <c r="E3" i="59"/>
  <c r="N7" i="59"/>
  <c r="N6" i="59"/>
  <c r="D4" i="65"/>
  <c r="E80" i="46" s="1"/>
  <c r="F248" i="64"/>
  <c r="E3" i="62"/>
  <c r="N7" i="62"/>
  <c r="N6" i="62"/>
  <c r="N5" i="62"/>
  <c r="E2" i="59"/>
  <c r="M6" i="59"/>
  <c r="M7" i="59"/>
  <c r="M5" i="59"/>
  <c r="O5" i="59"/>
  <c r="O6" i="59"/>
  <c r="E4" i="59"/>
  <c r="O7" i="59"/>
  <c r="T18" i="33"/>
  <c r="S19" i="33"/>
  <c r="J66" i="46" l="1"/>
  <c r="J67" i="46" s="1"/>
  <c r="I66" i="46"/>
  <c r="I67" i="46" s="1"/>
  <c r="H66" i="46"/>
  <c r="H67" i="46" s="1"/>
  <c r="G66" i="46"/>
  <c r="G67" i="46" s="1"/>
  <c r="D66" i="46"/>
  <c r="D67" i="46" s="1"/>
  <c r="E66" i="46"/>
  <c r="E67" i="46" s="1"/>
  <c r="C50" i="46"/>
  <c r="F276" i="58"/>
  <c r="F277" i="58" s="1"/>
  <c r="C35" i="59"/>
  <c r="O3" i="59" s="1"/>
  <c r="G31" i="59"/>
  <c r="H18" i="59"/>
  <c r="G27" i="65"/>
  <c r="H27" i="65" s="1"/>
  <c r="M260" i="64"/>
  <c r="G23" i="65"/>
  <c r="H23" i="65" s="1"/>
  <c r="C88" i="46" s="1"/>
  <c r="F31" i="65"/>
  <c r="T4" i="62"/>
  <c r="G18" i="65"/>
  <c r="H18" i="65" s="1"/>
  <c r="C82" i="46" s="1"/>
  <c r="F276" i="61"/>
  <c r="F277" i="61" s="1"/>
  <c r="D2" i="65"/>
  <c r="C80" i="46" s="1"/>
  <c r="M4" i="59"/>
  <c r="O4" i="59"/>
  <c r="O3" i="62"/>
  <c r="R3" i="62"/>
  <c r="U4" i="62"/>
  <c r="Q3" i="62"/>
  <c r="R4" i="62"/>
  <c r="N3" i="62"/>
  <c r="P3" i="62"/>
  <c r="Q4" i="62"/>
  <c r="V3" i="62"/>
  <c r="T3" i="62"/>
  <c r="O4" i="62"/>
  <c r="S4" i="62"/>
  <c r="U3" i="62"/>
  <c r="V4" i="62"/>
  <c r="N4" i="62"/>
  <c r="E12" i="59"/>
  <c r="D76" i="46"/>
  <c r="D73" i="46"/>
  <c r="D70" i="46"/>
  <c r="G76" i="46"/>
  <c r="G73" i="46"/>
  <c r="G70" i="46"/>
  <c r="N7" i="65"/>
  <c r="N6" i="65"/>
  <c r="N5" i="65"/>
  <c r="E3" i="65"/>
  <c r="M5" i="62"/>
  <c r="M4" i="62"/>
  <c r="M3" i="62"/>
  <c r="M7" i="62"/>
  <c r="E2" i="62"/>
  <c r="E12" i="62" s="1"/>
  <c r="M6" i="62"/>
  <c r="S4" i="59"/>
  <c r="R4" i="59"/>
  <c r="Q4" i="59"/>
  <c r="T4" i="59"/>
  <c r="U4" i="59"/>
  <c r="V4" i="59"/>
  <c r="P4" i="59"/>
  <c r="E76" i="46"/>
  <c r="E73" i="46"/>
  <c r="E70" i="46"/>
  <c r="E4" i="65"/>
  <c r="O7" i="65"/>
  <c r="O6" i="65"/>
  <c r="O5" i="65"/>
  <c r="S7" i="65"/>
  <c r="S6" i="65"/>
  <c r="S5" i="65"/>
  <c r="E8" i="65"/>
  <c r="H18" i="62"/>
  <c r="C63" i="46" s="1"/>
  <c r="G31" i="62"/>
  <c r="F254" i="64"/>
  <c r="U18" i="33"/>
  <c r="T19" i="33"/>
  <c r="J88" i="46" l="1"/>
  <c r="J89" i="46" s="1"/>
  <c r="I88" i="46"/>
  <c r="I89" i="46" s="1"/>
  <c r="H88" i="46"/>
  <c r="H89" i="46" s="1"/>
  <c r="G88" i="46"/>
  <c r="G89" i="46" s="1"/>
  <c r="D88" i="46"/>
  <c r="D89" i="46" s="1"/>
  <c r="E88" i="46"/>
  <c r="E89" i="46" s="1"/>
  <c r="C36" i="65"/>
  <c r="Q4" i="65" s="1"/>
  <c r="C85" i="46"/>
  <c r="C86" i="46" s="1"/>
  <c r="D82" i="46"/>
  <c r="D83" i="46" s="1"/>
  <c r="J82" i="46"/>
  <c r="J83" i="46" s="1"/>
  <c r="I82" i="46"/>
  <c r="H82" i="46"/>
  <c r="H83" i="46" s="1"/>
  <c r="G82" i="46"/>
  <c r="G83" i="46" s="1"/>
  <c r="F82" i="46"/>
  <c r="F83" i="46" s="1"/>
  <c r="E82" i="46"/>
  <c r="E83" i="46" s="1"/>
  <c r="D63" i="46"/>
  <c r="D64" i="46" s="1"/>
  <c r="E63" i="46"/>
  <c r="E64" i="46" s="1"/>
  <c r="F63" i="46"/>
  <c r="F64" i="46" s="1"/>
  <c r="G63" i="46"/>
  <c r="G64" i="46" s="1"/>
  <c r="J63" i="46"/>
  <c r="J64" i="46" s="1"/>
  <c r="H63" i="46"/>
  <c r="H64" i="46" s="1"/>
  <c r="I63" i="46"/>
  <c r="I64" i="46" s="1"/>
  <c r="G50" i="46"/>
  <c r="H50" i="46"/>
  <c r="I50" i="46"/>
  <c r="J50" i="46"/>
  <c r="D50" i="46"/>
  <c r="E50" i="46"/>
  <c r="C44" i="46"/>
  <c r="P3" i="59"/>
  <c r="V3" i="59"/>
  <c r="Q3" i="59"/>
  <c r="T3" i="59"/>
  <c r="N3" i="59"/>
  <c r="S3" i="59"/>
  <c r="M3" i="59"/>
  <c r="R3" i="59"/>
  <c r="U3" i="59"/>
  <c r="C34" i="59"/>
  <c r="O2" i="59" s="1"/>
  <c r="F276" i="64"/>
  <c r="F277" i="64" s="1"/>
  <c r="C35" i="65"/>
  <c r="P3" i="65" s="1"/>
  <c r="M5" i="65"/>
  <c r="M6" i="65"/>
  <c r="M7" i="65"/>
  <c r="G31" i="65"/>
  <c r="E2" i="65"/>
  <c r="E12" i="65" s="1"/>
  <c r="G95" i="46"/>
  <c r="G92" i="46"/>
  <c r="E92" i="46"/>
  <c r="E95" i="46"/>
  <c r="C34" i="65"/>
  <c r="C83" i="46"/>
  <c r="I83" i="46"/>
  <c r="D95" i="46"/>
  <c r="D92" i="46"/>
  <c r="C76" i="46"/>
  <c r="C73" i="46"/>
  <c r="C67" i="46"/>
  <c r="C70" i="46"/>
  <c r="C64" i="46"/>
  <c r="C34" i="62"/>
  <c r="C95" i="46"/>
  <c r="C89" i="46"/>
  <c r="C92" i="46"/>
  <c r="V18" i="33"/>
  <c r="U19" i="33"/>
  <c r="P4" i="65" l="1"/>
  <c r="V4" i="65"/>
  <c r="R4" i="65"/>
  <c r="S4" i="65"/>
  <c r="O4" i="65"/>
  <c r="T4" i="65"/>
  <c r="U4" i="65"/>
  <c r="N4" i="65"/>
  <c r="M4" i="65"/>
  <c r="J85" i="46"/>
  <c r="J86" i="46" s="1"/>
  <c r="I85" i="46"/>
  <c r="I86" i="46" s="1"/>
  <c r="H85" i="46"/>
  <c r="H86" i="46" s="1"/>
  <c r="G85" i="46"/>
  <c r="G86" i="46" s="1"/>
  <c r="D85" i="46"/>
  <c r="D86" i="46" s="1"/>
  <c r="E85" i="46"/>
  <c r="E86" i="46" s="1"/>
  <c r="D44" i="46"/>
  <c r="E44" i="46"/>
  <c r="F44" i="46"/>
  <c r="G44" i="46"/>
  <c r="H44" i="46"/>
  <c r="I44" i="46"/>
  <c r="J44" i="46"/>
  <c r="N2" i="59"/>
  <c r="R2" i="59"/>
  <c r="V2" i="59"/>
  <c r="Q2" i="59"/>
  <c r="U2" i="59"/>
  <c r="T2" i="59"/>
  <c r="S2" i="59"/>
  <c r="P2" i="59"/>
  <c r="M2" i="59"/>
  <c r="V3" i="65"/>
  <c r="R3" i="65"/>
  <c r="Q3" i="65"/>
  <c r="T3" i="65"/>
  <c r="S3" i="65"/>
  <c r="N3" i="65"/>
  <c r="M3" i="65"/>
  <c r="U3" i="65"/>
  <c r="O3" i="65"/>
  <c r="M2" i="65"/>
  <c r="Q2" i="65"/>
  <c r="R2" i="65"/>
  <c r="U2" i="65"/>
  <c r="T2" i="65"/>
  <c r="V2" i="65"/>
  <c r="P2" i="65"/>
  <c r="S2" i="65"/>
  <c r="O2" i="65"/>
  <c r="N2" i="65"/>
  <c r="M2" i="62"/>
  <c r="R2" i="62"/>
  <c r="Q2" i="62"/>
  <c r="V2" i="62"/>
  <c r="U2" i="62"/>
  <c r="T2" i="62"/>
  <c r="P2" i="62"/>
  <c r="S2" i="62"/>
  <c r="N2" i="62"/>
  <c r="O2" i="62"/>
  <c r="W18" i="33"/>
  <c r="V19" i="33"/>
  <c r="X18" i="33" l="1"/>
  <c r="W19" i="33"/>
  <c r="X19" i="33" l="1"/>
  <c r="Y18" i="33"/>
  <c r="Y19" i="33" l="1"/>
  <c r="Z18" i="33"/>
  <c r="Z19" i="33" l="1"/>
  <c r="AA18" i="33"/>
  <c r="AA19" i="33" l="1"/>
  <c r="AB18" i="33"/>
  <c r="AC18" i="33" l="1"/>
  <c r="AB19" i="33"/>
  <c r="AD18" i="33" l="1"/>
  <c r="AC19" i="33"/>
  <c r="AE18" i="33" l="1"/>
  <c r="AD19" i="33"/>
  <c r="AF18" i="33" l="1"/>
  <c r="AF19" i="33" s="1"/>
  <c r="AE19" i="33"/>
  <c r="P50" i="22" l="1"/>
  <c r="C178" i="22"/>
  <c r="D178" i="22"/>
  <c r="O178" i="22" s="1"/>
  <c r="E178" i="22"/>
  <c r="F178" i="22"/>
  <c r="P178" i="22" s="1"/>
  <c r="S178" i="22"/>
  <c r="T178" i="22"/>
  <c r="T247" i="22"/>
  <c r="S247" i="22"/>
  <c r="F247" i="22"/>
  <c r="P246" i="22" s="1"/>
  <c r="E247" i="22"/>
  <c r="D247" i="22"/>
  <c r="C247" i="22"/>
  <c r="T246" i="22"/>
  <c r="S246" i="22"/>
  <c r="F246" i="22"/>
  <c r="E246" i="22"/>
  <c r="D246" i="22"/>
  <c r="O246" i="22" s="1"/>
  <c r="C246" i="22"/>
  <c r="T245" i="22"/>
  <c r="S245" i="22"/>
  <c r="F245" i="22"/>
  <c r="P245" i="22" s="1"/>
  <c r="E245" i="22"/>
  <c r="D245" i="22"/>
  <c r="O245" i="22" s="1"/>
  <c r="C245" i="22"/>
  <c r="T244" i="22"/>
  <c r="S244" i="22"/>
  <c r="G244" i="22"/>
  <c r="Q244" i="22" s="1"/>
  <c r="F244" i="22"/>
  <c r="P244" i="22" s="1"/>
  <c r="E244" i="22"/>
  <c r="D244" i="22"/>
  <c r="O244" i="22" s="1"/>
  <c r="C244" i="22"/>
  <c r="T243" i="22"/>
  <c r="S243" i="22"/>
  <c r="F243" i="22"/>
  <c r="P243" i="22" s="1"/>
  <c r="E243" i="22"/>
  <c r="D243" i="22"/>
  <c r="O243" i="22" s="1"/>
  <c r="C243" i="22"/>
  <c r="T242" i="22"/>
  <c r="S242" i="22"/>
  <c r="F242" i="22"/>
  <c r="P237" i="22" s="1"/>
  <c r="E242" i="22"/>
  <c r="D242" i="22"/>
  <c r="C242" i="22"/>
  <c r="T241" i="22"/>
  <c r="S241" i="22"/>
  <c r="F241" i="22"/>
  <c r="E241" i="22"/>
  <c r="D241" i="22"/>
  <c r="C241" i="22"/>
  <c r="T240" i="22"/>
  <c r="S240" i="22"/>
  <c r="F240" i="22"/>
  <c r="E240" i="22"/>
  <c r="D240" i="22"/>
  <c r="C240" i="22"/>
  <c r="T239" i="22"/>
  <c r="S239" i="22"/>
  <c r="F239" i="22"/>
  <c r="E239" i="22"/>
  <c r="D239" i="22"/>
  <c r="C239" i="22"/>
  <c r="T238" i="22"/>
  <c r="S238" i="22"/>
  <c r="F238" i="22"/>
  <c r="E238" i="22"/>
  <c r="D238" i="22"/>
  <c r="C238" i="22"/>
  <c r="T237" i="22"/>
  <c r="S237" i="22"/>
  <c r="F237" i="22"/>
  <c r="E237" i="22"/>
  <c r="D237" i="22"/>
  <c r="O237" i="22" s="1"/>
  <c r="C237" i="22"/>
  <c r="T236" i="22"/>
  <c r="S236" i="22"/>
  <c r="F236" i="22"/>
  <c r="P236" i="22" s="1"/>
  <c r="E236" i="22"/>
  <c r="D236" i="22"/>
  <c r="O236" i="22" s="1"/>
  <c r="C236" i="22"/>
  <c r="T235" i="22"/>
  <c r="S235" i="22"/>
  <c r="G235" i="22"/>
  <c r="Q235" i="22" s="1"/>
  <c r="F235" i="22"/>
  <c r="P235" i="22" s="1"/>
  <c r="E235" i="22"/>
  <c r="D235" i="22"/>
  <c r="O235" i="22" s="1"/>
  <c r="C235" i="22"/>
  <c r="T234" i="22"/>
  <c r="S234" i="22"/>
  <c r="F234" i="22"/>
  <c r="P234" i="22" s="1"/>
  <c r="E234" i="22"/>
  <c r="D234" i="22"/>
  <c r="O234" i="22" s="1"/>
  <c r="C234" i="22"/>
  <c r="T232" i="22"/>
  <c r="S232" i="22"/>
  <c r="G232" i="22"/>
  <c r="F232" i="22"/>
  <c r="E232" i="22"/>
  <c r="D232" i="22"/>
  <c r="O229" i="22" s="1"/>
  <c r="C232" i="22"/>
  <c r="T231" i="22"/>
  <c r="S231" i="22"/>
  <c r="G231" i="22"/>
  <c r="F231" i="22"/>
  <c r="E231" i="22"/>
  <c r="D231" i="22"/>
  <c r="C231" i="22"/>
  <c r="T230" i="22"/>
  <c r="S230" i="22"/>
  <c r="F230" i="22"/>
  <c r="E230" i="22"/>
  <c r="D230" i="22"/>
  <c r="C230" i="22"/>
  <c r="T229" i="22"/>
  <c r="S229" i="22"/>
  <c r="F229" i="22"/>
  <c r="P229" i="22" s="1"/>
  <c r="E229" i="22"/>
  <c r="D229" i="22"/>
  <c r="C229" i="22"/>
  <c r="T228" i="22"/>
  <c r="S228" i="22"/>
  <c r="F228" i="22"/>
  <c r="E228" i="22"/>
  <c r="D228" i="22"/>
  <c r="O225" i="22" s="1"/>
  <c r="C228" i="22"/>
  <c r="T227" i="22"/>
  <c r="S227" i="22"/>
  <c r="F227" i="22"/>
  <c r="E227" i="22"/>
  <c r="D227" i="22"/>
  <c r="C227" i="22"/>
  <c r="T226" i="22"/>
  <c r="S226" i="22"/>
  <c r="F226" i="22"/>
  <c r="E226" i="22"/>
  <c r="D226" i="22"/>
  <c r="C226" i="22"/>
  <c r="T225" i="22"/>
  <c r="S225" i="22"/>
  <c r="F225" i="22"/>
  <c r="P225" i="22" s="1"/>
  <c r="E225" i="22"/>
  <c r="D225" i="22"/>
  <c r="C225" i="22"/>
  <c r="T224" i="22"/>
  <c r="S224" i="22"/>
  <c r="F224" i="22"/>
  <c r="E224" i="22"/>
  <c r="D224" i="22"/>
  <c r="O221" i="22" s="1"/>
  <c r="C224" i="22"/>
  <c r="T223" i="22"/>
  <c r="S223" i="22"/>
  <c r="F223" i="22"/>
  <c r="E223" i="22"/>
  <c r="D223" i="22"/>
  <c r="C223" i="22"/>
  <c r="T222" i="22"/>
  <c r="S222" i="22"/>
  <c r="F222" i="22"/>
  <c r="E222" i="22"/>
  <c r="D222" i="22"/>
  <c r="C222" i="22"/>
  <c r="T221" i="22"/>
  <c r="S221" i="22"/>
  <c r="F221" i="22"/>
  <c r="P221" i="22" s="1"/>
  <c r="E221" i="22"/>
  <c r="D221" i="22"/>
  <c r="C221" i="22"/>
  <c r="T220" i="22"/>
  <c r="S220" i="22"/>
  <c r="G220" i="22"/>
  <c r="Q220" i="22" s="1"/>
  <c r="F220" i="22"/>
  <c r="P220" i="22" s="1"/>
  <c r="E220" i="22"/>
  <c r="D220" i="22"/>
  <c r="O220" i="22" s="1"/>
  <c r="C220" i="22"/>
  <c r="T219" i="22"/>
  <c r="S219" i="22"/>
  <c r="F219" i="22"/>
  <c r="E219" i="22"/>
  <c r="D219" i="22"/>
  <c r="O218" i="22" s="1"/>
  <c r="C219" i="22"/>
  <c r="T218" i="22"/>
  <c r="S218" i="22"/>
  <c r="F218" i="22"/>
  <c r="P218" i="22" s="1"/>
  <c r="E218" i="22"/>
  <c r="D218" i="22"/>
  <c r="C218" i="22"/>
  <c r="T217" i="22"/>
  <c r="S217" i="22"/>
  <c r="F217" i="22"/>
  <c r="P217" i="22" s="1"/>
  <c r="E217" i="22"/>
  <c r="D217" i="22"/>
  <c r="O217" i="22" s="1"/>
  <c r="C217" i="22"/>
  <c r="T215" i="22"/>
  <c r="S215" i="22"/>
  <c r="G215" i="22"/>
  <c r="Q215" i="22" s="1"/>
  <c r="F215" i="22"/>
  <c r="P215" i="22" s="1"/>
  <c r="E215" i="22"/>
  <c r="D215" i="22"/>
  <c r="O215" i="22" s="1"/>
  <c r="C215" i="22"/>
  <c r="T214" i="22"/>
  <c r="S214" i="22"/>
  <c r="G214" i="22"/>
  <c r="Q214" i="22" s="1"/>
  <c r="F214" i="22"/>
  <c r="P214" i="22" s="1"/>
  <c r="E214" i="22"/>
  <c r="D214" i="22"/>
  <c r="O214" i="22" s="1"/>
  <c r="C214" i="22"/>
  <c r="T213" i="22"/>
  <c r="S213" i="22"/>
  <c r="G213" i="22"/>
  <c r="Q213" i="22" s="1"/>
  <c r="F213" i="22"/>
  <c r="P213" i="22" s="1"/>
  <c r="E213" i="22"/>
  <c r="D213" i="22"/>
  <c r="O213" i="22" s="1"/>
  <c r="C213" i="22"/>
  <c r="T212" i="22"/>
  <c r="S212" i="22"/>
  <c r="G212" i="22"/>
  <c r="Q212" i="22" s="1"/>
  <c r="F212" i="22"/>
  <c r="P212" i="22" s="1"/>
  <c r="E212" i="22"/>
  <c r="D212" i="22"/>
  <c r="O212" i="22" s="1"/>
  <c r="C212" i="22"/>
  <c r="T210" i="22"/>
  <c r="S210" i="22"/>
  <c r="G210" i="22"/>
  <c r="Q210" i="22" s="1"/>
  <c r="F210" i="22"/>
  <c r="P210" i="22" s="1"/>
  <c r="E210" i="22"/>
  <c r="D210" i="22"/>
  <c r="O210" i="22" s="1"/>
  <c r="C210" i="22"/>
  <c r="T209" i="22"/>
  <c r="S209" i="22"/>
  <c r="F209" i="22"/>
  <c r="P208" i="22" s="1"/>
  <c r="E209" i="22"/>
  <c r="D209" i="22"/>
  <c r="C209" i="22"/>
  <c r="T207" i="22"/>
  <c r="S207" i="22"/>
  <c r="F207" i="22"/>
  <c r="P207" i="22" s="1"/>
  <c r="E207" i="22"/>
  <c r="D207" i="22"/>
  <c r="O207" i="22" s="1"/>
  <c r="C207" i="22"/>
  <c r="T202" i="22"/>
  <c r="S202" i="22"/>
  <c r="G202" i="22"/>
  <c r="F202" i="22"/>
  <c r="E202" i="22"/>
  <c r="D202" i="22"/>
  <c r="O201" i="22" s="1"/>
  <c r="C202" i="22"/>
  <c r="T201" i="22"/>
  <c r="S201" i="22"/>
  <c r="F201" i="22"/>
  <c r="P201" i="22" s="1"/>
  <c r="E201" i="22"/>
  <c r="D201" i="22"/>
  <c r="C201" i="22"/>
  <c r="T200" i="22"/>
  <c r="S200" i="22"/>
  <c r="F200" i="22"/>
  <c r="E200" i="22"/>
  <c r="D200" i="22"/>
  <c r="O199" i="22" s="1"/>
  <c r="C200" i="22"/>
  <c r="T199" i="22"/>
  <c r="S199" i="22"/>
  <c r="F199" i="22"/>
  <c r="P199" i="22" s="1"/>
  <c r="E199" i="22"/>
  <c r="D199" i="22"/>
  <c r="C199" i="22"/>
  <c r="T196" i="22"/>
  <c r="S196" i="22"/>
  <c r="F196" i="22"/>
  <c r="P195" i="22" s="1"/>
  <c r="E196" i="22"/>
  <c r="D196" i="22"/>
  <c r="C196" i="22"/>
  <c r="T195" i="22"/>
  <c r="S195" i="22"/>
  <c r="F195" i="22"/>
  <c r="E195" i="22"/>
  <c r="D195" i="22"/>
  <c r="O195" i="22" s="1"/>
  <c r="C195" i="22"/>
  <c r="T188" i="22"/>
  <c r="S188" i="22"/>
  <c r="F188" i="22"/>
  <c r="P187" i="22" s="1"/>
  <c r="E188" i="22"/>
  <c r="D188" i="22"/>
  <c r="C188" i="22"/>
  <c r="T187" i="22"/>
  <c r="S187" i="22"/>
  <c r="G187" i="22"/>
  <c r="F187" i="22"/>
  <c r="E187" i="22"/>
  <c r="D187" i="22"/>
  <c r="O187" i="22" s="1"/>
  <c r="C187" i="22"/>
  <c r="T208" i="22"/>
  <c r="S208" i="22"/>
  <c r="F208" i="22"/>
  <c r="E208" i="22"/>
  <c r="D208" i="22"/>
  <c r="O208" i="22" s="1"/>
  <c r="C208" i="22"/>
  <c r="T206" i="22"/>
  <c r="S206" i="22"/>
  <c r="G206" i="22"/>
  <c r="F206" i="22"/>
  <c r="P205" i="22" s="1"/>
  <c r="E206" i="22"/>
  <c r="D206" i="22"/>
  <c r="C206" i="22"/>
  <c r="T205" i="22"/>
  <c r="S205" i="22"/>
  <c r="F205" i="22"/>
  <c r="E205" i="22"/>
  <c r="D205" i="22"/>
  <c r="O205" i="22" s="1"/>
  <c r="C205" i="22"/>
  <c r="T204" i="22"/>
  <c r="S204" i="22"/>
  <c r="F204" i="22"/>
  <c r="P203" i="22" s="1"/>
  <c r="E204" i="22"/>
  <c r="D204" i="22"/>
  <c r="C204" i="22"/>
  <c r="T203" i="22"/>
  <c r="S203" i="22"/>
  <c r="F203" i="22"/>
  <c r="E203" i="22"/>
  <c r="D203" i="22"/>
  <c r="O203" i="22" s="1"/>
  <c r="C203" i="22"/>
  <c r="T198" i="22"/>
  <c r="S198" i="22"/>
  <c r="F198" i="22"/>
  <c r="P198" i="22" s="1"/>
  <c r="E198" i="22"/>
  <c r="D198" i="22"/>
  <c r="O198" i="22" s="1"/>
  <c r="C198" i="22"/>
  <c r="T197" i="22"/>
  <c r="S197" i="22"/>
  <c r="F197" i="22"/>
  <c r="P197" i="22" s="1"/>
  <c r="E197" i="22"/>
  <c r="D197" i="22"/>
  <c r="O197" i="22" s="1"/>
  <c r="C197" i="22"/>
  <c r="T194" i="22"/>
  <c r="S194" i="22"/>
  <c r="F194" i="22"/>
  <c r="P192" i="22" s="1"/>
  <c r="E194" i="22"/>
  <c r="D194" i="22"/>
  <c r="C194" i="22"/>
  <c r="T193" i="22"/>
  <c r="S193" i="22"/>
  <c r="F193" i="22"/>
  <c r="E193" i="22"/>
  <c r="D193" i="22"/>
  <c r="C193" i="22"/>
  <c r="T192" i="22"/>
  <c r="S192" i="22"/>
  <c r="F192" i="22"/>
  <c r="E192" i="22"/>
  <c r="D192" i="22"/>
  <c r="O192" i="22" s="1"/>
  <c r="C192" i="22"/>
  <c r="T191" i="22"/>
  <c r="S191" i="22"/>
  <c r="F191" i="22"/>
  <c r="P189" i="22" s="1"/>
  <c r="E191" i="22"/>
  <c r="D191" i="22"/>
  <c r="C191" i="22"/>
  <c r="T190" i="22"/>
  <c r="S190" i="22"/>
  <c r="F190" i="22"/>
  <c r="E190" i="22"/>
  <c r="D190" i="22"/>
  <c r="C190" i="22"/>
  <c r="T189" i="22"/>
  <c r="S189" i="22"/>
  <c r="F189" i="22"/>
  <c r="E189" i="22"/>
  <c r="D189" i="22"/>
  <c r="O189" i="22" s="1"/>
  <c r="C189" i="22"/>
  <c r="T184" i="22"/>
  <c r="S184" i="22"/>
  <c r="F184" i="22"/>
  <c r="P184" i="22" s="1"/>
  <c r="E184" i="22"/>
  <c r="D184" i="22"/>
  <c r="O184" i="22" s="1"/>
  <c r="C184" i="22"/>
  <c r="T183" i="22"/>
  <c r="S183" i="22"/>
  <c r="G183" i="22"/>
  <c r="F183" i="22"/>
  <c r="P182" i="22" s="1"/>
  <c r="E183" i="22"/>
  <c r="D183" i="22"/>
  <c r="C183" i="22"/>
  <c r="T182" i="22"/>
  <c r="S182" i="22"/>
  <c r="G182" i="22"/>
  <c r="F182" i="22"/>
  <c r="E182" i="22"/>
  <c r="D182" i="22"/>
  <c r="O182" i="22" s="1"/>
  <c r="C182" i="22"/>
  <c r="T181" i="22"/>
  <c r="S181" i="22"/>
  <c r="G181" i="22"/>
  <c r="Q181" i="22" s="1"/>
  <c r="F181" i="22"/>
  <c r="P181" i="22" s="1"/>
  <c r="E181" i="22"/>
  <c r="D181" i="22"/>
  <c r="O181" i="22" s="1"/>
  <c r="C181" i="22"/>
  <c r="T180" i="22"/>
  <c r="S180" i="22"/>
  <c r="G180" i="22"/>
  <c r="Q180" i="22" s="1"/>
  <c r="F180" i="22"/>
  <c r="P180" i="22" s="1"/>
  <c r="E180" i="22"/>
  <c r="D180" i="22"/>
  <c r="O180" i="22" s="1"/>
  <c r="C180" i="22"/>
  <c r="T179" i="22"/>
  <c r="S179" i="22"/>
  <c r="F179" i="22"/>
  <c r="P179" i="22" s="1"/>
  <c r="E179" i="22"/>
  <c r="D179" i="22"/>
  <c r="O179" i="22" s="1"/>
  <c r="C179" i="22"/>
  <c r="T185" i="22"/>
  <c r="S185" i="22"/>
  <c r="G185" i="22"/>
  <c r="Q185" i="22" s="1"/>
  <c r="D185" i="22"/>
  <c r="O185" i="22" s="1"/>
  <c r="C185" i="22"/>
  <c r="F185" i="22"/>
  <c r="P185" i="22" s="1"/>
  <c r="E185" i="22"/>
  <c r="T177" i="22"/>
  <c r="S177" i="22"/>
  <c r="G177" i="22"/>
  <c r="F177" i="22"/>
  <c r="P173" i="22" s="1"/>
  <c r="E177" i="22"/>
  <c r="D177" i="22"/>
  <c r="O172" i="22" s="1"/>
  <c r="C177" i="22"/>
  <c r="T176" i="22"/>
  <c r="S176" i="22"/>
  <c r="G176" i="22"/>
  <c r="F176" i="22"/>
  <c r="E176" i="22"/>
  <c r="D176" i="22"/>
  <c r="C176" i="22"/>
  <c r="T175" i="22"/>
  <c r="S175" i="22"/>
  <c r="G175" i="22"/>
  <c r="F175" i="22"/>
  <c r="E175" i="22"/>
  <c r="D175" i="22"/>
  <c r="C175" i="22"/>
  <c r="T174" i="22"/>
  <c r="S174" i="22"/>
  <c r="G174" i="22"/>
  <c r="F174" i="22"/>
  <c r="E174" i="22"/>
  <c r="D174" i="22"/>
  <c r="C174" i="22"/>
  <c r="T173" i="22"/>
  <c r="S173" i="22"/>
  <c r="G173" i="22"/>
  <c r="F173" i="22"/>
  <c r="E173" i="22"/>
  <c r="D173" i="22"/>
  <c r="O173" i="22" s="1"/>
  <c r="C173" i="22"/>
  <c r="T172" i="22"/>
  <c r="S172" i="22"/>
  <c r="G172" i="22"/>
  <c r="Q172" i="22" s="1"/>
  <c r="F172" i="22"/>
  <c r="P172" i="22" s="1"/>
  <c r="E172" i="22"/>
  <c r="D172" i="22"/>
  <c r="C172" i="22"/>
  <c r="T171" i="22"/>
  <c r="S171" i="22"/>
  <c r="G171" i="22"/>
  <c r="Q170" i="22" s="1"/>
  <c r="F171" i="22"/>
  <c r="P170" i="22" s="1"/>
  <c r="E171" i="22"/>
  <c r="D171" i="22"/>
  <c r="C171" i="22"/>
  <c r="T170" i="22"/>
  <c r="S170" i="22"/>
  <c r="F170" i="22"/>
  <c r="E170" i="22"/>
  <c r="D170" i="22"/>
  <c r="O170" i="22" s="1"/>
  <c r="C170" i="22"/>
  <c r="T169" i="22"/>
  <c r="S169" i="22"/>
  <c r="G169" i="22"/>
  <c r="Q169" i="22" s="1"/>
  <c r="F169" i="22"/>
  <c r="P169" i="22" s="1"/>
  <c r="E169" i="22"/>
  <c r="D169" i="22"/>
  <c r="O169" i="22" s="1"/>
  <c r="C169" i="22"/>
  <c r="T168" i="22"/>
  <c r="S168" i="22"/>
  <c r="F168" i="22"/>
  <c r="P168" i="22" s="1"/>
  <c r="E168" i="22"/>
  <c r="D168" i="22"/>
  <c r="O168" i="22" s="1"/>
  <c r="C168" i="22"/>
  <c r="T167" i="22"/>
  <c r="S167" i="22"/>
  <c r="G167" i="22"/>
  <c r="F167" i="22"/>
  <c r="P166" i="22" s="1"/>
  <c r="E167" i="22"/>
  <c r="D167" i="22"/>
  <c r="C167" i="22"/>
  <c r="T166" i="22"/>
  <c r="S166" i="22"/>
  <c r="G166" i="22"/>
  <c r="F166" i="22"/>
  <c r="E166" i="22"/>
  <c r="D166" i="22"/>
  <c r="O166" i="22" s="1"/>
  <c r="C166" i="22"/>
  <c r="T165" i="22"/>
  <c r="S165" i="22"/>
  <c r="F165" i="22"/>
  <c r="O165" i="22" s="1"/>
  <c r="E165" i="22"/>
  <c r="D165" i="22"/>
  <c r="P165" i="22" s="1"/>
  <c r="C165" i="22"/>
  <c r="T164" i="22"/>
  <c r="S164" i="22"/>
  <c r="F164" i="22"/>
  <c r="P164" i="22" s="1"/>
  <c r="E164" i="22"/>
  <c r="D164" i="22"/>
  <c r="O164" i="22" s="1"/>
  <c r="C164" i="22"/>
  <c r="T156" i="22"/>
  <c r="S156" i="22"/>
  <c r="F156" i="22"/>
  <c r="P156" i="22" s="1"/>
  <c r="E156" i="22"/>
  <c r="D156" i="22"/>
  <c r="O156" i="22" s="1"/>
  <c r="C156" i="22"/>
  <c r="T157" i="22"/>
  <c r="S157" i="22"/>
  <c r="F157" i="22"/>
  <c r="E157" i="22"/>
  <c r="D157" i="22"/>
  <c r="O157" i="22" s="1"/>
  <c r="C157" i="22"/>
  <c r="T158" i="22"/>
  <c r="S158" i="22"/>
  <c r="F158" i="22"/>
  <c r="E158" i="22"/>
  <c r="D158" i="22"/>
  <c r="C158" i="22"/>
  <c r="T159" i="22"/>
  <c r="S159" i="22"/>
  <c r="F159" i="22"/>
  <c r="E159" i="22"/>
  <c r="D159" i="22"/>
  <c r="C159" i="22"/>
  <c r="T160" i="22"/>
  <c r="S160" i="22"/>
  <c r="F160" i="22"/>
  <c r="P157" i="22" s="1"/>
  <c r="E160" i="22"/>
  <c r="D160" i="22"/>
  <c r="C160" i="22"/>
  <c r="T161" i="22"/>
  <c r="S161" i="22"/>
  <c r="F161" i="22"/>
  <c r="P161" i="22" s="1"/>
  <c r="E161" i="22"/>
  <c r="D161" i="22"/>
  <c r="O161" i="22" s="1"/>
  <c r="C161" i="22"/>
  <c r="T162" i="22"/>
  <c r="S162" i="22"/>
  <c r="F162" i="22"/>
  <c r="P162" i="22" s="1"/>
  <c r="E162" i="22"/>
  <c r="D162" i="22"/>
  <c r="O162" i="22" s="1"/>
  <c r="C162" i="22"/>
  <c r="T155" i="22"/>
  <c r="S155" i="22"/>
  <c r="F155" i="22"/>
  <c r="E155" i="22"/>
  <c r="D155" i="22"/>
  <c r="O153" i="22" s="1"/>
  <c r="C155" i="22"/>
  <c r="T154" i="22"/>
  <c r="S154" i="22"/>
  <c r="F154" i="22"/>
  <c r="E154" i="22"/>
  <c r="D154" i="22"/>
  <c r="C154" i="22"/>
  <c r="T153" i="22"/>
  <c r="S153" i="22"/>
  <c r="F153" i="22"/>
  <c r="P153" i="22" s="1"/>
  <c r="E153" i="22"/>
  <c r="D153" i="22"/>
  <c r="C153" i="22"/>
  <c r="T152" i="22"/>
  <c r="S152" i="22"/>
  <c r="F152" i="22"/>
  <c r="P152" i="22" s="1"/>
  <c r="E152" i="22"/>
  <c r="D152" i="22"/>
  <c r="O152" i="22" s="1"/>
  <c r="C152" i="22"/>
  <c r="T151" i="22"/>
  <c r="S151" i="22"/>
  <c r="G151" i="22"/>
  <c r="F151" i="22"/>
  <c r="E151" i="22"/>
  <c r="D151" i="22"/>
  <c r="O150" i="22" s="1"/>
  <c r="C151" i="22"/>
  <c r="T150" i="22"/>
  <c r="S150" i="22"/>
  <c r="F150" i="22"/>
  <c r="P150" i="22" s="1"/>
  <c r="E150" i="22"/>
  <c r="D150" i="22"/>
  <c r="C150" i="22"/>
  <c r="T148" i="22"/>
  <c r="S148" i="22"/>
  <c r="F148" i="22"/>
  <c r="E148" i="22"/>
  <c r="D148" i="22"/>
  <c r="O146" i="22" s="1"/>
  <c r="C148" i="22"/>
  <c r="T147" i="22"/>
  <c r="S147" i="22"/>
  <c r="F147" i="22"/>
  <c r="E147" i="22"/>
  <c r="D147" i="22"/>
  <c r="C147" i="22"/>
  <c r="T146" i="22"/>
  <c r="S146" i="22"/>
  <c r="F146" i="22"/>
  <c r="P146" i="22" s="1"/>
  <c r="E146" i="22"/>
  <c r="D146" i="22"/>
  <c r="C146" i="22"/>
  <c r="T144" i="22"/>
  <c r="S144" i="22"/>
  <c r="F144" i="22"/>
  <c r="P144" i="22" s="1"/>
  <c r="E144" i="22"/>
  <c r="D144" i="22"/>
  <c r="O144" i="22" s="1"/>
  <c r="C144" i="22"/>
  <c r="T143" i="22"/>
  <c r="S143" i="22"/>
  <c r="G143" i="22"/>
  <c r="Q143" i="22" s="1"/>
  <c r="F143" i="22"/>
  <c r="P143" i="22" s="1"/>
  <c r="E143" i="22"/>
  <c r="D143" i="22"/>
  <c r="O143" i="22" s="1"/>
  <c r="C143" i="22"/>
  <c r="T142" i="22"/>
  <c r="S142" i="22"/>
  <c r="F142" i="22"/>
  <c r="P142" i="22" s="1"/>
  <c r="E142" i="22"/>
  <c r="D142" i="22"/>
  <c r="O142" i="22" s="1"/>
  <c r="C142" i="22"/>
  <c r="T141" i="22"/>
  <c r="S141" i="22"/>
  <c r="F141" i="22"/>
  <c r="P141" i="22" s="1"/>
  <c r="E141" i="22"/>
  <c r="D141" i="22"/>
  <c r="O141" i="22" s="1"/>
  <c r="C141" i="22"/>
  <c r="T140" i="22"/>
  <c r="S140" i="22"/>
  <c r="F140" i="22"/>
  <c r="P140" i="22" s="1"/>
  <c r="E140" i="22"/>
  <c r="D140" i="22"/>
  <c r="O140" i="22" s="1"/>
  <c r="C140" i="22"/>
  <c r="T139" i="22"/>
  <c r="S139" i="22"/>
  <c r="F139" i="22"/>
  <c r="P139" i="22" s="1"/>
  <c r="E139" i="22"/>
  <c r="D139" i="22"/>
  <c r="O139" i="22" s="1"/>
  <c r="C139" i="22"/>
  <c r="T138" i="22"/>
  <c r="S138" i="22"/>
  <c r="F138" i="22"/>
  <c r="P138" i="22" s="1"/>
  <c r="E138" i="22"/>
  <c r="D138" i="22"/>
  <c r="O138" i="22" s="1"/>
  <c r="C138" i="22"/>
  <c r="T136" i="22"/>
  <c r="S136" i="22"/>
  <c r="G136" i="22"/>
  <c r="F136" i="22"/>
  <c r="P135" i="22" s="1"/>
  <c r="E136" i="22"/>
  <c r="D136" i="22"/>
  <c r="C136" i="22"/>
  <c r="T135" i="22"/>
  <c r="S135" i="22"/>
  <c r="F135" i="22"/>
  <c r="E135" i="22"/>
  <c r="D135" i="22"/>
  <c r="O135" i="22" s="1"/>
  <c r="C135" i="22"/>
  <c r="T134" i="22"/>
  <c r="S134" i="22"/>
  <c r="F134" i="22"/>
  <c r="P134" i="22" s="1"/>
  <c r="E134" i="22"/>
  <c r="D134" i="22"/>
  <c r="O134" i="22" s="1"/>
  <c r="C134" i="22"/>
  <c r="T133" i="22"/>
  <c r="S133" i="22"/>
  <c r="F133" i="22"/>
  <c r="P133" i="22" s="1"/>
  <c r="E133" i="22"/>
  <c r="D133" i="22"/>
  <c r="O133" i="22" s="1"/>
  <c r="C133" i="22"/>
  <c r="T132" i="22"/>
  <c r="S132" i="22"/>
  <c r="F132" i="22"/>
  <c r="P132" i="22" s="1"/>
  <c r="E132" i="22"/>
  <c r="D132" i="22"/>
  <c r="O132" i="22" s="1"/>
  <c r="C132" i="22"/>
  <c r="T131" i="22"/>
  <c r="S131" i="22"/>
  <c r="F131" i="22"/>
  <c r="P131" i="22" s="1"/>
  <c r="E131" i="22"/>
  <c r="D131" i="22"/>
  <c r="O131" i="22" s="1"/>
  <c r="C131" i="22"/>
  <c r="T129" i="22"/>
  <c r="S129" i="22"/>
  <c r="G129" i="22"/>
  <c r="Q129" i="22" s="1"/>
  <c r="F129" i="22"/>
  <c r="P129" i="22" s="1"/>
  <c r="E129" i="22"/>
  <c r="D129" i="22"/>
  <c r="O129" i="22" s="1"/>
  <c r="C129" i="22"/>
  <c r="T128" i="22"/>
  <c r="S128" i="22"/>
  <c r="F128" i="22"/>
  <c r="P128" i="22" s="1"/>
  <c r="E128" i="22"/>
  <c r="D128" i="22"/>
  <c r="O128" i="22" s="1"/>
  <c r="C128" i="22"/>
  <c r="T126" i="22"/>
  <c r="S126" i="22"/>
  <c r="F126" i="22"/>
  <c r="P126" i="22" s="1"/>
  <c r="E126" i="22"/>
  <c r="D126" i="22"/>
  <c r="O126" i="22" s="1"/>
  <c r="C126" i="22"/>
  <c r="T125" i="22"/>
  <c r="S125" i="22"/>
  <c r="G125" i="22"/>
  <c r="Q125" i="22" s="1"/>
  <c r="F125" i="22"/>
  <c r="P125" i="22" s="1"/>
  <c r="E125" i="22"/>
  <c r="D125" i="22"/>
  <c r="O125" i="22" s="1"/>
  <c r="C125" i="22"/>
  <c r="T124" i="22"/>
  <c r="S124" i="22"/>
  <c r="F124" i="22"/>
  <c r="P124" i="22" s="1"/>
  <c r="E124" i="22"/>
  <c r="D124" i="22"/>
  <c r="O124" i="22" s="1"/>
  <c r="C124" i="22"/>
  <c r="T122" i="22"/>
  <c r="S122" i="22"/>
  <c r="G122" i="22"/>
  <c r="Q122" i="22" s="1"/>
  <c r="F122" i="22"/>
  <c r="P122" i="22" s="1"/>
  <c r="E122" i="22"/>
  <c r="D122" i="22"/>
  <c r="O122" i="22" s="1"/>
  <c r="C122" i="22"/>
  <c r="T121" i="22"/>
  <c r="S121" i="22"/>
  <c r="G121" i="22"/>
  <c r="Q121" i="22" s="1"/>
  <c r="F121" i="22"/>
  <c r="P121" i="22" s="1"/>
  <c r="E121" i="22"/>
  <c r="D121" i="22"/>
  <c r="O121" i="22" s="1"/>
  <c r="C121" i="22"/>
  <c r="T120" i="22"/>
  <c r="S120" i="22"/>
  <c r="G120" i="22"/>
  <c r="F120" i="22"/>
  <c r="P119" i="22" s="1"/>
  <c r="E120" i="22"/>
  <c r="D120" i="22"/>
  <c r="C120" i="22"/>
  <c r="T119" i="22"/>
  <c r="S119" i="22"/>
  <c r="G119" i="22"/>
  <c r="F119" i="22"/>
  <c r="E119" i="22"/>
  <c r="D119" i="22"/>
  <c r="O119" i="22" s="1"/>
  <c r="C119" i="22"/>
  <c r="T116" i="22"/>
  <c r="S116" i="22"/>
  <c r="G116" i="22"/>
  <c r="Q116" i="22" s="1"/>
  <c r="F116" i="22"/>
  <c r="P116" i="22" s="1"/>
  <c r="E116" i="22"/>
  <c r="D116" i="22"/>
  <c r="O116" i="22" s="1"/>
  <c r="C116" i="22"/>
  <c r="T115" i="22"/>
  <c r="S115" i="22"/>
  <c r="F115" i="22"/>
  <c r="P115" i="22" s="1"/>
  <c r="E115" i="22"/>
  <c r="D115" i="22"/>
  <c r="O115" i="22" s="1"/>
  <c r="C115" i="22"/>
  <c r="T114" i="22"/>
  <c r="S114" i="22"/>
  <c r="F114" i="22"/>
  <c r="E114" i="22"/>
  <c r="D114" i="22"/>
  <c r="O113" i="22" s="1"/>
  <c r="C114" i="22"/>
  <c r="T113" i="22"/>
  <c r="S113" i="22"/>
  <c r="F113" i="22"/>
  <c r="P113" i="22" s="1"/>
  <c r="E113" i="22"/>
  <c r="D113" i="22"/>
  <c r="C113" i="22"/>
  <c r="T112" i="22"/>
  <c r="S112" i="22"/>
  <c r="G112" i="22"/>
  <c r="Q112" i="22" s="1"/>
  <c r="F112" i="22"/>
  <c r="P112" i="22" s="1"/>
  <c r="E112" i="22"/>
  <c r="D112" i="22"/>
  <c r="O112" i="22" s="1"/>
  <c r="C112" i="22"/>
  <c r="T117" i="22"/>
  <c r="S117" i="22"/>
  <c r="F117" i="22"/>
  <c r="P117" i="22" s="1"/>
  <c r="E117" i="22"/>
  <c r="D117" i="22"/>
  <c r="O117" i="22" s="1"/>
  <c r="C117" i="22"/>
  <c r="T110" i="22"/>
  <c r="S110" i="22"/>
  <c r="F110" i="22"/>
  <c r="P110" i="22" s="1"/>
  <c r="E110" i="22"/>
  <c r="D110" i="22"/>
  <c r="O110" i="22" s="1"/>
  <c r="C110" i="22"/>
  <c r="T109" i="22"/>
  <c r="S109" i="22"/>
  <c r="F109" i="22"/>
  <c r="P109" i="22" s="1"/>
  <c r="E109" i="22"/>
  <c r="D109" i="22"/>
  <c r="O109" i="22" s="1"/>
  <c r="C109" i="22"/>
  <c r="T108" i="22"/>
  <c r="S108" i="22"/>
  <c r="F108" i="22"/>
  <c r="P108" i="22" s="1"/>
  <c r="E108" i="22"/>
  <c r="D108" i="22"/>
  <c r="O108" i="22" s="1"/>
  <c r="C108" i="22"/>
  <c r="T107" i="22"/>
  <c r="S107" i="22"/>
  <c r="F107" i="22"/>
  <c r="P107" i="22" s="1"/>
  <c r="E107" i="22"/>
  <c r="D107" i="22"/>
  <c r="O107" i="22" s="1"/>
  <c r="C107" i="22"/>
  <c r="T106" i="22"/>
  <c r="S106" i="22"/>
  <c r="F106" i="22"/>
  <c r="E106" i="22"/>
  <c r="D106" i="22"/>
  <c r="O105" i="22" s="1"/>
  <c r="C106" i="22"/>
  <c r="T105" i="22"/>
  <c r="S105" i="22"/>
  <c r="F105" i="22"/>
  <c r="E105" i="22"/>
  <c r="D105" i="22"/>
  <c r="C105" i="22"/>
  <c r="T104" i="22"/>
  <c r="S104" i="22"/>
  <c r="F104" i="22"/>
  <c r="E104" i="22"/>
  <c r="D104" i="22"/>
  <c r="P105" i="22" s="1"/>
  <c r="C104" i="22"/>
  <c r="T103" i="22"/>
  <c r="S103" i="22"/>
  <c r="F103" i="22"/>
  <c r="P103" i="22" s="1"/>
  <c r="E103" i="22"/>
  <c r="D103" i="22"/>
  <c r="C103" i="22"/>
  <c r="T102" i="22"/>
  <c r="S102" i="22"/>
  <c r="F102" i="22"/>
  <c r="E102" i="22"/>
  <c r="D102" i="22"/>
  <c r="O101" i="22" s="1"/>
  <c r="C102" i="22"/>
  <c r="T101" i="22"/>
  <c r="S101" i="22"/>
  <c r="F101" i="22"/>
  <c r="P101" i="22" s="1"/>
  <c r="E101" i="22"/>
  <c r="D101" i="22"/>
  <c r="C101" i="22"/>
  <c r="T100" i="22"/>
  <c r="S100" i="22"/>
  <c r="F100" i="22"/>
  <c r="P100" i="22" s="1"/>
  <c r="E100" i="22"/>
  <c r="D100" i="22"/>
  <c r="O100" i="22" s="1"/>
  <c r="C100" i="22"/>
  <c r="T98" i="22"/>
  <c r="S98" i="22"/>
  <c r="G98" i="22"/>
  <c r="Q98" i="22" s="1"/>
  <c r="F98" i="22"/>
  <c r="P98" i="22" s="1"/>
  <c r="E98" i="22"/>
  <c r="D98" i="22"/>
  <c r="O98" i="22" s="1"/>
  <c r="C98" i="22"/>
  <c r="T97" i="22"/>
  <c r="S97" i="22"/>
  <c r="G97" i="22"/>
  <c r="Q97" i="22" s="1"/>
  <c r="F97" i="22"/>
  <c r="P97" i="22" s="1"/>
  <c r="E97" i="22"/>
  <c r="D97" i="22"/>
  <c r="O97" i="22" s="1"/>
  <c r="C97" i="22"/>
  <c r="T92" i="22"/>
  <c r="S92" i="22"/>
  <c r="F92" i="22"/>
  <c r="P92" i="22" s="1"/>
  <c r="E92" i="22"/>
  <c r="D92" i="22"/>
  <c r="O92" i="22" s="1"/>
  <c r="C92" i="22"/>
  <c r="T91" i="22"/>
  <c r="S91" i="22"/>
  <c r="F91" i="22"/>
  <c r="P91" i="22" s="1"/>
  <c r="E91" i="22"/>
  <c r="D91" i="22"/>
  <c r="O91" i="22" s="1"/>
  <c r="C91" i="22"/>
  <c r="T90" i="22"/>
  <c r="S90" i="22"/>
  <c r="F90" i="22"/>
  <c r="P88" i="22" s="1"/>
  <c r="E90" i="22"/>
  <c r="D90" i="22"/>
  <c r="C90" i="22"/>
  <c r="T89" i="22"/>
  <c r="S89" i="22"/>
  <c r="F89" i="22"/>
  <c r="E89" i="22"/>
  <c r="D89" i="22"/>
  <c r="C89" i="22"/>
  <c r="T88" i="22"/>
  <c r="S88" i="22"/>
  <c r="F88" i="22"/>
  <c r="E88" i="22"/>
  <c r="D88" i="22"/>
  <c r="O88" i="22" s="1"/>
  <c r="C88" i="22"/>
  <c r="T95" i="22"/>
  <c r="S95" i="22"/>
  <c r="G95" i="22"/>
  <c r="Q95" i="22" s="1"/>
  <c r="F95" i="22"/>
  <c r="P95" i="22" s="1"/>
  <c r="E95" i="22"/>
  <c r="D95" i="22"/>
  <c r="O95" i="22" s="1"/>
  <c r="C95" i="22"/>
  <c r="T94" i="22"/>
  <c r="S94" i="22"/>
  <c r="G94" i="22"/>
  <c r="Q94" i="22" s="1"/>
  <c r="F94" i="22"/>
  <c r="P94" i="22" s="1"/>
  <c r="E94" i="22"/>
  <c r="D94" i="22"/>
  <c r="O94" i="22" s="1"/>
  <c r="C94" i="22"/>
  <c r="T86" i="22"/>
  <c r="S86" i="22"/>
  <c r="G86" i="22"/>
  <c r="Q86" i="22" s="1"/>
  <c r="F86" i="22"/>
  <c r="P86" i="22" s="1"/>
  <c r="E86" i="22"/>
  <c r="D86" i="22"/>
  <c r="O86" i="22" s="1"/>
  <c r="C86" i="22"/>
  <c r="T84" i="22"/>
  <c r="S84" i="22"/>
  <c r="G84" i="22"/>
  <c r="Q84" i="22" s="1"/>
  <c r="F84" i="22"/>
  <c r="P84" i="22" s="1"/>
  <c r="E84" i="22"/>
  <c r="D84" i="22"/>
  <c r="O84" i="22" s="1"/>
  <c r="C84" i="22"/>
  <c r="T74" i="22"/>
  <c r="S74" i="22"/>
  <c r="G74" i="22"/>
  <c r="Q74" i="22" s="1"/>
  <c r="F74" i="22"/>
  <c r="P74" i="22" s="1"/>
  <c r="E74" i="22"/>
  <c r="D74" i="22"/>
  <c r="O74" i="22" s="1"/>
  <c r="C74" i="22"/>
  <c r="T83" i="22"/>
  <c r="S83" i="22"/>
  <c r="F83" i="22"/>
  <c r="P81" i="22" s="1"/>
  <c r="E83" i="22"/>
  <c r="D83" i="22"/>
  <c r="C83" i="22"/>
  <c r="T82" i="22"/>
  <c r="S82" i="22"/>
  <c r="F82" i="22"/>
  <c r="E82" i="22"/>
  <c r="D82" i="22"/>
  <c r="C82" i="22"/>
  <c r="T81" i="22"/>
  <c r="S81" i="22"/>
  <c r="F81" i="22"/>
  <c r="E81" i="22"/>
  <c r="D81" i="22"/>
  <c r="O81" i="22" s="1"/>
  <c r="C81" i="22"/>
  <c r="T80" i="22"/>
  <c r="S80" i="22"/>
  <c r="F80" i="22"/>
  <c r="P78" i="22" s="1"/>
  <c r="E80" i="22"/>
  <c r="D80" i="22"/>
  <c r="C80" i="22"/>
  <c r="T79" i="22"/>
  <c r="S79" i="22"/>
  <c r="F79" i="22"/>
  <c r="E79" i="22"/>
  <c r="D79" i="22"/>
  <c r="C79" i="22"/>
  <c r="T78" i="22"/>
  <c r="S78" i="22"/>
  <c r="F78" i="22"/>
  <c r="E78" i="22"/>
  <c r="D78" i="22"/>
  <c r="O78" i="22" s="1"/>
  <c r="C78" i="22"/>
  <c r="T77" i="22"/>
  <c r="S77" i="22"/>
  <c r="F77" i="22"/>
  <c r="P77" i="22" s="1"/>
  <c r="E77" i="22"/>
  <c r="D77" i="22"/>
  <c r="O77" i="22" s="1"/>
  <c r="C77" i="22"/>
  <c r="T76" i="22"/>
  <c r="S76" i="22"/>
  <c r="F76" i="22"/>
  <c r="P76" i="22" s="1"/>
  <c r="E76" i="22"/>
  <c r="D76" i="22"/>
  <c r="O76" i="22" s="1"/>
  <c r="C76" i="22"/>
  <c r="T75" i="22"/>
  <c r="S75" i="22"/>
  <c r="F75" i="22"/>
  <c r="P75" i="22" s="1"/>
  <c r="E75" i="22"/>
  <c r="D75" i="22"/>
  <c r="O75" i="22" s="1"/>
  <c r="C75" i="22"/>
  <c r="T73" i="22"/>
  <c r="S73" i="22"/>
  <c r="F73" i="22"/>
  <c r="P72" i="22" s="1"/>
  <c r="E73" i="22"/>
  <c r="D73" i="22"/>
  <c r="C73" i="22"/>
  <c r="T72" i="22"/>
  <c r="S72" i="22"/>
  <c r="F72" i="22"/>
  <c r="E72" i="22"/>
  <c r="D72" i="22"/>
  <c r="O72" i="22" s="1"/>
  <c r="C72" i="22"/>
  <c r="T71" i="22"/>
  <c r="S71" i="22"/>
  <c r="F71" i="22"/>
  <c r="P71" i="22" s="1"/>
  <c r="E71" i="22"/>
  <c r="D71" i="22"/>
  <c r="O71" i="22" s="1"/>
  <c r="C71" i="22"/>
  <c r="T70" i="22"/>
  <c r="S70" i="22"/>
  <c r="F70" i="22"/>
  <c r="P70" i="22" s="1"/>
  <c r="E70" i="22"/>
  <c r="D70" i="22"/>
  <c r="O70" i="22" s="1"/>
  <c r="C70" i="22"/>
  <c r="T68" i="22"/>
  <c r="S68" i="22"/>
  <c r="G68" i="22"/>
  <c r="Q68" i="22" s="1"/>
  <c r="F68" i="22"/>
  <c r="P68" i="22" s="1"/>
  <c r="E68" i="22"/>
  <c r="D68" i="22"/>
  <c r="O68" i="22" s="1"/>
  <c r="C68" i="22"/>
  <c r="T67" i="22"/>
  <c r="S67" i="22"/>
  <c r="F67" i="22"/>
  <c r="P67" i="22" s="1"/>
  <c r="E67" i="22"/>
  <c r="D67" i="22"/>
  <c r="O67" i="22" s="1"/>
  <c r="C67" i="22"/>
  <c r="T66" i="22"/>
  <c r="S66" i="22"/>
  <c r="F66" i="22"/>
  <c r="P66" i="22" s="1"/>
  <c r="E66" i="22"/>
  <c r="D66" i="22"/>
  <c r="O66" i="22" s="1"/>
  <c r="C66" i="22"/>
  <c r="T65" i="22"/>
  <c r="S65" i="22"/>
  <c r="F65" i="22"/>
  <c r="P65" i="22" s="1"/>
  <c r="E65" i="22"/>
  <c r="D65" i="22"/>
  <c r="O65" i="22" s="1"/>
  <c r="C65" i="22"/>
  <c r="T64" i="22"/>
  <c r="S64" i="22"/>
  <c r="G64" i="22"/>
  <c r="Q64" i="22" s="1"/>
  <c r="F64" i="22"/>
  <c r="P64" i="22" s="1"/>
  <c r="E64" i="22"/>
  <c r="D64" i="22"/>
  <c r="O64" i="22" s="1"/>
  <c r="C64" i="22"/>
  <c r="T63" i="22"/>
  <c r="S63" i="22"/>
  <c r="F63" i="22"/>
  <c r="P60" i="22" s="1"/>
  <c r="E63" i="22"/>
  <c r="D63" i="22"/>
  <c r="C63" i="22"/>
  <c r="T62" i="22"/>
  <c r="S62" i="22"/>
  <c r="F62" i="22"/>
  <c r="E62" i="22"/>
  <c r="D62" i="22"/>
  <c r="C62" i="22"/>
  <c r="T61" i="22"/>
  <c r="S61" i="22"/>
  <c r="F61" i="22"/>
  <c r="E61" i="22"/>
  <c r="D61" i="22"/>
  <c r="C61" i="22"/>
  <c r="T60" i="22"/>
  <c r="S60" i="22"/>
  <c r="G60" i="22"/>
  <c r="F60" i="22"/>
  <c r="E60" i="22"/>
  <c r="D60" i="22"/>
  <c r="O60" i="22" s="1"/>
  <c r="C60" i="22"/>
  <c r="T58" i="22"/>
  <c r="S58" i="22"/>
  <c r="F58" i="22"/>
  <c r="P58" i="22" s="1"/>
  <c r="E58" i="22"/>
  <c r="D58" i="22"/>
  <c r="O58" i="22" s="1"/>
  <c r="C58" i="22"/>
  <c r="T56" i="22"/>
  <c r="S56" i="22"/>
  <c r="P56" i="22"/>
  <c r="D56" i="22"/>
  <c r="O56" i="22" s="1"/>
  <c r="C56" i="22"/>
  <c r="T55" i="22"/>
  <c r="S55" i="22"/>
  <c r="F55" i="22"/>
  <c r="P55" i="22" s="1"/>
  <c r="E55" i="22"/>
  <c r="O55" i="22"/>
  <c r="T54" i="22"/>
  <c r="S54" i="22"/>
  <c r="F56" i="22"/>
  <c r="E56" i="22"/>
  <c r="D54" i="22"/>
  <c r="C54" i="22"/>
  <c r="T53" i="22"/>
  <c r="S53" i="22"/>
  <c r="F53" i="22"/>
  <c r="E53" i="22"/>
  <c r="D53" i="22"/>
  <c r="C53" i="22"/>
  <c r="T52" i="22"/>
  <c r="S52" i="22"/>
  <c r="F52" i="22"/>
  <c r="E52" i="22"/>
  <c r="D52" i="22"/>
  <c r="C52" i="22"/>
  <c r="T51" i="22"/>
  <c r="S51" i="22"/>
  <c r="F51" i="22"/>
  <c r="E51" i="22"/>
  <c r="D51" i="22"/>
  <c r="C51" i="22"/>
  <c r="T50" i="22"/>
  <c r="S50" i="22"/>
  <c r="F50" i="22"/>
  <c r="E50" i="22"/>
  <c r="D50" i="22"/>
  <c r="O50" i="22" s="1"/>
  <c r="C50" i="22"/>
  <c r="T49" i="22"/>
  <c r="S49" i="22"/>
  <c r="F49" i="22"/>
  <c r="P46" i="22" s="1"/>
  <c r="E49" i="22"/>
  <c r="D49" i="22"/>
  <c r="C49" i="22"/>
  <c r="T48" i="22"/>
  <c r="S48" i="22"/>
  <c r="F48" i="22"/>
  <c r="E48" i="22"/>
  <c r="D48" i="22"/>
  <c r="C48" i="22"/>
  <c r="T47" i="22"/>
  <c r="S47" i="22"/>
  <c r="F47" i="22"/>
  <c r="E47" i="22"/>
  <c r="D47" i="22"/>
  <c r="O46" i="22" s="1"/>
  <c r="C47" i="22"/>
  <c r="T46" i="22"/>
  <c r="S46" i="22"/>
  <c r="F46" i="22"/>
  <c r="E46" i="22"/>
  <c r="D46" i="22"/>
  <c r="C46" i="22"/>
  <c r="T45" i="22"/>
  <c r="S45" i="22"/>
  <c r="F45" i="22"/>
  <c r="P41" i="22" s="1"/>
  <c r="E45" i="22"/>
  <c r="D45" i="22"/>
  <c r="C45" i="22"/>
  <c r="T44" i="22"/>
  <c r="S44" i="22"/>
  <c r="F44" i="22"/>
  <c r="E44" i="22"/>
  <c r="D44" i="22"/>
  <c r="C44" i="22"/>
  <c r="T43" i="22"/>
  <c r="S43" i="22"/>
  <c r="F43" i="22"/>
  <c r="E43" i="22"/>
  <c r="D43" i="22"/>
  <c r="C43" i="22"/>
  <c r="T42" i="22"/>
  <c r="S42" i="22"/>
  <c r="F42" i="22"/>
  <c r="E42" i="22"/>
  <c r="D42" i="22"/>
  <c r="C42" i="22"/>
  <c r="T41" i="22"/>
  <c r="S41" i="22"/>
  <c r="F41" i="22"/>
  <c r="E41" i="22"/>
  <c r="D41" i="22"/>
  <c r="O41" i="22" s="1"/>
  <c r="C41" i="22"/>
  <c r="T40" i="22"/>
  <c r="S40" i="22"/>
  <c r="F40" i="22"/>
  <c r="P40" i="22" s="1"/>
  <c r="E40" i="22"/>
  <c r="D40" i="22"/>
  <c r="O40" i="22" s="1"/>
  <c r="C40" i="22"/>
  <c r="T39" i="22"/>
  <c r="S39" i="22"/>
  <c r="F39" i="22"/>
  <c r="P39" i="22" s="1"/>
  <c r="E39" i="22"/>
  <c r="D39" i="22"/>
  <c r="O39" i="22" s="1"/>
  <c r="C39" i="22"/>
  <c r="T38" i="22"/>
  <c r="S38" i="22"/>
  <c r="F38" i="22"/>
  <c r="P37" i="22" s="1"/>
  <c r="E38" i="22"/>
  <c r="D38" i="22"/>
  <c r="C38" i="22"/>
  <c r="T37" i="22"/>
  <c r="S37" i="22"/>
  <c r="F37" i="22"/>
  <c r="E37" i="22"/>
  <c r="D37" i="22"/>
  <c r="O37" i="22" s="1"/>
  <c r="C37" i="22"/>
  <c r="T36" i="22"/>
  <c r="S36" i="22"/>
  <c r="F36" i="22"/>
  <c r="P33" i="22" s="1"/>
  <c r="E36" i="22"/>
  <c r="D36" i="22"/>
  <c r="C36" i="22"/>
  <c r="T35" i="22"/>
  <c r="S35" i="22"/>
  <c r="F35" i="22"/>
  <c r="E35" i="22"/>
  <c r="D35" i="22"/>
  <c r="C35" i="22"/>
  <c r="T34" i="22"/>
  <c r="S34" i="22"/>
  <c r="F34" i="22"/>
  <c r="E34" i="22"/>
  <c r="D34" i="22"/>
  <c r="C34" i="22"/>
  <c r="T33" i="22"/>
  <c r="S33" i="22"/>
  <c r="F33" i="22"/>
  <c r="E33" i="22"/>
  <c r="D33" i="22"/>
  <c r="O33" i="22" s="1"/>
  <c r="C33" i="22"/>
  <c r="T32" i="22"/>
  <c r="S32" i="22"/>
  <c r="F32" i="22"/>
  <c r="P29" i="22" s="1"/>
  <c r="E32" i="22"/>
  <c r="D32" i="22"/>
  <c r="C32" i="22"/>
  <c r="T31" i="22"/>
  <c r="S31" i="22"/>
  <c r="F31" i="22"/>
  <c r="E31" i="22"/>
  <c r="D31" i="22"/>
  <c r="C31" i="22"/>
  <c r="T30" i="22"/>
  <c r="S30" i="22"/>
  <c r="F30" i="22"/>
  <c r="E30" i="22"/>
  <c r="D30" i="22"/>
  <c r="C30" i="22"/>
  <c r="T29" i="22"/>
  <c r="S29" i="22"/>
  <c r="F29" i="22"/>
  <c r="E29" i="22"/>
  <c r="D29" i="22"/>
  <c r="O29" i="22" s="1"/>
  <c r="C29" i="22"/>
  <c r="T28" i="22"/>
  <c r="S28" i="22"/>
  <c r="F28" i="22"/>
  <c r="P28" i="22" s="1"/>
  <c r="E28" i="22"/>
  <c r="D28" i="22"/>
  <c r="O28" i="22" s="1"/>
  <c r="C28" i="22"/>
  <c r="T27" i="22"/>
  <c r="S27" i="22"/>
  <c r="F27" i="22"/>
  <c r="P25" i="22" s="1"/>
  <c r="E27" i="22"/>
  <c r="D27" i="22"/>
  <c r="C27" i="22"/>
  <c r="T26" i="22"/>
  <c r="S26" i="22"/>
  <c r="F26" i="22"/>
  <c r="E26" i="22"/>
  <c r="D26" i="22"/>
  <c r="C26" i="22"/>
  <c r="T25" i="22"/>
  <c r="S25" i="22"/>
  <c r="F25" i="22"/>
  <c r="E25" i="22"/>
  <c r="D25" i="22"/>
  <c r="O25" i="22" s="1"/>
  <c r="C25" i="22"/>
  <c r="T24" i="22"/>
  <c r="S24" i="22"/>
  <c r="F24" i="22"/>
  <c r="P24" i="22" s="1"/>
  <c r="E24" i="22"/>
  <c r="D24" i="22"/>
  <c r="O24" i="22" s="1"/>
  <c r="C24" i="22"/>
  <c r="T23" i="22"/>
  <c r="S23" i="22"/>
  <c r="F23" i="22"/>
  <c r="P19" i="22" s="1"/>
  <c r="E23" i="22"/>
  <c r="D23" i="22"/>
  <c r="C23" i="22"/>
  <c r="T22" i="22"/>
  <c r="S22" i="22"/>
  <c r="F22" i="22"/>
  <c r="E22" i="22"/>
  <c r="D22" i="22"/>
  <c r="C22" i="22"/>
  <c r="T21" i="22"/>
  <c r="S21" i="22"/>
  <c r="F21" i="22"/>
  <c r="E21" i="22"/>
  <c r="D21" i="22"/>
  <c r="C21" i="22"/>
  <c r="T20" i="22"/>
  <c r="S20" i="22"/>
  <c r="F20" i="22"/>
  <c r="E20" i="22"/>
  <c r="D20" i="22"/>
  <c r="C20" i="22"/>
  <c r="T19" i="22"/>
  <c r="S19" i="22"/>
  <c r="F19" i="22"/>
  <c r="E19" i="22"/>
  <c r="D19" i="22"/>
  <c r="O19" i="22" s="1"/>
  <c r="C19" i="22"/>
  <c r="T18" i="22"/>
  <c r="S18" i="22"/>
  <c r="F18" i="22"/>
  <c r="P12" i="22" s="1"/>
  <c r="E18" i="22"/>
  <c r="D18" i="22"/>
  <c r="C18" i="22"/>
  <c r="T17" i="22"/>
  <c r="S17" i="22"/>
  <c r="F17" i="22"/>
  <c r="E17" i="22"/>
  <c r="D17" i="22"/>
  <c r="C17" i="22"/>
  <c r="T16" i="22"/>
  <c r="S16" i="22"/>
  <c r="F16" i="22"/>
  <c r="E16" i="22"/>
  <c r="D16" i="22"/>
  <c r="C16" i="22"/>
  <c r="T15" i="22"/>
  <c r="S15" i="22"/>
  <c r="F15" i="22"/>
  <c r="E15" i="22"/>
  <c r="D15" i="22"/>
  <c r="C15" i="22"/>
  <c r="T14" i="22"/>
  <c r="S14" i="22"/>
  <c r="F14" i="22"/>
  <c r="E14" i="22"/>
  <c r="D14" i="22"/>
  <c r="C14" i="22"/>
  <c r="T13" i="22"/>
  <c r="S13" i="22"/>
  <c r="F13" i="22"/>
  <c r="E13" i="22"/>
  <c r="D13" i="22"/>
  <c r="C13" i="22"/>
  <c r="T12" i="22"/>
  <c r="S12" i="22"/>
  <c r="F12" i="22"/>
  <c r="E12" i="22"/>
  <c r="D12" i="22"/>
  <c r="O12" i="22" s="1"/>
  <c r="C12" i="22"/>
  <c r="T11" i="22"/>
  <c r="S11" i="22"/>
  <c r="F11" i="22"/>
  <c r="P11" i="22" s="1"/>
  <c r="E11" i="22"/>
  <c r="D11" i="22"/>
  <c r="O11" i="22" s="1"/>
  <c r="C11" i="22"/>
  <c r="T10" i="22"/>
  <c r="S10" i="22"/>
  <c r="F10" i="22"/>
  <c r="P10" i="22" s="1"/>
  <c r="E10" i="22"/>
  <c r="D10" i="22"/>
  <c r="O10" i="22" s="1"/>
  <c r="C10" i="22"/>
  <c r="T9" i="22"/>
  <c r="S9" i="22"/>
  <c r="F9" i="22"/>
  <c r="P9" i="22" s="1"/>
  <c r="E9" i="22"/>
  <c r="D9" i="22"/>
  <c r="O9" i="22" s="1"/>
  <c r="C9" i="22"/>
  <c r="T8" i="22"/>
  <c r="S8" i="22"/>
  <c r="F8" i="22"/>
  <c r="P8" i="22" s="1"/>
  <c r="E8" i="22"/>
  <c r="D8" i="22"/>
  <c r="O8" i="22" s="1"/>
  <c r="C8" i="22"/>
  <c r="Q182" i="22" l="1"/>
  <c r="Q166" i="22"/>
  <c r="Q173" i="22"/>
  <c r="O103" i="22"/>
  <c r="Q119" i="22"/>
  <c r="G203" i="22" l="1"/>
  <c r="G106" i="22" l="1"/>
  <c r="G82" i="22"/>
  <c r="Q82" i="22" s="1"/>
  <c r="G107" i="22"/>
  <c r="Q107" i="22" s="1"/>
  <c r="G79" i="22"/>
  <c r="G81" i="22"/>
  <c r="Q81" i="22" s="1"/>
  <c r="G109" i="22"/>
  <c r="Q109" i="22" s="1"/>
  <c r="G65" i="22"/>
  <c r="Q65" i="22" s="1"/>
  <c r="G104" i="22"/>
  <c r="G92" i="22"/>
  <c r="Q92" i="22" s="1"/>
  <c r="G105" i="22"/>
  <c r="Q105" i="22" s="1"/>
  <c r="G66" i="22"/>
  <c r="Q66" i="22" s="1"/>
  <c r="G103" i="22"/>
  <c r="Q103" i="22" s="1"/>
  <c r="G90" i="22"/>
  <c r="G71" i="22"/>
  <c r="Q71" i="22" s="1"/>
  <c r="G67" i="22"/>
  <c r="Q67" i="22" s="1"/>
  <c r="G102" i="22"/>
  <c r="G89" i="22"/>
  <c r="G83" i="22"/>
  <c r="Q83" i="22" s="1"/>
  <c r="G58" i="22"/>
  <c r="Q58" i="22" s="1"/>
  <c r="G101" i="22"/>
  <c r="Q101" i="22" s="1"/>
  <c r="G88" i="22"/>
  <c r="Q88" i="22" s="1"/>
  <c r="G117" i="22"/>
  <c r="Q117" i="22" s="1"/>
  <c r="G100" i="22"/>
  <c r="Q100" i="22" s="1"/>
  <c r="G91" i="22"/>
  <c r="Q91" i="22" s="1"/>
  <c r="G63" i="22" l="1"/>
  <c r="G78" i="22"/>
  <c r="Q78" i="22" s="1"/>
  <c r="G77" i="22"/>
  <c r="Q77" i="22" s="1"/>
  <c r="G110" i="22"/>
  <c r="Q110" i="22" s="1"/>
  <c r="G72" i="22"/>
  <c r="Q72" i="22" s="1"/>
  <c r="G73" i="22"/>
  <c r="G115" i="22"/>
  <c r="Q115" i="22" s="1"/>
  <c r="G131" i="22"/>
  <c r="Q131" i="22" s="1"/>
  <c r="G124" i="22"/>
  <c r="Q124" i="22" s="1"/>
  <c r="G133" i="22"/>
  <c r="Q133" i="22" s="1"/>
  <c r="G75" i="22"/>
  <c r="Q75" i="22" s="1"/>
  <c r="G108" i="22"/>
  <c r="Q108" i="22" s="1"/>
  <c r="G80" i="22"/>
  <c r="G114" i="22"/>
  <c r="G70" i="22"/>
  <c r="Q70" i="22" s="1"/>
  <c r="G61" i="22"/>
  <c r="Q60" i="22" s="1"/>
  <c r="G128" i="22"/>
  <c r="Q128" i="22" s="1"/>
  <c r="G134" i="22"/>
  <c r="Q134" i="22" s="1"/>
  <c r="G62" i="22"/>
  <c r="G76" i="22"/>
  <c r="Q76" i="22" s="1"/>
  <c r="G135" i="22"/>
  <c r="Q135" i="22" s="1"/>
  <c r="G207" i="22" l="1"/>
  <c r="Q207" i="22" s="1"/>
  <c r="G156" i="22"/>
  <c r="Q156" i="22" s="1"/>
  <c r="G161" i="22"/>
  <c r="Q161" i="22" s="1"/>
  <c r="G208" i="22"/>
  <c r="Q208" i="22" s="1"/>
  <c r="G162" i="22"/>
  <c r="Q162" i="22" s="1"/>
  <c r="G196" i="22"/>
  <c r="Q195" i="22" s="1"/>
  <c r="G195" i="22"/>
  <c r="G188" i="22"/>
  <c r="Q187" i="22" s="1"/>
  <c r="G170" i="22"/>
  <c r="G209" i="22"/>
  <c r="G126" i="22"/>
  <c r="Q126" i="22" s="1"/>
  <c r="G141" i="22" l="1"/>
  <c r="Q141" i="22" s="1"/>
  <c r="G155" i="22"/>
  <c r="G24" i="22" l="1"/>
  <c r="Q24" i="22" s="1"/>
  <c r="G49" i="22"/>
  <c r="G25" i="22"/>
  <c r="Q25" i="22" s="1"/>
  <c r="G17" i="22"/>
  <c r="G56" i="22"/>
  <c r="Q56" i="22" s="1"/>
  <c r="G40" i="22"/>
  <c r="Q40" i="22" s="1"/>
  <c r="G32" i="22"/>
  <c r="G54" i="22"/>
  <c r="G22" i="22"/>
  <c r="G14" i="22"/>
  <c r="G53" i="22"/>
  <c r="G45" i="22"/>
  <c r="G21" i="22"/>
  <c r="G44" i="22"/>
  <c r="G36" i="22"/>
  <c r="G28" i="22"/>
  <c r="Q28" i="22" s="1"/>
  <c r="G132" i="22"/>
  <c r="Q132" i="22" s="1"/>
  <c r="G16" i="22" l="1"/>
  <c r="G52" i="22"/>
  <c r="G48" i="22"/>
  <c r="G27" i="22"/>
  <c r="G29" i="22"/>
  <c r="Q29" i="22" s="1"/>
  <c r="G23" i="22"/>
  <c r="G33" i="22"/>
  <c r="Q33" i="22" s="1"/>
  <c r="G35" i="22"/>
  <c r="G31" i="22"/>
  <c r="G9" i="22"/>
  <c r="Q9" i="22" s="1"/>
  <c r="G10" i="22"/>
  <c r="Q10" i="22" s="1"/>
  <c r="G43" i="22"/>
  <c r="G37" i="22"/>
  <c r="Q37" i="22" s="1"/>
  <c r="G46" i="22"/>
  <c r="Q46" i="22" s="1"/>
  <c r="G39" i="22"/>
  <c r="Q39" i="22" s="1"/>
  <c r="G18" i="22"/>
  <c r="G51" i="22"/>
  <c r="G13" i="22"/>
  <c r="G41" i="22"/>
  <c r="Q41" i="22" s="1"/>
  <c r="G26" i="22"/>
  <c r="G12" i="22"/>
  <c r="Q12" i="22" s="1"/>
  <c r="G55" i="22"/>
  <c r="Q55" i="22" s="1"/>
  <c r="G11" i="22"/>
  <c r="Q11" i="22" s="1"/>
  <c r="G19" i="22"/>
  <c r="Q19" i="22" s="1"/>
  <c r="G50" i="22"/>
  <c r="Q50" i="22" s="1"/>
  <c r="G15" i="22"/>
  <c r="G8" i="22"/>
  <c r="Q8" i="22" s="1"/>
  <c r="G144" i="22"/>
  <c r="Q144" i="22" s="1"/>
  <c r="G113" i="22"/>
  <c r="Q113" i="22" s="1"/>
  <c r="G34" i="22" l="1"/>
  <c r="G30" i="22"/>
  <c r="G42" i="22"/>
  <c r="G38" i="22"/>
  <c r="G20" i="22"/>
  <c r="G47" i="22"/>
  <c r="G234" i="22"/>
  <c r="Q234" i="22" s="1"/>
  <c r="G236" i="22" l="1"/>
  <c r="Q236" i="22" s="1"/>
  <c r="G227" i="22" l="1"/>
  <c r="G165" i="22"/>
  <c r="Q165" i="22" s="1"/>
  <c r="G138" i="22"/>
  <c r="Q138" i="22" s="1"/>
  <c r="G223" i="22"/>
  <c r="G222" i="22"/>
  <c r="G200" i="22" l="1"/>
  <c r="G152" i="22"/>
  <c r="Q152" i="22" s="1"/>
  <c r="G199" i="22"/>
  <c r="Q199" i="22" s="1"/>
  <c r="G224" i="22"/>
  <c r="G192" i="22"/>
  <c r="Q192" i="22" s="1"/>
  <c r="G160" i="22"/>
  <c r="G154" i="22"/>
  <c r="G205" i="22"/>
  <c r="Q205" i="22" s="1"/>
  <c r="G219" i="22"/>
  <c r="G201" i="22"/>
  <c r="Q201" i="22" s="1"/>
  <c r="G157" i="22"/>
  <c r="Q157" i="22" s="1"/>
  <c r="G221" i="22"/>
  <c r="Q221" i="22" s="1"/>
  <c r="G217" i="22"/>
  <c r="Q217" i="22" s="1"/>
  <c r="G197" i="22"/>
  <c r="Q197" i="22" s="1"/>
  <c r="G148" i="22"/>
  <c r="G239" i="22"/>
  <c r="G228" i="22"/>
  <c r="G191" i="22"/>
  <c r="G242" i="22"/>
  <c r="G230" i="22"/>
  <c r="G159" i="22"/>
  <c r="G194" i="22"/>
  <c r="G198" i="22"/>
  <c r="Q198" i="22" s="1"/>
  <c r="G147" i="22"/>
  <c r="G189" i="22"/>
  <c r="Q189" i="22" s="1"/>
  <c r="G226" i="22"/>
  <c r="G246" i="22"/>
  <c r="G240" i="22"/>
  <c r="G179" i="22"/>
  <c r="Q179" i="22" s="1"/>
  <c r="G241" i="22"/>
  <c r="G168" i="22"/>
  <c r="Q168" i="22" s="1"/>
  <c r="G153" i="22"/>
  <c r="Q153" i="22" s="1"/>
  <c r="G204" i="22"/>
  <c r="Q203" i="22" s="1"/>
  <c r="G190" i="22"/>
  <c r="G164" i="22" l="1"/>
  <c r="Q164" i="22" s="1"/>
  <c r="G237" i="22"/>
  <c r="Q237" i="22" s="1"/>
  <c r="G146" i="22"/>
  <c r="Q146" i="22" s="1"/>
  <c r="G229" i="22"/>
  <c r="Q229" i="22" s="1"/>
  <c r="G225" i="22"/>
  <c r="Q225" i="22" s="1"/>
  <c r="G142" i="22"/>
  <c r="Q142" i="22" s="1"/>
  <c r="G243" i="22"/>
  <c r="Q243" i="22" s="1"/>
  <c r="G158" i="22"/>
  <c r="G150" i="22"/>
  <c r="Q150" i="22" s="1"/>
  <c r="G218" i="22"/>
  <c r="Q218" i="22" s="1"/>
  <c r="G245" i="22"/>
  <c r="Q245" i="22" s="1"/>
  <c r="G193" i="22"/>
  <c r="G247" i="22"/>
  <c r="Q246" i="22" s="1"/>
  <c r="G238" i="22"/>
  <c r="G184" i="22"/>
  <c r="Q184" i="22" s="1"/>
  <c r="G139" i="22"/>
  <c r="Q139" i="22" s="1"/>
  <c r="G178" i="22"/>
  <c r="Q178" i="22" s="1"/>
  <c r="G140" i="22" l="1"/>
  <c r="Q140" i="22" s="1"/>
  <c r="C255" i="50" l="1"/>
  <c r="C249" i="50"/>
  <c r="C253" i="50"/>
  <c r="C254" i="50"/>
  <c r="D4" i="50" l="1"/>
  <c r="D4" i="52"/>
  <c r="D4" i="53"/>
  <c r="D4" i="49"/>
  <c r="D8" i="49" l="1"/>
  <c r="D5" i="49"/>
  <c r="D5" i="52"/>
  <c r="D8" i="52"/>
  <c r="B196" i="52" l="1"/>
  <c r="C229" i="52" s="1"/>
  <c r="C248" i="52" s="1"/>
  <c r="B200" i="52"/>
  <c r="C233" i="52" s="1"/>
  <c r="C252" i="52" s="1"/>
  <c r="B193" i="52"/>
  <c r="B197" i="52"/>
  <c r="C230" i="52" s="1"/>
  <c r="C249" i="52" s="1"/>
  <c r="B201" i="52"/>
  <c r="C234" i="52" s="1"/>
  <c r="C253" i="52" s="1"/>
  <c r="B194" i="52"/>
  <c r="C227" i="52" s="1"/>
  <c r="C246" i="52" s="1"/>
  <c r="B198" i="52"/>
  <c r="C231" i="52" s="1"/>
  <c r="C250"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D7" i="49"/>
  <c r="F7" i="49"/>
  <c r="B196" i="49"/>
  <c r="C229" i="49" s="1"/>
  <c r="C248" i="49" s="1"/>
  <c r="B200" i="49"/>
  <c r="C233" i="49" s="1"/>
  <c r="C252" i="49" s="1"/>
  <c r="B193" i="49"/>
  <c r="B197" i="49"/>
  <c r="C230" i="49" s="1"/>
  <c r="C249" i="49" s="1"/>
  <c r="B201" i="49"/>
  <c r="C234" i="49" s="1"/>
  <c r="C253" i="49" s="1"/>
  <c r="B194" i="49"/>
  <c r="C227" i="49" s="1"/>
  <c r="C246" i="49" s="1"/>
  <c r="B198" i="49"/>
  <c r="C231" i="49" s="1"/>
  <c r="C250" i="49" s="1"/>
  <c r="B202" i="49"/>
  <c r="C235" i="49" s="1"/>
  <c r="C254" i="49" s="1"/>
  <c r="B199" i="49"/>
  <c r="C232" i="49" s="1"/>
  <c r="C251" i="49" s="1"/>
  <c r="B195" i="49"/>
  <c r="C228" i="49" s="1"/>
  <c r="C247" i="49" s="1"/>
  <c r="D10" i="49"/>
  <c r="F10" i="49"/>
  <c r="E196" i="49"/>
  <c r="J229" i="49" s="1"/>
  <c r="J248" i="49" s="1"/>
  <c r="E200" i="49"/>
  <c r="J233" i="49" s="1"/>
  <c r="J252" i="49" s="1"/>
  <c r="E205" i="49"/>
  <c r="J238" i="49" s="1"/>
  <c r="J257" i="49" s="1"/>
  <c r="E206" i="49"/>
  <c r="J239" i="49" s="1"/>
  <c r="E208" i="49"/>
  <c r="J241" i="49" s="1"/>
  <c r="J260" i="49" s="1"/>
  <c r="E197" i="49"/>
  <c r="J230" i="49" s="1"/>
  <c r="J249" i="49" s="1"/>
  <c r="E204" i="49"/>
  <c r="J237" i="49" s="1"/>
  <c r="J256" i="49" s="1"/>
  <c r="E198" i="49"/>
  <c r="J231" i="49" s="1"/>
  <c r="J250" i="49" s="1"/>
  <c r="E207" i="49"/>
  <c r="J240" i="49" s="1"/>
  <c r="J259" i="49" s="1"/>
  <c r="E199" i="49"/>
  <c r="J232" i="49" s="1"/>
  <c r="J251" i="49" s="1"/>
  <c r="E193" i="49"/>
  <c r="E201" i="49"/>
  <c r="J234" i="49" s="1"/>
  <c r="J253" i="49" s="1"/>
  <c r="E194" i="49"/>
  <c r="J227" i="49" s="1"/>
  <c r="J246" i="49" s="1"/>
  <c r="E202" i="49"/>
  <c r="J235" i="49" s="1"/>
  <c r="J254" i="49" s="1"/>
  <c r="E195" i="49"/>
  <c r="J228" i="49" s="1"/>
  <c r="J247" i="49" s="1"/>
  <c r="E203" i="49"/>
  <c r="J236" i="49" s="1"/>
  <c r="J255" i="49" s="1"/>
  <c r="E249" i="49" l="1"/>
  <c r="D245" i="49"/>
  <c r="D252" i="49"/>
  <c r="E252" i="49" s="1"/>
  <c r="D268" i="49" s="1"/>
  <c r="D248" i="49"/>
  <c r="E248" i="49" s="1"/>
  <c r="D270" i="49" s="1"/>
  <c r="D251" i="49"/>
  <c r="E251" i="49" s="1"/>
  <c r="D247" i="49"/>
  <c r="E247" i="49" s="1"/>
  <c r="E250" i="49"/>
  <c r="D254" i="49"/>
  <c r="E254" i="49" s="1"/>
  <c r="D269" i="49" s="1"/>
  <c r="D246" i="49"/>
  <c r="E246" i="49" s="1"/>
  <c r="D253" i="49"/>
  <c r="E253" i="49" s="1"/>
  <c r="D267" i="49" s="1"/>
  <c r="K247" i="52"/>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E209" i="49"/>
  <c r="J226" i="49"/>
  <c r="J245" i="49" s="1"/>
  <c r="C226" i="49"/>
  <c r="C245" i="49" s="1"/>
  <c r="B203" i="49"/>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K247" i="49"/>
  <c r="L247" i="49" s="1"/>
  <c r="K250" i="49"/>
  <c r="L250" i="49" s="1"/>
  <c r="K254" i="49"/>
  <c r="L254" i="49" s="1"/>
  <c r="K257" i="49"/>
  <c r="L257" i="49" s="1"/>
  <c r="K260" i="49"/>
  <c r="L260" i="49" s="1"/>
  <c r="D272" i="49" s="1"/>
  <c r="K246" i="49"/>
  <c r="L246" i="49" s="1"/>
  <c r="K253" i="49"/>
  <c r="L253" i="49" s="1"/>
  <c r="K249" i="49"/>
  <c r="L249" i="49" s="1"/>
  <c r="K255" i="49"/>
  <c r="L255" i="49" s="1"/>
  <c r="L258" i="49"/>
  <c r="K245" i="49"/>
  <c r="K252" i="49"/>
  <c r="L252" i="49" s="1"/>
  <c r="K248" i="49"/>
  <c r="L248" i="49" s="1"/>
  <c r="K251" i="49"/>
  <c r="L251" i="49" s="1"/>
  <c r="K256" i="49"/>
  <c r="L256" i="49" s="1"/>
  <c r="K259" i="49"/>
  <c r="L259" i="49" s="1"/>
  <c r="D271" i="49" s="1"/>
  <c r="E245" i="49" l="1"/>
  <c r="E272" i="52"/>
  <c r="F272" i="52" s="1"/>
  <c r="D273" i="53"/>
  <c r="E273" i="53" s="1"/>
  <c r="D270" i="50"/>
  <c r="E270" i="50" s="1"/>
  <c r="E269" i="49"/>
  <c r="F269" i="49" s="1"/>
  <c r="E269" i="52"/>
  <c r="F269" i="52" s="1"/>
  <c r="D270" i="53"/>
  <c r="E270" i="53" s="1"/>
  <c r="E271" i="52"/>
  <c r="F271" i="52" s="1"/>
  <c r="D272" i="53"/>
  <c r="E272" i="53" s="1"/>
  <c r="D272" i="50"/>
  <c r="E272" i="50" s="1"/>
  <c r="E271" i="49"/>
  <c r="F271" i="49" s="1"/>
  <c r="E267" i="52"/>
  <c r="F267" i="52" s="1"/>
  <c r="D268" i="53"/>
  <c r="E268" i="53" s="1"/>
  <c r="D268" i="50"/>
  <c r="E268" i="50" s="1"/>
  <c r="E267" i="49"/>
  <c r="F267" i="49" s="1"/>
  <c r="L245" i="52"/>
  <c r="D273" i="50"/>
  <c r="E273" i="50" s="1"/>
  <c r="E272" i="49"/>
  <c r="F272" i="49" s="1"/>
  <c r="E270" i="52"/>
  <c r="F270" i="52" s="1"/>
  <c r="D271" i="53"/>
  <c r="E271" i="53" s="1"/>
  <c r="D269" i="53"/>
  <c r="E269" i="53" s="1"/>
  <c r="E268" i="52"/>
  <c r="F268" i="52" s="1"/>
  <c r="E245" i="52"/>
  <c r="L245" i="49"/>
  <c r="D271" i="50"/>
  <c r="E271" i="50" s="1"/>
  <c r="E270" i="49"/>
  <c r="F270" i="49" s="1"/>
  <c r="D269" i="50"/>
  <c r="E269" i="50" s="1"/>
  <c r="E268" i="49"/>
  <c r="F268" i="49" s="1"/>
  <c r="E249" i="50" l="1"/>
  <c r="F271" i="50"/>
  <c r="L261" i="50"/>
  <c r="E30" i="51" s="1"/>
  <c r="F30" i="51" s="1"/>
  <c r="G30" i="51" s="1"/>
  <c r="H30" i="51" s="1"/>
  <c r="F273" i="50"/>
  <c r="L260" i="53"/>
  <c r="E29" i="54" s="1"/>
  <c r="F29" i="54" s="1"/>
  <c r="G29" i="54" s="1"/>
  <c r="H29" i="54" s="1"/>
  <c r="F272" i="53"/>
  <c r="F273" i="49"/>
  <c r="E255" i="53"/>
  <c r="F270" i="53"/>
  <c r="F268" i="50"/>
  <c r="E254" i="50"/>
  <c r="F269" i="53"/>
  <c r="E253" i="53"/>
  <c r="F268" i="53"/>
  <c r="E254" i="53"/>
  <c r="F271" i="53"/>
  <c r="E249" i="53"/>
  <c r="F273" i="52"/>
  <c r="F270" i="50"/>
  <c r="E255" i="50"/>
  <c r="L261" i="53"/>
  <c r="E30" i="54" s="1"/>
  <c r="F30" i="54" s="1"/>
  <c r="G30" i="54" s="1"/>
  <c r="H30" i="54" s="1"/>
  <c r="F273" i="53"/>
  <c r="E253" i="50"/>
  <c r="F269" i="50"/>
  <c r="L260" i="50"/>
  <c r="E29" i="51" s="1"/>
  <c r="F29" i="51" s="1"/>
  <c r="G29" i="51" s="1"/>
  <c r="H29" i="51" s="1"/>
  <c r="F272" i="50"/>
  <c r="C37" i="46" l="1"/>
  <c r="D37" i="46" s="1"/>
  <c r="E37" i="46" s="1"/>
  <c r="G37" i="46" s="1"/>
  <c r="H37" i="46" s="1"/>
  <c r="I37" i="46" s="1"/>
  <c r="J37" i="46" s="1"/>
  <c r="C34" i="46"/>
  <c r="D34" i="46" s="1"/>
  <c r="E34" i="46" s="1"/>
  <c r="G34" i="46" s="1"/>
  <c r="H34" i="46" s="1"/>
  <c r="I34" i="46" s="1"/>
  <c r="J34" i="46" s="1"/>
  <c r="C18" i="46"/>
  <c r="D18" i="46" s="1"/>
  <c r="E18" i="46" s="1"/>
  <c r="C15" i="46"/>
  <c r="D15" i="46" s="1"/>
  <c r="E15" i="46" s="1"/>
  <c r="J24" i="51"/>
  <c r="B27" i="88"/>
  <c r="F27" i="88" s="1"/>
  <c r="J23" i="51"/>
  <c r="B26" i="88"/>
  <c r="F26" i="88" s="1"/>
  <c r="D9" i="50"/>
  <c r="F11" i="50" s="1"/>
  <c r="D11" i="54"/>
  <c r="J23" i="46" s="1"/>
  <c r="D10" i="54"/>
  <c r="I23" i="46" s="1"/>
  <c r="D9" i="51"/>
  <c r="F274" i="53"/>
  <c r="D6" i="53"/>
  <c r="D9" i="53"/>
  <c r="C38" i="54"/>
  <c r="D9" i="54"/>
  <c r="H23" i="46" s="1"/>
  <c r="D11" i="51"/>
  <c r="J4" i="46" s="1"/>
  <c r="C39" i="54"/>
  <c r="D10" i="51"/>
  <c r="I4" i="46" s="1"/>
  <c r="C39" i="51"/>
  <c r="F274" i="50"/>
  <c r="D6" i="50"/>
  <c r="C38" i="51"/>
  <c r="F249" i="53"/>
  <c r="D5" i="54"/>
  <c r="F23" i="46" s="1"/>
  <c r="F249" i="50"/>
  <c r="D5" i="51"/>
  <c r="F4" i="46" s="1"/>
  <c r="H38" i="46" l="1"/>
  <c r="H35" i="46"/>
  <c r="J35" i="46"/>
  <c r="J38" i="46"/>
  <c r="I38" i="46"/>
  <c r="B17" i="88"/>
  <c r="F17" i="88" s="1"/>
  <c r="H4" i="46"/>
  <c r="F8" i="51"/>
  <c r="B18" i="88"/>
  <c r="F18" i="88" s="1"/>
  <c r="F9" i="51"/>
  <c r="B19" i="88"/>
  <c r="F19" i="88" s="1"/>
  <c r="F5" i="51"/>
  <c r="B15" i="88"/>
  <c r="F15" i="88" s="1"/>
  <c r="F7" i="51"/>
  <c r="C57" i="46"/>
  <c r="C54" i="46"/>
  <c r="G18" i="46"/>
  <c r="H18" i="46" s="1"/>
  <c r="I18" i="46" s="1"/>
  <c r="J18" i="46" s="1"/>
  <c r="G15" i="46"/>
  <c r="H15" i="46" s="1"/>
  <c r="I15" i="46" s="1"/>
  <c r="J15" i="46" s="1"/>
  <c r="E208" i="50"/>
  <c r="J241" i="50" s="1"/>
  <c r="E198" i="50"/>
  <c r="J231" i="50" s="1"/>
  <c r="J250" i="50" s="1"/>
  <c r="E207" i="50"/>
  <c r="J240" i="50" s="1"/>
  <c r="E195" i="50"/>
  <c r="J228" i="50" s="1"/>
  <c r="J247" i="50" s="1"/>
  <c r="D11" i="50"/>
  <c r="E200" i="50"/>
  <c r="J233" i="50" s="1"/>
  <c r="J252" i="50" s="1"/>
  <c r="E196" i="50"/>
  <c r="J229" i="50" s="1"/>
  <c r="J248" i="50" s="1"/>
  <c r="E201" i="50"/>
  <c r="J234" i="50" s="1"/>
  <c r="J253" i="50" s="1"/>
  <c r="E203" i="50"/>
  <c r="J236" i="50" s="1"/>
  <c r="J255" i="50" s="1"/>
  <c r="E194" i="50"/>
  <c r="J227" i="50" s="1"/>
  <c r="J246" i="50" s="1"/>
  <c r="E199" i="50"/>
  <c r="J232" i="50" s="1"/>
  <c r="J251" i="50" s="1"/>
  <c r="E206" i="50"/>
  <c r="J239" i="50" s="1"/>
  <c r="J258" i="50" s="1"/>
  <c r="E205" i="50"/>
  <c r="J238" i="50" s="1"/>
  <c r="J257" i="50" s="1"/>
  <c r="E209" i="50"/>
  <c r="J242" i="50" s="1"/>
  <c r="E197" i="50"/>
  <c r="J230" i="50" s="1"/>
  <c r="J249" i="50" s="1"/>
  <c r="E204" i="50"/>
  <c r="J237" i="50" s="1"/>
  <c r="J256" i="50" s="1"/>
  <c r="E202" i="50"/>
  <c r="J235" i="50" s="1"/>
  <c r="J254" i="50" s="1"/>
  <c r="P5" i="54"/>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U6" i="51"/>
  <c r="E10" i="51"/>
  <c r="U5" i="51"/>
  <c r="U7" i="51"/>
  <c r="B195" i="53"/>
  <c r="C228" i="53" s="1"/>
  <c r="C247" i="53" s="1"/>
  <c r="B199" i="53"/>
  <c r="C232" i="53" s="1"/>
  <c r="C251" i="53" s="1"/>
  <c r="B203" i="53"/>
  <c r="C236" i="53" s="1"/>
  <c r="D8" i="53"/>
  <c r="F8" i="53"/>
  <c r="B196" i="53"/>
  <c r="C229" i="53" s="1"/>
  <c r="C248" i="53" s="1"/>
  <c r="B200" i="53"/>
  <c r="C233" i="53" s="1"/>
  <c r="C252" i="53" s="1"/>
  <c r="B197" i="53"/>
  <c r="C230" i="53" s="1"/>
  <c r="B201" i="53"/>
  <c r="C234" i="53" s="1"/>
  <c r="B194" i="53"/>
  <c r="B198" i="53"/>
  <c r="C231" i="53" s="1"/>
  <c r="C250" i="53" s="1"/>
  <c r="B202" i="53"/>
  <c r="C235" i="53" s="1"/>
  <c r="D5" i="53"/>
  <c r="T6" i="51"/>
  <c r="E9" i="51"/>
  <c r="T5" i="51"/>
  <c r="T7" i="51"/>
  <c r="V5" i="51"/>
  <c r="V7" i="51"/>
  <c r="E11" i="51"/>
  <c r="V6" i="51"/>
  <c r="U6" i="54"/>
  <c r="E10" i="54"/>
  <c r="U5" i="54"/>
  <c r="U7" i="54"/>
  <c r="K250" i="50"/>
  <c r="K254" i="50"/>
  <c r="K249" i="50"/>
  <c r="K256" i="50"/>
  <c r="K258" i="50"/>
  <c r="K246" i="50"/>
  <c r="K247" i="50"/>
  <c r="K248" i="50"/>
  <c r="K253" i="50"/>
  <c r="K251" i="50"/>
  <c r="K252" i="50"/>
  <c r="K255" i="50"/>
  <c r="K257" i="50"/>
  <c r="P5" i="51"/>
  <c r="P7" i="51"/>
  <c r="E5" i="51"/>
  <c r="P6" i="51"/>
  <c r="B194" i="50"/>
  <c r="B198" i="50"/>
  <c r="C231" i="50" s="1"/>
  <c r="C250" i="50" s="1"/>
  <c r="B202" i="50"/>
  <c r="C235" i="50" s="1"/>
  <c r="D5" i="50"/>
  <c r="B195" i="50"/>
  <c r="C228" i="50" s="1"/>
  <c r="C247" i="50" s="1"/>
  <c r="B199" i="50"/>
  <c r="C232" i="50" s="1"/>
  <c r="C251" i="50" s="1"/>
  <c r="B203" i="50"/>
  <c r="C236" i="50" s="1"/>
  <c r="D8" i="50"/>
  <c r="F8" i="50"/>
  <c r="B196" i="50"/>
  <c r="C229" i="50" s="1"/>
  <c r="C248" i="50" s="1"/>
  <c r="B200" i="50"/>
  <c r="C233" i="50" s="1"/>
  <c r="C252" i="50" s="1"/>
  <c r="B197" i="50"/>
  <c r="C230" i="50" s="1"/>
  <c r="B201" i="50"/>
  <c r="C234" i="50" s="1"/>
  <c r="T6" i="54"/>
  <c r="E9" i="54"/>
  <c r="I35" i="46" s="1"/>
  <c r="T5" i="54"/>
  <c r="T7" i="54"/>
  <c r="V5" i="54"/>
  <c r="V7" i="54"/>
  <c r="E11" i="54"/>
  <c r="V6" i="54"/>
  <c r="D54" i="46" l="1"/>
  <c r="D57" i="46"/>
  <c r="L250" i="50"/>
  <c r="L255" i="50"/>
  <c r="L247" i="50"/>
  <c r="M247" i="50" s="1"/>
  <c r="L253" i="50"/>
  <c r="M253" i="50" s="1"/>
  <c r="L248" i="50"/>
  <c r="M248" i="50" s="1"/>
  <c r="L252" i="50"/>
  <c r="L257" i="50"/>
  <c r="M257" i="50" s="1"/>
  <c r="L258" i="50"/>
  <c r="E27" i="51" s="1"/>
  <c r="F27" i="51" s="1"/>
  <c r="L251" i="50"/>
  <c r="M251" i="50" s="1"/>
  <c r="E210" i="50"/>
  <c r="L256" i="50"/>
  <c r="L249" i="50"/>
  <c r="L254" i="50"/>
  <c r="K249" i="53"/>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J16" i="46"/>
  <c r="J19" i="46"/>
  <c r="D252" i="53"/>
  <c r="E252" i="53" s="1"/>
  <c r="E251" i="53"/>
  <c r="E250" i="53"/>
  <c r="D249" i="53"/>
  <c r="D246" i="53"/>
  <c r="D247" i="53"/>
  <c r="E247" i="53" s="1"/>
  <c r="D248" i="53"/>
  <c r="E248" i="53" s="1"/>
  <c r="E210" i="53"/>
  <c r="J227" i="53"/>
  <c r="J246" i="53" s="1"/>
  <c r="L246" i="50"/>
  <c r="H16" i="46"/>
  <c r="H19" i="46"/>
  <c r="D246" i="50"/>
  <c r="D247" i="50"/>
  <c r="E247" i="50" s="1"/>
  <c r="D248" i="50"/>
  <c r="E248" i="50" s="1"/>
  <c r="D252" i="50"/>
  <c r="E252" i="50" s="1"/>
  <c r="E251" i="50"/>
  <c r="E250" i="50"/>
  <c r="D249" i="50"/>
  <c r="B204" i="50"/>
  <c r="C227" i="50"/>
  <c r="C246" i="50" s="1"/>
  <c r="B204" i="53"/>
  <c r="C227" i="53"/>
  <c r="C246" i="53" s="1"/>
  <c r="I16" i="46"/>
  <c r="I19" i="46"/>
  <c r="E57" i="46" l="1"/>
  <c r="E54" i="46"/>
  <c r="E24" i="51"/>
  <c r="F24" i="51" s="1"/>
  <c r="M255" i="50"/>
  <c r="E19" i="51"/>
  <c r="F19" i="51" s="1"/>
  <c r="M250" i="50"/>
  <c r="E16" i="51"/>
  <c r="F16" i="51" s="1"/>
  <c r="E22" i="51"/>
  <c r="F22" i="51" s="1"/>
  <c r="E17" i="51"/>
  <c r="F17" i="51" s="1"/>
  <c r="E21" i="51"/>
  <c r="F21" i="51" s="1"/>
  <c r="M252" i="50"/>
  <c r="E26" i="51"/>
  <c r="F26" i="51" s="1"/>
  <c r="M258" i="50"/>
  <c r="M256" i="50"/>
  <c r="E25" i="51"/>
  <c r="F25" i="51" s="1"/>
  <c r="M249" i="50"/>
  <c r="E18" i="51"/>
  <c r="F18" i="51" s="1"/>
  <c r="E20" i="51"/>
  <c r="F20" i="51" s="1"/>
  <c r="M254" i="50"/>
  <c r="E23" i="51"/>
  <c r="F23" i="51" s="1"/>
  <c r="L246" i="53"/>
  <c r="E246" i="53"/>
  <c r="E246" i="50"/>
  <c r="M254" i="53"/>
  <c r="E23" i="54"/>
  <c r="F23" i="54" s="1"/>
  <c r="F252" i="53"/>
  <c r="D8" i="54"/>
  <c r="G23" i="46" s="1"/>
  <c r="F252" i="50"/>
  <c r="D8" i="51"/>
  <c r="F248" i="53"/>
  <c r="D4" i="54"/>
  <c r="E23" i="46" s="1"/>
  <c r="F247" i="50"/>
  <c r="D3" i="51"/>
  <c r="D4" i="46" s="1"/>
  <c r="M252" i="53"/>
  <c r="E21" i="54"/>
  <c r="F21" i="54" s="1"/>
  <c r="M250" i="53"/>
  <c r="E19" i="54"/>
  <c r="F19" i="54" s="1"/>
  <c r="M247" i="53"/>
  <c r="E16" i="54"/>
  <c r="F16" i="54" s="1"/>
  <c r="M246" i="50"/>
  <c r="E15" i="51"/>
  <c r="F15" i="51" s="1"/>
  <c r="F247" i="53"/>
  <c r="D3" i="54"/>
  <c r="D23" i="46" s="1"/>
  <c r="M248" i="53"/>
  <c r="E17" i="54"/>
  <c r="F17" i="54" s="1"/>
  <c r="D6" i="51"/>
  <c r="M251" i="53"/>
  <c r="E20" i="54"/>
  <c r="F20" i="54" s="1"/>
  <c r="D7" i="51"/>
  <c r="M256" i="53"/>
  <c r="E25" i="54"/>
  <c r="F25" i="54" s="1"/>
  <c r="M257" i="53"/>
  <c r="E26" i="54"/>
  <c r="F26" i="54" s="1"/>
  <c r="F248" i="50"/>
  <c r="D4" i="51"/>
  <c r="E4" i="46" s="1"/>
  <c r="D6" i="54"/>
  <c r="M249" i="53"/>
  <c r="E18" i="54"/>
  <c r="F18" i="54" s="1"/>
  <c r="M255" i="53"/>
  <c r="E24" i="54"/>
  <c r="F24" i="54" s="1"/>
  <c r="D7" i="54"/>
  <c r="M253" i="53"/>
  <c r="E22" i="54"/>
  <c r="F22" i="54" s="1"/>
  <c r="M258" i="53"/>
  <c r="E27" i="54"/>
  <c r="F27" i="54" s="1"/>
  <c r="E38" i="46" l="1"/>
  <c r="E35" i="46"/>
  <c r="G35" i="46"/>
  <c r="G38" i="46"/>
  <c r="B16" i="88"/>
  <c r="F16" i="88" s="1"/>
  <c r="G4" i="46"/>
  <c r="F4" i="51"/>
  <c r="B14" i="88"/>
  <c r="F14" i="88" s="1"/>
  <c r="F6" i="51"/>
  <c r="F3" i="51"/>
  <c r="B13" i="88"/>
  <c r="F13" i="88" s="1"/>
  <c r="G54" i="46"/>
  <c r="G57" i="46"/>
  <c r="G27" i="51"/>
  <c r="H27" i="51" s="1"/>
  <c r="G23" i="51"/>
  <c r="H23" i="51" s="1"/>
  <c r="M260" i="50"/>
  <c r="E15" i="54"/>
  <c r="F15" i="54" s="1"/>
  <c r="G18" i="54" s="1"/>
  <c r="M246" i="53"/>
  <c r="M260" i="53" s="1"/>
  <c r="D2" i="54"/>
  <c r="C23" i="46" s="1"/>
  <c r="F246" i="53"/>
  <c r="F254" i="53" s="1"/>
  <c r="D2" i="51"/>
  <c r="F246" i="50"/>
  <c r="F254" i="50" s="1"/>
  <c r="G27" i="54"/>
  <c r="H27" i="54" s="1"/>
  <c r="O5" i="51"/>
  <c r="O7" i="51"/>
  <c r="E4" i="51"/>
  <c r="O6" i="51"/>
  <c r="S6" i="54"/>
  <c r="E8" i="54"/>
  <c r="S5" i="54"/>
  <c r="S7" i="54"/>
  <c r="E6" i="54"/>
  <c r="Q5" i="54"/>
  <c r="Q7" i="54"/>
  <c r="Q6" i="54"/>
  <c r="G18" i="51"/>
  <c r="F31" i="51"/>
  <c r="N5" i="51"/>
  <c r="N7" i="51"/>
  <c r="N6" i="51"/>
  <c r="E3" i="51"/>
  <c r="R6" i="54"/>
  <c r="R5" i="54"/>
  <c r="R7" i="54"/>
  <c r="E7" i="54"/>
  <c r="N5" i="54"/>
  <c r="N7" i="54"/>
  <c r="N6" i="54"/>
  <c r="E3" i="54"/>
  <c r="O5" i="54"/>
  <c r="O7" i="54"/>
  <c r="E4" i="54"/>
  <c r="O6" i="54"/>
  <c r="E6" i="51"/>
  <c r="Q5" i="51"/>
  <c r="Q7" i="51"/>
  <c r="Q6" i="51"/>
  <c r="R6" i="51"/>
  <c r="R5" i="51"/>
  <c r="R7" i="51"/>
  <c r="E7" i="51"/>
  <c r="G23" i="54"/>
  <c r="H23" i="54" s="1"/>
  <c r="S6" i="51"/>
  <c r="E8" i="51"/>
  <c r="S5" i="51"/>
  <c r="S7" i="51"/>
  <c r="C31" i="46" l="1"/>
  <c r="D31" i="46" s="1"/>
  <c r="E31" i="46" s="1"/>
  <c r="C28" i="46"/>
  <c r="D28" i="46" s="1"/>
  <c r="E28" i="46" s="1"/>
  <c r="C38" i="46"/>
  <c r="C35" i="46"/>
  <c r="C12" i="46"/>
  <c r="D12" i="46" s="1"/>
  <c r="E12" i="46" s="1"/>
  <c r="G12" i="46" s="1"/>
  <c r="H12" i="46" s="1"/>
  <c r="C9" i="46"/>
  <c r="D9" i="46" s="1"/>
  <c r="E9" i="46" s="1"/>
  <c r="G9" i="46" s="1"/>
  <c r="H9" i="46" s="1"/>
  <c r="B12" i="88"/>
  <c r="F12" i="88" s="1"/>
  <c r="C4" i="46"/>
  <c r="C19" i="46" s="1"/>
  <c r="J22" i="51"/>
  <c r="B25" i="88"/>
  <c r="F25" i="88" s="1"/>
  <c r="J21" i="51"/>
  <c r="B24" i="88"/>
  <c r="F24" i="88" s="1"/>
  <c r="F2" i="51"/>
  <c r="H57" i="46"/>
  <c r="H54" i="46"/>
  <c r="M7" i="54"/>
  <c r="C36" i="51"/>
  <c r="O4" i="51" s="1"/>
  <c r="C35" i="51"/>
  <c r="R3" i="51" s="1"/>
  <c r="F31" i="54"/>
  <c r="F276" i="50"/>
  <c r="F277" i="50" s="1"/>
  <c r="M5" i="54"/>
  <c r="E2" i="54"/>
  <c r="M6" i="54"/>
  <c r="M7" i="51"/>
  <c r="M5" i="51"/>
  <c r="M6" i="51"/>
  <c r="E2" i="51"/>
  <c r="E12" i="51" s="1"/>
  <c r="G16" i="46"/>
  <c r="G19" i="46"/>
  <c r="C35" i="54"/>
  <c r="F276" i="53"/>
  <c r="F277" i="53" s="1"/>
  <c r="H18" i="54"/>
  <c r="C25" i="46" s="1"/>
  <c r="G31" i="54"/>
  <c r="E16" i="46"/>
  <c r="E19" i="46"/>
  <c r="H18" i="51"/>
  <c r="G31" i="51"/>
  <c r="D16" i="46"/>
  <c r="D19" i="46"/>
  <c r="C36" i="54"/>
  <c r="C29" i="46" l="1"/>
  <c r="G31" i="46"/>
  <c r="E32" i="46"/>
  <c r="C32" i="46"/>
  <c r="G28" i="46"/>
  <c r="E29" i="46"/>
  <c r="D25" i="46"/>
  <c r="D26" i="46" s="1"/>
  <c r="E25" i="46"/>
  <c r="E26" i="46" s="1"/>
  <c r="F25" i="46"/>
  <c r="F26" i="46" s="1"/>
  <c r="G25" i="46"/>
  <c r="G26" i="46" s="1"/>
  <c r="H25" i="46"/>
  <c r="H26" i="46" s="1"/>
  <c r="I25" i="46"/>
  <c r="I26" i="46" s="1"/>
  <c r="J25" i="46"/>
  <c r="J26" i="46" s="1"/>
  <c r="E12" i="54"/>
  <c r="C26" i="46"/>
  <c r="C6" i="46"/>
  <c r="C7" i="46" s="1"/>
  <c r="D6" i="46"/>
  <c r="D7" i="46" s="1"/>
  <c r="E6" i="46"/>
  <c r="E7" i="46" s="1"/>
  <c r="F6" i="46"/>
  <c r="F7" i="46" s="1"/>
  <c r="G6" i="46"/>
  <c r="G7" i="46" s="1"/>
  <c r="H6" i="46"/>
  <c r="H7" i="46" s="1"/>
  <c r="I6" i="46"/>
  <c r="I7" i="46" s="1"/>
  <c r="J6" i="46"/>
  <c r="J7" i="46" s="1"/>
  <c r="J20" i="51"/>
  <c r="B23" i="88"/>
  <c r="F23" i="88" s="1"/>
  <c r="J54" i="46"/>
  <c r="I54" i="46"/>
  <c r="C48" i="46"/>
  <c r="C51" i="46"/>
  <c r="J45" i="46"/>
  <c r="I45" i="46"/>
  <c r="H45" i="46"/>
  <c r="G45" i="46"/>
  <c r="F45" i="46"/>
  <c r="E45" i="46"/>
  <c r="D45" i="46"/>
  <c r="C45" i="46"/>
  <c r="J57" i="46"/>
  <c r="I57" i="46"/>
  <c r="C16" i="46"/>
  <c r="C10" i="46"/>
  <c r="E10" i="46"/>
  <c r="D10" i="46"/>
  <c r="D13" i="46"/>
  <c r="E13" i="46"/>
  <c r="C13" i="46"/>
  <c r="G10" i="46"/>
  <c r="H10" i="46"/>
  <c r="I9" i="46"/>
  <c r="J9" i="46" s="1"/>
  <c r="J10" i="46" s="1"/>
  <c r="Q3" i="51"/>
  <c r="S3" i="51"/>
  <c r="M3" i="51"/>
  <c r="N3" i="51"/>
  <c r="U3" i="51"/>
  <c r="V3" i="51"/>
  <c r="O3" i="51"/>
  <c r="S4" i="51"/>
  <c r="U4" i="51"/>
  <c r="R4" i="51"/>
  <c r="N4" i="51"/>
  <c r="M4" i="51"/>
  <c r="Q4" i="51"/>
  <c r="T4" i="51"/>
  <c r="P4" i="51"/>
  <c r="V4" i="51"/>
  <c r="T3" i="51"/>
  <c r="P3" i="51"/>
  <c r="P3" i="54"/>
  <c r="T3" i="54"/>
  <c r="U3" i="54"/>
  <c r="V3" i="54"/>
  <c r="M3" i="54"/>
  <c r="Q3" i="54"/>
  <c r="R3" i="54"/>
  <c r="S3" i="54"/>
  <c r="N3" i="54"/>
  <c r="O3" i="54"/>
  <c r="T4" i="54"/>
  <c r="V4" i="54"/>
  <c r="U4" i="54"/>
  <c r="P4" i="54"/>
  <c r="R4" i="54"/>
  <c r="S4" i="54"/>
  <c r="N4" i="54"/>
  <c r="O4" i="54"/>
  <c r="Q4" i="54"/>
  <c r="M4" i="54"/>
  <c r="G13" i="46"/>
  <c r="I12" i="46"/>
  <c r="H13" i="46"/>
  <c r="C34" i="54"/>
  <c r="C34" i="51"/>
  <c r="H31" i="46" l="1"/>
  <c r="G32" i="46"/>
  <c r="H28" i="46"/>
  <c r="G29" i="46"/>
  <c r="D32" i="46"/>
  <c r="D38" i="46"/>
  <c r="D35" i="46"/>
  <c r="D29" i="46"/>
  <c r="D51" i="46"/>
  <c r="D48" i="46"/>
  <c r="I10" i="46"/>
  <c r="U2" i="54"/>
  <c r="V2" i="54"/>
  <c r="T2" i="54"/>
  <c r="P2" i="54"/>
  <c r="R2" i="54"/>
  <c r="S2" i="54"/>
  <c r="N2" i="54"/>
  <c r="O2" i="54"/>
  <c r="Q2" i="54"/>
  <c r="M2" i="54"/>
  <c r="V2" i="51"/>
  <c r="U2" i="51"/>
  <c r="T2" i="51"/>
  <c r="P2" i="51"/>
  <c r="S2" i="51"/>
  <c r="N2" i="51"/>
  <c r="M2" i="51"/>
  <c r="Q2" i="51"/>
  <c r="O2" i="51"/>
  <c r="R2" i="51"/>
  <c r="J12" i="46"/>
  <c r="J13" i="46" s="1"/>
  <c r="I13" i="46"/>
  <c r="I31" i="46" l="1"/>
  <c r="H32" i="46"/>
  <c r="I28" i="46"/>
  <c r="H29" i="46"/>
  <c r="E48" i="46"/>
  <c r="E51" i="46"/>
  <c r="J31" i="46" l="1"/>
  <c r="J32" i="46" s="1"/>
  <c r="I32" i="46"/>
  <c r="J28" i="46"/>
  <c r="J29" i="46" s="1"/>
  <c r="I29" i="46"/>
  <c r="G51" i="46"/>
  <c r="G48" i="46"/>
  <c r="H48" i="46" l="1"/>
  <c r="H51" i="46"/>
  <c r="J51" i="46" l="1"/>
  <c r="I51" i="46"/>
  <c r="J48" i="46"/>
  <c r="I48" i="46"/>
</calcChain>
</file>

<file path=xl/sharedStrings.xml><?xml version="1.0" encoding="utf-8"?>
<sst xmlns="http://schemas.openxmlformats.org/spreadsheetml/2006/main" count="9401" uniqueCount="549">
  <si>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</si>
  <si>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</si>
  <si>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</si>
  <si>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</si>
  <si>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</si>
  <si>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</si>
  <si>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</si>
  <si>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</si>
  <si>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</si>
  <si>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</si>
  <si>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</si>
  <si>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</si>
  <si>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</si>
  <si>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</si>
  <si>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</si>
  <si>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</si>
  <si>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</si>
  <si>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</si>
  <si>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</si>
  <si>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</si>
  <si>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</si>
  <si>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</si>
  <si>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</si>
  <si>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</si>
  <si>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</si>
  <si>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</si>
  <si>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</si>
  <si>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</si>
  <si>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</si>
  <si>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</si>
  <si>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PR-GUAPIMIRIM</t>
  </si>
  <si>
    <t>Área de Concessão</t>
  </si>
  <si>
    <t>Comgás</t>
  </si>
  <si>
    <t>Gasmig</t>
  </si>
  <si>
    <t>Naturgy-RJ (CEG)</t>
  </si>
  <si>
    <t>Demanda em mil m3/dia - Saída</t>
  </si>
  <si>
    <t>Demanda em MMBtu/ano - Entrada</t>
  </si>
  <si>
    <t>Demanda em MMBtu/ano - Saída</t>
  </si>
  <si>
    <t>UF</t>
  </si>
  <si>
    <t>PONTOS DE ENTREGA</t>
  </si>
  <si>
    <t>ZONA</t>
  </si>
  <si>
    <t>EX1</t>
  </si>
  <si>
    <t>EX2</t>
  </si>
  <si>
    <t>EX3</t>
  </si>
  <si>
    <t>EX4</t>
  </si>
  <si>
    <t>EX5</t>
  </si>
  <si>
    <t>EX6</t>
  </si>
  <si>
    <t>EX7</t>
  </si>
  <si>
    <t>EX8</t>
  </si>
  <si>
    <t>EX9</t>
  </si>
  <si>
    <t>EX10</t>
  </si>
  <si>
    <t>EX11</t>
  </si>
  <si>
    <t>EX12</t>
  </si>
  <si>
    <t>EX13</t>
  </si>
  <si>
    <t>EX14</t>
  </si>
  <si>
    <t>EX15</t>
  </si>
  <si>
    <t>EX16</t>
  </si>
  <si>
    <t>Canoas</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</si>
  <si>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</si>
  <si>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</si>
  <si>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</si>
  <si>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</si>
  <si>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</si>
  <si>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</si>
  <si>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</si>
  <si>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</si>
  <si>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</si>
  <si>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</si>
  <si>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</si>
  <si>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</si>
  <si>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</si>
  <si>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</si>
  <si>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</si>
  <si>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</si>
  <si>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</si>
  <si>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</si>
  <si>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</si>
  <si>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</si>
  <si>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</si>
  <si>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</si>
  <si>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</si>
  <si>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</si>
  <si>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</si>
  <si>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</si>
  <si>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</si>
  <si>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</si>
  <si>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</si>
  <si>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</si>
  <si>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</si>
  <si>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</si>
  <si>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</si>
  <si>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</si>
  <si>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</si>
  <si>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</si>
  <si>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</si>
  <si>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</si>
  <si>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</si>
  <si>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</si>
  <si>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</si>
  <si>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</si>
  <si>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</si>
  <si>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</si>
  <si>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</si>
  <si>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</si>
  <si>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</si>
  <si>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SE</t>
  </si>
  <si>
    <t>AL</t>
  </si>
  <si>
    <t>PB</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</si>
  <si>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</si>
  <si>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</si>
  <si>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</si>
  <si>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</si>
  <si>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</si>
  <si>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</si>
  <si>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</si>
  <si>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</si>
  <si>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</si>
  <si>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</si>
  <si>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</si>
  <si>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</si>
  <si>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</si>
  <si>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</si>
  <si>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</si>
  <si>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</si>
  <si>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</si>
  <si>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</si>
  <si>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</si>
  <si>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</si>
  <si>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</si>
  <si>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</si>
  <si>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</si>
  <si>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</si>
  <si>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</si>
  <si>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</si>
  <si>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</si>
  <si>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</si>
  <si>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</si>
  <si>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</si>
  <si>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</si>
  <si>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</si>
  <si>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</si>
  <si>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</si>
  <si>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</si>
  <si>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</si>
  <si>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</si>
  <si>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</si>
  <si>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</si>
  <si>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</si>
  <si>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</si>
  <si>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</si>
  <si>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</si>
  <si>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</si>
  <si>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</si>
  <si>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</si>
  <si>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</si>
  <si>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</si>
  <si>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</si>
  <si>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</si>
  <si>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</si>
  <si>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</si>
  <si>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</si>
  <si>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</si>
  <si>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</si>
  <si>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</si>
  <si>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</si>
  <si>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</si>
  <si>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DE</t>
  </si>
  <si>
    <t>PARA</t>
  </si>
  <si>
    <t>Distância (km)</t>
  </si>
  <si>
    <t>Fluxo 1</t>
  </si>
  <si>
    <t>Capac. 1</t>
  </si>
  <si>
    <t>Fluxo2</t>
  </si>
  <si>
    <t>Capac. 2</t>
  </si>
  <si>
    <t>Limite Capac.</t>
  </si>
  <si>
    <t>ID_ARCO</t>
  </si>
  <si>
    <t>ID_NÓ</t>
  </si>
  <si>
    <t>MS 1</t>
  </si>
  <si>
    <t>SP 1</t>
  </si>
  <si>
    <t>SP 2</t>
  </si>
  <si>
    <t>SP 3</t>
  </si>
  <si>
    <t>SP 4</t>
  </si>
  <si>
    <t>PR 1</t>
  </si>
  <si>
    <t>SC 1</t>
  </si>
  <si>
    <t>SC 2</t>
  </si>
  <si>
    <t>RS 1</t>
  </si>
  <si>
    <t>MG 4</t>
  </si>
  <si>
    <t/>
  </si>
  <si>
    <t>RJ 4</t>
  </si>
  <si>
    <t>RJ 2</t>
  </si>
  <si>
    <t>RJ 3</t>
  </si>
  <si>
    <t>MG 3</t>
  </si>
  <si>
    <t>MG 2</t>
  </si>
  <si>
    <t>MG 1</t>
  </si>
  <si>
    <t>RJ 5</t>
  </si>
  <si>
    <t>RJ 1</t>
  </si>
  <si>
    <t>ES1</t>
  </si>
  <si>
    <t>ES3</t>
  </si>
  <si>
    <t>ES2</t>
  </si>
  <si>
    <t>BA1</t>
  </si>
  <si>
    <t>BA5</t>
  </si>
  <si>
    <t>BA4</t>
  </si>
  <si>
    <t>BA3</t>
  </si>
  <si>
    <t>BA2</t>
  </si>
  <si>
    <t>PE1</t>
  </si>
  <si>
    <t>PE2</t>
  </si>
  <si>
    <t>RN1</t>
  </si>
  <si>
    <t>RN2</t>
  </si>
  <si>
    <t>RN3</t>
  </si>
  <si>
    <t>CE1</t>
  </si>
  <si>
    <t>CE2</t>
  </si>
  <si>
    <t>Cenário 1 - Referência</t>
  </si>
  <si>
    <t>INTERCONEXÃO NTS-TAG (TECAB)</t>
  </si>
  <si>
    <t>INTERCONEXÃO NTS-TBG (REPLAN)</t>
  </si>
  <si>
    <t>INTERCONEXÃO NTS-TAG (GUARAREMA)</t>
  </si>
  <si>
    <t>GASPAJ</t>
  </si>
  <si>
    <t>Capacidade Técnica</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</si>
  <si>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</si>
  <si>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</si>
  <si>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</si>
  <si>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</si>
  <si>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</si>
  <si>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</si>
  <si>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</si>
  <si>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</si>
  <si>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</si>
  <si>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</si>
  <si>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</si>
  <si>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</si>
  <si>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</si>
  <si>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</si>
  <si>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</si>
  <si>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</si>
  <si>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</si>
  <si>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</si>
  <si>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</si>
  <si>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</si>
  <si>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</si>
  <si>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</si>
  <si>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</si>
  <si>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</si>
  <si>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</si>
  <si>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E-RD-6711</t>
  </si>
  <si>
    <t>PR-REPLAN</t>
  </si>
  <si>
    <t>PR-GASPAJ</t>
  </si>
  <si>
    <t>PR-CARAGUA</t>
  </si>
  <si>
    <t>PR-GUARARE</t>
  </si>
  <si>
    <t>GUAPIMIRIM</t>
  </si>
  <si>
    <t>JAPERI</t>
  </si>
  <si>
    <t>GASINF</t>
  </si>
  <si>
    <t>CABIUNAS</t>
  </si>
  <si>
    <t>R-RD-6711</t>
  </si>
  <si>
    <t>PR-CARAGUA-TATUBA</t>
  </si>
  <si>
    <t>BC
[MMBTU]</t>
  </si>
  <si>
    <t>T</t>
  </si>
  <si>
    <t>BC total UF</t>
  </si>
  <si>
    <t>R</t>
  </si>
  <si>
    <t>R total UF</t>
  </si>
  <si>
    <t>Tponderada</t>
  </si>
  <si>
    <t>SP</t>
  </si>
  <si>
    <t>Matriz de distâncias do traçado</t>
  </si>
  <si>
    <t>PE-GD3CEL</t>
  </si>
  <si>
    <t>PR-GD3CEL</t>
  </si>
  <si>
    <t>PE-GUARARE</t>
  </si>
  <si>
    <t>PE-REPLAN</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</si>
  <si>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</si>
  <si>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</si>
  <si>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</si>
  <si>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</si>
  <si>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</si>
  <si>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</si>
  <si>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</si>
  <si>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</si>
  <si>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</si>
  <si>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</si>
  <si>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</si>
  <si>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</si>
  <si>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</si>
  <si>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</si>
  <si>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</si>
  <si>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</si>
  <si>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</si>
  <si>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CEN</t>
    </r>
    <r>
      <rPr>
        <vertAlign val="subscript"/>
        <sz val="12"/>
        <color theme="0"/>
        <rFont val="Calibri"/>
        <family val="2"/>
        <scheme val="minor"/>
      </rPr>
      <t>i</t>
    </r>
    <r>
      <rPr>
        <sz val="12"/>
        <color theme="0"/>
        <rFont val="Calibri"/>
        <family val="2"/>
        <scheme val="minor"/>
      </rPr>
      <t xml:space="preserve">
[mil m³@9.400]</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</si>
  <si>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</si>
  <si>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</si>
  <si>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</si>
  <si>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CEX</t>
    </r>
    <r>
      <rPr>
        <vertAlign val="subscript"/>
        <sz val="12"/>
        <color theme="0"/>
        <rFont val="Calibri"/>
        <family val="2"/>
        <scheme val="minor"/>
      </rPr>
      <t>i</t>
    </r>
    <r>
      <rPr>
        <sz val="12"/>
        <color theme="0"/>
        <rFont val="Calibri"/>
        <family val="2"/>
        <scheme val="minor"/>
      </rPr>
      <t xml:space="preserve">
[mil m³@9.400]</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</si>
  <si>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</si>
  <si>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</si>
  <si>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</si>
  <si>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</si>
  <si>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</si>
  <si>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</si>
  <si>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</si>
  <si>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</si>
  <si>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</si>
  <si>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</si>
  <si>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</si>
  <si>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</si>
  <si>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</si>
  <si>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</si>
  <si>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</si>
  <si>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</si>
  <si>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</si>
  <si>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</si>
  <si>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</si>
  <si>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</si>
  <si>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</si>
  <si>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</si>
  <si>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</si>
  <si>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</si>
  <si>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</si>
  <si>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</si>
  <si>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</si>
  <si>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</si>
  <si>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</si>
  <si>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</si>
  <si>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</si>
  <si>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</si>
  <si>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</si>
  <si>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</si>
  <si>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</si>
  <si>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</si>
  <si>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</si>
  <si>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</si>
  <si>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</si>
  <si>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</si>
  <si>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</si>
  <si>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</si>
  <si>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</si>
  <si>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</si>
  <si>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</si>
  <si>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</si>
  <si>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</si>
  <si>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</si>
  <si>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</si>
  <si>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</si>
  <si>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</si>
  <si>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</si>
  <si>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</si>
  <si>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</si>
  <si>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</si>
  <si>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</si>
  <si>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</si>
  <si>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</si>
  <si>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</si>
  <si>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</si>
  <si>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</si>
  <si>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</si>
  <si>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</si>
  <si>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</si>
  <si>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</si>
  <si>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</si>
  <si>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</si>
  <si>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</si>
  <si>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</si>
  <si>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</si>
  <si>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</si>
  <si>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</si>
  <si>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</si>
  <si>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</si>
  <si>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</si>
  <si>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</si>
  <si>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</si>
  <si>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</si>
  <si>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</si>
  <si>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</si>
  <si>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</si>
  <si>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</si>
  <si>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</si>
  <si>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</si>
  <si>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</si>
  <si>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</si>
  <si>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</si>
  <si>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</si>
  <si>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</si>
  <si>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</si>
  <si>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</si>
  <si>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</si>
  <si>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</si>
  <si>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</si>
  <si>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</si>
  <si>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</si>
  <si>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</si>
  <si>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</si>
  <si>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</si>
  <si>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</si>
  <si>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</si>
  <si>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</si>
  <si>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</si>
  <si>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</si>
  <si>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</si>
  <si>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</si>
  <si>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</si>
  <si>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</si>
  <si>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</si>
  <si>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</si>
  <si>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</si>
  <si>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</si>
  <si>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</si>
  <si>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</si>
  <si>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</si>
  <si>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</si>
  <si>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</si>
  <si>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</si>
  <si>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</si>
  <si>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</si>
  <si>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</si>
  <si>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</si>
  <si>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</si>
  <si>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</si>
  <si>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</si>
  <si>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</si>
  <si>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</si>
  <si>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</si>
  <si>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</si>
  <si>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</si>
  <si>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</si>
  <si>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</si>
  <si>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</si>
  <si>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</si>
  <si>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</si>
  <si>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</si>
  <si>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</si>
  <si>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</si>
  <si>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</si>
  <si>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</si>
  <si>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</si>
  <si>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</si>
  <si>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</si>
  <si>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</si>
  <si>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</si>
  <si>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</si>
  <si>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</si>
  <si>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</si>
  <si>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</si>
  <si>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</si>
  <si>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</si>
  <si>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</si>
  <si>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</si>
  <si>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</si>
  <si>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</si>
  <si>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</si>
  <si>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</si>
  <si>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</si>
  <si>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</si>
  <si>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r>
      <t>Oferta em mil m</t>
    </r>
    <r>
      <rPr>
        <vertAlign val="superscript"/>
        <sz val="12"/>
        <color theme="0"/>
        <rFont val="Calibri Light"/>
        <family val="2"/>
        <scheme val="major"/>
      </rPr>
      <t>3</t>
    </r>
    <r>
      <rPr>
        <sz val="12"/>
        <color theme="0"/>
        <rFont val="Calibri Light"/>
        <family val="2"/>
        <scheme val="major"/>
      </rPr>
      <t>/dia - Entrada</t>
    </r>
  </si>
  <si>
    <r>
      <t>Oferta mil m</t>
    </r>
    <r>
      <rPr>
        <vertAlign val="superscript"/>
        <sz val="12"/>
        <color theme="0"/>
        <rFont val="Calibri Light"/>
        <family val="2"/>
        <scheme val="major"/>
      </rPr>
      <t xml:space="preserve">3 </t>
    </r>
    <r>
      <rPr>
        <sz val="12"/>
        <color theme="0"/>
        <rFont val="Calibri Light"/>
        <family val="2"/>
        <scheme val="major"/>
      </rPr>
      <t>por ano - Entrada</t>
    </r>
  </si>
  <si>
    <r>
      <t>Demanda mil m</t>
    </r>
    <r>
      <rPr>
        <vertAlign val="superscript"/>
        <sz val="12"/>
        <color theme="0"/>
        <rFont val="Calibri Light"/>
        <family val="2"/>
        <scheme val="major"/>
      </rPr>
      <t>3</t>
    </r>
    <r>
      <rPr>
        <sz val="12"/>
        <color theme="0"/>
        <rFont val="Calibri Light"/>
        <family val="2"/>
        <scheme val="major"/>
      </rPr>
      <t xml:space="preserve"> por ano - Saída</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</si>
  <si>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</si>
  <si>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</si>
  <si>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</si>
  <si>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</si>
  <si>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</si>
  <si>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</si>
  <si>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</si>
  <si>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</si>
  <si>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</si>
  <si>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</si>
  <si>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</si>
  <si>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</si>
  <si>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</si>
  <si>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</si>
  <si>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</si>
  <si>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</si>
  <si>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</si>
  <si>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</si>
  <si>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</si>
  <si>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</si>
  <si>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Receita 2025</t>
  </si>
  <si>
    <t>Multiplicadores Curto Prazo</t>
  </si>
  <si>
    <t>Receita Legados</t>
  </si>
  <si>
    <t>Tarifas E/S por Estado 2025</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</si>
  <si>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</si>
  <si>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</si>
  <si>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</si>
  <si>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</si>
  <si>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</si>
  <si>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</si>
  <si>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</si>
  <si>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</si>
  <si>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</si>
  <si>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</si>
  <si>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</si>
  <si>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</si>
  <si>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</si>
  <si>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</si>
  <si>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Sem aplicação da Conta Regulatória</t>
  </si>
  <si>
    <t>T UF</t>
  </si>
  <si>
    <t>PR-ITABORAÍ</t>
  </si>
  <si>
    <t>Itaboraí</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</si>
  <si>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</si>
  <si>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</si>
  <si>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</si>
  <si>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For each entry point (respectively exit point), calculate capacity-weighted average distance to all exit points (respectively entry points); average distance is weighted by forecasted booked capacity</t>
  </si>
  <si>
    <t>-</t>
  </si>
  <si>
    <t>Paulinia - GASPAJ (interconexão)¹</t>
  </si>
  <si>
    <t>Data</t>
  </si>
  <si>
    <t>4390 - Taxa de juros - Selic acumulada no mês - % a.m.</t>
  </si>
  <si>
    <t>Fonte</t>
  </si>
  <si>
    <t>BCB-Demab</t>
  </si>
  <si>
    <t>Variação Mensal (%)</t>
  </si>
  <si>
    <t>Índice</t>
  </si>
  <si>
    <t>Mês Referência</t>
  </si>
  <si>
    <t>Mês Recebimento</t>
  </si>
  <si>
    <t>Valor Líquido</t>
  </si>
  <si>
    <t>Variação Acum. SELIC</t>
  </si>
  <si>
    <t>Valor Corrigido</t>
  </si>
  <si>
    <t>Penalidades</t>
  </si>
  <si>
    <t>Índice Acumulado</t>
  </si>
  <si>
    <t>Multiplicadores de Curto Prazo</t>
  </si>
  <si>
    <t>Excedentes</t>
  </si>
  <si>
    <t>Ano de Aplicação</t>
  </si>
  <si>
    <r>
      <t>Conta Regulatória:</t>
    </r>
    <r>
      <rPr>
        <sz val="11"/>
        <color theme="1"/>
        <rFont val="Calibri"/>
        <family val="2"/>
        <scheme val="minor"/>
      </rPr>
      <t xml:space="preserve"> abatimento dos valores adicionais apurados com excedentes, penalidades e multiplicadores de curto prazo, corrigidos pela SELIC.</t>
    </r>
  </si>
  <si>
    <t>Total com Proporção</t>
  </si>
  <si>
    <t xml:space="preserve">Proporção de Contratos com Terceiros </t>
  </si>
  <si>
    <t>2022¹</t>
  </si>
  <si>
    <t>Capacidade Comercial</t>
  </si>
  <si>
    <t>¹Referente aos meses jul/22 a dez/22, com recebimento apenas em jul/23.</t>
  </si>
  <si>
    <t>Saldo da Conta Regulatória</t>
  </si>
  <si>
    <t>Ano Referência</t>
  </si>
  <si>
    <t>Tarifas E/S por Estado 2026</t>
  </si>
  <si>
    <t>Tarifas E/S por Estado 2027</t>
  </si>
  <si>
    <t>Tarifas E/S por Estado 2028</t>
  </si>
  <si>
    <t>Manifestação de Interesse - Entrada (mil m³/dia)</t>
  </si>
  <si>
    <t>Manifestação de Interesse - Demanda Saída (mil m³/dia)</t>
  </si>
  <si>
    <t>Tarifas E/S por Estado 2029</t>
  </si>
  <si>
    <t>'</t>
  </si>
  <si>
    <t>Data-base: Jan/25</t>
  </si>
  <si>
    <t>Receita Líquida Contratações POCC 2024</t>
  </si>
  <si>
    <t>RMP Líquida jun-dez/2024</t>
  </si>
  <si>
    <t>Composição</t>
  </si>
  <si>
    <t>GASIG</t>
  </si>
  <si>
    <t>Metodologia de Cálculo</t>
  </si>
  <si>
    <t xml:space="preserve">A tarifa final do POCC 2025-2029 será resultante do somatório entre: </t>
  </si>
  <si>
    <t>ii) tarifa que remunera a receita do GASIG, com cenário de capacidade que considera reservas Petrobras 2025 (ARF) com ajuste proposto pela Petrobras + manifestações de interesse do POCC 2024-2028</t>
  </si>
  <si>
    <t>i) tarifa que remunera a receita dos GTAs Legados, com o cenário de referência de capacidade já aprovado pela ANP para 2025 em 2024, com ajuste no PR Itaboraí para as capacidades já contratadas no POCC 2024-2028</t>
  </si>
  <si>
    <t>Código abas:</t>
  </si>
  <si>
    <t>Tarifas 2025 Legado</t>
  </si>
  <si>
    <t>Tarifas 2025 GASIG</t>
  </si>
  <si>
    <t>R$/MMBTU</t>
  </si>
  <si>
    <t>Interconexão Guararema</t>
  </si>
  <si>
    <t>Interconexão REPLAN</t>
  </si>
  <si>
    <t>Tarifas 2025 Final</t>
  </si>
  <si>
    <t>abas modelo CWD GASIG</t>
  </si>
  <si>
    <t>abas modelo CWD GTAs Legados</t>
  </si>
  <si>
    <t>Interconexão Paulínia</t>
  </si>
  <si>
    <t>Interconexão TECAB</t>
  </si>
  <si>
    <t>data-base jan/25</t>
  </si>
  <si>
    <t>abas de ambos os modelos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</si>
</sst>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4" formatCode="_-&quot;R$&quot;\ * #,##0.00_-;\-&quot;R$&quot;\ * #,##0.00_-;_-&quot;R$&quot;\ * &quot;-&quot;??_-;_-@_-"/>
    <numFmt numFmtId="43" formatCode="_-* #,##0.00_-;\-* #,##0.00_-;_-* &quot;-&quot;??_-;_-@_-"/>
    <numFmt numFmtId="164" formatCode="_(* #,##0.00_);_(* \(#,##0.00\);_(* &quot;-&quot;??_);_(@_)"/>
    <numFmt numFmtId="165" formatCode="#,##0_ ;\-#,##0\ "/>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4" formatCode="_(* #,##0_);_(* \(#,##0\);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
    <numFmt numFmtId="183" formatCode="0.000000000"/>
    <numFmt numFmtId="184" formatCode="[$-409]d\-mmm\-yy;@"/>
    <numFmt numFmtId="185" formatCode="_-&quot;R$&quot;* #,##0.00_-;\-&quot;R$&quot;* #,##0.00_-;_-&quot;R$&quot;* &quot;-&quot;??_-;_-@_-"/>
    <numFmt numFmtId="186" formatCode="0.00000"/>
    <numFmt numFmtId="187" formatCode="_-&quot;R$&quot;\ * #,##0.00_-;\-&quot;R$&quot;\ * #,##0.00_-;_-&quot;R$&quot;\ * &quot;-&quot;?????_-;_-@_-"/>
    <numFmt numFmtId="188" formatCode="_-&quot;R$&quot;\ * #,##0_-;\-&quot;R$&quot;\ * #,##0_-;_-&quot;R$&quot;\ * &quot;-&quot;??_-;_-@_-"/>
    <numFmt numFmtId="189" formatCode="0.0%"/>
    <numFmt numFmtId="190" formatCode="_-* #,##0.0_-;\-* #,##0.0_-;_-* &quot;-&quot;?_-;_-@_-"/>
  </numFmts>
  <fonts count="97"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b/>
      <u/>
      <sz val="11"/>
      <color theme="1"/>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10"/>
      <color theme="0"/>
      <name val="Calibri Light"/>
      <family val="2"/>
      <scheme val="major"/>
    </font>
    <font>
      <sz val="9"/>
      <color theme="1"/>
      <name val="Calibri Light"/>
      <family val="2"/>
      <scheme val="major"/>
    </font>
    <font>
      <b/>
      <sz val="9"/>
      <color theme="1"/>
      <name val="Calibri Light"/>
      <family val="2"/>
      <scheme val="major"/>
    </font>
    <font>
      <b/>
      <sz val="11"/>
      <color rgb="FF00B050"/>
      <name val="Calibri"/>
      <family val="2"/>
      <scheme val="minor"/>
    </font>
    <font>
      <sz val="11"/>
      <color rgb="FF00B050"/>
      <name val="Calibri"/>
      <family val="2"/>
      <scheme val="min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sz val="12"/>
      <color theme="0"/>
      <name val="Calibri Light"/>
      <family val="2"/>
      <scheme val="major"/>
    </font>
    <font>
      <vertAlign val="superscript"/>
      <sz val="12"/>
      <color theme="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sz val="11"/>
      <name val="Calibri"/>
      <family val="2"/>
    </font>
    <font>
      <b/>
      <sz val="9"/>
      <color theme="0"/>
      <name val="Calibri Light"/>
      <family val="2"/>
      <scheme val="major"/>
    </font>
    <font>
      <sz val="10"/>
      <name val="Garamond"/>
      <family val="1"/>
    </font>
    <font>
      <sz val="10"/>
      <color theme="1"/>
      <name val="Arial Narrow"/>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1"/>
      <color indexed="8"/>
      <name val="Segoe UI"/>
      <family val="2"/>
    </font>
    <font>
      <b/>
      <sz val="12"/>
      <color theme="1"/>
      <name val="Calibri"/>
      <family val="2"/>
      <scheme val="minor"/>
    </font>
    <font>
      <b/>
      <sz val="11"/>
      <color rgb="FFFFFFFF"/>
      <name val="Calibri"/>
      <family val="2"/>
    </font>
    <font>
      <sz val="11"/>
      <color rgb="FF000000"/>
      <name val="Calibri"/>
      <family val="2"/>
    </font>
    <font>
      <sz val="11"/>
      <color theme="1"/>
      <name val="Aptos Narrow"/>
      <family val="2"/>
    </font>
    <font>
      <sz val="12"/>
      <color rgb="FF000000"/>
      <name val="Aptos Narrow"/>
      <family val="2"/>
    </font>
    <font>
      <b/>
      <sz val="14"/>
      <color theme="1"/>
      <name val="Calibri"/>
      <family val="2"/>
      <scheme val="minor"/>
    </font>
    <font>
      <i/>
      <sz val="10"/>
      <color theme="1"/>
      <name val="Calibri"/>
      <family val="2"/>
      <scheme val="minor"/>
    </font>
  </fonts>
  <fills count="6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rgb="FF7030A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rgb="FF000000"/>
      </patternFill>
    </fill>
    <fill>
      <patternFill patternType="solid">
        <fgColor rgb="FF003B5C"/>
        <bgColor indexed="64"/>
      </patternFill>
    </fill>
    <fill>
      <patternFill patternType="solid">
        <fgColor theme="1" tint="0.499984740745262"/>
        <bgColor indexed="64"/>
      </patternFill>
    </fill>
    <fill>
      <patternFill patternType="solid">
        <fgColor rgb="FF003B5C"/>
        <bgColor rgb="FF000000"/>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diagonalUp="1">
      <left/>
      <right/>
      <top/>
      <bottom/>
      <diagonal style="thin">
        <color auto="1"/>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rgb="FF000000"/>
      </left>
      <right/>
      <top/>
      <bottom style="thin">
        <color indexed="64"/>
      </bottom>
      <diagonal/>
    </border>
    <border>
      <left style="thin">
        <color theme="0"/>
      </left>
      <right style="thin">
        <color theme="0"/>
      </right>
      <top style="thin">
        <color rgb="FFFFFFFF"/>
      </top>
      <bottom style="thin">
        <color theme="0"/>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s>
  <cellStyleXfs count="982">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8"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9"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0" fontId="1" fillId="19" borderId="20"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84" fontId="6" fillId="0" borderId="0"/>
    <xf numFmtId="43" fontId="1" fillId="0" borderId="0" applyFont="0" applyFill="0" applyBorder="0" applyAlignment="0" applyProtection="0"/>
    <xf numFmtId="184" fontId="6" fillId="0" borderId="0"/>
    <xf numFmtId="0" fontId="71" fillId="0" borderId="0"/>
    <xf numFmtId="185" fontId="1" fillId="0" borderId="0" applyFont="0" applyFill="0" applyBorder="0" applyAlignment="0" applyProtection="0"/>
    <xf numFmtId="0" fontId="19" fillId="0" borderId="0"/>
    <xf numFmtId="43" fontId="19" fillId="0" borderId="0" applyFont="0" applyFill="0" applyBorder="0" applyAlignment="0" applyProtection="0"/>
    <xf numFmtId="0" fontId="6" fillId="0" borderId="0">
      <alignment vertical="top"/>
    </xf>
    <xf numFmtId="0" fontId="72" fillId="0" borderId="0"/>
    <xf numFmtId="9" fontId="1" fillId="0" borderId="0" applyFont="0" applyFill="0" applyBorder="0" applyAlignment="0" applyProtection="0"/>
    <xf numFmtId="0" fontId="6" fillId="0" borderId="0"/>
    <xf numFmtId="22" fontId="6" fillId="0" borderId="0"/>
    <xf numFmtId="0" fontId="1" fillId="0" borderId="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44" borderId="0" applyNumberFormat="0" applyBorder="0" applyAlignment="0" applyProtection="0"/>
    <xf numFmtId="0" fontId="20" fillId="48" borderId="0" applyNumberFormat="0" applyBorder="0" applyAlignment="0" applyProtection="0"/>
    <xf numFmtId="0" fontId="20" fillId="51"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20" fillId="44" borderId="0" applyNumberFormat="0" applyBorder="0" applyAlignment="0" applyProtection="0"/>
    <xf numFmtId="0" fontId="20" fillId="48" borderId="0" applyNumberFormat="0" applyBorder="0" applyAlignment="0" applyProtection="0"/>
    <xf numFmtId="0" fontId="20" fillId="51" borderId="0" applyNumberFormat="0" applyBorder="0" applyAlignment="0" applyProtection="0"/>
    <xf numFmtId="0" fontId="78" fillId="52" borderId="0" applyNumberFormat="0" applyBorder="0" applyAlignment="0" applyProtection="0"/>
    <xf numFmtId="0" fontId="78" fillId="49" borderId="0" applyNumberFormat="0" applyBorder="0" applyAlignment="0" applyProtection="0"/>
    <xf numFmtId="0" fontId="78" fillId="50" borderId="0" applyNumberFormat="0" applyBorder="0" applyAlignment="0" applyProtection="0"/>
    <xf numFmtId="0" fontId="78" fillId="53" borderId="0" applyNumberFormat="0" applyBorder="0" applyAlignment="0" applyProtection="0"/>
    <xf numFmtId="0" fontId="78" fillId="54" borderId="0" applyNumberFormat="0" applyBorder="0" applyAlignment="0" applyProtection="0"/>
    <xf numFmtId="0" fontId="78" fillId="55" borderId="0" applyNumberFormat="0" applyBorder="0" applyAlignment="0" applyProtection="0"/>
    <xf numFmtId="0" fontId="78" fillId="52" borderId="0" applyNumberFormat="0" applyBorder="0" applyAlignment="0" applyProtection="0"/>
    <xf numFmtId="0" fontId="78" fillId="49" borderId="0" applyNumberFormat="0" applyBorder="0" applyAlignment="0" applyProtection="0"/>
    <xf numFmtId="0" fontId="78" fillId="50" borderId="0" applyNumberFormat="0" applyBorder="0" applyAlignment="0" applyProtection="0"/>
    <xf numFmtId="0" fontId="78" fillId="53" borderId="0" applyNumberFormat="0" applyBorder="0" applyAlignment="0" applyProtection="0"/>
    <xf numFmtId="0" fontId="78" fillId="54" borderId="0" applyNumberFormat="0" applyBorder="0" applyAlignment="0" applyProtection="0"/>
    <xf numFmtId="0" fontId="78" fillId="55" borderId="0" applyNumberFormat="0" applyBorder="0" applyAlignment="0" applyProtection="0"/>
    <xf numFmtId="0" fontId="78" fillId="56"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53" borderId="0" applyNumberFormat="0" applyBorder="0" applyAlignment="0" applyProtection="0"/>
    <xf numFmtId="0" fontId="78" fillId="54" borderId="0" applyNumberFormat="0" applyBorder="0" applyAlignment="0" applyProtection="0"/>
    <xf numFmtId="0" fontId="78" fillId="59" borderId="0" applyNumberFormat="0" applyBorder="0" applyAlignment="0" applyProtection="0"/>
    <xf numFmtId="0" fontId="83" fillId="42" borderId="0" applyNumberFormat="0" applyBorder="0" applyAlignment="0" applyProtection="0"/>
    <xf numFmtId="0" fontId="79" fillId="43" borderId="0" applyNumberFormat="0" applyBorder="0" applyAlignment="0" applyProtection="0"/>
    <xf numFmtId="0" fontId="80" fillId="47" borderId="47" applyNumberFormat="0" applyAlignment="0" applyProtection="0"/>
    <xf numFmtId="0" fontId="80" fillId="47" borderId="47" applyNumberFormat="0" applyAlignment="0" applyProtection="0"/>
    <xf numFmtId="0" fontId="81" fillId="60" borderId="48" applyNumberFormat="0" applyAlignment="0" applyProtection="0"/>
    <xf numFmtId="0" fontId="73" fillId="0" borderId="49" applyNumberFormat="0" applyFill="0" applyAlignment="0" applyProtection="0"/>
    <xf numFmtId="0" fontId="81" fillId="60" borderId="48" applyNumberFormat="0" applyAlignment="0" applyProtection="0"/>
    <xf numFmtId="0" fontId="78" fillId="56"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53" borderId="0" applyNumberFormat="0" applyBorder="0" applyAlignment="0" applyProtection="0"/>
    <xf numFmtId="0" fontId="78" fillId="54" borderId="0" applyNumberFormat="0" applyBorder="0" applyAlignment="0" applyProtection="0"/>
    <xf numFmtId="0" fontId="78" fillId="59" borderId="0" applyNumberFormat="0" applyBorder="0" applyAlignment="0" applyProtection="0"/>
    <xf numFmtId="0" fontId="82" fillId="47" borderId="47" applyNumberFormat="0" applyAlignment="0" applyProtection="0"/>
    <xf numFmtId="0" fontId="87" fillId="0" borderId="0" applyNumberFormat="0" applyFill="0" applyBorder="0" applyAlignment="0" applyProtection="0"/>
    <xf numFmtId="0" fontId="79" fillId="43" borderId="0" applyNumberFormat="0" applyBorder="0" applyAlignment="0" applyProtection="0"/>
    <xf numFmtId="0" fontId="75" fillId="0" borderId="50" applyNumberFormat="0" applyFill="0" applyAlignment="0" applyProtection="0"/>
    <xf numFmtId="0" fontId="76" fillId="0" borderId="51" applyNumberFormat="0" applyFill="0" applyAlignment="0" applyProtection="0"/>
    <xf numFmtId="0" fontId="77" fillId="0" borderId="52" applyNumberFormat="0" applyFill="0" applyAlignment="0" applyProtection="0"/>
    <xf numFmtId="0" fontId="77" fillId="0" borderId="0" applyNumberFormat="0" applyFill="0" applyBorder="0" applyAlignment="0" applyProtection="0"/>
    <xf numFmtId="0" fontId="82" fillId="46" borderId="47" applyNumberFormat="0" applyAlignment="0" applyProtection="0"/>
    <xf numFmtId="0" fontId="73" fillId="0" borderId="49" applyNumberFormat="0" applyFill="0" applyAlignment="0" applyProtection="0"/>
    <xf numFmtId="0" fontId="84" fillId="61" borderId="0" applyNumberFormat="0" applyBorder="0" applyAlignment="0" applyProtection="0"/>
    <xf numFmtId="0" fontId="6" fillId="62" borderId="53" applyNumberFormat="0" applyFont="0" applyAlignment="0" applyProtection="0"/>
    <xf numFmtId="0" fontId="20" fillId="62" borderId="53" applyNumberFormat="0" applyFont="0" applyAlignment="0" applyProtection="0"/>
    <xf numFmtId="0" fontId="85" fillId="47" borderId="54" applyNumberFormat="0" applyAlignment="0" applyProtection="0"/>
    <xf numFmtId="0" fontId="85" fillId="47" borderId="54" applyNumberFormat="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50" applyNumberFormat="0" applyFill="0" applyAlignment="0" applyProtection="0"/>
    <xf numFmtId="0" fontId="76" fillId="0" borderId="51" applyNumberFormat="0" applyFill="0" applyAlignment="0" applyProtection="0"/>
    <xf numFmtId="0" fontId="77" fillId="0" borderId="52" applyNumberFormat="0" applyFill="0" applyAlignment="0" applyProtection="0"/>
    <xf numFmtId="0" fontId="77" fillId="0" borderId="0" applyNumberFormat="0" applyFill="0" applyBorder="0" applyAlignment="0" applyProtection="0"/>
    <xf numFmtId="0" fontId="88" fillId="0" borderId="55" applyNumberFormat="0" applyFill="0" applyAlignment="0" applyProtection="0"/>
    <xf numFmtId="0" fontId="86"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 fillId="19" borderId="20" applyNumberFormat="0" applyFont="0" applyAlignment="0" applyProtection="0"/>
    <xf numFmtId="43" fontId="1" fillId="0" borderId="0" applyFont="0" applyFill="0" applyBorder="0" applyAlignment="0" applyProtection="0"/>
    <xf numFmtId="0" fontId="20" fillId="0" borderId="0" applyFont="0" applyFill="0" applyBorder="0" applyAlignment="0" applyProtection="0"/>
    <xf numFmtId="43" fontId="89"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80" fillId="47" borderId="47" applyNumberFormat="0" applyAlignment="0" applyProtection="0"/>
    <xf numFmtId="0" fontId="80" fillId="47" borderId="47" applyNumberFormat="0" applyAlignment="0" applyProtection="0"/>
    <xf numFmtId="0" fontId="82" fillId="47" borderId="47" applyNumberFormat="0" applyAlignment="0" applyProtection="0"/>
    <xf numFmtId="0" fontId="82" fillId="46" borderId="47" applyNumberFormat="0" applyAlignment="0" applyProtection="0"/>
    <xf numFmtId="0" fontId="6" fillId="62" borderId="53" applyNumberFormat="0" applyFont="0" applyAlignment="0" applyProtection="0"/>
    <xf numFmtId="0" fontId="20" fillId="62" borderId="53" applyNumberFormat="0" applyFont="0" applyAlignment="0" applyProtection="0"/>
    <xf numFmtId="0" fontId="85" fillId="47" borderId="54" applyNumberFormat="0" applyAlignment="0" applyProtection="0"/>
    <xf numFmtId="0" fontId="85" fillId="47" borderId="54" applyNumberFormat="0" applyAlignment="0" applyProtection="0"/>
    <xf numFmtId="0" fontId="88" fillId="0" borderId="55" applyNumberFormat="0" applyFill="0" applyAlignment="0" applyProtection="0"/>
  </cellStyleXfs>
  <cellXfs count="440">
    <xf numFmtId="0" fontId="0" fillId="0" borderId="0" xfId="0"/>
    <xf numFmtId="0" fontId="4" fillId="0" borderId="0" xfId="0" applyFont="1"/>
    <xf numFmtId="0" fontId="11" fillId="11" borderId="3" xfId="0" applyFont="1" applyFill="1" applyBorder="1" applyAlignment="1">
      <alignment horizontal="center" vertical="center"/>
    </xf>
    <xf numFmtId="0" fontId="13" fillId="0" borderId="0" xfId="0" applyFont="1"/>
    <xf numFmtId="2" fontId="0" fillId="0" borderId="0" xfId="0" applyNumberFormat="1"/>
    <xf numFmtId="0" fontId="4" fillId="0" borderId="0" xfId="0" applyFont="1" applyAlignment="1">
      <alignment horizontal="center" vertical="center"/>
    </xf>
    <xf numFmtId="4" fontId="9" fillId="0" borderId="0" xfId="0" applyNumberFormat="1" applyFont="1"/>
    <xf numFmtId="4" fontId="9" fillId="0" borderId="0" xfId="0" applyNumberFormat="1" applyFont="1" applyAlignment="1">
      <alignment horizontal="right" vertical="center"/>
    </xf>
    <xf numFmtId="167" fontId="10" fillId="0" borderId="0" xfId="0" applyNumberFormat="1" applyFont="1" applyAlignment="1">
      <alignment horizontal="right" vertical="center"/>
    </xf>
    <xf numFmtId="2" fontId="0" fillId="0" borderId="0" xfId="0" applyNumberFormat="1" applyAlignment="1">
      <alignment vertical="center"/>
    </xf>
    <xf numFmtId="167" fontId="10" fillId="0" borderId="0" xfId="0" applyNumberFormat="1" applyFont="1"/>
    <xf numFmtId="1" fontId="0" fillId="0" borderId="0" xfId="0" applyNumberFormat="1"/>
    <xf numFmtId="166" fontId="0" fillId="13" borderId="10" xfId="0" applyNumberFormat="1" applyFill="1" applyBorder="1" applyAlignment="1">
      <alignment horizontal="center" vertical="center"/>
    </xf>
    <xf numFmtId="1" fontId="0" fillId="0" borderId="0" xfId="0" applyNumberFormat="1" applyAlignment="1">
      <alignment horizontal="center"/>
    </xf>
    <xf numFmtId="2" fontId="0" fillId="0" borderId="0" xfId="0" applyNumberFormat="1" applyAlignment="1">
      <alignment horizontal="center"/>
    </xf>
    <xf numFmtId="2" fontId="5" fillId="0" borderId="1" xfId="0" applyNumberFormat="1" applyFont="1" applyBorder="1"/>
    <xf numFmtId="2" fontId="15" fillId="0" borderId="0" xfId="0" applyNumberFormat="1" applyFont="1"/>
    <xf numFmtId="2" fontId="0" fillId="0" borderId="2" xfId="0" applyNumberFormat="1" applyBorder="1"/>
    <xf numFmtId="2" fontId="0" fillId="14" borderId="0" xfId="0" applyNumberFormat="1" applyFill="1"/>
    <xf numFmtId="2" fontId="15" fillId="0" borderId="0" xfId="0" applyNumberFormat="1" applyFont="1" applyAlignment="1">
      <alignment horizontal="center"/>
    </xf>
    <xf numFmtId="1" fontId="15" fillId="0" borderId="0" xfId="0" applyNumberFormat="1" applyFont="1" applyAlignment="1">
      <alignment horizontal="center"/>
    </xf>
    <xf numFmtId="166" fontId="10" fillId="0" borderId="0" xfId="0" applyNumberFormat="1" applyFont="1"/>
    <xf numFmtId="2" fontId="0" fillId="7" borderId="0" xfId="0" applyNumberFormat="1" applyFill="1"/>
    <xf numFmtId="169" fontId="0" fillId="7" borderId="0" xfId="1" applyNumberFormat="1" applyFont="1" applyFill="1"/>
    <xf numFmtId="169" fontId="10" fillId="0" borderId="0" xfId="1" applyNumberFormat="1" applyFont="1"/>
    <xf numFmtId="2" fontId="0" fillId="0" borderId="0" xfId="0" applyNumberFormat="1" applyAlignment="1">
      <alignment horizontal="left"/>
    </xf>
    <xf numFmtId="169" fontId="10" fillId="0" borderId="0" xfId="1" applyNumberFormat="1" applyFont="1" applyFill="1"/>
    <xf numFmtId="2" fontId="5" fillId="0" borderId="12" xfId="0" applyNumberFormat="1" applyFont="1" applyBorder="1"/>
    <xf numFmtId="169" fontId="0" fillId="0" borderId="0" xfId="1" applyNumberFormat="1" applyFont="1" applyFill="1" applyBorder="1"/>
    <xf numFmtId="169" fontId="10" fillId="0" borderId="0" xfId="1" applyNumberFormat="1" applyFont="1" applyFill="1" applyBorder="1"/>
    <xf numFmtId="2" fontId="5" fillId="0" borderId="0" xfId="0" applyNumberFormat="1" applyFont="1"/>
    <xf numFmtId="2" fontId="0" fillId="0" borderId="13" xfId="0" applyNumberFormat="1" applyBorder="1" applyAlignment="1">
      <alignment vertical="center"/>
    </xf>
    <xf numFmtId="1" fontId="0" fillId="0" borderId="0" xfId="0" applyNumberFormat="1" applyAlignment="1">
      <alignment horizontal="center" vertical="center"/>
    </xf>
    <xf numFmtId="169" fontId="10" fillId="0" borderId="0" xfId="1" applyNumberFormat="1" applyFont="1" applyAlignment="1">
      <alignment vertical="center"/>
    </xf>
    <xf numFmtId="1" fontId="0" fillId="0" borderId="0" xfId="0" applyNumberFormat="1" applyAlignment="1">
      <alignment vertical="center"/>
    </xf>
    <xf numFmtId="2" fontId="0" fillId="0" borderId="13" xfId="0" applyNumberFormat="1" applyBorder="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left" vertical="center"/>
    </xf>
    <xf numFmtId="169" fontId="10" fillId="0" borderId="0" xfId="1" applyNumberFormat="1" applyFont="1" applyAlignment="1">
      <alignment horizontal="center" vertical="center"/>
    </xf>
    <xf numFmtId="2" fontId="0" fillId="0" borderId="0" xfId="0" applyNumberFormat="1" applyAlignment="1">
      <alignment horizontal="left" vertical="center"/>
    </xf>
    <xf numFmtId="3" fontId="0" fillId="0" borderId="0" xfId="0" applyNumberFormat="1" applyAlignment="1">
      <alignment horizontal="center" vertical="center"/>
    </xf>
    <xf numFmtId="41" fontId="22" fillId="0" borderId="0" xfId="2" applyNumberFormat="1" applyFont="1"/>
    <xf numFmtId="165" fontId="22" fillId="0" borderId="0" xfId="2" applyNumberFormat="1" applyFont="1"/>
    <xf numFmtId="41" fontId="12" fillId="0" borderId="1" xfId="0" applyNumberFormat="1" applyFont="1" applyBorder="1" applyAlignment="1">
      <alignment horizontal="center" vertical="center"/>
    </xf>
    <xf numFmtId="1" fontId="23" fillId="3" borderId="1" xfId="2" applyNumberFormat="1" applyFont="1" applyFill="1" applyBorder="1" applyAlignment="1">
      <alignment horizontal="left" vertical="center"/>
    </xf>
    <xf numFmtId="1" fontId="23" fillId="3" borderId="1" xfId="2" applyNumberFormat="1" applyFont="1" applyFill="1" applyBorder="1" applyAlignment="1">
      <alignment horizontal="center" vertical="center" wrapText="1"/>
    </xf>
    <xf numFmtId="41" fontId="17" fillId="0" borderId="0" xfId="0" applyNumberFormat="1" applyFont="1" applyAlignment="1">
      <alignment horizontal="center" vertical="center"/>
    </xf>
    <xf numFmtId="0" fontId="0" fillId="0" borderId="0" xfId="0" applyAlignment="1">
      <alignment horizontal="center" vertical="center"/>
    </xf>
    <xf numFmtId="0" fontId="0" fillId="13" borderId="10" xfId="0" applyFill="1" applyBorder="1" applyAlignment="1">
      <alignment horizontal="left" vertical="center"/>
    </xf>
    <xf numFmtId="0" fontId="25" fillId="0" borderId="0" xfId="2" applyFont="1"/>
    <xf numFmtId="0" fontId="24" fillId="18" borderId="0" xfId="2" applyFont="1" applyFill="1"/>
    <xf numFmtId="0" fontId="27" fillId="17" borderId="1" xfId="14" applyFont="1" applyFill="1" applyBorder="1" applyAlignment="1">
      <alignment horizontal="left" vertical="center" indent="1"/>
    </xf>
    <xf numFmtId="43" fontId="27" fillId="17" borderId="1" xfId="14" applyNumberFormat="1" applyFont="1" applyFill="1" applyBorder="1" applyAlignment="1">
      <alignment horizontal="center" vertical="center"/>
    </xf>
    <xf numFmtId="0" fontId="25" fillId="4" borderId="0" xfId="2" applyFont="1" applyFill="1"/>
    <xf numFmtId="0" fontId="25" fillId="5" borderId="0" xfId="2" applyFont="1" applyFill="1"/>
    <xf numFmtId="0" fontId="29" fillId="17" borderId="21" xfId="14" applyFont="1" applyFill="1" applyBorder="1" applyAlignment="1">
      <alignment horizontal="left" vertical="center" indent="1"/>
    </xf>
    <xf numFmtId="43" fontId="29" fillId="17" borderId="21" xfId="14" applyNumberFormat="1" applyFont="1" applyFill="1" applyBorder="1" applyAlignment="1">
      <alignment horizontal="center" vertical="center"/>
    </xf>
    <xf numFmtId="0" fontId="25" fillId="0" borderId="0" xfId="2" applyFont="1" applyAlignment="1">
      <alignment horizontal="center"/>
    </xf>
    <xf numFmtId="41" fontId="25" fillId="0" borderId="1" xfId="13" applyNumberFormat="1" applyFont="1" applyFill="1" applyBorder="1" applyAlignment="1">
      <alignment horizontal="center" vertical="center"/>
    </xf>
    <xf numFmtId="0" fontId="27" fillId="0" borderId="0" xfId="0" applyFont="1"/>
    <xf numFmtId="41" fontId="32" fillId="0" borderId="0" xfId="0" applyNumberFormat="1" applyFont="1"/>
    <xf numFmtId="0" fontId="32" fillId="0" borderId="0" xfId="0" applyFont="1"/>
    <xf numFmtId="0" fontId="27" fillId="0" borderId="0" xfId="0" applyFont="1" applyAlignment="1">
      <alignment wrapText="1"/>
    </xf>
    <xf numFmtId="0" fontId="32" fillId="0" borderId="0" xfId="0" applyFont="1" applyAlignment="1">
      <alignment horizontal="center"/>
    </xf>
    <xf numFmtId="0" fontId="27" fillId="0" borderId="0" xfId="0" applyFont="1" applyAlignment="1">
      <alignment horizontal="center"/>
    </xf>
    <xf numFmtId="41" fontId="33" fillId="0" borderId="0" xfId="0" applyNumberFormat="1" applyFont="1"/>
    <xf numFmtId="180" fontId="32" fillId="0" borderId="0" xfId="0" applyNumberFormat="1" applyFont="1"/>
    <xf numFmtId="181" fontId="32" fillId="0" borderId="24" xfId="0" applyNumberFormat="1" applyFont="1" applyBorder="1" applyAlignment="1">
      <alignment horizontal="center" vertical="center" wrapText="1"/>
    </xf>
    <xf numFmtId="0" fontId="32" fillId="0" borderId="24" xfId="0" applyFont="1" applyBorder="1" applyAlignment="1">
      <alignment horizontal="center" vertical="center" wrapText="1"/>
    </xf>
    <xf numFmtId="0" fontId="3" fillId="6" borderId="0" xfId="0" applyFont="1" applyFill="1" applyAlignment="1">
      <alignment horizontal="center"/>
    </xf>
    <xf numFmtId="0" fontId="0" fillId="0" borderId="25" xfId="0" applyBorder="1"/>
    <xf numFmtId="0" fontId="4" fillId="34" borderId="0" xfId="0" applyFont="1" applyFill="1" applyAlignment="1">
      <alignment horizontal="center" vertical="center"/>
    </xf>
    <xf numFmtId="0" fontId="7" fillId="34" borderId="0" xfId="0" applyFont="1" applyFill="1" applyAlignment="1">
      <alignment horizontal="center" vertical="center"/>
    </xf>
    <xf numFmtId="0" fontId="8" fillId="34" borderId="0" xfId="0" applyFont="1" applyFill="1"/>
    <xf numFmtId="0" fontId="34" fillId="0" borderId="0" xfId="0" applyFont="1" applyAlignment="1">
      <alignment horizontal="left" vertical="center"/>
    </xf>
    <xf numFmtId="182" fontId="0" fillId="0" borderId="0" xfId="0" applyNumberFormat="1"/>
    <xf numFmtId="182" fontId="35" fillId="0" borderId="0" xfId="0" applyNumberFormat="1" applyFont="1"/>
    <xf numFmtId="0" fontId="4" fillId="34" borderId="0" xfId="0" applyFont="1" applyFill="1"/>
    <xf numFmtId="182" fontId="0" fillId="7" borderId="0" xfId="0" applyNumberFormat="1" applyFill="1"/>
    <xf numFmtId="0" fontId="8" fillId="0" borderId="0" xfId="0" applyFont="1"/>
    <xf numFmtId="182" fontId="9" fillId="0" borderId="0" xfId="0" applyNumberFormat="1" applyFont="1"/>
    <xf numFmtId="0" fontId="0" fillId="0" borderId="0" xfId="0" applyAlignment="1">
      <alignment horizontal="center" wrapText="1"/>
    </xf>
    <xf numFmtId="0" fontId="0" fillId="0" borderId="0" xfId="0" applyAlignment="1">
      <alignment horizontal="center" vertical="center" wrapText="1"/>
    </xf>
    <xf numFmtId="182" fontId="0" fillId="0" borderId="0" xfId="0" applyNumberFormat="1" applyAlignment="1">
      <alignment horizontal="center" wrapText="1"/>
    </xf>
    <xf numFmtId="43" fontId="22" fillId="0" borderId="0" xfId="2" applyNumberFormat="1" applyFont="1"/>
    <xf numFmtId="0" fontId="36" fillId="0" borderId="0" xfId="0" applyFont="1"/>
    <xf numFmtId="0" fontId="37" fillId="0" borderId="1" xfId="0" applyFont="1" applyBorder="1" applyAlignment="1">
      <alignment horizontal="center" vertical="center"/>
    </xf>
    <xf numFmtId="0" fontId="36" fillId="0" borderId="1" xfId="0" applyFont="1" applyBorder="1"/>
    <xf numFmtId="169" fontId="36" fillId="0" borderId="1" xfId="10" applyNumberFormat="1" applyFont="1" applyBorder="1" applyAlignment="1">
      <alignment vertical="center"/>
    </xf>
    <xf numFmtId="169" fontId="37" fillId="0" borderId="22" xfId="10" applyNumberFormat="1" applyFont="1" applyBorder="1"/>
    <xf numFmtId="0" fontId="39"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10"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8" fillId="6" borderId="8" xfId="0" applyFont="1" applyFill="1" applyBorder="1" applyAlignment="1">
      <alignment horizontal="center" vertical="center" wrapText="1"/>
    </xf>
    <xf numFmtId="0" fontId="38"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44" fillId="12" borderId="0" xfId="0" applyFont="1" applyFill="1" applyAlignment="1">
      <alignment horizontal="left" vertical="center"/>
    </xf>
    <xf numFmtId="0" fontId="44" fillId="12" borderId="0" xfId="0" applyFont="1" applyFill="1" applyAlignment="1">
      <alignment horizontal="center" vertical="center"/>
    </xf>
    <xf numFmtId="0" fontId="44" fillId="12"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10" fillId="0" borderId="0" xfId="0" applyNumberFormat="1" applyFont="1"/>
    <xf numFmtId="0" fontId="44" fillId="0" borderId="0" xfId="0" applyFont="1" applyAlignment="1">
      <alignment horizontal="center" vertical="center"/>
    </xf>
    <xf numFmtId="0" fontId="44" fillId="0" borderId="0" xfId="0" applyFont="1" applyAlignment="1">
      <alignment horizontal="left" vertical="center"/>
    </xf>
    <xf numFmtId="0" fontId="44"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2"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32" fillId="0" borderId="24" xfId="0" applyNumberFormat="1" applyFont="1" applyBorder="1" applyAlignment="1">
      <alignment horizontal="center" vertical="center" wrapText="1"/>
    </xf>
    <xf numFmtId="41" fontId="27" fillId="17" borderId="1" xfId="14" applyNumberFormat="1" applyFont="1" applyFill="1" applyBorder="1" applyAlignment="1">
      <alignment horizontal="left" vertical="center" indent="1"/>
    </xf>
    <xf numFmtId="41" fontId="30" fillId="0" borderId="21" xfId="13" applyNumberFormat="1" applyFont="1" applyFill="1" applyBorder="1" applyAlignment="1">
      <alignment horizontal="center" vertical="center"/>
    </xf>
    <xf numFmtId="41" fontId="25" fillId="0" borderId="0" xfId="2" applyNumberFormat="1" applyFont="1"/>
    <xf numFmtId="0" fontId="46" fillId="4" borderId="0" xfId="11" applyFont="1" applyFill="1" applyBorder="1" applyAlignment="1" applyProtection="1">
      <alignment horizontal="center"/>
    </xf>
    <xf numFmtId="0" fontId="22" fillId="15" borderId="0" xfId="2" applyFont="1" applyFill="1"/>
    <xf numFmtId="0" fontId="46" fillId="2" borderId="0" xfId="11" applyFont="1" applyFill="1" applyBorder="1" applyAlignment="1" applyProtection="1">
      <alignment horizontal="center"/>
    </xf>
    <xf numFmtId="0" fontId="22" fillId="2" borderId="0" xfId="2" applyFont="1" applyFill="1"/>
    <xf numFmtId="0" fontId="48" fillId="2" borderId="0" xfId="2" applyFont="1" applyFill="1"/>
    <xf numFmtId="1" fontId="49" fillId="2" borderId="0" xfId="2" applyNumberFormat="1" applyFont="1" applyFill="1" applyAlignment="1">
      <alignment horizontal="center" vertical="center"/>
    </xf>
    <xf numFmtId="1" fontId="48" fillId="2" borderId="0" xfId="2" applyNumberFormat="1" applyFont="1" applyFill="1" applyAlignment="1">
      <alignment horizontal="center" vertical="center"/>
    </xf>
    <xf numFmtId="0" fontId="22" fillId="0" borderId="0" xfId="2" applyFont="1"/>
    <xf numFmtId="0" fontId="50" fillId="16" borderId="0" xfId="2" applyFont="1" applyFill="1"/>
    <xf numFmtId="0" fontId="22" fillId="16" borderId="0" xfId="2" applyFont="1" applyFill="1"/>
    <xf numFmtId="0" fontId="48" fillId="0" borderId="15" xfId="2" applyFont="1" applyBorder="1" applyAlignment="1">
      <alignment horizontal="left" vertical="center"/>
    </xf>
    <xf numFmtId="9" fontId="51" fillId="0" borderId="15" xfId="12" applyFont="1" applyFill="1" applyBorder="1" applyAlignment="1">
      <alignment horizontal="center" vertical="center"/>
    </xf>
    <xf numFmtId="9" fontId="51" fillId="0" borderId="16" xfId="12" applyFont="1" applyBorder="1" applyAlignment="1">
      <alignment horizontal="center" vertical="center"/>
    </xf>
    <xf numFmtId="9" fontId="22" fillId="0" borderId="15" xfId="12" applyFont="1" applyFill="1" applyBorder="1" applyAlignment="1">
      <alignment horizontal="center" vertical="center"/>
    </xf>
    <xf numFmtId="0" fontId="22" fillId="2" borderId="15" xfId="2" applyFont="1" applyFill="1" applyBorder="1"/>
    <xf numFmtId="9" fontId="22" fillId="0" borderId="15" xfId="12" applyFont="1" applyBorder="1" applyAlignment="1">
      <alignment horizontal="center" vertical="center"/>
    </xf>
    <xf numFmtId="3" fontId="22" fillId="15" borderId="0" xfId="2" applyNumberFormat="1" applyFont="1" applyFill="1"/>
    <xf numFmtId="175" fontId="37" fillId="3" borderId="14" xfId="2" applyNumberFormat="1" applyFont="1" applyFill="1" applyBorder="1" applyAlignment="1">
      <alignment horizontal="center" vertical="center" wrapText="1"/>
    </xf>
    <xf numFmtId="175" fontId="37" fillId="3" borderId="12" xfId="2" applyNumberFormat="1" applyFont="1" applyFill="1" applyBorder="1" applyAlignment="1">
      <alignment horizontal="center" vertical="center" wrapText="1"/>
    </xf>
    <xf numFmtId="0" fontId="36" fillId="0" borderId="23" xfId="2" applyFont="1" applyBorder="1"/>
    <xf numFmtId="1" fontId="51" fillId="0" borderId="1" xfId="13" applyNumberFormat="1" applyFont="1" applyFill="1" applyBorder="1" applyAlignment="1">
      <alignment horizontal="center" vertical="center"/>
    </xf>
    <xf numFmtId="4" fontId="53" fillId="14" borderId="17" xfId="13" applyNumberFormat="1" applyFont="1" applyFill="1" applyBorder="1" applyAlignment="1">
      <alignment horizontal="center" vertical="center"/>
    </xf>
    <xf numFmtId="4" fontId="53" fillId="14" borderId="1" xfId="13" applyNumberFormat="1" applyFont="1" applyFill="1" applyBorder="1" applyAlignment="1">
      <alignment horizontal="center" vertical="center"/>
    </xf>
    <xf numFmtId="0" fontId="36" fillId="0" borderId="23" xfId="2" applyFont="1" applyBorder="1" applyAlignment="1">
      <alignment horizontal="left" vertical="center"/>
    </xf>
    <xf numFmtId="166" fontId="54" fillId="0" borderId="1" xfId="0" applyNumberFormat="1" applyFont="1" applyBorder="1" applyAlignment="1">
      <alignment horizontal="center"/>
    </xf>
    <xf numFmtId="176" fontId="22" fillId="14" borderId="17" xfId="13" applyNumberFormat="1" applyFont="1" applyFill="1" applyBorder="1" applyAlignment="1">
      <alignment horizontal="center" vertical="center"/>
    </xf>
    <xf numFmtId="176" fontId="22" fillId="14" borderId="1" xfId="13" applyNumberFormat="1" applyFont="1" applyFill="1" applyBorder="1" applyAlignment="1">
      <alignment horizontal="center" vertical="center"/>
    </xf>
    <xf numFmtId="0" fontId="22" fillId="14" borderId="17" xfId="2" applyFont="1" applyFill="1" applyBorder="1" applyAlignment="1">
      <alignment horizontal="center" vertical="center"/>
    </xf>
    <xf numFmtId="0" fontId="22" fillId="14" borderId="1" xfId="2" applyFont="1" applyFill="1" applyBorder="1" applyAlignment="1">
      <alignment horizontal="center" vertical="center"/>
    </xf>
    <xf numFmtId="10" fontId="22" fillId="2" borderId="0" xfId="2" applyNumberFormat="1" applyFont="1" applyFill="1" applyAlignment="1">
      <alignment horizontal="center" vertical="center"/>
    </xf>
    <xf numFmtId="0" fontId="50" fillId="16" borderId="18" xfId="2" applyFont="1" applyFill="1" applyBorder="1"/>
    <xf numFmtId="0" fontId="50" fillId="16" borderId="19" xfId="2" applyFont="1" applyFill="1" applyBorder="1" applyAlignment="1">
      <alignment horizontal="center"/>
    </xf>
    <xf numFmtId="0" fontId="22" fillId="0" borderId="1" xfId="2" applyFont="1" applyBorder="1"/>
    <xf numFmtId="179" fontId="22" fillId="2" borderId="0" xfId="2" applyNumberFormat="1" applyFont="1" applyFill="1"/>
    <xf numFmtId="0" fontId="37" fillId="0" borderId="0" xfId="0" applyFont="1"/>
    <xf numFmtId="9" fontId="55" fillId="6" borderId="16" xfId="12" applyFont="1" applyFill="1" applyBorder="1" applyAlignment="1">
      <alignment horizontal="center" vertical="center"/>
    </xf>
    <xf numFmtId="9" fontId="55" fillId="6" borderId="15" xfId="12" applyFont="1" applyFill="1" applyBorder="1" applyAlignment="1">
      <alignment horizontal="center" vertical="center"/>
    </xf>
    <xf numFmtId="1" fontId="56" fillId="8" borderId="1" xfId="2" applyNumberFormat="1" applyFont="1" applyFill="1" applyBorder="1" applyAlignment="1">
      <alignment horizontal="center"/>
    </xf>
    <xf numFmtId="1" fontId="31" fillId="9" borderId="1" xfId="2" applyNumberFormat="1" applyFont="1" applyFill="1" applyBorder="1" applyAlignment="1">
      <alignment horizontal="left"/>
    </xf>
    <xf numFmtId="41" fontId="25" fillId="0" borderId="9" xfId="2" applyNumberFormat="1" applyFont="1" applyBorder="1" applyAlignment="1">
      <alignment horizontal="center" vertical="center"/>
    </xf>
    <xf numFmtId="41" fontId="28" fillId="6" borderId="9" xfId="2" applyNumberFormat="1" applyFont="1" applyFill="1" applyBorder="1" applyAlignment="1">
      <alignment horizontal="center" vertical="center"/>
    </xf>
    <xf numFmtId="9" fontId="22" fillId="0" borderId="0" xfId="12" applyFont="1"/>
    <xf numFmtId="41" fontId="22" fillId="0" borderId="1" xfId="13" applyNumberFormat="1" applyFont="1" applyFill="1" applyBorder="1" applyAlignment="1">
      <alignment horizontal="center" vertical="center"/>
    </xf>
    <xf numFmtId="165" fontId="22" fillId="0" borderId="1" xfId="13" applyNumberFormat="1" applyFont="1" applyFill="1" applyBorder="1" applyAlignment="1">
      <alignment horizontal="center" vertical="center"/>
    </xf>
    <xf numFmtId="43" fontId="22" fillId="0" borderId="1" xfId="13" applyNumberFormat="1" applyFont="1" applyFill="1" applyBorder="1" applyAlignment="1">
      <alignment horizontal="center" vertical="center"/>
    </xf>
    <xf numFmtId="0" fontId="36" fillId="0" borderId="0" xfId="2" applyFont="1" applyAlignment="1">
      <alignment horizontal="left" vertical="center"/>
    </xf>
    <xf numFmtId="164" fontId="22" fillId="0" borderId="0" xfId="13" applyFont="1"/>
    <xf numFmtId="174" fontId="22" fillId="0" borderId="0" xfId="13" applyNumberFormat="1" applyFont="1"/>
    <xf numFmtId="165" fontId="22" fillId="2" borderId="0" xfId="2" applyNumberFormat="1" applyFont="1" applyFill="1"/>
    <xf numFmtId="0" fontId="26" fillId="33" borderId="12" xfId="2" applyFont="1" applyFill="1" applyBorder="1" applyAlignment="1">
      <alignment horizontal="center" vertical="center" wrapText="1"/>
    </xf>
    <xf numFmtId="0" fontId="26" fillId="33" borderId="1" xfId="2" applyFont="1" applyFill="1" applyBorder="1" applyAlignment="1">
      <alignment horizontal="center" vertical="center" wrapText="1"/>
    </xf>
    <xf numFmtId="43" fontId="26" fillId="33" borderId="1" xfId="2" applyNumberFormat="1" applyFont="1" applyFill="1" applyBorder="1" applyAlignment="1">
      <alignment horizontal="center" vertical="center" wrapText="1"/>
    </xf>
    <xf numFmtId="0" fontId="22" fillId="2" borderId="0" xfId="2" applyFont="1" applyFill="1" applyAlignment="1">
      <alignment wrapText="1"/>
    </xf>
    <xf numFmtId="0" fontId="25" fillId="35" borderId="1" xfId="2" applyFont="1" applyFill="1" applyBorder="1"/>
    <xf numFmtId="0" fontId="25" fillId="35" borderId="1" xfId="2" applyFont="1" applyFill="1" applyBorder="1" applyAlignment="1">
      <alignment horizontal="center"/>
    </xf>
    <xf numFmtId="43" fontId="25" fillId="35" borderId="1" xfId="2" applyNumberFormat="1" applyFont="1" applyFill="1" applyBorder="1" applyAlignment="1">
      <alignment horizontal="center" vertical="center"/>
    </xf>
    <xf numFmtId="43" fontId="25" fillId="35" borderId="1" xfId="2" applyNumberFormat="1" applyFont="1" applyFill="1" applyBorder="1" applyAlignment="1">
      <alignment horizontal="center"/>
    </xf>
    <xf numFmtId="0" fontId="22" fillId="2" borderId="1" xfId="2" applyFont="1" applyFill="1" applyBorder="1" applyAlignment="1">
      <alignment horizontal="center"/>
    </xf>
    <xf numFmtId="0" fontId="25" fillId="2" borderId="1" xfId="2" applyFont="1" applyFill="1" applyBorder="1"/>
    <xf numFmtId="0" fontId="25" fillId="2" borderId="1" xfId="2" applyFont="1" applyFill="1" applyBorder="1" applyAlignment="1">
      <alignment horizontal="center"/>
    </xf>
    <xf numFmtId="43" fontId="25" fillId="2" borderId="1" xfId="2" applyNumberFormat="1" applyFont="1" applyFill="1" applyBorder="1" applyAlignment="1">
      <alignment horizontal="center" vertical="center"/>
    </xf>
    <xf numFmtId="43" fontId="25" fillId="2" borderId="1" xfId="2" applyNumberFormat="1" applyFont="1" applyFill="1" applyBorder="1" applyAlignment="1">
      <alignment horizontal="center"/>
    </xf>
    <xf numFmtId="0" fontId="27" fillId="2" borderId="1" xfId="2" applyFont="1" applyFill="1" applyBorder="1" applyAlignment="1">
      <alignment horizontal="center"/>
    </xf>
    <xf numFmtId="2" fontId="27" fillId="2" borderId="1" xfId="2" applyNumberFormat="1" applyFont="1" applyFill="1" applyBorder="1" applyAlignment="1">
      <alignment horizontal="center" vertical="center"/>
    </xf>
    <xf numFmtId="2" fontId="22" fillId="2" borderId="0" xfId="2" applyNumberFormat="1" applyFont="1" applyFill="1"/>
    <xf numFmtId="0" fontId="22" fillId="2" borderId="0" xfId="2" applyFont="1" applyFill="1" applyAlignment="1">
      <alignment horizontal="center"/>
    </xf>
    <xf numFmtId="0" fontId="22" fillId="2" borderId="0" xfId="2" applyFont="1" applyFill="1" applyAlignment="1">
      <alignment vertical="center"/>
    </xf>
    <xf numFmtId="43" fontId="22" fillId="2" borderId="0" xfId="2" applyNumberFormat="1" applyFont="1" applyFill="1" applyAlignment="1">
      <alignment horizontal="center"/>
    </xf>
    <xf numFmtId="2" fontId="22" fillId="2" borderId="0" xfId="2" applyNumberFormat="1" applyFont="1" applyFill="1" applyAlignment="1">
      <alignment horizontal="center"/>
    </xf>
    <xf numFmtId="0" fontId="0" fillId="0" borderId="12" xfId="0" applyBorder="1" applyAlignment="1">
      <alignment horizontal="center"/>
    </xf>
    <xf numFmtId="10" fontId="0" fillId="0" borderId="28" xfId="0" applyNumberFormat="1" applyBorder="1" applyAlignment="1">
      <alignment horizontal="center" vertical="center"/>
    </xf>
    <xf numFmtId="0" fontId="0" fillId="0" borderId="28" xfId="0" applyBorder="1" applyAlignment="1">
      <alignment vertical="center"/>
    </xf>
    <xf numFmtId="0" fontId="40" fillId="0" borderId="28" xfId="0" applyFont="1" applyBorder="1" applyAlignment="1">
      <alignment horizontal="center" vertical="center"/>
    </xf>
    <xf numFmtId="43" fontId="1" fillId="7" borderId="28" xfId="1" applyFont="1" applyFill="1" applyBorder="1" applyAlignment="1">
      <alignment vertical="center"/>
    </xf>
    <xf numFmtId="0" fontId="0" fillId="0" borderId="28" xfId="0" applyBorder="1" applyAlignment="1">
      <alignment vertical="center" wrapText="1"/>
    </xf>
    <xf numFmtId="0" fontId="0" fillId="0" borderId="28" xfId="0" applyBorder="1"/>
    <xf numFmtId="0" fontId="0" fillId="0" borderId="0" xfId="0" applyAlignment="1">
      <alignment vertical="center" wrapText="1"/>
    </xf>
    <xf numFmtId="0" fontId="40" fillId="0" borderId="0" xfId="0" applyFont="1" applyAlignment="1">
      <alignment horizontal="center" vertical="center"/>
    </xf>
    <xf numFmtId="169" fontId="1" fillId="0" borderId="0" xfId="1" applyNumberFormat="1" applyFont="1" applyBorder="1" applyAlignment="1">
      <alignment vertical="center"/>
    </xf>
    <xf numFmtId="0" fontId="0" fillId="0" borderId="29" xfId="0" applyBorder="1" applyAlignment="1">
      <alignment horizontal="center"/>
    </xf>
    <xf numFmtId="0" fontId="0" fillId="0" borderId="29" xfId="0" applyBorder="1" applyAlignment="1">
      <alignment vertical="center"/>
    </xf>
    <xf numFmtId="0" fontId="40" fillId="0" borderId="29" xfId="0" applyFont="1" applyBorder="1" applyAlignment="1">
      <alignment horizontal="center" vertical="center"/>
    </xf>
    <xf numFmtId="166" fontId="0" fillId="0" borderId="29" xfId="0" applyNumberFormat="1" applyBorder="1" applyAlignment="1">
      <alignment vertical="center"/>
    </xf>
    <xf numFmtId="0" fontId="0" fillId="0" borderId="29" xfId="0" applyBorder="1" applyAlignment="1">
      <alignment vertical="center" wrapText="1"/>
    </xf>
    <xf numFmtId="0" fontId="0" fillId="0" borderId="27" xfId="0" applyBorder="1"/>
    <xf numFmtId="0" fontId="40" fillId="0" borderId="27" xfId="0" applyFont="1" applyBorder="1" applyAlignment="1">
      <alignment vertical="center"/>
    </xf>
    <xf numFmtId="0" fontId="40" fillId="0" borderId="27" xfId="0" applyFont="1" applyBorder="1" applyAlignment="1">
      <alignment horizontal="center" vertical="center"/>
    </xf>
    <xf numFmtId="43" fontId="1" fillId="7" borderId="27" xfId="1" applyFont="1" applyFill="1" applyBorder="1" applyAlignment="1">
      <alignment vertical="center"/>
    </xf>
    <xf numFmtId="0" fontId="0" fillId="0" borderId="27" xfId="0" applyBorder="1" applyAlignment="1">
      <alignment vertical="center" wrapText="1"/>
    </xf>
    <xf numFmtId="0" fontId="0" fillId="0" borderId="29" xfId="0" applyBorder="1"/>
    <xf numFmtId="9" fontId="0" fillId="7" borderId="27" xfId="0" applyNumberFormat="1" applyFill="1" applyBorder="1" applyAlignment="1">
      <alignment horizontal="center"/>
    </xf>
    <xf numFmtId="171" fontId="0" fillId="0" borderId="27" xfId="0" applyNumberFormat="1" applyBorder="1"/>
    <xf numFmtId="0" fontId="0" fillId="0" borderId="29" xfId="0" applyBorder="1" applyAlignment="1">
      <alignment horizontal="center" vertical="center" wrapText="1"/>
    </xf>
    <xf numFmtId="0" fontId="0" fillId="0" borderId="28" xfId="0" applyBorder="1" applyAlignment="1">
      <alignment horizontal="center"/>
    </xf>
    <xf numFmtId="43" fontId="0" fillId="0" borderId="0" xfId="0" applyNumberFormat="1" applyAlignment="1">
      <alignment vertical="center"/>
    </xf>
    <xf numFmtId="43" fontId="0" fillId="0" borderId="28" xfId="0" applyNumberFormat="1" applyBorder="1"/>
    <xf numFmtId="172" fontId="1" fillId="7" borderId="29" xfId="1" applyNumberFormat="1" applyFont="1" applyFill="1" applyBorder="1" applyAlignment="1">
      <alignment vertical="center"/>
    </xf>
    <xf numFmtId="178" fontId="4" fillId="0" borderId="0" xfId="0" applyNumberFormat="1" applyFont="1" applyAlignment="1">
      <alignment horizontal="right" vertical="center"/>
    </xf>
    <xf numFmtId="0" fontId="26" fillId="37" borderId="7" xfId="0" applyFont="1" applyFill="1" applyBorder="1" applyAlignment="1">
      <alignment horizontal="center" vertical="center" wrapText="1"/>
    </xf>
    <xf numFmtId="43" fontId="0" fillId="0" borderId="0" xfId="0" applyNumberFormat="1"/>
    <xf numFmtId="0" fontId="4" fillId="40" borderId="1" xfId="0" applyFont="1" applyFill="1" applyBorder="1" applyAlignment="1">
      <alignment horizontal="center" vertical="center" wrapText="1"/>
    </xf>
    <xf numFmtId="0" fontId="0" fillId="32" borderId="1" xfId="0" applyFill="1" applyBorder="1" applyAlignment="1">
      <alignment horizontal="center"/>
    </xf>
    <xf numFmtId="166" fontId="0" fillId="32" borderId="17" xfId="0" applyNumberFormat="1" applyFill="1" applyBorder="1" applyAlignment="1">
      <alignment horizontal="center"/>
    </xf>
    <xf numFmtId="0" fontId="0" fillId="0" borderId="1" xfId="0" applyBorder="1" applyAlignment="1">
      <alignment horizontal="center"/>
    </xf>
    <xf numFmtId="166" fontId="0" fillId="0" borderId="17" xfId="0" applyNumberFormat="1" applyBorder="1" applyAlignment="1">
      <alignment horizontal="center"/>
    </xf>
    <xf numFmtId="0" fontId="4" fillId="39" borderId="1" xfId="0" applyFont="1" applyFill="1" applyBorder="1" applyAlignment="1">
      <alignment horizontal="center"/>
    </xf>
    <xf numFmtId="166" fontId="4" fillId="39" borderId="17" xfId="0" applyNumberFormat="1" applyFont="1" applyFill="1" applyBorder="1" applyAlignment="1">
      <alignment horizontal="center"/>
    </xf>
    <xf numFmtId="166" fontId="4" fillId="39" borderId="1" xfId="0" applyNumberFormat="1" applyFont="1" applyFill="1" applyBorder="1" applyAlignment="1">
      <alignment horizontal="center"/>
    </xf>
    <xf numFmtId="0" fontId="9" fillId="0" borderId="0" xfId="0" applyFont="1"/>
    <xf numFmtId="0" fontId="58" fillId="6" borderId="0" xfId="0" applyFont="1" applyFill="1" applyAlignment="1">
      <alignment horizontal="center" vertical="center"/>
    </xf>
    <xf numFmtId="0" fontId="59" fillId="0" borderId="0" xfId="0" applyFont="1"/>
    <xf numFmtId="0" fontId="59" fillId="0" borderId="0" xfId="0" applyFont="1" applyAlignment="1">
      <alignment horizontal="left" vertical="center"/>
    </xf>
    <xf numFmtId="0" fontId="61" fillId="0" borderId="0" xfId="0" applyFont="1"/>
    <xf numFmtId="41" fontId="17" fillId="32" borderId="9" xfId="0" applyNumberFormat="1" applyFont="1" applyFill="1" applyBorder="1" applyAlignment="1">
      <alignment horizontal="center" vertical="center"/>
    </xf>
    <xf numFmtId="0" fontId="64" fillId="0" borderId="0" xfId="0" applyFont="1"/>
    <xf numFmtId="43" fontId="64"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40" fillId="0" borderId="28" xfId="0" applyFont="1" applyBorder="1" applyAlignment="1">
      <alignment vertical="center"/>
    </xf>
    <xf numFmtId="173" fontId="65" fillId="0" borderId="0" xfId="0" applyNumberFormat="1" applyFont="1"/>
    <xf numFmtId="0" fontId="65" fillId="0" borderId="0" xfId="0" applyFont="1"/>
    <xf numFmtId="173" fontId="66" fillId="0" borderId="0" xfId="0" applyNumberFormat="1" applyFont="1"/>
    <xf numFmtId="173" fontId="66" fillId="0" borderId="0" xfId="0" applyNumberFormat="1" applyFont="1" applyAlignment="1">
      <alignment horizontal="right"/>
    </xf>
    <xf numFmtId="0" fontId="10" fillId="0" borderId="0" xfId="0" applyFont="1"/>
    <xf numFmtId="0" fontId="0" fillId="6" borderId="31" xfId="0" applyFill="1" applyBorder="1"/>
    <xf numFmtId="0" fontId="0" fillId="6" borderId="5" xfId="0" applyFill="1" applyBorder="1"/>
    <xf numFmtId="0" fontId="5" fillId="6" borderId="8" xfId="0" applyFont="1" applyFill="1" applyBorder="1" applyAlignment="1">
      <alignment horizontal="center" vertical="center"/>
    </xf>
    <xf numFmtId="0" fontId="58" fillId="6" borderId="0" xfId="0" applyFont="1" applyFill="1" applyAlignment="1">
      <alignment horizontal="center" vertical="center" wrapText="1"/>
    </xf>
    <xf numFmtId="166" fontId="61" fillId="0" borderId="0" xfId="0" applyNumberFormat="1" applyFont="1" applyAlignment="1">
      <alignment horizontal="center"/>
    </xf>
    <xf numFmtId="4" fontId="60" fillId="0" borderId="0" xfId="0" applyNumberFormat="1" applyFont="1" applyAlignment="1">
      <alignment horizontal="center"/>
    </xf>
    <xf numFmtId="3" fontId="63" fillId="0" borderId="30" xfId="0" applyNumberFormat="1" applyFont="1" applyBorder="1" applyAlignment="1">
      <alignment horizontal="center"/>
    </xf>
    <xf numFmtId="180" fontId="62" fillId="32" borderId="0" xfId="0" applyNumberFormat="1" applyFont="1" applyFill="1" applyAlignment="1">
      <alignment horizontal="center"/>
    </xf>
    <xf numFmtId="0" fontId="61" fillId="0" borderId="0" xfId="0" applyFont="1" applyAlignment="1">
      <alignment horizontal="center"/>
    </xf>
    <xf numFmtId="0" fontId="58" fillId="38" borderId="0" xfId="0" applyFont="1" applyFill="1" applyAlignment="1">
      <alignment horizontal="center" vertical="center" wrapText="1"/>
    </xf>
    <xf numFmtId="3" fontId="60" fillId="0" borderId="0" xfId="0" applyNumberFormat="1" applyFont="1" applyAlignment="1">
      <alignment horizontal="center"/>
    </xf>
    <xf numFmtId="2" fontId="27" fillId="0" borderId="1" xfId="2" applyNumberFormat="1" applyFont="1" applyBorder="1" applyAlignment="1">
      <alignment horizontal="center" vertical="center"/>
    </xf>
    <xf numFmtId="0" fontId="67" fillId="0" borderId="28" xfId="0" applyFont="1" applyBorder="1"/>
    <xf numFmtId="41" fontId="68" fillId="0" borderId="0" xfId="0" applyNumberFormat="1" applyFont="1" applyAlignment="1">
      <alignment horizontal="left" vertical="center"/>
    </xf>
    <xf numFmtId="172" fontId="36" fillId="0" borderId="1" xfId="10" applyNumberFormat="1" applyFont="1" applyFill="1" applyBorder="1"/>
    <xf numFmtId="169" fontId="37" fillId="0" borderId="0" xfId="10" applyNumberFormat="1" applyFont="1" applyBorder="1" applyAlignment="1">
      <alignment vertical="center"/>
    </xf>
    <xf numFmtId="0" fontId="37" fillId="0" borderId="17" xfId="0" applyFont="1" applyBorder="1" applyAlignment="1">
      <alignment horizontal="center" vertical="center"/>
    </xf>
    <xf numFmtId="0" fontId="37" fillId="0" borderId="1" xfId="0" applyFont="1" applyBorder="1" applyAlignment="1">
      <alignment horizontal="center" vertical="center" wrapText="1"/>
    </xf>
    <xf numFmtId="169" fontId="36" fillId="0" borderId="1" xfId="10" applyNumberFormat="1" applyFont="1" applyFill="1" applyBorder="1"/>
    <xf numFmtId="169" fontId="22" fillId="2" borderId="0" xfId="2" applyNumberFormat="1" applyFont="1" applyFill="1"/>
    <xf numFmtId="9" fontId="22" fillId="2" borderId="0" xfId="5" applyFont="1" applyFill="1"/>
    <xf numFmtId="183" fontId="49" fillId="0" borderId="0" xfId="0" applyNumberFormat="1" applyFont="1" applyAlignment="1">
      <alignment horizontal="center"/>
    </xf>
    <xf numFmtId="169" fontId="36" fillId="0" borderId="1" xfId="10" quotePrefix="1" applyNumberFormat="1" applyFont="1" applyFill="1" applyBorder="1"/>
    <xf numFmtId="0" fontId="22" fillId="2" borderId="0" xfId="2" applyFont="1" applyFill="1" applyAlignment="1">
      <alignment horizontal="right"/>
    </xf>
    <xf numFmtId="0" fontId="29" fillId="0" borderId="21" xfId="14" applyFont="1" applyBorder="1" applyAlignment="1">
      <alignment horizontal="left" vertical="center" indent="1"/>
    </xf>
    <xf numFmtId="0" fontId="29" fillId="0" borderId="21" xfId="14" applyFont="1" applyBorder="1" applyAlignment="1">
      <alignment horizontal="center" vertical="center"/>
    </xf>
    <xf numFmtId="41" fontId="29" fillId="0" borderId="21" xfId="14" applyNumberFormat="1" applyFont="1" applyBorder="1" applyAlignment="1">
      <alignment horizontal="center" vertical="center"/>
    </xf>
    <xf numFmtId="1" fontId="24" fillId="16" borderId="1" xfId="2" applyNumberFormat="1" applyFont="1" applyFill="1" applyBorder="1" applyAlignment="1">
      <alignment horizontal="center" vertical="center" wrapText="1"/>
    </xf>
    <xf numFmtId="0" fontId="24" fillId="16" borderId="1" xfId="2" applyFont="1" applyFill="1" applyBorder="1" applyAlignment="1">
      <alignment horizontal="center" vertical="center" wrapText="1"/>
    </xf>
    <xf numFmtId="41" fontId="69" fillId="0" borderId="9" xfId="0" applyNumberFormat="1" applyFont="1" applyBorder="1" applyAlignment="1">
      <alignment horizontal="center" vertical="center"/>
    </xf>
    <xf numFmtId="2" fontId="9" fillId="0" borderId="1" xfId="0" applyNumberFormat="1" applyFont="1" applyBorder="1" applyAlignment="1">
      <alignment horizontal="center"/>
    </xf>
    <xf numFmtId="0" fontId="32" fillId="0" borderId="1" xfId="2" applyFont="1" applyBorder="1" applyAlignment="1">
      <alignment horizontal="center" vertical="center"/>
    </xf>
    <xf numFmtId="41" fontId="69" fillId="32" borderId="9" xfId="0" applyNumberFormat="1" applyFont="1" applyFill="1" applyBorder="1" applyAlignment="1">
      <alignment horizontal="center" vertical="center"/>
    </xf>
    <xf numFmtId="0" fontId="70" fillId="6" borderId="0" xfId="0" applyFont="1" applyFill="1" applyAlignment="1">
      <alignment horizontal="center" vertical="center" wrapText="1"/>
    </xf>
    <xf numFmtId="0" fontId="32" fillId="0" borderId="35" xfId="2" applyFont="1" applyBorder="1" applyAlignment="1">
      <alignment horizontal="center" vertical="center"/>
    </xf>
    <xf numFmtId="41" fontId="32" fillId="0" borderId="34" xfId="0" applyNumberFormat="1" applyFont="1" applyBorder="1"/>
    <xf numFmtId="180" fontId="32" fillId="0" borderId="34" xfId="0" applyNumberFormat="1" applyFont="1" applyBorder="1" applyAlignment="1">
      <alignment wrapText="1"/>
    </xf>
    <xf numFmtId="41" fontId="32" fillId="0" borderId="34" xfId="0" applyNumberFormat="1" applyFont="1" applyBorder="1" applyAlignment="1">
      <alignment wrapText="1"/>
    </xf>
    <xf numFmtId="181" fontId="32" fillId="0" borderId="34" xfId="0" applyNumberFormat="1" applyFont="1" applyBorder="1"/>
    <xf numFmtId="180" fontId="32" fillId="0" borderId="34" xfId="0" applyNumberFormat="1" applyFont="1" applyBorder="1"/>
    <xf numFmtId="41" fontId="32" fillId="36" borderId="34" xfId="0" applyNumberFormat="1" applyFont="1" applyFill="1" applyBorder="1"/>
    <xf numFmtId="181" fontId="32" fillId="36" borderId="34" xfId="0" applyNumberFormat="1" applyFont="1" applyFill="1" applyBorder="1"/>
    <xf numFmtId="180" fontId="32" fillId="36" borderId="34" xfId="0" applyNumberFormat="1" applyFont="1" applyFill="1" applyBorder="1"/>
    <xf numFmtId="0" fontId="32" fillId="0" borderId="34" xfId="0" applyFont="1" applyBorder="1"/>
    <xf numFmtId="41" fontId="32" fillId="0" borderId="36" xfId="0" applyNumberFormat="1" applyFont="1" applyBorder="1"/>
    <xf numFmtId="41" fontId="32" fillId="36" borderId="37" xfId="0" applyNumberFormat="1" applyFont="1" applyFill="1" applyBorder="1"/>
    <xf numFmtId="180" fontId="32" fillId="36" borderId="37" xfId="0" applyNumberFormat="1" applyFont="1" applyFill="1" applyBorder="1"/>
    <xf numFmtId="41" fontId="32" fillId="0" borderId="38" xfId="0" applyNumberFormat="1" applyFont="1" applyBorder="1"/>
    <xf numFmtId="41" fontId="32" fillId="0" borderId="39" xfId="0" applyNumberFormat="1" applyFont="1" applyBorder="1"/>
    <xf numFmtId="41" fontId="32" fillId="0" borderId="40" xfId="0" applyNumberFormat="1" applyFont="1" applyBorder="1"/>
    <xf numFmtId="180" fontId="32" fillId="36" borderId="41" xfId="0" applyNumberFormat="1" applyFont="1" applyFill="1" applyBorder="1"/>
    <xf numFmtId="0" fontId="32" fillId="0" borderId="39" xfId="0" applyFont="1" applyBorder="1"/>
    <xf numFmtId="41" fontId="32" fillId="36" borderId="39" xfId="0" applyNumberFormat="1" applyFont="1" applyFill="1" applyBorder="1"/>
    <xf numFmtId="180" fontId="32" fillId="0" borderId="42" xfId="0" applyNumberFormat="1" applyFont="1" applyBorder="1"/>
    <xf numFmtId="180" fontId="32" fillId="0" borderId="41" xfId="0" applyNumberFormat="1" applyFont="1" applyBorder="1"/>
    <xf numFmtId="180" fontId="32" fillId="0" borderId="37" xfId="0" applyNumberFormat="1" applyFont="1" applyBorder="1"/>
    <xf numFmtId="41" fontId="32" fillId="0" borderId="39" xfId="0" applyNumberFormat="1" applyFont="1" applyBorder="1" applyAlignment="1">
      <alignment horizontal="center"/>
    </xf>
    <xf numFmtId="0" fontId="32" fillId="0" borderId="40" xfId="0" applyFont="1" applyBorder="1"/>
    <xf numFmtId="0" fontId="32" fillId="0" borderId="9" xfId="2" applyFont="1" applyBorder="1" applyAlignment="1">
      <alignment horizontal="center" vertical="center"/>
    </xf>
    <xf numFmtId="0" fontId="32" fillId="0" borderId="43" xfId="2" applyFont="1" applyBorder="1" applyAlignment="1">
      <alignment horizontal="center" vertical="center"/>
    </xf>
    <xf numFmtId="41" fontId="32" fillId="0" borderId="37" xfId="0" applyNumberFormat="1" applyFont="1" applyBorder="1"/>
    <xf numFmtId="180" fontId="32" fillId="0" borderId="37" xfId="0" applyNumberFormat="1" applyFont="1" applyBorder="1" applyAlignment="1">
      <alignment wrapText="1"/>
    </xf>
    <xf numFmtId="41" fontId="32" fillId="0" borderId="37" xfId="0" applyNumberFormat="1" applyFont="1" applyBorder="1" applyAlignment="1">
      <alignment wrapText="1"/>
    </xf>
    <xf numFmtId="0" fontId="70" fillId="6" borderId="44" xfId="0" applyFont="1" applyFill="1" applyBorder="1" applyAlignment="1">
      <alignment horizontal="center" vertical="center" wrapText="1"/>
    </xf>
    <xf numFmtId="0" fontId="70" fillId="6" borderId="44" xfId="0" applyFont="1" applyFill="1" applyBorder="1" applyAlignment="1">
      <alignment horizontal="center" vertical="center"/>
    </xf>
    <xf numFmtId="0" fontId="70" fillId="6" borderId="44" xfId="0" applyFont="1" applyFill="1" applyBorder="1" applyAlignment="1">
      <alignment horizontal="left" vertical="center"/>
    </xf>
    <xf numFmtId="10" fontId="22" fillId="2" borderId="0" xfId="5" applyNumberFormat="1" applyFont="1" applyFill="1"/>
    <xf numFmtId="0" fontId="37" fillId="4" borderId="1" xfId="0" applyFont="1" applyFill="1" applyBorder="1"/>
    <xf numFmtId="169" fontId="36" fillId="4" borderId="1" xfId="10" applyNumberFormat="1" applyFont="1" applyFill="1" applyBorder="1" applyAlignment="1">
      <alignment vertical="center"/>
    </xf>
    <xf numFmtId="172" fontId="36" fillId="4" borderId="1" xfId="10" applyNumberFormat="1" applyFont="1" applyFill="1" applyBorder="1"/>
    <xf numFmtId="169" fontId="37" fillId="4" borderId="1" xfId="10" applyNumberFormat="1" applyFont="1" applyFill="1" applyBorder="1"/>
    <xf numFmtId="180" fontId="0" fillId="0" borderId="0" xfId="0" applyNumberFormat="1"/>
    <xf numFmtId="17" fontId="0" fillId="0" borderId="1" xfId="0" applyNumberFormat="1" applyBorder="1" applyAlignment="1">
      <alignment horizontal="center"/>
    </xf>
    <xf numFmtId="2" fontId="0" fillId="0" borderId="1" xfId="0" applyNumberFormat="1" applyBorder="1" applyAlignment="1">
      <alignment horizontal="center"/>
    </xf>
    <xf numFmtId="186" fontId="0" fillId="0" borderId="1" xfId="0" applyNumberFormat="1" applyBorder="1" applyAlignment="1">
      <alignment horizontal="center"/>
    </xf>
    <xf numFmtId="17" fontId="0" fillId="0" borderId="9" xfId="0" applyNumberFormat="1" applyBorder="1" applyAlignment="1">
      <alignment horizontal="center"/>
    </xf>
    <xf numFmtId="186" fontId="0" fillId="0" borderId="9" xfId="0" applyNumberFormat="1" applyBorder="1" applyAlignment="1">
      <alignment horizontal="center"/>
    </xf>
    <xf numFmtId="0" fontId="3" fillId="16" borderId="56" xfId="0" applyFont="1" applyFill="1" applyBorder="1" applyAlignment="1">
      <alignment horizontal="center" vertical="center"/>
    </xf>
    <xf numFmtId="0" fontId="3" fillId="16" borderId="31" xfId="0" applyFont="1" applyFill="1" applyBorder="1" applyAlignment="1">
      <alignment horizontal="center" vertical="center" wrapText="1"/>
    </xf>
    <xf numFmtId="0" fontId="8" fillId="36" borderId="1" xfId="0" applyFont="1" applyFill="1" applyBorder="1" applyAlignment="1">
      <alignment horizontal="center" vertical="center" wrapText="1"/>
    </xf>
    <xf numFmtId="0" fontId="8" fillId="36" borderId="1" xfId="0" applyFont="1" applyFill="1" applyBorder="1" applyAlignment="1">
      <alignment horizontal="center" vertical="center"/>
    </xf>
    <xf numFmtId="187" fontId="4" fillId="36" borderId="1" xfId="0" applyNumberFormat="1" applyFont="1" applyFill="1" applyBorder="1"/>
    <xf numFmtId="0" fontId="4" fillId="36" borderId="1" xfId="0" applyFont="1" applyFill="1" applyBorder="1"/>
    <xf numFmtId="0" fontId="4" fillId="36" borderId="1" xfId="0" applyFont="1" applyFill="1" applyBorder="1" applyAlignment="1">
      <alignment horizontal="center"/>
    </xf>
    <xf numFmtId="44" fontId="4" fillId="36" borderId="1" xfId="0" applyNumberFormat="1" applyFont="1" applyFill="1" applyBorder="1"/>
    <xf numFmtId="187" fontId="0" fillId="0" borderId="1" xfId="0" applyNumberFormat="1" applyBorder="1" applyAlignment="1">
      <alignment horizontal="center"/>
    </xf>
    <xf numFmtId="0" fontId="0" fillId="0" borderId="9" xfId="0" applyBorder="1" applyAlignment="1">
      <alignment horizontal="center"/>
    </xf>
    <xf numFmtId="44" fontId="0" fillId="0" borderId="9" xfId="869" applyFont="1" applyBorder="1" applyAlignment="1">
      <alignment horizontal="center"/>
    </xf>
    <xf numFmtId="187" fontId="0" fillId="0" borderId="9" xfId="0" applyNumberFormat="1" applyBorder="1" applyAlignment="1">
      <alignment horizontal="center"/>
    </xf>
    <xf numFmtId="17" fontId="12" fillId="63" borderId="9" xfId="0" applyNumberFormat="1" applyFont="1" applyFill="1" applyBorder="1" applyAlignment="1">
      <alignment horizontal="center"/>
    </xf>
    <xf numFmtId="44" fontId="0" fillId="0" borderId="1" xfId="869" applyFont="1" applyBorder="1" applyAlignment="1">
      <alignment horizontal="center"/>
    </xf>
    <xf numFmtId="17" fontId="12" fillId="63" borderId="1" xfId="0" applyNumberFormat="1" applyFont="1" applyFill="1" applyBorder="1" applyAlignment="1">
      <alignment horizontal="center"/>
    </xf>
    <xf numFmtId="44" fontId="4" fillId="36" borderId="1" xfId="0" applyNumberFormat="1" applyFont="1" applyFill="1" applyBorder="1" applyAlignment="1">
      <alignment horizontal="center"/>
    </xf>
    <xf numFmtId="187" fontId="4" fillId="36" borderId="1" xfId="0" applyNumberFormat="1" applyFont="1" applyFill="1" applyBorder="1" applyAlignment="1">
      <alignment horizontal="center"/>
    </xf>
    <xf numFmtId="0" fontId="3" fillId="16" borderId="1" xfId="0" applyFont="1" applyFill="1" applyBorder="1" applyAlignment="1">
      <alignment horizontal="center" vertical="center"/>
    </xf>
    <xf numFmtId="0" fontId="3" fillId="16" borderId="1" xfId="0" applyFont="1" applyFill="1" applyBorder="1" applyAlignment="1">
      <alignment horizontal="center" vertical="center" wrapText="1"/>
    </xf>
    <xf numFmtId="44" fontId="0" fillId="0" borderId="0" xfId="0" applyNumberFormat="1"/>
    <xf numFmtId="17" fontId="12" fillId="0" borderId="9" xfId="0" applyNumberFormat="1" applyFont="1" applyBorder="1" applyAlignment="1">
      <alignment horizontal="center"/>
    </xf>
    <xf numFmtId="9" fontId="27" fillId="0" borderId="0" xfId="5" applyFont="1"/>
    <xf numFmtId="44" fontId="0" fillId="0" borderId="1" xfId="869" applyFont="1" applyBorder="1"/>
    <xf numFmtId="0" fontId="4" fillId="0" borderId="17" xfId="0" applyFont="1" applyBorder="1"/>
    <xf numFmtId="0" fontId="0" fillId="0" borderId="35" xfId="0" applyBorder="1"/>
    <xf numFmtId="180" fontId="27" fillId="0" borderId="0" xfId="0" applyNumberFormat="1" applyFont="1"/>
    <xf numFmtId="41" fontId="27" fillId="0" borderId="1" xfId="14" applyNumberFormat="1" applyFont="1" applyBorder="1" applyAlignment="1">
      <alignment horizontal="left" vertical="center" indent="1"/>
    </xf>
    <xf numFmtId="0" fontId="27" fillId="0" borderId="1" xfId="14" applyFont="1" applyBorder="1" applyAlignment="1">
      <alignment horizontal="left" vertical="center" indent="1"/>
    </xf>
    <xf numFmtId="0" fontId="27" fillId="0" borderId="1" xfId="14" applyFont="1" applyBorder="1" applyAlignment="1">
      <alignment horizontal="center" vertical="center"/>
    </xf>
    <xf numFmtId="166" fontId="36" fillId="0" borderId="1" xfId="10" applyNumberFormat="1" applyFont="1" applyFill="1" applyBorder="1"/>
    <xf numFmtId="186" fontId="36" fillId="0" borderId="1" xfId="10" applyNumberFormat="1" applyFont="1" applyFill="1" applyBorder="1"/>
    <xf numFmtId="0" fontId="0" fillId="0" borderId="0" xfId="0" quotePrefix="1"/>
    <xf numFmtId="188" fontId="0" fillId="0" borderId="0" xfId="0" applyNumberFormat="1"/>
    <xf numFmtId="0" fontId="50" fillId="0" borderId="0" xfId="2" applyFont="1"/>
    <xf numFmtId="10" fontId="0" fillId="0" borderId="0" xfId="5" applyNumberFormat="1" applyFont="1"/>
    <xf numFmtId="9" fontId="8" fillId="36" borderId="1" xfId="0" applyNumberFormat="1" applyFont="1" applyFill="1" applyBorder="1" applyAlignment="1">
      <alignment horizontal="center"/>
    </xf>
    <xf numFmtId="43" fontId="27" fillId="0" borderId="0" xfId="1" applyFont="1"/>
    <xf numFmtId="0" fontId="37" fillId="36" borderId="1" xfId="0" applyFont="1" applyFill="1" applyBorder="1"/>
    <xf numFmtId="169" fontId="36" fillId="36" borderId="1" xfId="10" applyNumberFormat="1" applyFont="1" applyFill="1" applyBorder="1" applyAlignment="1">
      <alignment vertical="center"/>
    </xf>
    <xf numFmtId="172" fontId="36" fillId="36" borderId="1" xfId="10" applyNumberFormat="1" applyFont="1" applyFill="1" applyBorder="1"/>
    <xf numFmtId="169" fontId="37" fillId="36" borderId="1" xfId="10" applyNumberFormat="1" applyFont="1" applyFill="1" applyBorder="1"/>
    <xf numFmtId="189" fontId="22" fillId="2" borderId="0" xfId="5" applyNumberFormat="1" applyFont="1" applyFill="1"/>
    <xf numFmtId="190" fontId="22" fillId="2" borderId="0" xfId="2" applyNumberFormat="1" applyFont="1" applyFill="1"/>
    <xf numFmtId="43" fontId="1" fillId="7" borderId="27" xfId="10" applyFont="1" applyFill="1" applyBorder="1" applyAlignment="1">
      <alignment vertical="center"/>
    </xf>
    <xf numFmtId="43" fontId="1" fillId="7" borderId="28" xfId="10" applyFont="1" applyFill="1" applyBorder="1" applyAlignment="1">
      <alignment vertical="center"/>
    </xf>
    <xf numFmtId="169" fontId="1" fillId="0" borderId="0" xfId="10" applyNumberFormat="1" applyFont="1" applyBorder="1" applyAlignment="1">
      <alignment vertical="center"/>
    </xf>
    <xf numFmtId="172" fontId="1" fillId="7" borderId="29" xfId="10" applyNumberFormat="1" applyFont="1" applyFill="1" applyBorder="1" applyAlignment="1">
      <alignment vertical="center"/>
    </xf>
    <xf numFmtId="41" fontId="27" fillId="0" borderId="0" xfId="5" applyNumberFormat="1" applyFont="1"/>
    <xf numFmtId="3" fontId="27" fillId="0" borderId="0" xfId="0" applyNumberFormat="1" applyFont="1"/>
    <xf numFmtId="0" fontId="90" fillId="0" borderId="0" xfId="0" applyFont="1"/>
    <xf numFmtId="0" fontId="0" fillId="0" borderId="0" xfId="0" applyAlignment="1">
      <alignment horizontal="left" indent="1"/>
    </xf>
    <xf numFmtId="0" fontId="91" fillId="64" borderId="58" xfId="0" applyFont="1" applyFill="1" applyBorder="1" applyAlignment="1">
      <alignment horizontal="center" vertical="center" wrapText="1" readingOrder="1"/>
    </xf>
    <xf numFmtId="0" fontId="91" fillId="65" borderId="58" xfId="0" applyFont="1" applyFill="1" applyBorder="1" applyAlignment="1">
      <alignment horizontal="center" vertical="center" wrapText="1" readingOrder="1"/>
    </xf>
    <xf numFmtId="166" fontId="0" fillId="0" borderId="0" xfId="0" applyNumberFormat="1" applyAlignment="1">
      <alignment horizontal="center"/>
    </xf>
    <xf numFmtId="0" fontId="92" fillId="0" borderId="0" xfId="0" applyFont="1" applyAlignment="1">
      <alignment horizontal="left" wrapText="1" readingOrder="1"/>
    </xf>
    <xf numFmtId="0" fontId="92" fillId="0" borderId="0" xfId="0" applyFont="1" applyAlignment="1">
      <alignment horizontal="left" vertical="center" wrapText="1" readingOrder="1"/>
    </xf>
    <xf numFmtId="0" fontId="91" fillId="66" borderId="60" xfId="0" applyFont="1" applyFill="1" applyBorder="1" applyAlignment="1">
      <alignment horizontal="left" vertical="center" wrapText="1" readingOrder="1"/>
    </xf>
    <xf numFmtId="0" fontId="93" fillId="0" borderId="0" xfId="0" applyFont="1"/>
    <xf numFmtId="0" fontId="91" fillId="66" borderId="59" xfId="0" applyFont="1" applyFill="1" applyBorder="1" applyAlignment="1">
      <alignment horizontal="left" vertical="center" wrapText="1" readingOrder="1"/>
    </xf>
    <xf numFmtId="0" fontId="94" fillId="0" borderId="0" xfId="0" applyFont="1"/>
    <xf numFmtId="166" fontId="4" fillId="39" borderId="0" xfId="0" applyNumberFormat="1" applyFont="1" applyFill="1" applyAlignment="1">
      <alignment horizontal="center"/>
    </xf>
    <xf numFmtId="0" fontId="0" fillId="38" borderId="0" xfId="0" applyFill="1"/>
    <xf numFmtId="0" fontId="0" fillId="65" borderId="0" xfId="0" applyFill="1"/>
    <xf numFmtId="0" fontId="95" fillId="0" borderId="0" xfId="0" applyFont="1"/>
    <xf numFmtId="0" fontId="40" fillId="0" borderId="0" xfId="0" applyFont="1"/>
    <xf numFmtId="0" fontId="0" fillId="35" borderId="0" xfId="0" applyFill="1"/>
    <xf numFmtId="0" fontId="96" fillId="0" borderId="0" xfId="0" applyFont="1"/>
    <xf numFmtId="43" fontId="0" fillId="0" borderId="0" xfId="1" applyFont="1"/>
    <xf numFmtId="0" fontId="3" fillId="16" borderId="31" xfId="0" applyFont="1" applyFill="1" applyBorder="1" applyAlignment="1">
      <alignment horizontal="center" vertical="center"/>
    </xf>
    <xf numFmtId="166" fontId="0" fillId="0" borderId="1" xfId="0" applyNumberFormat="1" applyBorder="1" applyAlignment="1">
      <alignment horizontal="center"/>
    </xf>
    <xf numFmtId="9" fontId="0" fillId="0" borderId="0" xfId="5" applyFont="1"/>
    <xf numFmtId="0" fontId="47" fillId="16" borderId="11" xfId="2" applyFont="1" applyFill="1" applyBorder="1" applyAlignment="1">
      <alignment horizontal="center" vertical="center"/>
    </xf>
    <xf numFmtId="0" fontId="47" fillId="16" borderId="0" xfId="2" applyFont="1" applyFill="1" applyAlignment="1">
      <alignment horizontal="center" vertical="center"/>
    </xf>
    <xf numFmtId="0" fontId="50" fillId="16" borderId="45" xfId="2" applyFont="1" applyFill="1" applyBorder="1" applyAlignment="1">
      <alignment horizontal="center"/>
    </xf>
    <xf numFmtId="0" fontId="50" fillId="16" borderId="46" xfId="2" applyFont="1" applyFill="1" applyBorder="1" applyAlignment="1">
      <alignment horizontal="center"/>
    </xf>
    <xf numFmtId="0" fontId="37" fillId="0" borderId="1" xfId="0" applyFont="1" applyBorder="1" applyAlignment="1">
      <alignment horizontal="left" vertical="center"/>
    </xf>
    <xf numFmtId="0" fontId="3" fillId="16" borderId="0" xfId="0" applyFont="1" applyFill="1" applyAlignment="1">
      <alignment horizontal="center"/>
    </xf>
    <xf numFmtId="0" fontId="4" fillId="36" borderId="35" xfId="0" applyFont="1" applyFill="1" applyBorder="1" applyAlignment="1">
      <alignment horizontal="center"/>
    </xf>
    <xf numFmtId="0" fontId="4" fillId="36" borderId="17" xfId="0" applyFont="1" applyFill="1" applyBorder="1" applyAlignment="1">
      <alignment horizontal="center"/>
    </xf>
    <xf numFmtId="0" fontId="24" fillId="16" borderId="0" xfId="2" applyFont="1" applyFill="1" applyAlignment="1">
      <alignment horizontal="center" vertical="center"/>
    </xf>
    <xf numFmtId="0" fontId="24" fillId="16" borderId="57" xfId="2" applyFont="1" applyFill="1" applyBorder="1" applyAlignment="1">
      <alignment horizontal="center"/>
    </xf>
    <xf numFmtId="0" fontId="24" fillId="16" borderId="2" xfId="2" applyFont="1" applyFill="1" applyBorder="1" applyAlignment="1">
      <alignment horizontal="center"/>
    </xf>
    <xf numFmtId="0" fontId="22" fillId="2" borderId="1" xfId="2" applyFont="1" applyFill="1" applyBorder="1" applyAlignment="1">
      <alignment horizontal="center" vertical="center"/>
    </xf>
    <xf numFmtId="0" fontId="22" fillId="2" borderId="12" xfId="2" applyFont="1" applyFill="1" applyBorder="1" applyAlignment="1">
      <alignment horizontal="center" vertical="center"/>
    </xf>
    <xf numFmtId="0" fontId="22" fillId="2" borderId="26" xfId="2" applyFont="1" applyFill="1" applyBorder="1" applyAlignment="1">
      <alignment horizontal="center" vertical="center"/>
    </xf>
    <xf numFmtId="0" fontId="22" fillId="2" borderId="9" xfId="2" applyFont="1" applyFill="1" applyBorder="1" applyAlignment="1">
      <alignment horizontal="center" vertical="center"/>
    </xf>
    <xf numFmtId="0" fontId="5" fillId="6" borderId="0" xfId="0" applyFont="1" applyFill="1" applyAlignment="1">
      <alignment horizontal="center" vertical="center" wrapText="1"/>
    </xf>
    <xf numFmtId="0" fontId="5" fillId="6" borderId="32"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3" fillId="6" borderId="0" xfId="0" applyFont="1" applyFill="1" applyAlignment="1">
      <alignment horizontal="center"/>
    </xf>
    <xf numFmtId="1" fontId="0" fillId="0" borderId="0" xfId="0" applyNumberFormat="1" applyAlignment="1">
      <alignment horizontal="center"/>
    </xf>
    <xf numFmtId="169" fontId="10" fillId="0" borderId="0" xfId="1" applyNumberFormat="1" applyFont="1" applyFill="1" applyAlignment="1">
      <alignment horizontal="center" vertical="center"/>
    </xf>
    <xf numFmtId="2" fontId="0" fillId="0" borderId="13" xfId="0" applyNumberFormat="1" applyBorder="1" applyAlignment="1">
      <alignment horizontal="center" vertical="center"/>
    </xf>
    <xf numFmtId="169" fontId="10" fillId="0" borderId="0" xfId="1" applyNumberFormat="1" applyFont="1" applyAlignment="1">
      <alignment horizontal="center" vertical="center"/>
    </xf>
    <xf numFmtId="2" fontId="0" fillId="0" borderId="0" xfId="0" applyNumberFormat="1" applyAlignment="1">
      <alignment horizontal="left"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2" fontId="0" fillId="0" borderId="0" xfId="0" applyNumberFormat="1" applyAlignment="1">
      <alignment horizontal="center"/>
    </xf>
    <xf numFmtId="1" fontId="0" fillId="0" borderId="0" xfId="0" applyNumberFormat="1" applyAlignment="1">
      <alignment horizontal="left" vertical="center"/>
    </xf>
    <xf numFmtId="169" fontId="10" fillId="0" borderId="0" xfId="1" applyNumberFormat="1" applyFont="1" applyAlignment="1">
      <alignment horizontal="center"/>
    </xf>
  </cellXfs>
  <cellStyles count="982">
    <cellStyle name="?Q\?1@" xfId="873" xr:uid="{35ABEC6E-9ECE-4D2F-BFBF-04E097B2D122}"/>
    <cellStyle name="20% - Accent1" xfId="886" xr:uid="{EE7B03F3-5658-4694-A1EC-78E6B25210A9}"/>
    <cellStyle name="20% - Accent2" xfId="887" xr:uid="{356BA51A-FE59-493F-BF72-571DB96BBA87}"/>
    <cellStyle name="20% - Accent3" xfId="888" xr:uid="{ACD892C3-4211-4D53-9733-EE84FF304A17}"/>
    <cellStyle name="20% - Accent4" xfId="889" xr:uid="{FE8D0B1F-6C7E-44CE-9582-92BD4EF28A0B}"/>
    <cellStyle name="20% - Accent5" xfId="890" xr:uid="{E8D3CFFD-C808-46EA-BAED-3DC4EACB6974}"/>
    <cellStyle name="20% - Accent6" xfId="891" xr:uid="{3392D55D-8799-4A7A-B91F-28E137BF4F59}"/>
    <cellStyle name="20% - Ênfase1 10" xfId="79" xr:uid="{F9DD0DA4-0ADC-4202-8817-E960C1E5B888}"/>
    <cellStyle name="20% - Ênfase1 10 2" xfId="80" xr:uid="{0E5E6777-DC3C-49BD-85A0-41F37D76B66F}"/>
    <cellStyle name="20% - Ênfase1 11" xfId="81" xr:uid="{9BBDA68F-8E60-4CF5-AF65-968293A3B1BC}"/>
    <cellStyle name="20% - Ênfase1 11 2" xfId="82" xr:uid="{3A4D3493-7227-4249-A960-F1031194D564}"/>
    <cellStyle name="20% - Ênfase1 12" xfId="83" xr:uid="{96F04F50-72E7-4CE2-AB29-1C2ED44D167A}"/>
    <cellStyle name="20% - Ênfase1 12 2" xfId="84" xr:uid="{5D7997E3-14CE-4D64-B148-74EDBDCC7605}"/>
    <cellStyle name="20% - Ênfase1 13" xfId="85" xr:uid="{2F7ED4B4-6BFD-467A-BA2D-42940913B2BB}"/>
    <cellStyle name="20% - Ênfase1 13 2" xfId="86" xr:uid="{6FFF7574-34A4-4161-9491-2BBA94DA3993}"/>
    <cellStyle name="20% - Ênfase1 14" xfId="87" xr:uid="{95329650-079A-4BB4-A6F9-5C1FAD931592}"/>
    <cellStyle name="20% - Ênfase1 14 2" xfId="88" xr:uid="{16A3DF39-30AC-4A5B-9A92-DB973BE7F049}"/>
    <cellStyle name="20% - Ênfase1 15" xfId="89" xr:uid="{67172BEE-21D1-41B7-8615-9A87BF508954}"/>
    <cellStyle name="20% - Ênfase1 15 2" xfId="90" xr:uid="{6D21F011-5F4F-4403-9B4B-D5AC42081F2B}"/>
    <cellStyle name="20% - Ênfase1 16" xfId="91" xr:uid="{7D8BD688-F088-472E-B1A6-894EAB23B706}"/>
    <cellStyle name="20% - Ênfase1 16 2" xfId="92" xr:uid="{C3201679-5F9F-4A7D-AAB2-64637499C3EC}"/>
    <cellStyle name="20% - Ênfase1 17" xfId="93" xr:uid="{CA3F588A-20A0-4B1C-BF25-347AB4E502E3}"/>
    <cellStyle name="20% - Ênfase1 17 2" xfId="94" xr:uid="{8E74221F-8416-4367-87FB-AB3C18B1EF6D}"/>
    <cellStyle name="20% - Ênfase1 18" xfId="95" xr:uid="{01D394E3-857D-40A5-A8A5-4F0AFF496D87}"/>
    <cellStyle name="20% - Ênfase1 18 2" xfId="96" xr:uid="{776C1E1C-58B1-4835-BFB8-EDD22BDB916A}"/>
    <cellStyle name="20% - Ênfase1 19" xfId="97" xr:uid="{19C08E72-9F8D-4EE2-874D-921F73262F47}"/>
    <cellStyle name="20% - Ênfase1 19 2" xfId="98" xr:uid="{43E3F9EE-6F1E-44BB-8B0E-9AD8A00432A0}"/>
    <cellStyle name="20% - Ênfase1 2" xfId="99" xr:uid="{710941C4-EB58-4A2B-87E9-BB2695760853}"/>
    <cellStyle name="20% - Ênfase1 2 2" xfId="100" xr:uid="{8887E313-10BC-4B31-AE01-AF51E0F1E1AD}"/>
    <cellStyle name="20% - Ênfase1 2 3" xfId="892" xr:uid="{37B8ABFD-D9C0-4B5B-8119-72D3B602371E}"/>
    <cellStyle name="20% - Ênfase1 20" xfId="101" xr:uid="{80E1EF8E-8072-4265-A500-76E8693B3B29}"/>
    <cellStyle name="20% - Ênfase1 20 2" xfId="102" xr:uid="{3775697F-E83B-4464-B490-C02B246D1BF6}"/>
    <cellStyle name="20% - Ênfase1 21" xfId="103" xr:uid="{CE8738DE-7DED-416E-B838-743478B0CB78}"/>
    <cellStyle name="20% - Ênfase1 21 2" xfId="104" xr:uid="{7AD5CD26-C2FB-4947-9919-AF8837B72B3D}"/>
    <cellStyle name="20% - Ênfase1 22" xfId="105" xr:uid="{C2642767-10A0-4F30-9EF8-49E3F4AA24DC}"/>
    <cellStyle name="20% - Ênfase1 22 2" xfId="106" xr:uid="{FD6D22EB-46FA-4B9C-836E-74AA8A8F024D}"/>
    <cellStyle name="20% - Ênfase1 23" xfId="107" xr:uid="{17AC20BD-5FD5-4897-A2DD-13C45F622C83}"/>
    <cellStyle name="20% - Ênfase1 23 2" xfId="108" xr:uid="{500F915A-25E0-44B5-9B5C-8854126D0432}"/>
    <cellStyle name="20% - Ênfase1 24" xfId="109" xr:uid="{5CFFDDCF-EAFC-4236-98F7-38D20D588F23}"/>
    <cellStyle name="20% - Ênfase1 24 2" xfId="110" xr:uid="{E8FC996B-C22B-41E0-A98A-0D27F506C1C8}"/>
    <cellStyle name="20% - Ênfase1 25" xfId="111" xr:uid="{30C68DC7-207E-42E2-B258-144A1BE02FF0}"/>
    <cellStyle name="20% - Ênfase1 26" xfId="112" xr:uid="{2C8502B0-4046-4132-8E7A-88B883F31525}"/>
    <cellStyle name="20% - Ênfase1 27" xfId="113" xr:uid="{1E296D1C-ECAC-44C1-AFCA-D507CCD5B57C}"/>
    <cellStyle name="20% - Ênfase1 28" xfId="114" xr:uid="{F151FC56-14F8-4A67-8B3D-E5FE637FE219}"/>
    <cellStyle name="20% - Ênfase1 29" xfId="115" xr:uid="{5D6CABEC-2788-4883-8FED-5BF46C35B1E7}"/>
    <cellStyle name="20% - Ênfase1 3" xfId="116" xr:uid="{ECA79D44-4D5B-40E8-810A-F88633F61C7C}"/>
    <cellStyle name="20% - Ênfase1 3 2" xfId="117" xr:uid="{47208386-0B1C-48B3-B595-08273118AD99}"/>
    <cellStyle name="20% - Ênfase1 30" xfId="118" xr:uid="{B38DEBAF-0E8E-40EC-A359-E3C6B0361B27}"/>
    <cellStyle name="20% - Ênfase1 31" xfId="119" xr:uid="{961427A5-26C1-41EE-B567-6BE9944F7B2D}"/>
    <cellStyle name="20% - Ênfase1 32" xfId="120" xr:uid="{1D0BC4E1-CD2B-46AF-B2C0-D3EF8D15F257}"/>
    <cellStyle name="20% - Ênfase1 33" xfId="121" xr:uid="{3AAE3234-9BA9-4B1B-BA1D-E66ED482B573}"/>
    <cellStyle name="20% - Ênfase1 34" xfId="122" xr:uid="{37A8D400-DEDF-4FB1-A2E9-006A1109E914}"/>
    <cellStyle name="20% - Ênfase1 35" xfId="123" xr:uid="{D868703D-8724-48CB-8A1F-68B0911426CA}"/>
    <cellStyle name="20% - Ênfase1 36" xfId="124" xr:uid="{68D138CA-B008-4CCB-AF26-3D07A8A7A32B}"/>
    <cellStyle name="20% - Ênfase1 4" xfId="125" xr:uid="{4F2AC92E-7B0C-489D-859F-55BBC34D9471}"/>
    <cellStyle name="20% - Ênfase1 4 2" xfId="126" xr:uid="{2C0CD0E3-7209-4B3E-9D7C-B9355675CB18}"/>
    <cellStyle name="20% - Ênfase1 5" xfId="127" xr:uid="{82101111-DBDC-4997-9E6A-44153E391A8C}"/>
    <cellStyle name="20% - Ênfase1 5 2" xfId="128" xr:uid="{96E73208-4535-4A8A-BF97-9AC6C2211755}"/>
    <cellStyle name="20% - Ênfase1 6" xfId="129" xr:uid="{6D3E28CF-B647-42AD-8AF8-8EEFBB1F984B}"/>
    <cellStyle name="20% - Ênfase1 6 2" xfId="130" xr:uid="{A78537C1-1B04-4DCD-B9F2-7578555511BE}"/>
    <cellStyle name="20% - Ênfase1 7" xfId="131" xr:uid="{6C94087B-E924-421A-A408-53AE597997A5}"/>
    <cellStyle name="20% - Ênfase1 7 2" xfId="132" xr:uid="{8C612174-6C9F-4A57-9BB9-92A35853DFE5}"/>
    <cellStyle name="20% - Ênfase1 8" xfId="133" xr:uid="{80EF8074-F9F8-4783-905D-BB072929D255}"/>
    <cellStyle name="20% - Ênfase1 8 2" xfId="134" xr:uid="{5E290423-F129-4530-B0CE-2099A3C17656}"/>
    <cellStyle name="20% - Ênfase1 9" xfId="135" xr:uid="{800CBC8E-2519-46B3-AFA8-90532A02580D}"/>
    <cellStyle name="20% - Ênfase1 9 2" xfId="136" xr:uid="{194D55D2-11A3-485D-B310-4E889CF90AAE}"/>
    <cellStyle name="20% - Ênfase2 10" xfId="137" xr:uid="{41C98757-478B-4DB7-B3C3-0060CDFDB282}"/>
    <cellStyle name="20% - Ênfase2 10 2" xfId="138" xr:uid="{214E8CD5-5973-4F44-AB41-C195DD21F165}"/>
    <cellStyle name="20% - Ênfase2 11" xfId="139" xr:uid="{BE112458-DD49-48BE-BF20-683C1EF7B989}"/>
    <cellStyle name="20% - Ênfase2 11 2" xfId="140" xr:uid="{C9A66D14-0200-4A5E-9AFA-9A0D9E10E614}"/>
    <cellStyle name="20% - Ênfase2 12" xfId="141" xr:uid="{965B42EC-B366-4D17-8DE6-D00735A5F551}"/>
    <cellStyle name="20% - Ênfase2 12 2" xfId="142" xr:uid="{4897BE59-72C9-4746-83BD-84652AF3EB3C}"/>
    <cellStyle name="20% - Ênfase2 13" xfId="143" xr:uid="{D6246535-92F5-4C0E-9453-9085122BD535}"/>
    <cellStyle name="20% - Ênfase2 13 2" xfId="144" xr:uid="{A71E0565-A1B6-4F32-9E92-47BDA44CDB88}"/>
    <cellStyle name="20% - Ênfase2 14" xfId="145" xr:uid="{8201416C-85F4-45AE-AA9C-DAFCB82B35EF}"/>
    <cellStyle name="20% - Ênfase2 14 2" xfId="146" xr:uid="{587968D4-8DAE-4465-90FA-F3E6A0E8AF12}"/>
    <cellStyle name="20% - Ênfase2 15" xfId="147" xr:uid="{64C033A6-7B0E-4661-8F52-06267B39A5EC}"/>
    <cellStyle name="20% - Ênfase2 15 2" xfId="148" xr:uid="{8A59522C-042E-42E9-A52A-6B3C7DDFF65B}"/>
    <cellStyle name="20% - Ênfase2 16" xfId="149" xr:uid="{CA472593-BF3A-41D6-B069-340E4FC8CA52}"/>
    <cellStyle name="20% - Ênfase2 16 2" xfId="150" xr:uid="{6AB982E0-CDB9-4C30-BFCF-9D91A0AD77D1}"/>
    <cellStyle name="20% - Ênfase2 17" xfId="151" xr:uid="{05663E36-B727-45FD-9F7B-B01171408B55}"/>
    <cellStyle name="20% - Ênfase2 17 2" xfId="152" xr:uid="{BB687F46-8B19-4FB5-9587-8776DFF657B0}"/>
    <cellStyle name="20% - Ênfase2 18" xfId="153" xr:uid="{3F64F823-7DF7-4F2A-B36E-473A3E6ED97E}"/>
    <cellStyle name="20% - Ênfase2 18 2" xfId="154" xr:uid="{FEBBC2E2-2C65-487F-927F-F233E5ABE6DD}"/>
    <cellStyle name="20% - Ênfase2 19" xfId="155" xr:uid="{138F6D66-FEF3-49CD-8433-DB58AF97435E}"/>
    <cellStyle name="20% - Ênfase2 19 2" xfId="156" xr:uid="{0894EAEF-3450-4658-BC88-932B0E4332C1}"/>
    <cellStyle name="20% - Ênfase2 2" xfId="157" xr:uid="{A8D7ECFC-57B8-4CB3-A1AF-D9FEF8BFC5FD}"/>
    <cellStyle name="20% - Ênfase2 2 2" xfId="158" xr:uid="{61819445-89CC-4D89-AD27-A1B2A2D63393}"/>
    <cellStyle name="20% - Ênfase2 2 3" xfId="893" xr:uid="{00D9F7B0-C187-4255-B6CA-4891845DB649}"/>
    <cellStyle name="20% - Ênfase2 20" xfId="159" xr:uid="{A6AA61D9-76F4-4A94-A961-056F643BC854}"/>
    <cellStyle name="20% - Ênfase2 20 2" xfId="160" xr:uid="{FD7827E7-1563-47B4-AD8A-B85B76CA2CED}"/>
    <cellStyle name="20% - Ênfase2 21" xfId="161" xr:uid="{EAA4C551-B3B8-46B6-A521-DA28AC4FE7C3}"/>
    <cellStyle name="20% - Ênfase2 21 2" xfId="162" xr:uid="{010B47DB-22BE-4E0E-A14C-8484BDE2D901}"/>
    <cellStyle name="20% - Ênfase2 22" xfId="163" xr:uid="{627DA540-1FD9-4928-B022-CBC1BC1B6D2D}"/>
    <cellStyle name="20% - Ênfase2 22 2" xfId="164" xr:uid="{B9A1C490-FA5F-4E7F-978D-C21E9ED0E8F4}"/>
    <cellStyle name="20% - Ênfase2 23" xfId="165" xr:uid="{94AEF5B2-69CB-4C42-B548-877622CF95D0}"/>
    <cellStyle name="20% - Ênfase2 23 2" xfId="166" xr:uid="{E8D9F966-279D-4E28-AE9F-A966FA1F7851}"/>
    <cellStyle name="20% - Ênfase2 24" xfId="167" xr:uid="{746C362C-1C77-4F83-A67A-9B98D11D8B7A}"/>
    <cellStyle name="20% - Ênfase2 24 2" xfId="168" xr:uid="{6EA1D35D-F673-4621-B20D-47EAE64A5924}"/>
    <cellStyle name="20% - Ênfase2 25" xfId="169" xr:uid="{DCA76DCA-D411-4241-A761-FDBA77652A9F}"/>
    <cellStyle name="20% - Ênfase2 26" xfId="170" xr:uid="{C2531065-C648-4A2B-9373-43325B0D0295}"/>
    <cellStyle name="20% - Ênfase2 27" xfId="171" xr:uid="{5AE1E508-044A-4ADD-8605-F4EC8FCA4B8C}"/>
    <cellStyle name="20% - Ênfase2 28" xfId="172" xr:uid="{2E7243FA-3A62-4E5A-9BBC-4C4B49055CCE}"/>
    <cellStyle name="20% - Ênfase2 29" xfId="173" xr:uid="{4F201678-DA24-430D-8F3D-8A9DF2EA9C07}"/>
    <cellStyle name="20% - Ênfase2 3" xfId="174" xr:uid="{BDC000E2-DF8B-4836-AD07-CB190021BB7A}"/>
    <cellStyle name="20% - Ênfase2 3 2" xfId="175" xr:uid="{D4BF8BFB-C0C4-4BCE-958D-7563E51F3FDA}"/>
    <cellStyle name="20% - Ênfase2 30" xfId="176" xr:uid="{26FF220B-0B14-47BF-A1A9-88CCCD73B14A}"/>
    <cellStyle name="20% - Ênfase2 31" xfId="177" xr:uid="{E3DDD76B-E5DF-40FF-AA5A-015014BB961A}"/>
    <cellStyle name="20% - Ênfase2 32" xfId="178" xr:uid="{686CE96D-C7C3-468A-BFC2-C77E97EDA760}"/>
    <cellStyle name="20% - Ênfase2 33" xfId="179" xr:uid="{BBA5092D-3F3A-40E6-A1C4-1FE82F7D64FB}"/>
    <cellStyle name="20% - Ênfase2 34" xfId="180" xr:uid="{40A4EDD3-04FF-4606-852E-6CFCCD8E9D43}"/>
    <cellStyle name="20% - Ênfase2 35" xfId="181" xr:uid="{D6378F63-43D1-4FBD-8208-D7720164675F}"/>
    <cellStyle name="20% - Ênfase2 36" xfId="182" xr:uid="{DB6D0141-2F11-46C1-8E18-BB97C70D1117}"/>
    <cellStyle name="20% - Ênfase2 4" xfId="183" xr:uid="{6622872E-4B4D-49E8-9A7D-D65FE7008F58}"/>
    <cellStyle name="20% - Ênfase2 4 2" xfId="184" xr:uid="{C76660D3-2A67-4984-9614-98C3531862E8}"/>
    <cellStyle name="20% - Ênfase2 5" xfId="185" xr:uid="{48E32493-47D7-4357-B2EE-6B8CA3D122F5}"/>
    <cellStyle name="20% - Ênfase2 5 2" xfId="186" xr:uid="{B00B7051-E4EB-44D3-A4D5-C370BD180E5D}"/>
    <cellStyle name="20% - Ênfase2 6" xfId="187" xr:uid="{E65405A4-4375-4AC8-B33A-6E953991FAFE}"/>
    <cellStyle name="20% - Ênfase2 6 2" xfId="188" xr:uid="{2ED53167-14FC-4A12-8920-E724ED0B92A5}"/>
    <cellStyle name="20% - Ênfase2 7" xfId="189" xr:uid="{E98EC1F4-CEAE-4BA7-B9BB-08D4EAC49139}"/>
    <cellStyle name="20% - Ênfase2 7 2" xfId="190" xr:uid="{FB61761D-530F-4E70-944D-0A9CE9936F6F}"/>
    <cellStyle name="20% - Ênfase2 8" xfId="191" xr:uid="{F0321BF0-D358-4A1B-8200-5A8520B14B56}"/>
    <cellStyle name="20% - Ênfase2 8 2" xfId="192" xr:uid="{01643452-8232-4DEF-AE9E-95582A75CCDC}"/>
    <cellStyle name="20% - Ênfase2 9" xfId="193" xr:uid="{BA8C9913-442B-470A-824A-A36B8A2BC787}"/>
    <cellStyle name="20% - Ênfase2 9 2" xfId="194" xr:uid="{B53877C4-3933-4C61-A711-B312D0AC8528}"/>
    <cellStyle name="20% - Ênfase3 10" xfId="195" xr:uid="{4539A435-E19A-4166-9CC4-1FE3ACE8E978}"/>
    <cellStyle name="20% - Ênfase3 10 2" xfId="196" xr:uid="{55A22E9B-335D-4C5D-9E23-B813F6F7D269}"/>
    <cellStyle name="20% - Ênfase3 11" xfId="197" xr:uid="{48FFF6FF-E523-44AA-A230-E0EE7107ABAB}"/>
    <cellStyle name="20% - Ênfase3 11 2" xfId="198" xr:uid="{D33277D6-DB13-4DBC-8B95-AE37FC1BAAAD}"/>
    <cellStyle name="20% - Ênfase3 12" xfId="199" xr:uid="{8BE55EB1-3409-4C1D-B5BD-63C94712B962}"/>
    <cellStyle name="20% - Ênfase3 12 2" xfId="200" xr:uid="{BA653CE1-F5DD-4873-8FED-0880CA15862D}"/>
    <cellStyle name="20% - Ênfase3 13" xfId="201" xr:uid="{1CE23F95-99DC-4786-90D6-CCB907DFF6AE}"/>
    <cellStyle name="20% - Ênfase3 13 2" xfId="202" xr:uid="{7506C6B9-28FE-4DD3-97F6-1738245E44CD}"/>
    <cellStyle name="20% - Ênfase3 14" xfId="203" xr:uid="{51AD84C2-E646-4086-B473-E1E03B39D037}"/>
    <cellStyle name="20% - Ênfase3 14 2" xfId="204" xr:uid="{81677115-89C7-4BB2-A929-53F516A47A1B}"/>
    <cellStyle name="20% - Ênfase3 15" xfId="205" xr:uid="{FC65D2FD-30F4-4A4E-9D06-57D5FFEAC163}"/>
    <cellStyle name="20% - Ênfase3 15 2" xfId="206" xr:uid="{8570DB6F-D048-4427-B9DB-00B92C90F185}"/>
    <cellStyle name="20% - Ênfase3 16" xfId="207" xr:uid="{A1416841-472F-4255-847F-D0D3551836CE}"/>
    <cellStyle name="20% - Ênfase3 16 2" xfId="208" xr:uid="{63B28D2B-A099-4B35-8273-458247575E0B}"/>
    <cellStyle name="20% - Ênfase3 17" xfId="209" xr:uid="{E167C5B9-DCB2-49A3-99CA-8041CBDF24E9}"/>
    <cellStyle name="20% - Ênfase3 17 2" xfId="210" xr:uid="{0C97C99A-8327-47E8-877B-92F5BAB7FE53}"/>
    <cellStyle name="20% - Ênfase3 18" xfId="211" xr:uid="{EF35A07E-FE45-4FF3-94A7-0553F96AAF81}"/>
    <cellStyle name="20% - Ênfase3 18 2" xfId="212" xr:uid="{96201615-A01F-4604-B74E-5E4C1E68034C}"/>
    <cellStyle name="20% - Ênfase3 19" xfId="213" xr:uid="{D80267D5-6F5C-45E9-9788-84F2D0F034A5}"/>
    <cellStyle name="20% - Ênfase3 19 2" xfId="214" xr:uid="{164EB352-A0B9-4EE0-83E8-56012E2F21E0}"/>
    <cellStyle name="20% - Ênfase3 2" xfId="215" xr:uid="{62BF9B5B-C706-4BC8-A604-1B4108068D16}"/>
    <cellStyle name="20% - Ênfase3 2 2" xfId="216" xr:uid="{3E99E2E1-D3F7-462D-A33F-F30E72BFDBFC}"/>
    <cellStyle name="20% - Ênfase3 2 3" xfId="894" xr:uid="{C526214F-20D9-49C6-A800-3C4FC74A86CC}"/>
    <cellStyle name="20% - Ênfase3 20" xfId="217" xr:uid="{A7835A3B-27A8-4683-9E16-5BEED92DA74D}"/>
    <cellStyle name="20% - Ênfase3 20 2" xfId="218" xr:uid="{DC3128F0-240A-4B00-A0F2-7C319EE4DD52}"/>
    <cellStyle name="20% - Ênfase3 21" xfId="219" xr:uid="{80F684A3-1B12-4155-964E-EEE90EB500AB}"/>
    <cellStyle name="20% - Ênfase3 21 2" xfId="220" xr:uid="{2BED9B82-A4AD-48B1-A398-05A68BE30D79}"/>
    <cellStyle name="20% - Ênfase3 22" xfId="221" xr:uid="{4D8784DD-2F7D-476A-8896-38862501C5E7}"/>
    <cellStyle name="20% - Ênfase3 22 2" xfId="222" xr:uid="{AD4ABA60-1582-4B61-BA67-F528EE8195E1}"/>
    <cellStyle name="20% - Ênfase3 23" xfId="223" xr:uid="{C4EE415D-BF4E-46CA-987F-A5915AEF44B1}"/>
    <cellStyle name="20% - Ênfase3 23 2" xfId="224" xr:uid="{59E29058-B554-423B-B93D-AB13103C9D7E}"/>
    <cellStyle name="20% - Ênfase3 24" xfId="225" xr:uid="{C56D1435-A07B-48D4-91E4-02DB0F4C212F}"/>
    <cellStyle name="20% - Ênfase3 24 2" xfId="226" xr:uid="{B4247A05-A79D-4A9F-A11E-572391357739}"/>
    <cellStyle name="20% - Ênfase3 25" xfId="227" xr:uid="{4ECEC9F9-8A2E-475C-A236-ABC0899363D5}"/>
    <cellStyle name="20% - Ênfase3 26" xfId="228" xr:uid="{3FAA15EB-5747-4F44-91AB-4AEC4AA9D764}"/>
    <cellStyle name="20% - Ênfase3 27" xfId="229" xr:uid="{79C59D85-E673-4D14-8BB8-50034DB8D597}"/>
    <cellStyle name="20% - Ênfase3 28" xfId="230" xr:uid="{9DAACE2E-16E4-43B6-81EC-6661368512CB}"/>
    <cellStyle name="20% - Ênfase3 29" xfId="231" xr:uid="{476407FD-048B-4C2B-B215-1A2FC3D4A0E6}"/>
    <cellStyle name="20% - Ênfase3 3" xfId="232" xr:uid="{84AA8A2B-E886-4F4A-ADA8-F70A46E6515C}"/>
    <cellStyle name="20% - Ênfase3 3 2" xfId="233" xr:uid="{54EEA322-D215-4194-B8DC-21339A0F4988}"/>
    <cellStyle name="20% - Ênfase3 30" xfId="234" xr:uid="{F452158E-6008-4B2D-AEF2-47F29FDD897C}"/>
    <cellStyle name="20% - Ênfase3 31" xfId="235" xr:uid="{84803AAE-D516-459B-B3E4-0B8ED4705A0C}"/>
    <cellStyle name="20% - Ênfase3 32" xfId="236" xr:uid="{90E79CBA-CC12-44B2-96DD-BED66F76256A}"/>
    <cellStyle name="20% - Ênfase3 33" xfId="237" xr:uid="{99E40BBC-753F-449D-AA4F-4C4544E7C812}"/>
    <cellStyle name="20% - Ênfase3 34" xfId="238" xr:uid="{A54E3268-1647-4CE6-BF39-C0E27CA6FD75}"/>
    <cellStyle name="20% - Ênfase3 35" xfId="239" xr:uid="{55834CDA-EAF4-4105-9751-1A1F6A188270}"/>
    <cellStyle name="20% - Ênfase3 36" xfId="240" xr:uid="{212A1365-CA1D-4A78-AE29-C457B06719CF}"/>
    <cellStyle name="20% - Ênfase3 4" xfId="241" xr:uid="{39DB0D17-B49E-4D40-AAC0-73DF174A37C7}"/>
    <cellStyle name="20% - Ênfase3 4 2" xfId="242" xr:uid="{57C18313-04CF-4B8B-87BF-DAB39D9FBDF9}"/>
    <cellStyle name="20% - Ênfase3 5" xfId="243" xr:uid="{B1F2DB53-6EB2-40CF-A4EB-3408211858FC}"/>
    <cellStyle name="20% - Ênfase3 5 2" xfId="244" xr:uid="{2CC865C4-7AE2-4235-B625-5BD66A95C4E9}"/>
    <cellStyle name="20% - Ênfase3 6" xfId="245" xr:uid="{98D81923-672F-4B87-85AC-4C2FDBD27A33}"/>
    <cellStyle name="20% - Ênfase3 6 2" xfId="246" xr:uid="{AC18CE98-91A8-4420-990B-BE59130BBA12}"/>
    <cellStyle name="20% - Ênfase3 7" xfId="247" xr:uid="{D8D25879-6B1B-4912-992E-F4211A4BF7B1}"/>
    <cellStyle name="20% - Ênfase3 7 2" xfId="248" xr:uid="{FC00A8CA-B4DC-4105-B98E-E6A28F35B013}"/>
    <cellStyle name="20% - Ênfase3 8" xfId="249" xr:uid="{438F01A4-A8A9-4C0A-93B7-8E39255D7BBD}"/>
    <cellStyle name="20% - Ênfase3 8 2" xfId="250" xr:uid="{3F9C1E92-5F9C-46E6-AD14-61A266B5BF12}"/>
    <cellStyle name="20% - Ênfase3 9" xfId="251" xr:uid="{F04A7FFC-55AA-472C-BF0B-F5D044BA183F}"/>
    <cellStyle name="20% - Ênfase3 9 2" xfId="252" xr:uid="{BF151CDB-50DE-459E-AA47-5C85AFFA8E82}"/>
    <cellStyle name="20% - Ênfase4 10" xfId="253" xr:uid="{2927594A-8186-4426-BB50-4EEE7043ADD6}"/>
    <cellStyle name="20% - Ênfase4 10 2" xfId="254" xr:uid="{B580C672-A335-47C2-9058-5492581BFF18}"/>
    <cellStyle name="20% - Ênfase4 11" xfId="255" xr:uid="{8900CD9C-96EF-49A4-B97C-E97DABD9903E}"/>
    <cellStyle name="20% - Ênfase4 11 2" xfId="256" xr:uid="{7734F05E-C990-4D6F-BF7F-CF99E4D56F89}"/>
    <cellStyle name="20% - Ênfase4 12" xfId="257" xr:uid="{1A4CE2A8-264B-49D4-9FAE-07646EB8892B}"/>
    <cellStyle name="20% - Ênfase4 12 2" xfId="258" xr:uid="{4A60F946-56AE-4DA8-9FB6-CBC0003E4717}"/>
    <cellStyle name="20% - Ênfase4 13" xfId="259" xr:uid="{4FCB4BB5-817D-497E-80F2-EB50AEDCB517}"/>
    <cellStyle name="20% - Ênfase4 13 2" xfId="260" xr:uid="{57D3001B-1C9F-4852-B9F3-E099D10DE340}"/>
    <cellStyle name="20% - Ênfase4 14" xfId="261" xr:uid="{E743AE6E-CEC2-4B25-A25B-1DE7C3C573F0}"/>
    <cellStyle name="20% - Ênfase4 14 2" xfId="262" xr:uid="{89A7636B-C36E-43DC-A90F-AB7CE8A14213}"/>
    <cellStyle name="20% - Ênfase4 15" xfId="263" xr:uid="{2E6D6303-4C08-4584-B5AB-FC4C7150D090}"/>
    <cellStyle name="20% - Ênfase4 15 2" xfId="264" xr:uid="{C5CB6B5F-8BA7-48E3-94BA-4F154B4820BE}"/>
    <cellStyle name="20% - Ênfase4 16" xfId="265" xr:uid="{545A2AB9-7DFC-4DC5-B5B7-F1344CF4A1F4}"/>
    <cellStyle name="20% - Ênfase4 16 2" xfId="266" xr:uid="{AEC963C0-D437-41C5-8D16-46694B7070D8}"/>
    <cellStyle name="20% - Ênfase4 17" xfId="267" xr:uid="{58DD438F-97A1-4252-B701-D950AEC34910}"/>
    <cellStyle name="20% - Ênfase4 17 2" xfId="268" xr:uid="{D8B3F5E8-E479-47EA-9564-7C4236A5586A}"/>
    <cellStyle name="20% - Ênfase4 18" xfId="269" xr:uid="{C714371E-C621-4315-A649-3911351AC19D}"/>
    <cellStyle name="20% - Ênfase4 18 2" xfId="270" xr:uid="{34CC1926-694E-41AD-AE9F-D1DD42101077}"/>
    <cellStyle name="20% - Ênfase4 19" xfId="271" xr:uid="{ACF3CD4D-C859-4886-889D-88EC7B0B704C}"/>
    <cellStyle name="20% - Ênfase4 19 2" xfId="272" xr:uid="{1423C77B-8A21-4FA9-A5E6-2D1B99589D15}"/>
    <cellStyle name="20% - Ênfase4 2" xfId="273" xr:uid="{479D1DCA-7771-4184-A730-9ED6E8EADA59}"/>
    <cellStyle name="20% - Ênfase4 2 2" xfId="274" xr:uid="{3A5FC7EB-9FCD-486B-8D0C-70B577F78697}"/>
    <cellStyle name="20% - Ênfase4 2 3" xfId="895" xr:uid="{75D2D4FD-3079-46DA-A039-BB10735CC4DE}"/>
    <cellStyle name="20% - Ênfase4 20" xfId="275" xr:uid="{C93947CC-9F2F-485D-B51B-5DC2D696A4BC}"/>
    <cellStyle name="20% - Ênfase4 20 2" xfId="276" xr:uid="{2DD08E88-6221-4BF7-8F30-FD8A8A9B1FDB}"/>
    <cellStyle name="20% - Ênfase4 21" xfId="277" xr:uid="{88114BD3-C759-4B10-BDDC-3CECDB8D9B6E}"/>
    <cellStyle name="20% - Ênfase4 21 2" xfId="278" xr:uid="{BE98F9C5-B194-42FA-BFB9-697AA9D90A80}"/>
    <cellStyle name="20% - Ênfase4 22" xfId="279" xr:uid="{450C145E-4F0A-41B8-A082-707E3B805D82}"/>
    <cellStyle name="20% - Ênfase4 22 2" xfId="280" xr:uid="{ABEFA356-0818-4E8A-8B7F-A023B3107993}"/>
    <cellStyle name="20% - Ênfase4 23" xfId="281" xr:uid="{29EFA8C7-CA45-4D0C-A4AD-A46DF29EF064}"/>
    <cellStyle name="20% - Ênfase4 23 2" xfId="282" xr:uid="{FA4179F0-7BB2-4A39-B35C-00CF68C8B1CC}"/>
    <cellStyle name="20% - Ênfase4 24" xfId="283" xr:uid="{EBD5D5EC-6F21-45A6-90E2-D39876BBC5EE}"/>
    <cellStyle name="20% - Ênfase4 24 2" xfId="284" xr:uid="{B8F760C8-FD42-4C0B-92A5-9EE5C0653411}"/>
    <cellStyle name="20% - Ênfase4 25" xfId="285" xr:uid="{DA4BEDA1-A98B-433A-8E48-956AED252A89}"/>
    <cellStyle name="20% - Ênfase4 26" xfId="286" xr:uid="{AC529E51-D1BB-4594-84BF-FF7CB9D9E2C4}"/>
    <cellStyle name="20% - Ênfase4 27" xfId="287" xr:uid="{128AE744-7C9C-47E7-873F-8F23B7EDDE55}"/>
    <cellStyle name="20% - Ênfase4 28" xfId="288" xr:uid="{751782E6-05BB-4858-BBAF-CC182B9A29DB}"/>
    <cellStyle name="20% - Ênfase4 29" xfId="289" xr:uid="{9EE958EC-AFB1-4F5C-94A9-3138177DDCF4}"/>
    <cellStyle name="20% - Ênfase4 3" xfId="290" xr:uid="{0655846B-234B-4A2A-86BD-3E389E980481}"/>
    <cellStyle name="20% - Ênfase4 3 2" xfId="291" xr:uid="{9B97B3AF-D8A5-491B-9A99-00FAA026F263}"/>
    <cellStyle name="20% - Ênfase4 30" xfId="292" xr:uid="{68490A4C-9AE2-4DD8-85B4-314686A1EE4C}"/>
    <cellStyle name="20% - Ênfase4 31" xfId="293" xr:uid="{6223CCD9-5DE7-464F-8FEA-95F7134A39EC}"/>
    <cellStyle name="20% - Ênfase4 32" xfId="294" xr:uid="{06DCFA24-FF33-4455-ADA7-A70669854BE8}"/>
    <cellStyle name="20% - Ênfase4 33" xfId="295" xr:uid="{4F96A89E-07FA-46E7-A8C8-88710A88BB50}"/>
    <cellStyle name="20% - Ênfase4 34" xfId="296" xr:uid="{92A0F1B9-E2B1-44D0-8689-595663B0E1A6}"/>
    <cellStyle name="20% - Ênfase4 35" xfId="297" xr:uid="{B2CFE7CF-9570-49F0-9913-879EFB9B6F9D}"/>
    <cellStyle name="20% - Ênfase4 36" xfId="298" xr:uid="{26790421-018F-4C04-B4C8-8E486483BC52}"/>
    <cellStyle name="20% - Ênfase4 4" xfId="299" xr:uid="{F1E0AA14-0692-44AA-8625-FD73DF99CD48}"/>
    <cellStyle name="20% - Ênfase4 4 2" xfId="300" xr:uid="{766AB18A-4BA5-409E-BF9C-554B95EF636C}"/>
    <cellStyle name="20% - Ênfase4 5" xfId="301" xr:uid="{554DC0EB-759D-49FB-975F-7C0BC5562AE4}"/>
    <cellStyle name="20% - Ênfase4 5 2" xfId="302" xr:uid="{B6AD0041-629F-4044-B6B7-2B742EB1DFBF}"/>
    <cellStyle name="20% - Ênfase4 6" xfId="303" xr:uid="{F52416CF-4152-494C-ACC5-D8F287AAC65B}"/>
    <cellStyle name="20% - Ênfase4 6 2" xfId="304" xr:uid="{A11991CB-50B2-4734-B422-8A3E186E53FD}"/>
    <cellStyle name="20% - Ênfase4 7" xfId="305" xr:uid="{F581BB3C-FCE2-45A7-90CA-FD2C63FCE33D}"/>
    <cellStyle name="20% - Ênfase4 7 2" xfId="306" xr:uid="{DBE12B99-E252-478F-88B6-3D90FB7E8418}"/>
    <cellStyle name="20% - Ênfase4 8" xfId="307" xr:uid="{EB4ED716-22C8-438F-AF91-07A90FBCFA82}"/>
    <cellStyle name="20% - Ênfase4 8 2" xfId="308" xr:uid="{76607FA3-80AB-498D-A99F-614075C16E44}"/>
    <cellStyle name="20% - Ênfase4 9" xfId="309" xr:uid="{C94BAEA1-99E7-4453-9A46-0290627C40D3}"/>
    <cellStyle name="20% - Ênfase4 9 2" xfId="310" xr:uid="{89186ABA-84BA-40E7-BD56-A76A8D0E2759}"/>
    <cellStyle name="20% - Ênfase5 10" xfId="311" xr:uid="{2F137C09-CB51-4368-9EFC-83B410C2CDD1}"/>
    <cellStyle name="20% - Ênfase5 10 2" xfId="312" xr:uid="{74DEF3E1-3580-4EC7-B32F-DC8A2A913DAB}"/>
    <cellStyle name="20% - Ênfase5 11" xfId="313" xr:uid="{F8CE396A-D895-4176-B3AB-6E4D6766BDEE}"/>
    <cellStyle name="20% - Ênfase5 11 2" xfId="314" xr:uid="{FC4C9466-5956-4660-AAC2-E63B149A8ABB}"/>
    <cellStyle name="20% - Ênfase5 12" xfId="315" xr:uid="{F7F73482-7AFF-4378-BD72-7774A7824145}"/>
    <cellStyle name="20% - Ênfase5 12 2" xfId="316" xr:uid="{1CCD8FDD-204B-45A8-B484-692431F45135}"/>
    <cellStyle name="20% - Ênfase5 13" xfId="317" xr:uid="{A7E82843-F1E1-4FC0-B875-7625BCCD250E}"/>
    <cellStyle name="20% - Ênfase5 13 2" xfId="318" xr:uid="{C1A3BD57-7FCC-4C0D-8226-9D61D7DE1462}"/>
    <cellStyle name="20% - Ênfase5 14" xfId="319" xr:uid="{095B77F6-C938-4A83-B9D1-6520405CFF2D}"/>
    <cellStyle name="20% - Ênfase5 14 2" xfId="320" xr:uid="{21FD033B-0C55-4AAB-9230-075361E0C0AA}"/>
    <cellStyle name="20% - Ênfase5 15" xfId="321" xr:uid="{32A0D1E2-3D80-4DC1-8EDD-1F39A489559E}"/>
    <cellStyle name="20% - Ênfase5 15 2" xfId="322" xr:uid="{3F4BC30E-C317-4A3A-8FA7-5858D4B6E09B}"/>
    <cellStyle name="20% - Ênfase5 16" xfId="323" xr:uid="{370A4503-6FF5-4F26-AB2C-2E3DD67C21BE}"/>
    <cellStyle name="20% - Ênfase5 16 2" xfId="324" xr:uid="{50D9E92E-8E42-4BB9-B58E-B0097D35594E}"/>
    <cellStyle name="20% - Ênfase5 17" xfId="325" xr:uid="{DEB96BFB-CE1B-4219-9D6D-01D30A42412C}"/>
    <cellStyle name="20% - Ênfase5 17 2" xfId="326" xr:uid="{15AEFA6F-F4E4-444A-86EA-EC1365605F31}"/>
    <cellStyle name="20% - Ênfase5 18" xfId="327" xr:uid="{0420F58D-89BE-48B3-BD6F-FF27982F75F0}"/>
    <cellStyle name="20% - Ênfase5 18 2" xfId="328" xr:uid="{1B003C25-C62A-432C-9867-A9405C91601F}"/>
    <cellStyle name="20% - Ênfase5 19" xfId="329" xr:uid="{991C0648-B914-4B2C-9065-68AA77AEFCD6}"/>
    <cellStyle name="20% - Ênfase5 19 2" xfId="330" xr:uid="{3FBC85D9-C630-44CC-9D8E-85B495A940D4}"/>
    <cellStyle name="20% - Ênfase5 2" xfId="331" xr:uid="{C2809D48-8C14-4CC8-A3FB-BB1ECADDABA9}"/>
    <cellStyle name="20% - Ênfase5 2 2" xfId="332" xr:uid="{F26423F0-EE8A-4076-A895-7CE2D27ECA46}"/>
    <cellStyle name="20% - Ênfase5 2 3" xfId="896" xr:uid="{C64CCE8D-ACD1-49A3-A42E-D59A91EAA050}"/>
    <cellStyle name="20% - Ênfase5 20" xfId="333" xr:uid="{F43000C7-2D9F-4363-A523-2C2FACBF911F}"/>
    <cellStyle name="20% - Ênfase5 20 2" xfId="334" xr:uid="{96C79371-2ECA-4213-93C7-759ED460CC66}"/>
    <cellStyle name="20% - Ênfase5 21" xfId="335" xr:uid="{01611A93-E7C2-4A37-962F-52D44A1FD674}"/>
    <cellStyle name="20% - Ênfase5 21 2" xfId="336" xr:uid="{62AE9655-4837-4B0D-AF40-35B0D8C19ABF}"/>
    <cellStyle name="20% - Ênfase5 22" xfId="337" xr:uid="{B898B5F9-5E63-4AE4-9C8A-C0B43618A530}"/>
    <cellStyle name="20% - Ênfase5 22 2" xfId="338" xr:uid="{FBF6CAF7-A51E-426F-AA47-EBEC9FDCD692}"/>
    <cellStyle name="20% - Ênfase5 23" xfId="339" xr:uid="{1899DAF1-CC0E-42D5-9375-14A9B34D97AB}"/>
    <cellStyle name="20% - Ênfase5 23 2" xfId="340" xr:uid="{34B2F472-E940-4C7C-8C2E-B68E9CC8877F}"/>
    <cellStyle name="20% - Ênfase5 24" xfId="341" xr:uid="{3E37099D-863D-46FA-A8E9-7BC86CD80D40}"/>
    <cellStyle name="20% - Ênfase5 24 2" xfId="342" xr:uid="{7D6914D6-34AE-46CB-ADE8-B3785AF1886C}"/>
    <cellStyle name="20% - Ênfase5 25" xfId="343" xr:uid="{A3B0897C-29E1-424C-9F06-9BE5DD1C22D4}"/>
    <cellStyle name="20% - Ênfase5 26" xfId="344" xr:uid="{F21501FD-E1F6-4C97-BE0E-F27C5816E512}"/>
    <cellStyle name="20% - Ênfase5 27" xfId="345" xr:uid="{C4070C04-70F1-4601-8F2C-2D4818BA1842}"/>
    <cellStyle name="20% - Ênfase5 28" xfId="346" xr:uid="{A38FFFB9-7C76-4BD6-B0DB-94F976B71862}"/>
    <cellStyle name="20% - Ênfase5 29" xfId="347" xr:uid="{0C396325-FD7A-4B53-87B1-492A68B261A8}"/>
    <cellStyle name="20% - Ênfase5 3" xfId="348" xr:uid="{19515C44-8D98-4860-BFD2-092CB2886758}"/>
    <cellStyle name="20% - Ênfase5 3 2" xfId="349" xr:uid="{5EFFDAD4-73F6-46D0-9631-66DC1A4EFF3D}"/>
    <cellStyle name="20% - Ênfase5 30" xfId="350" xr:uid="{3E9CF51D-67D4-48E8-9E5B-EFA100AF474D}"/>
    <cellStyle name="20% - Ênfase5 31" xfId="351" xr:uid="{A418E877-B38F-4716-9E62-398B276AFB95}"/>
    <cellStyle name="20% - Ênfase5 32" xfId="352" xr:uid="{3ED43903-11B3-4CE2-90DA-896132DFBC22}"/>
    <cellStyle name="20% - Ênfase5 33" xfId="353" xr:uid="{FD0257D6-B753-432F-A9F1-01D0E838AB76}"/>
    <cellStyle name="20% - Ênfase5 34" xfId="354" xr:uid="{33254FBA-8D71-424A-90C8-996DC43C4DBC}"/>
    <cellStyle name="20% - Ênfase5 35" xfId="355" xr:uid="{4437A075-64F1-4C7E-A39A-CB52C75A3BBE}"/>
    <cellStyle name="20% - Ênfase5 36" xfId="356" xr:uid="{03F6B73E-62D9-4795-B665-A1AA3AE10B50}"/>
    <cellStyle name="20% - Ênfase5 4" xfId="357" xr:uid="{EA1302F7-A20C-41CF-865D-81556896F111}"/>
    <cellStyle name="20% - Ênfase5 4 2" xfId="358" xr:uid="{B810E360-C3E5-4CAA-8B64-15AC1B7F5549}"/>
    <cellStyle name="20% - Ênfase5 5" xfId="359" xr:uid="{C464C07C-A247-468F-BCA1-52D2DDF056A3}"/>
    <cellStyle name="20% - Ênfase5 5 2" xfId="360" xr:uid="{5D70748D-666A-4A60-8026-AA538D9ABE32}"/>
    <cellStyle name="20% - Ênfase5 6" xfId="361" xr:uid="{912A378F-DE2E-46C5-883C-A34FADA5938C}"/>
    <cellStyle name="20% - Ênfase5 6 2" xfId="362" xr:uid="{93889156-D2ED-4806-93CE-DCCD4ED95353}"/>
    <cellStyle name="20% - Ênfase5 7" xfId="363" xr:uid="{6D3F2974-BF13-48AB-98DD-7F9EA851FB68}"/>
    <cellStyle name="20% - Ênfase5 7 2" xfId="364" xr:uid="{7AA86FFF-0DBC-4DF2-9A10-3B686FFDF78A}"/>
    <cellStyle name="20% - Ênfase5 8" xfId="365" xr:uid="{E7CB48FE-1648-4887-9ABD-82FAC0707549}"/>
    <cellStyle name="20% - Ênfase5 8 2" xfId="366" xr:uid="{0DAEE482-6471-4BC2-95D6-7DEEBBC4D35F}"/>
    <cellStyle name="20% - Ênfase5 9" xfId="367" xr:uid="{C231AC19-A818-4A2C-B88F-233990114FF7}"/>
    <cellStyle name="20% - Ênfase5 9 2" xfId="368" xr:uid="{68083B17-01EE-4B98-B7E1-A5666B45B66E}"/>
    <cellStyle name="20% - Ênfase6 10" xfId="369" xr:uid="{A2B12CFB-8C6E-4EF8-BC61-46426C436BB9}"/>
    <cellStyle name="20% - Ênfase6 10 2" xfId="370" xr:uid="{8C80D603-FB99-4CB5-9620-0E8CA854F63A}"/>
    <cellStyle name="20% - Ênfase6 11" xfId="371" xr:uid="{E672D243-B181-4991-B14D-2DCE8C68EA3F}"/>
    <cellStyle name="20% - Ênfase6 11 2" xfId="372" xr:uid="{A7F49002-7C19-4DA2-B3D8-E9B76CC65C09}"/>
    <cellStyle name="20% - Ênfase6 12" xfId="373" xr:uid="{755D5DCD-FDDA-43D6-A162-F0FFC96B5987}"/>
    <cellStyle name="20% - Ênfase6 12 2" xfId="374" xr:uid="{00B1C7BF-9D97-443B-A822-F03E20159315}"/>
    <cellStyle name="20% - Ênfase6 13" xfId="375" xr:uid="{38B2ADD1-BE5E-4356-9C53-81B3E17BDE99}"/>
    <cellStyle name="20% - Ênfase6 13 2" xfId="376" xr:uid="{7DCC7699-9DBD-4589-A2C2-A3B0BF262137}"/>
    <cellStyle name="20% - Ênfase6 14" xfId="377" xr:uid="{2C638E5C-B903-4B29-A97B-0A350474AF0A}"/>
    <cellStyle name="20% - Ênfase6 14 2" xfId="378" xr:uid="{983AF0B3-20AF-4167-BE92-B8080F2A10F6}"/>
    <cellStyle name="20% - Ênfase6 15" xfId="379" xr:uid="{6FF4E590-37E9-4F53-B923-EBFB80C7D9DA}"/>
    <cellStyle name="20% - Ênfase6 15 2" xfId="380" xr:uid="{6E5E46E4-981A-432D-8442-44392A911816}"/>
    <cellStyle name="20% - Ênfase6 16" xfId="381" xr:uid="{25256546-E131-48E6-A684-232F355922C4}"/>
    <cellStyle name="20% - Ênfase6 16 2" xfId="382" xr:uid="{C44FAC2B-4A85-418D-BA4F-8537A2779BC7}"/>
    <cellStyle name="20% - Ênfase6 17" xfId="383" xr:uid="{322F2F24-744C-4B0E-96C1-1A0E064823DD}"/>
    <cellStyle name="20% - Ênfase6 17 2" xfId="384" xr:uid="{7352ACA7-EB1B-41AA-B985-67C1EEB02D74}"/>
    <cellStyle name="20% - Ênfase6 18" xfId="385" xr:uid="{1575727A-5354-4F01-96B4-57DBFA7E4243}"/>
    <cellStyle name="20% - Ênfase6 18 2" xfId="386" xr:uid="{B2A5227B-8DF1-4D45-96E0-98C7A1C70EE0}"/>
    <cellStyle name="20% - Ênfase6 19" xfId="387" xr:uid="{6444848F-EF75-4C22-BAE5-E037312FDE1F}"/>
    <cellStyle name="20% - Ênfase6 19 2" xfId="388" xr:uid="{79699F06-093D-42F2-87C8-84C5A536D30B}"/>
    <cellStyle name="20% - Ênfase6 2" xfId="389" xr:uid="{7276B554-41CC-4760-8B3A-ABFB2384F7DA}"/>
    <cellStyle name="20% - Ênfase6 2 2" xfId="390" xr:uid="{1BFD89DA-72D2-4C23-8F46-1F94EF3E512A}"/>
    <cellStyle name="20% - Ênfase6 2 3" xfId="897" xr:uid="{2C11B938-5FBB-494F-8AB6-8341EBB87869}"/>
    <cellStyle name="20% - Ênfase6 20" xfId="391" xr:uid="{088CCCB9-9117-4554-853B-E9630BB3224A}"/>
    <cellStyle name="20% - Ênfase6 20 2" xfId="392" xr:uid="{8F8A35A8-20C8-4783-AA92-B53A883F69AD}"/>
    <cellStyle name="20% - Ênfase6 21" xfId="393" xr:uid="{6890942B-A636-48C6-84CE-C1FFF7D3CFF8}"/>
    <cellStyle name="20% - Ênfase6 21 2" xfId="394" xr:uid="{FE49328A-A028-4909-A69C-86D90BB81BD0}"/>
    <cellStyle name="20% - Ênfase6 22" xfId="395" xr:uid="{770DB23E-8078-4878-AD9D-FB06F7A5E71A}"/>
    <cellStyle name="20% - Ênfase6 22 2" xfId="396" xr:uid="{547326AA-E573-4D07-BA0B-EDB29F87C788}"/>
    <cellStyle name="20% - Ênfase6 23" xfId="397" xr:uid="{F9CD9B75-A8C8-4EB7-8002-D9E821C42747}"/>
    <cellStyle name="20% - Ênfase6 23 2" xfId="398" xr:uid="{20122C46-3274-4225-A047-8B3F6CEECDAF}"/>
    <cellStyle name="20% - Ênfase6 24" xfId="399" xr:uid="{CFF3DD50-A555-4759-B084-815A59A21CD9}"/>
    <cellStyle name="20% - Ênfase6 24 2" xfId="400" xr:uid="{C3DF3F37-B22B-465E-87D7-BE4B33BEA526}"/>
    <cellStyle name="20% - Ênfase6 25" xfId="401" xr:uid="{5E4DC45A-8540-44B5-B8B5-F20A4E960EC7}"/>
    <cellStyle name="20% - Ênfase6 26" xfId="402" xr:uid="{0F6747BA-92B3-4BA1-9486-76F37506FABC}"/>
    <cellStyle name="20% - Ênfase6 27" xfId="403" xr:uid="{61C40880-E464-4307-9F6F-EB8E3CE1C3DC}"/>
    <cellStyle name="20% - Ênfase6 28" xfId="404" xr:uid="{FDCB2D85-EFB4-46FD-9E3E-BA839C8E0BFC}"/>
    <cellStyle name="20% - Ênfase6 29" xfId="405" xr:uid="{D82F2624-6F3E-458C-B230-FC7B558F2488}"/>
    <cellStyle name="20% - Ênfase6 3" xfId="406" xr:uid="{6B6C4654-3FDC-4D46-81CA-EBDD96C2A2AB}"/>
    <cellStyle name="20% - Ênfase6 3 2" xfId="407" xr:uid="{4F17C260-68EE-4C47-BB08-927FF45FF56C}"/>
    <cellStyle name="20% - Ênfase6 30" xfId="408" xr:uid="{ABFCF392-FD7A-4D15-BE2C-9B0C5CFEE26E}"/>
    <cellStyle name="20% - Ênfase6 31" xfId="409" xr:uid="{1070951D-EE97-4F58-AFA3-03D108E70127}"/>
    <cellStyle name="20% - Ênfase6 32" xfId="410" xr:uid="{8C5F6806-335F-4147-AC48-A117EC870FC7}"/>
    <cellStyle name="20% - Ênfase6 33" xfId="411" xr:uid="{7EB756EB-0FEC-48D1-BC08-2B5620AF3D3E}"/>
    <cellStyle name="20% - Ênfase6 34" xfId="412" xr:uid="{C53C4CAB-6A9F-4605-9908-1E7121399FA7}"/>
    <cellStyle name="20% - Ênfase6 35" xfId="413" xr:uid="{CF9132DF-D6B0-4BFC-B039-10CDFAABC3CC}"/>
    <cellStyle name="20% - Ênfase6 36" xfId="414" xr:uid="{FC334F8A-2565-4391-8AF0-33BD96F5737F}"/>
    <cellStyle name="20% - Ênfase6 4" xfId="415" xr:uid="{F90B8020-3F1C-411C-9DE8-897651F6EF99}"/>
    <cellStyle name="20% - Ênfase6 4 2" xfId="416" xr:uid="{88086E08-1961-4B26-BBDA-C23BF76D9E2F}"/>
    <cellStyle name="20% - Ênfase6 5" xfId="417" xr:uid="{AE695D39-B2C0-4C73-B93B-F53675FBFE53}"/>
    <cellStyle name="20% - Ênfase6 5 2" xfId="418" xr:uid="{844818A2-7BB3-48D5-83A5-AC14249A4111}"/>
    <cellStyle name="20% - Ênfase6 6" xfId="419" xr:uid="{6D68DF78-F6C5-41FD-931A-E2723E6860FD}"/>
    <cellStyle name="20% - Ênfase6 6 2" xfId="420" xr:uid="{EF2F714E-594E-4383-A8F2-C9B79918F0B0}"/>
    <cellStyle name="20% - Ênfase6 7" xfId="421" xr:uid="{DDFA3E79-EC82-4728-8222-423EB7D6E70A}"/>
    <cellStyle name="20% - Ênfase6 7 2" xfId="422" xr:uid="{E108BBEF-FF29-4D43-86CE-1F8B1080EA65}"/>
    <cellStyle name="20% - Ênfase6 8" xfId="423" xr:uid="{C4301055-FA7F-4E61-8D0D-270DBE9A81C3}"/>
    <cellStyle name="20% - Ênfase6 8 2" xfId="424" xr:uid="{C0941B86-B30E-4199-AA31-495693B9EC37}"/>
    <cellStyle name="20% - Ênfase6 9" xfId="425" xr:uid="{CE59BBBE-7025-468F-BDA4-4E6C9284D5C7}"/>
    <cellStyle name="20% - Ênfase6 9 2" xfId="426" xr:uid="{F1F143C5-DE2F-46FF-936E-0A1C3D8141F9}"/>
    <cellStyle name="40% - Accent1" xfId="898" xr:uid="{69206EA6-5626-4C43-8351-669E379953DE}"/>
    <cellStyle name="40% - Accent2" xfId="899" xr:uid="{2EE45024-A813-42CC-AED2-DEDB0308BE3F}"/>
    <cellStyle name="40% - Accent3" xfId="900" xr:uid="{A33B281A-7206-44E8-BB73-E2DA3968253D}"/>
    <cellStyle name="40% - Accent4" xfId="901" xr:uid="{FC1E0EE7-60EA-469E-80F5-E297CC69B3E2}"/>
    <cellStyle name="40% - Accent5" xfId="902" xr:uid="{00472239-8C00-4CEF-BCB3-E1BB5B711976}"/>
    <cellStyle name="40% - Accent6" xfId="903" xr:uid="{2418D07E-1F17-4F02-8074-DD12B6F62FF4}"/>
    <cellStyle name="40% - Ênfase1 10" xfId="427" xr:uid="{454756C0-26F0-4AC4-B727-8E8DA07EA5D1}"/>
    <cellStyle name="40% - Ênfase1 10 2" xfId="428" xr:uid="{BBB9B6C3-6EA2-4F31-AFB8-DB9B94351D3F}"/>
    <cellStyle name="40% - Ênfase1 11" xfId="429" xr:uid="{9CBE95AD-D436-476D-AFDC-7F500E62B2E3}"/>
    <cellStyle name="40% - Ênfase1 11 2" xfId="430" xr:uid="{6191ECDB-DF18-4B6E-A919-247213ACB83A}"/>
    <cellStyle name="40% - Ênfase1 12" xfId="431" xr:uid="{33200CE0-34AA-47B2-9194-E6D96B1CB6DF}"/>
    <cellStyle name="40% - Ênfase1 12 2" xfId="432" xr:uid="{0BD44D3C-5CA8-40C9-9F14-DD6931D97162}"/>
    <cellStyle name="40% - Ênfase1 13" xfId="433" xr:uid="{D29F03D5-514E-4F23-9A78-655B8BF7A1AB}"/>
    <cellStyle name="40% - Ênfase1 13 2" xfId="434" xr:uid="{A40ECC84-F11B-46CF-9ED6-2207D1B34C02}"/>
    <cellStyle name="40% - Ênfase1 14" xfId="435" xr:uid="{59B89B9C-5498-4BCF-A7A0-D293B85B06D0}"/>
    <cellStyle name="40% - Ênfase1 14 2" xfId="436" xr:uid="{606C61F4-3FF8-4DD0-848C-D9E260ADDE7B}"/>
    <cellStyle name="40% - Ênfase1 15" xfId="437" xr:uid="{17E08964-3008-4023-A488-49D445F6982A}"/>
    <cellStyle name="40% - Ênfase1 15 2" xfId="438" xr:uid="{8020111E-35BC-450E-882A-662FED5039B7}"/>
    <cellStyle name="40% - Ênfase1 16" xfId="439" xr:uid="{30D807CC-69AD-4730-B535-7E0587CC92BA}"/>
    <cellStyle name="40% - Ênfase1 16 2" xfId="440" xr:uid="{4AD98154-F0B1-44C5-9E1F-E13FE45640C6}"/>
    <cellStyle name="40% - Ênfase1 17" xfId="441" xr:uid="{041680AE-8782-441C-9584-336F39603819}"/>
    <cellStyle name="40% - Ênfase1 17 2" xfId="442" xr:uid="{FADC9520-23ED-43A1-BEBA-7B50D2B06C81}"/>
    <cellStyle name="40% - Ênfase1 18" xfId="443" xr:uid="{B118CE5E-97D5-461F-B25F-8213914E7E13}"/>
    <cellStyle name="40% - Ênfase1 18 2" xfId="444" xr:uid="{AC37EE20-B4BD-4547-8F8E-6DC47D5770DF}"/>
    <cellStyle name="40% - Ênfase1 19" xfId="445" xr:uid="{34F4CA92-22F7-44EA-84EF-2A099CB4B3A7}"/>
    <cellStyle name="40% - Ênfase1 19 2" xfId="446" xr:uid="{B99A9E6B-2CF3-4A65-B640-24AF38B3B35C}"/>
    <cellStyle name="40% - Ênfase1 2" xfId="447" xr:uid="{BB842162-1FF5-4278-8FD0-1048546B4864}"/>
    <cellStyle name="40% - Ênfase1 2 2" xfId="448" xr:uid="{E47BDBF5-F237-4F64-9491-94A35A938144}"/>
    <cellStyle name="40% - Ênfase1 2 3" xfId="904" xr:uid="{1710331C-9359-467F-B823-93C335C50E0E}"/>
    <cellStyle name="40% - Ênfase1 20" xfId="449" xr:uid="{93697104-633C-4030-8D31-40EFF77064C8}"/>
    <cellStyle name="40% - Ênfase1 20 2" xfId="450" xr:uid="{49BAD6FB-F624-46DC-8CB4-EA564181A695}"/>
    <cellStyle name="40% - Ênfase1 21" xfId="451" xr:uid="{B4A11199-1942-48D7-AA65-659E55224773}"/>
    <cellStyle name="40% - Ênfase1 21 2" xfId="452" xr:uid="{BB3B23DB-9F07-4DEE-82DE-5EE6181F90E7}"/>
    <cellStyle name="40% - Ênfase1 22" xfId="453" xr:uid="{F46C5A23-2B40-4AB6-B3D6-C4DCF95172E9}"/>
    <cellStyle name="40% - Ênfase1 22 2" xfId="454" xr:uid="{B38DD0A3-41CA-42E1-A2BB-9C0CAB1E6EB4}"/>
    <cellStyle name="40% - Ênfase1 23" xfId="455" xr:uid="{48D30419-63B8-43E9-AC92-7F788DF6B175}"/>
    <cellStyle name="40% - Ênfase1 23 2" xfId="456" xr:uid="{1C5AE29A-B375-40E0-8813-46CB3E8557CA}"/>
    <cellStyle name="40% - Ênfase1 24" xfId="457" xr:uid="{88E03F2A-F01B-4941-8A72-C8631AC0D994}"/>
    <cellStyle name="40% - Ênfase1 24 2" xfId="458" xr:uid="{3AF8F344-2ABB-4EBF-A626-0DEF0AA34504}"/>
    <cellStyle name="40% - Ênfase1 25" xfId="459" xr:uid="{442C7034-7C93-404F-9240-9E7E5707F947}"/>
    <cellStyle name="40% - Ênfase1 26" xfId="460" xr:uid="{D33B9B43-C047-4A13-9237-60EADABD8E1F}"/>
    <cellStyle name="40% - Ênfase1 27" xfId="461" xr:uid="{A1904DEA-548D-4891-8293-80E11C1C40D9}"/>
    <cellStyle name="40% - Ênfase1 28" xfId="462" xr:uid="{68CD65EE-D0AB-424A-A487-503359378809}"/>
    <cellStyle name="40% - Ênfase1 29" xfId="463" xr:uid="{1F09C975-0B17-4752-AA3C-F5656367ABC4}"/>
    <cellStyle name="40% - Ênfase1 3" xfId="464" xr:uid="{6F54B037-8741-4652-A07F-20AF501D1809}"/>
    <cellStyle name="40% - Ênfase1 3 2" xfId="465" xr:uid="{C41B417F-A529-4AE0-B235-CFDFB1BE97FC}"/>
    <cellStyle name="40% - Ênfase1 30" xfId="466" xr:uid="{545D547B-40BE-4E7B-808C-E3BC1362C398}"/>
    <cellStyle name="40% - Ênfase1 31" xfId="467" xr:uid="{17CBC555-716D-4AE6-8885-1D240194050D}"/>
    <cellStyle name="40% - Ênfase1 32" xfId="468" xr:uid="{66F40077-42CD-4FD1-B80C-95B33FAA7DE2}"/>
    <cellStyle name="40% - Ênfase1 33" xfId="469" xr:uid="{7B294197-A963-4670-ACD9-625BC509098D}"/>
    <cellStyle name="40% - Ênfase1 34" xfId="470" xr:uid="{0461F4BA-CEE5-43D5-AD57-2B8D24F61801}"/>
    <cellStyle name="40% - Ênfase1 35" xfId="471" xr:uid="{04889E04-5782-4A1D-AE04-986E6875E64F}"/>
    <cellStyle name="40% - Ênfase1 36" xfId="472" xr:uid="{9A2E91B8-229B-4E8E-A7F4-6D6CC6CCA8F3}"/>
    <cellStyle name="40% - Ênfase1 4" xfId="473" xr:uid="{C69AA3BE-FBF8-4BC6-B35A-D4F284203D1C}"/>
    <cellStyle name="40% - Ênfase1 4 2" xfId="474" xr:uid="{29E7CD95-E5D0-40B7-8DAA-3A5BF1B7396F}"/>
    <cellStyle name="40% - Ênfase1 5" xfId="475" xr:uid="{CE55D32F-4721-4957-802B-F893EB79A48F}"/>
    <cellStyle name="40% - Ênfase1 5 2" xfId="476" xr:uid="{3ACDDFB7-F8B8-4DB2-BAAC-C92A4C1FC9B8}"/>
    <cellStyle name="40% - Ênfase1 6" xfId="477" xr:uid="{41F81857-88DC-4142-9F44-B40787029890}"/>
    <cellStyle name="40% - Ênfase1 6 2" xfId="478" xr:uid="{F105EF84-1C04-4714-9E26-4615AF1A422E}"/>
    <cellStyle name="40% - Ênfase1 7" xfId="479" xr:uid="{F0390E81-40D6-4D79-A6F6-E93922A010BF}"/>
    <cellStyle name="40% - Ênfase1 7 2" xfId="480" xr:uid="{95AA176D-27C6-4744-AD55-D90335C2EA89}"/>
    <cellStyle name="40% - Ênfase1 8" xfId="481" xr:uid="{89CE74AE-FAAF-4EDE-9548-F7D4219B8E24}"/>
    <cellStyle name="40% - Ênfase1 8 2" xfId="482" xr:uid="{49E3AAF5-6055-4FB7-8D24-3AD23EEB6B5B}"/>
    <cellStyle name="40% - Ênfase1 9" xfId="483" xr:uid="{595FC36A-B56E-413A-83E0-054649C20351}"/>
    <cellStyle name="40% - Ênfase1 9 2" xfId="484" xr:uid="{C8234157-D1FE-4A7D-8D2A-742EE41912CE}"/>
    <cellStyle name="40% - Ênfase2 10" xfId="485" xr:uid="{DE7A20B5-B43C-497A-86E4-466F52420016}"/>
    <cellStyle name="40% - Ênfase2 10 2" xfId="486" xr:uid="{A7846C0C-74E7-438C-BDBF-60B8BCACAD8E}"/>
    <cellStyle name="40% - Ênfase2 11" xfId="487" xr:uid="{6478011C-104B-4CAD-B835-14D5B47FB3C5}"/>
    <cellStyle name="40% - Ênfase2 11 2" xfId="488" xr:uid="{17483D18-C7E6-4F38-931F-1DE493ACF4D0}"/>
    <cellStyle name="40% - Ênfase2 12" xfId="489" xr:uid="{DFE8C68B-BAB2-42DD-AE66-4C2D3DD0B886}"/>
    <cellStyle name="40% - Ênfase2 12 2" xfId="490" xr:uid="{3927C8E5-187A-4248-9350-2D3128C4E094}"/>
    <cellStyle name="40% - Ênfase2 13" xfId="491" xr:uid="{A7CC70EB-DB41-411D-8E4D-EBE6C937CD52}"/>
    <cellStyle name="40% - Ênfase2 13 2" xfId="492" xr:uid="{3933540C-35ED-4A1B-B092-A0A7A17B2A59}"/>
    <cellStyle name="40% - Ênfase2 14" xfId="493" xr:uid="{B7762EF1-AFF0-4631-9DFC-D85418EF8ECC}"/>
    <cellStyle name="40% - Ênfase2 14 2" xfId="494" xr:uid="{002C09DE-F933-4D52-8F21-58F6273B3FC0}"/>
    <cellStyle name="40% - Ênfase2 15" xfId="495" xr:uid="{A2B17C24-DB76-477E-83F7-A500F0E878E3}"/>
    <cellStyle name="40% - Ênfase2 15 2" xfId="496" xr:uid="{B13252F6-331C-4915-BA68-B1232E45A65C}"/>
    <cellStyle name="40% - Ênfase2 16" xfId="497" xr:uid="{0EDD224C-0800-41E4-8378-0368CCA94029}"/>
    <cellStyle name="40% - Ênfase2 16 2" xfId="498" xr:uid="{11571622-CF62-4033-BEB9-0F3F08D9CCA8}"/>
    <cellStyle name="40% - Ênfase2 17" xfId="499" xr:uid="{79E27443-5078-4A58-8532-20CA721C713C}"/>
    <cellStyle name="40% - Ênfase2 17 2" xfId="500" xr:uid="{D93E72FE-9152-4629-B478-154CE49FBAE6}"/>
    <cellStyle name="40% - Ênfase2 18" xfId="501" xr:uid="{55E4E479-41A7-40E0-A967-9FA448AF0C2F}"/>
    <cellStyle name="40% - Ênfase2 18 2" xfId="502" xr:uid="{2CEE7CF5-E86D-4114-8179-FEE07821A375}"/>
    <cellStyle name="40% - Ênfase2 19" xfId="503" xr:uid="{F89F8CD2-C084-43A2-AE4A-C791F3B96F43}"/>
    <cellStyle name="40% - Ênfase2 19 2" xfId="504" xr:uid="{F29800E3-490E-4FC9-816B-AA72E9001EDF}"/>
    <cellStyle name="40% - Ênfase2 2" xfId="505" xr:uid="{C887B37D-A459-45DF-931D-9988CA3717E7}"/>
    <cellStyle name="40% - Ênfase2 2 2" xfId="506" xr:uid="{1913B859-3E96-4A1F-BE4C-BE3036E14B1D}"/>
    <cellStyle name="40% - Ênfase2 2 3" xfId="905" xr:uid="{BCCD41C8-E455-4B58-BF7E-ED867318BC08}"/>
    <cellStyle name="40% - Ênfase2 20" xfId="507" xr:uid="{41A3AE3B-B406-4804-9661-0FB563812F90}"/>
    <cellStyle name="40% - Ênfase2 20 2" xfId="508" xr:uid="{1ED94CE4-4E59-45B4-A775-162F10AEA173}"/>
    <cellStyle name="40% - Ênfase2 21" xfId="509" xr:uid="{74FFDC40-25F8-4376-955E-B0BB55BC88B6}"/>
    <cellStyle name="40% - Ênfase2 21 2" xfId="510" xr:uid="{7306C47D-27B5-440A-8BDC-2A9D69F98AE1}"/>
    <cellStyle name="40% - Ênfase2 22" xfId="511" xr:uid="{4745EFAE-12E4-4EFC-BAF7-C82FBBC3A252}"/>
    <cellStyle name="40% - Ênfase2 22 2" xfId="512" xr:uid="{3CB8F6A6-5D88-4DF8-A401-B692A9CDA56E}"/>
    <cellStyle name="40% - Ênfase2 23" xfId="513" xr:uid="{86E87AC7-D59C-4940-AE7A-01AA052BFDFD}"/>
    <cellStyle name="40% - Ênfase2 23 2" xfId="514" xr:uid="{D3F9BEC6-CB07-499C-9866-CBD4271B8868}"/>
    <cellStyle name="40% - Ênfase2 24" xfId="515" xr:uid="{1735F478-1328-4C8A-9D3F-0DF7871B53CF}"/>
    <cellStyle name="40% - Ênfase2 24 2" xfId="516" xr:uid="{D45CC021-844D-41C7-83BC-7F0537E0E3BB}"/>
    <cellStyle name="40% - Ênfase2 25" xfId="517" xr:uid="{BF7F16AC-7B12-4F65-B654-4988AC10138B}"/>
    <cellStyle name="40% - Ênfase2 26" xfId="518" xr:uid="{BF304545-B4E1-45FA-AC33-799EC48C57B8}"/>
    <cellStyle name="40% - Ênfase2 27" xfId="519" xr:uid="{54C2C286-D522-4975-AF1E-E7C814EBE99C}"/>
    <cellStyle name="40% - Ênfase2 28" xfId="520" xr:uid="{C391D6CE-EA58-429D-A93B-84398EDE11F3}"/>
    <cellStyle name="40% - Ênfase2 29" xfId="521" xr:uid="{BCA64127-D7A5-4541-9B5F-5A1C0F279EBB}"/>
    <cellStyle name="40% - Ênfase2 3" xfId="522" xr:uid="{82D615F7-D989-4877-A8B6-A9A830055439}"/>
    <cellStyle name="40% - Ênfase2 3 2" xfId="523" xr:uid="{4FE07C18-AD3D-48BE-B286-05E7AD191D26}"/>
    <cellStyle name="40% - Ênfase2 30" xfId="524" xr:uid="{3CD34EF6-D0DA-4600-ACC0-CD44E5C3E0AD}"/>
    <cellStyle name="40% - Ênfase2 31" xfId="525" xr:uid="{09BB1AC9-5E0D-471D-8421-F5A393E972A1}"/>
    <cellStyle name="40% - Ênfase2 32" xfId="526" xr:uid="{B2977DCC-6B4A-4393-8A8C-D34FD863A096}"/>
    <cellStyle name="40% - Ênfase2 33" xfId="527" xr:uid="{398FD968-B9F4-47E2-9C62-DB51C5EE668D}"/>
    <cellStyle name="40% - Ênfase2 34" xfId="528" xr:uid="{B290ADA2-BBB1-4051-A21B-7265B53017AD}"/>
    <cellStyle name="40% - Ênfase2 35" xfId="529" xr:uid="{089B87B8-14E5-48F1-8916-027042E76D10}"/>
    <cellStyle name="40% - Ênfase2 36" xfId="530" xr:uid="{2B8B8EBD-15B6-4C69-B9B0-E161039ED52F}"/>
    <cellStyle name="40% - Ênfase2 4" xfId="531" xr:uid="{FB490A89-0C35-422E-B32A-6055D2AB6690}"/>
    <cellStyle name="40% - Ênfase2 4 2" xfId="532" xr:uid="{BD225848-B954-41C6-9C2F-8B4DB897E4DA}"/>
    <cellStyle name="40% - Ênfase2 5" xfId="533" xr:uid="{FB343515-5C1A-4E20-8027-339454FE1D4F}"/>
    <cellStyle name="40% - Ênfase2 5 2" xfId="534" xr:uid="{C25B3023-9689-4879-91F3-BA17F334F6AC}"/>
    <cellStyle name="40% - Ênfase2 6" xfId="535" xr:uid="{79A45197-9E63-4C3B-A5BA-A4BD853C8F2E}"/>
    <cellStyle name="40% - Ênfase2 6 2" xfId="536" xr:uid="{524A43AE-0A4D-4654-A160-D44E1233FA55}"/>
    <cellStyle name="40% - Ênfase2 7" xfId="537" xr:uid="{D03A2BA1-2DD9-49DE-9CC2-E237758F9355}"/>
    <cellStyle name="40% - Ênfase2 7 2" xfId="538" xr:uid="{C7853E16-DA95-4F1F-A8DC-A9CA8FFDD354}"/>
    <cellStyle name="40% - Ênfase2 8" xfId="539" xr:uid="{1564D1CA-764B-48A1-A30B-DDCACD962912}"/>
    <cellStyle name="40% - Ênfase2 8 2" xfId="540" xr:uid="{CA9E980D-6DE3-4515-8311-B15792F26CE3}"/>
    <cellStyle name="40% - Ênfase2 9" xfId="541" xr:uid="{701987A5-0B06-4C4C-B1B9-7CF708C0CD9A}"/>
    <cellStyle name="40% - Ênfase2 9 2" xfId="542" xr:uid="{2A832C9D-01BC-4B5D-A24F-C05F8B4621F9}"/>
    <cellStyle name="40% - Ênfase3 10" xfId="543" xr:uid="{DB674B9F-D9C7-4165-876D-F1FE1C33BE41}"/>
    <cellStyle name="40% - Ênfase3 10 2" xfId="544" xr:uid="{8CE15D49-07B4-435A-A6DF-8FFE4B6E6A32}"/>
    <cellStyle name="40% - Ênfase3 11" xfId="545" xr:uid="{0F5D3005-D289-4C70-AB0F-429B418197E8}"/>
    <cellStyle name="40% - Ênfase3 11 2" xfId="546" xr:uid="{1D026DDA-54F1-426D-AC4F-C56B16627F76}"/>
    <cellStyle name="40% - Ênfase3 12" xfId="547" xr:uid="{34CB735C-3129-41A9-A6AD-94CA4359DA5E}"/>
    <cellStyle name="40% - Ênfase3 12 2" xfId="548" xr:uid="{21345B9E-219C-4674-8322-90248E073FC7}"/>
    <cellStyle name="40% - Ênfase3 13" xfId="549" xr:uid="{1922A6DE-8CF5-486F-8218-C5E78951D6AF}"/>
    <cellStyle name="40% - Ênfase3 13 2" xfId="550" xr:uid="{4B89D050-DC08-4F84-B723-F32F0BAEA82C}"/>
    <cellStyle name="40% - Ênfase3 14" xfId="551" xr:uid="{7DF00DFD-571D-40B2-BF95-AD5AA5C9F175}"/>
    <cellStyle name="40% - Ênfase3 14 2" xfId="552" xr:uid="{21007990-807D-4527-A5EA-166E3C6A8305}"/>
    <cellStyle name="40% - Ênfase3 15" xfId="553" xr:uid="{F7050038-AD6F-4CB1-9F55-376317087ABA}"/>
    <cellStyle name="40% - Ênfase3 15 2" xfId="554" xr:uid="{177030AF-DE20-48D5-8931-8FCFEC59009B}"/>
    <cellStyle name="40% - Ênfase3 16" xfId="555" xr:uid="{0621B634-0C23-4D9C-A827-28FDC9AFD3E6}"/>
    <cellStyle name="40% - Ênfase3 16 2" xfId="556" xr:uid="{229AED60-0D87-4700-954D-EB5FBEE1F04C}"/>
    <cellStyle name="40% - Ênfase3 17" xfId="557" xr:uid="{E58C3D26-7B91-4F46-943A-940820B978C3}"/>
    <cellStyle name="40% - Ênfase3 17 2" xfId="558" xr:uid="{44324A13-9162-46C0-9B2B-5B8329D6A7DB}"/>
    <cellStyle name="40% - Ênfase3 18" xfId="559" xr:uid="{D9BADFDF-E197-44B7-A37E-D1E509006B9D}"/>
    <cellStyle name="40% - Ênfase3 18 2" xfId="560" xr:uid="{D217CC39-7644-4676-A00C-6FE77AC276F2}"/>
    <cellStyle name="40% - Ênfase3 19" xfId="561" xr:uid="{7A235BFE-9F8D-4AC5-8902-10E5FF678C79}"/>
    <cellStyle name="40% - Ênfase3 19 2" xfId="562" xr:uid="{60390972-AFA7-4749-BF41-606CB313DB49}"/>
    <cellStyle name="40% - Ênfase3 2" xfId="563" xr:uid="{1663CDE5-4FE0-493A-B9B5-076D90678DE5}"/>
    <cellStyle name="40% - Ênfase3 2 2" xfId="564" xr:uid="{A22CEC1F-885B-4B64-BA4C-EE7B0C515A20}"/>
    <cellStyle name="40% - Ênfase3 2 3" xfId="906" xr:uid="{B2DC891F-F73D-4CB2-95EA-CE10CFAE1594}"/>
    <cellStyle name="40% - Ênfase3 20" xfId="565" xr:uid="{1C8ABF9B-3FEF-4EE2-85D1-953091F3209D}"/>
    <cellStyle name="40% - Ênfase3 20 2" xfId="566" xr:uid="{DAB73D13-70EC-41B5-845E-014457AE78E3}"/>
    <cellStyle name="40% - Ênfase3 21" xfId="567" xr:uid="{C84B0D2D-3297-4C31-BB8A-4ACE32B6C3B7}"/>
    <cellStyle name="40% - Ênfase3 21 2" xfId="568" xr:uid="{66111E18-E8C3-4C3D-A49F-4C0BF4AFB456}"/>
    <cellStyle name="40% - Ênfase3 22" xfId="569" xr:uid="{93518DB5-1791-4705-B4A1-C192C74AA409}"/>
    <cellStyle name="40% - Ênfase3 22 2" xfId="570" xr:uid="{A5D28819-80B3-441B-9976-CB259D8280F1}"/>
    <cellStyle name="40% - Ênfase3 23" xfId="571" xr:uid="{87B8A65D-C0E0-4CD2-A1CD-3A576405DD4F}"/>
    <cellStyle name="40% - Ênfase3 23 2" xfId="572" xr:uid="{E87FBEF6-E5DA-40BF-A1EA-04D60EAF5DAC}"/>
    <cellStyle name="40% - Ênfase3 24" xfId="573" xr:uid="{1B6333EC-674F-408B-B38F-C859CB516B87}"/>
    <cellStyle name="40% - Ênfase3 24 2" xfId="574" xr:uid="{A4004E2F-DC38-4800-AE7E-20F1B69F0CAE}"/>
    <cellStyle name="40% - Ênfase3 25" xfId="575" xr:uid="{6F5D2AA3-9969-468F-8DF7-8A17A573BED0}"/>
    <cellStyle name="40% - Ênfase3 26" xfId="576" xr:uid="{1A346C75-B64E-4B01-90C0-6A9D839CEC30}"/>
    <cellStyle name="40% - Ênfase3 27" xfId="577" xr:uid="{097371FE-B5E9-47A2-B825-FDE1F01AC7C4}"/>
    <cellStyle name="40% - Ênfase3 28" xfId="578" xr:uid="{D3E24854-B6DA-4F1B-9BDB-FAE0EAF04A7D}"/>
    <cellStyle name="40% - Ênfase3 29" xfId="579" xr:uid="{AC739686-1ABB-4068-A732-61FBF3970377}"/>
    <cellStyle name="40% - Ênfase3 3" xfId="580" xr:uid="{F21CA927-E6C1-4C19-B01D-DD27C593E950}"/>
    <cellStyle name="40% - Ênfase3 3 2" xfId="581" xr:uid="{D6A7F956-7F13-4FA0-AE88-E2148EC96924}"/>
    <cellStyle name="40% - Ênfase3 30" xfId="582" xr:uid="{FEF9564A-C97D-40E1-BC54-CDF5FADF618F}"/>
    <cellStyle name="40% - Ênfase3 31" xfId="583" xr:uid="{2BC3EEED-0524-49BA-859B-1471CC906EB3}"/>
    <cellStyle name="40% - Ênfase3 32" xfId="584" xr:uid="{3EAE0FC2-1122-491E-8F64-E0FD329570E1}"/>
    <cellStyle name="40% - Ênfase3 33" xfId="585" xr:uid="{928F0F3C-A560-4595-958F-BA104874D6F2}"/>
    <cellStyle name="40% - Ênfase3 34" xfId="586" xr:uid="{E106674B-944F-4D5B-BC77-DC3BD770CE45}"/>
    <cellStyle name="40% - Ênfase3 35" xfId="587" xr:uid="{CDEED331-9F64-47AF-88FB-1FE9B23ABA69}"/>
    <cellStyle name="40% - Ênfase3 36" xfId="588" xr:uid="{FB8C0167-7987-4E9C-82BF-E1F5E2A8C47B}"/>
    <cellStyle name="40% - Ênfase3 4" xfId="589" xr:uid="{09F5A955-4F96-4169-A14C-2DC5D6D11036}"/>
    <cellStyle name="40% - Ênfase3 4 2" xfId="590" xr:uid="{D0E01824-F844-40E6-8580-FE6372678B33}"/>
    <cellStyle name="40% - Ênfase3 5" xfId="591" xr:uid="{D1BDAB75-5195-495E-8474-5EBBA985D128}"/>
    <cellStyle name="40% - Ênfase3 5 2" xfId="592" xr:uid="{F76D27CE-ECEF-44A1-A54D-2277388C59F0}"/>
    <cellStyle name="40% - Ênfase3 6" xfId="593" xr:uid="{BB83FD4D-B2BC-46B0-8924-E88722C42494}"/>
    <cellStyle name="40% - Ênfase3 6 2" xfId="594" xr:uid="{AFF44D52-1E73-404A-B5B2-758457899CD9}"/>
    <cellStyle name="40% - Ênfase3 7" xfId="595" xr:uid="{D4694146-3215-45CA-92A1-2DF8C333DE6C}"/>
    <cellStyle name="40% - Ênfase3 7 2" xfId="596" xr:uid="{3ECB1E2E-7491-4ECE-96AA-8BC0664FA373}"/>
    <cellStyle name="40% - Ênfase3 8" xfId="597" xr:uid="{1CCECF4F-718F-4831-89D2-04FEAB4D9AF8}"/>
    <cellStyle name="40% - Ênfase3 8 2" xfId="598" xr:uid="{39C61FF9-AC30-42DC-BFF9-B5920E56592C}"/>
    <cellStyle name="40% - Ênfase3 9" xfId="599" xr:uid="{174CA91A-BED8-4F88-9391-49E9B3A5417F}"/>
    <cellStyle name="40% - Ênfase3 9 2" xfId="600" xr:uid="{875D575E-0B8A-49B6-885E-ED42BA7E5D35}"/>
    <cellStyle name="40% - Ênfase4 10" xfId="601" xr:uid="{ABA9C4A0-B719-4A56-9866-F67DC38548AD}"/>
    <cellStyle name="40% - Ênfase4 10 2" xfId="602" xr:uid="{C880A623-7225-4037-B0E5-7C76B73D73D6}"/>
    <cellStyle name="40% - Ênfase4 11" xfId="603" xr:uid="{B8235E5E-C886-49F8-9988-2E5BB30009DD}"/>
    <cellStyle name="40% - Ênfase4 11 2" xfId="604" xr:uid="{CD91D411-5082-4F6F-ADB4-F9D23EC2C235}"/>
    <cellStyle name="40% - Ênfase4 12" xfId="605" xr:uid="{AFB49926-41A8-473F-97B9-A762ECDFA171}"/>
    <cellStyle name="40% - Ênfase4 12 2" xfId="606" xr:uid="{A2952E9F-9218-43A6-B754-8AE104E767AA}"/>
    <cellStyle name="40% - Ênfase4 13" xfId="607" xr:uid="{7E5CD20B-841C-4AB8-B449-4704BBEDBB92}"/>
    <cellStyle name="40% - Ênfase4 13 2" xfId="608" xr:uid="{B760D0B5-C58F-4DC5-9E25-4A2729FD15BA}"/>
    <cellStyle name="40% - Ênfase4 14" xfId="609" xr:uid="{B9ECCEB2-63AA-4372-9A3E-9635DB7325E3}"/>
    <cellStyle name="40% - Ênfase4 14 2" xfId="610" xr:uid="{18EDAF39-219F-4D7F-8A5D-2E2FF4613008}"/>
    <cellStyle name="40% - Ênfase4 15" xfId="611" xr:uid="{6E3D55F3-4B97-433F-B38D-390262B35B45}"/>
    <cellStyle name="40% - Ênfase4 15 2" xfId="612" xr:uid="{06737486-8E46-495D-A252-4FEAF4D45C8C}"/>
    <cellStyle name="40% - Ênfase4 16" xfId="613" xr:uid="{D5ABF972-B8EC-45AB-BF07-B369254D91F1}"/>
    <cellStyle name="40% - Ênfase4 16 2" xfId="614" xr:uid="{4F421FE5-5E02-4935-8982-38E3C38BC38D}"/>
    <cellStyle name="40% - Ênfase4 17" xfId="615" xr:uid="{FDB021BE-C3A6-4482-94F7-293C050271FD}"/>
    <cellStyle name="40% - Ênfase4 17 2" xfId="616" xr:uid="{1077EA52-6FF4-4150-97B1-852077158795}"/>
    <cellStyle name="40% - Ênfase4 18" xfId="617" xr:uid="{B8F4D901-3392-4630-B73E-D6273E59AE47}"/>
    <cellStyle name="40% - Ênfase4 18 2" xfId="618" xr:uid="{489BD919-7DDE-477F-A79E-9D9F6FD01BAD}"/>
    <cellStyle name="40% - Ênfase4 19" xfId="619" xr:uid="{C53E4E0D-09EA-4A77-BEEC-1F4DD8283176}"/>
    <cellStyle name="40% - Ênfase4 19 2" xfId="620" xr:uid="{A9903D51-3BFA-415E-A805-BB8C88F579D7}"/>
    <cellStyle name="40% - Ênfase4 2" xfId="621" xr:uid="{611EAA68-1A89-4BDA-B957-49B51BF35F74}"/>
    <cellStyle name="40% - Ênfase4 2 2" xfId="622" xr:uid="{C37A81AE-7237-46B6-AF6D-18D7EB42B8E0}"/>
    <cellStyle name="40% - Ênfase4 2 3" xfId="907" xr:uid="{50AC038B-52B7-4115-8589-F8C55C9AFFF4}"/>
    <cellStyle name="40% - Ênfase4 20" xfId="623" xr:uid="{B8367A47-811E-43D5-A6FE-27377D62C052}"/>
    <cellStyle name="40% - Ênfase4 20 2" xfId="624" xr:uid="{16F2F3D6-EB76-4845-8F43-C5A5AC216508}"/>
    <cellStyle name="40% - Ênfase4 21" xfId="625" xr:uid="{5EDB8687-9E4F-47DC-87A2-D14B4C9191F4}"/>
    <cellStyle name="40% - Ênfase4 21 2" xfId="626" xr:uid="{9B0F657D-CEA0-4A1D-8EA3-526C8202C29E}"/>
    <cellStyle name="40% - Ênfase4 22" xfId="627" xr:uid="{2B0D1A07-46EF-4344-BD47-B0C345CE5133}"/>
    <cellStyle name="40% - Ênfase4 22 2" xfId="628" xr:uid="{52E98B33-CB54-4BEB-BC84-CD04372D8D05}"/>
    <cellStyle name="40% - Ênfase4 23" xfId="629" xr:uid="{CC7881FF-A8C9-4878-A87E-BC821F5DA3F4}"/>
    <cellStyle name="40% - Ênfase4 23 2" xfId="630" xr:uid="{67574AFC-7DD1-4785-AC01-545EA27C75B8}"/>
    <cellStyle name="40% - Ênfase4 24" xfId="631" xr:uid="{B1E9E5DB-402C-46F1-A51B-7924C0D6AA2E}"/>
    <cellStyle name="40% - Ênfase4 24 2" xfId="632" xr:uid="{4EAF18BA-462C-4395-8115-9658F1EB4F53}"/>
    <cellStyle name="40% - Ênfase4 25" xfId="633" xr:uid="{3B9CD1B3-4956-40F9-A4E3-82123974A8D9}"/>
    <cellStyle name="40% - Ênfase4 26" xfId="634" xr:uid="{301E8454-F938-44CC-B92A-65843DDBC044}"/>
    <cellStyle name="40% - Ênfase4 27" xfId="635" xr:uid="{FB8D293F-97BB-43F0-B6C4-A19A50855C57}"/>
    <cellStyle name="40% - Ênfase4 28" xfId="636" xr:uid="{64A2118E-B888-4C43-8556-CE5311F14FCF}"/>
    <cellStyle name="40% - Ênfase4 29" xfId="637" xr:uid="{34149C98-C4D1-4529-B260-006660E1335A}"/>
    <cellStyle name="40% - Ênfase4 3" xfId="638" xr:uid="{5DBFA5F1-A544-48D9-BF75-CE0C1C118CB2}"/>
    <cellStyle name="40% - Ênfase4 3 2" xfId="639" xr:uid="{1CDA9E1C-1AAB-4EF4-9EF1-148B14D2B99B}"/>
    <cellStyle name="40% - Ênfase4 30" xfId="640" xr:uid="{8E0F560A-66F2-42C9-845C-8DA199EB4E79}"/>
    <cellStyle name="40% - Ênfase4 31" xfId="641" xr:uid="{93442C88-20C9-41E4-A833-E3E9EFCAA034}"/>
    <cellStyle name="40% - Ênfase4 32" xfId="642" xr:uid="{D07F67EA-C40C-4D7F-8384-0ACD7C323CBC}"/>
    <cellStyle name="40% - Ênfase4 33" xfId="643" xr:uid="{2D8C4F6F-4706-487B-932B-F2C2FBAA4E88}"/>
    <cellStyle name="40% - Ênfase4 34" xfId="644" xr:uid="{8E4EAE6B-2A6E-410A-A34F-883C5E289737}"/>
    <cellStyle name="40% - Ênfase4 35" xfId="645" xr:uid="{772652B3-37AE-46DF-9844-0359DB0BF2C7}"/>
    <cellStyle name="40% - Ênfase4 36" xfId="646" xr:uid="{31ACA320-1301-45B1-BB70-0AB1B1860BE2}"/>
    <cellStyle name="40% - Ênfase4 4" xfId="647" xr:uid="{BCD815F8-6DC5-433A-9D3A-5421B1CB0C02}"/>
    <cellStyle name="40% - Ênfase4 4 2" xfId="648" xr:uid="{51D947DD-1A63-40C2-BC10-CAF926F8429F}"/>
    <cellStyle name="40% - Ênfase4 5" xfId="649" xr:uid="{38FD981D-43E0-4947-B969-99C86567B06B}"/>
    <cellStyle name="40% - Ênfase4 5 2" xfId="650" xr:uid="{5B28FF06-4316-4D85-A2BD-FE7308C9CD57}"/>
    <cellStyle name="40% - Ênfase4 6" xfId="651" xr:uid="{2AD35FCA-BA27-415B-8C2E-CECA67BCA73B}"/>
    <cellStyle name="40% - Ênfase4 6 2" xfId="652" xr:uid="{06899908-1554-49BE-9906-3E5CF8FD39EA}"/>
    <cellStyle name="40% - Ênfase4 7" xfId="653" xr:uid="{D322D2A1-8530-4C31-BD9D-C9437C547905}"/>
    <cellStyle name="40% - Ênfase4 7 2" xfId="654" xr:uid="{9F09F308-227D-4F24-A7A0-38EBA2E979EB}"/>
    <cellStyle name="40% - Ênfase4 8" xfId="655" xr:uid="{E555A2D8-334F-4A33-8FE9-D514FFB0C960}"/>
    <cellStyle name="40% - Ênfase4 8 2" xfId="656" xr:uid="{2DA6B384-0364-4219-8901-4C9DCCA672E0}"/>
    <cellStyle name="40% - Ênfase4 9" xfId="657" xr:uid="{BE435399-8D4E-4219-A405-654ECDD92307}"/>
    <cellStyle name="40% - Ênfase4 9 2" xfId="658" xr:uid="{8385B223-768B-4FF3-8724-2477C052DA6C}"/>
    <cellStyle name="40% - Ênfase5 10" xfId="659" xr:uid="{40A56921-DA7A-4AA1-B4CB-B1F7AC450A04}"/>
    <cellStyle name="40% - Ênfase5 10 2" xfId="660" xr:uid="{5408DB3B-B85F-4870-A3EA-52F9FD95D10B}"/>
    <cellStyle name="40% - Ênfase5 11" xfId="661" xr:uid="{541F7D20-EE39-44BA-8CE3-FEA851828F84}"/>
    <cellStyle name="40% - Ênfase5 11 2" xfId="662" xr:uid="{33B264B5-3821-4B8E-A54E-AF966E6A639C}"/>
    <cellStyle name="40% - Ênfase5 12" xfId="663" xr:uid="{7BE0F713-21E7-41A6-8941-6BEAF61FC53A}"/>
    <cellStyle name="40% - Ênfase5 12 2" xfId="664" xr:uid="{0282BF36-091A-45A9-8F17-549EEB6267CE}"/>
    <cellStyle name="40% - Ênfase5 13" xfId="665" xr:uid="{E2E917B6-CD78-4CD9-9632-A8927C535850}"/>
    <cellStyle name="40% - Ênfase5 13 2" xfId="666" xr:uid="{84A2F81F-0905-4136-824C-BDD8D9A7B8C6}"/>
    <cellStyle name="40% - Ênfase5 14" xfId="667" xr:uid="{759188B1-90AD-472B-A08F-E78C37641B0F}"/>
    <cellStyle name="40% - Ênfase5 14 2" xfId="668" xr:uid="{84EC7EF2-4F50-495E-AA95-854676728268}"/>
    <cellStyle name="40% - Ênfase5 15" xfId="669" xr:uid="{D229F3B4-EECE-4B5B-B6FF-4DD5BECFF33A}"/>
    <cellStyle name="40% - Ênfase5 15 2" xfId="670" xr:uid="{B040A76E-941E-4FEA-95F7-08EAA23B77BD}"/>
    <cellStyle name="40% - Ênfase5 16" xfId="671" xr:uid="{698D9CA3-E2E8-4758-86DB-E6FC54469A91}"/>
    <cellStyle name="40% - Ênfase5 16 2" xfId="672" xr:uid="{F8854269-EC16-4DCD-A9DC-B2C8772C1A18}"/>
    <cellStyle name="40% - Ênfase5 17" xfId="673" xr:uid="{29F9A529-EB6F-470E-870A-E40015844EBF}"/>
    <cellStyle name="40% - Ênfase5 17 2" xfId="674" xr:uid="{87C089B1-83F3-4ECF-979D-9BD13D02C144}"/>
    <cellStyle name="40% - Ênfase5 18" xfId="675" xr:uid="{2CA8E205-ECCC-4618-9C34-76F1DC45C44A}"/>
    <cellStyle name="40% - Ênfase5 18 2" xfId="676" xr:uid="{FB799026-B3FF-4222-A10B-3A05A28F52F5}"/>
    <cellStyle name="40% - Ênfase5 19" xfId="677" xr:uid="{33E41491-F0CE-4C8E-BC9E-FA8515E216CE}"/>
    <cellStyle name="40% - Ênfase5 19 2" xfId="678" xr:uid="{DC59E8B7-DAA6-43A9-9AFC-32362E80F31A}"/>
    <cellStyle name="40% - Ênfase5 2" xfId="679" xr:uid="{5B800FF8-C5EB-45C7-BD3F-33F358DC5822}"/>
    <cellStyle name="40% - Ênfase5 2 2" xfId="680" xr:uid="{E0FABF3B-D3DE-4B76-BB4A-D16458FD3968}"/>
    <cellStyle name="40% - Ênfase5 2 3" xfId="908" xr:uid="{5CCF9C7A-8D9E-45A2-B64C-55A6392D7863}"/>
    <cellStyle name="40% - Ênfase5 20" xfId="681" xr:uid="{4F06A023-2E20-44AA-A9E9-03F9A400C8C1}"/>
    <cellStyle name="40% - Ênfase5 20 2" xfId="682" xr:uid="{DD7798FB-143A-48E2-9FD5-356414EE6BBB}"/>
    <cellStyle name="40% - Ênfase5 21" xfId="683" xr:uid="{F6EBF023-A8DB-4FBB-A655-A2E2CD70A2F5}"/>
    <cellStyle name="40% - Ênfase5 21 2" xfId="684" xr:uid="{85E3F999-E737-431F-88E3-FB29223CA26C}"/>
    <cellStyle name="40% - Ênfase5 22" xfId="685" xr:uid="{BBDDD3CA-0876-44DE-8CA4-4818E8BC738D}"/>
    <cellStyle name="40% - Ênfase5 22 2" xfId="686" xr:uid="{757D42AC-0957-4E4E-9DD9-13B157B4597B}"/>
    <cellStyle name="40% - Ênfase5 23" xfId="687" xr:uid="{938447F1-76A6-4B7C-8708-6FDC833F1BF7}"/>
    <cellStyle name="40% - Ênfase5 23 2" xfId="688" xr:uid="{866AC5E7-A2DF-4137-AAF4-ACE0745B50AD}"/>
    <cellStyle name="40% - Ênfase5 24" xfId="689" xr:uid="{E165516B-910B-4F3A-8015-0AC3D383BD2B}"/>
    <cellStyle name="40% - Ênfase5 24 2" xfId="690" xr:uid="{7731E51A-7431-4571-8BD1-82DBC66E6DDF}"/>
    <cellStyle name="40% - Ênfase5 25" xfId="691" xr:uid="{149323B7-27A4-45D8-A140-1423C0E1260C}"/>
    <cellStyle name="40% - Ênfase5 26" xfId="692" xr:uid="{45797D98-574F-4F08-A29D-F3CB495D49D2}"/>
    <cellStyle name="40% - Ênfase5 27" xfId="693" xr:uid="{44574B7B-DBBB-476B-BCF1-13FA4E45C2AC}"/>
    <cellStyle name="40% - Ênfase5 28" xfId="694" xr:uid="{BCFB90A9-873E-447E-80AD-888A8C4412FD}"/>
    <cellStyle name="40% - Ênfase5 29" xfId="695" xr:uid="{933C7EDE-2473-4761-BF1D-8F9A93DF1F03}"/>
    <cellStyle name="40% - Ênfase5 3" xfId="696" xr:uid="{6A086C33-BCB7-4C49-B27B-525D3FE2836C}"/>
    <cellStyle name="40% - Ênfase5 3 2" xfId="697" xr:uid="{1EC35662-C783-43F8-B872-0D28AC17D317}"/>
    <cellStyle name="40% - Ênfase5 30" xfId="698" xr:uid="{506472E5-7B41-439E-A426-B95912387D18}"/>
    <cellStyle name="40% - Ênfase5 31" xfId="699" xr:uid="{D5D91371-E021-4F1E-A0F9-E096649BD64D}"/>
    <cellStyle name="40% - Ênfase5 32" xfId="700" xr:uid="{938DD275-5CA8-4D38-8042-F176D531C399}"/>
    <cellStyle name="40% - Ênfase5 33" xfId="701" xr:uid="{EB55044D-68AE-4BB4-B20E-1AE3B7962FE0}"/>
    <cellStyle name="40% - Ênfase5 34" xfId="702" xr:uid="{0635409D-A557-4E17-A9C7-BFB2EDFD2D21}"/>
    <cellStyle name="40% - Ênfase5 35" xfId="703" xr:uid="{18D16D5A-D7B3-4562-8504-BEAC0104685D}"/>
    <cellStyle name="40% - Ênfase5 36" xfId="704" xr:uid="{F0007B32-E986-4C00-8AFF-8DC2B451DD1C}"/>
    <cellStyle name="40% - Ênfase5 4" xfId="705" xr:uid="{826F449D-49B7-4FBA-BE5E-3E5F03A4C9C9}"/>
    <cellStyle name="40% - Ênfase5 4 2" xfId="706" xr:uid="{21899C9D-19BF-47DD-89A1-9E6D8E4B6131}"/>
    <cellStyle name="40% - Ênfase5 5" xfId="707" xr:uid="{AFAA3AFB-DE1D-4BBB-9D5A-D32765AF4C84}"/>
    <cellStyle name="40% - Ênfase5 5 2" xfId="708" xr:uid="{D121E5E3-A516-4D25-9994-958820ABDC24}"/>
    <cellStyle name="40% - Ênfase5 6" xfId="709" xr:uid="{4FCB984C-F0B5-495D-AD47-730542D14CAF}"/>
    <cellStyle name="40% - Ênfase5 6 2" xfId="710" xr:uid="{8F982298-CF6E-4BB7-8C16-77EB11474294}"/>
    <cellStyle name="40% - Ênfase5 7" xfId="711" xr:uid="{1ECD768A-2668-445F-A719-4D8137FF83C9}"/>
    <cellStyle name="40% - Ênfase5 7 2" xfId="712" xr:uid="{F5A324DE-11B2-4ADA-9458-930463CFA60B}"/>
    <cellStyle name="40% - Ênfase5 8" xfId="713" xr:uid="{136C57C3-5C2E-45E8-90F9-EB9B025CE9A2}"/>
    <cellStyle name="40% - Ênfase5 8 2" xfId="714" xr:uid="{5BD16021-321C-4DEB-A664-63A9DE214B52}"/>
    <cellStyle name="40% - Ênfase5 9" xfId="715" xr:uid="{3E9ABB9D-014F-4C89-9F27-E0F51FB36CA2}"/>
    <cellStyle name="40% - Ênfase5 9 2" xfId="716" xr:uid="{5B1A860E-B365-4169-A748-769474AB7C87}"/>
    <cellStyle name="40% - Ênfase6 10" xfId="717" xr:uid="{8BAE9049-E0E3-42F6-8F2E-7D478BF49C93}"/>
    <cellStyle name="40% - Ênfase6 10 2" xfId="718" xr:uid="{E384D7B1-7DA5-4E80-AB6A-E64377AA855A}"/>
    <cellStyle name="40% - Ênfase6 11" xfId="719" xr:uid="{D94F1C7E-2CFE-4215-AEF5-B553B5F0CBFB}"/>
    <cellStyle name="40% - Ênfase6 11 2" xfId="720" xr:uid="{C094EA9B-7268-4AD4-B767-329240AF4E90}"/>
    <cellStyle name="40% - Ênfase6 12" xfId="721" xr:uid="{39516A65-90C7-4177-AB84-87C69B2B8AB8}"/>
    <cellStyle name="40% - Ênfase6 12 2" xfId="722" xr:uid="{359BE43C-839A-46B3-A70C-09A3E2B19770}"/>
    <cellStyle name="40% - Ênfase6 13" xfId="723" xr:uid="{F8FDF95C-4925-4272-A014-F05058CD4946}"/>
    <cellStyle name="40% - Ênfase6 13 2" xfId="724" xr:uid="{804490CE-03DB-437A-9254-2F81E5F45DD9}"/>
    <cellStyle name="40% - Ênfase6 14" xfId="725" xr:uid="{6D979AC4-0AD7-4A85-9550-FA1467800EF6}"/>
    <cellStyle name="40% - Ênfase6 14 2" xfId="726" xr:uid="{7FA11BD7-C27D-4F5D-B980-67146B71BBAD}"/>
    <cellStyle name="40% - Ênfase6 15" xfId="727" xr:uid="{62E53CC7-5E24-40F9-BC89-4F0647D02B32}"/>
    <cellStyle name="40% - Ênfase6 15 2" xfId="728" xr:uid="{2A9C7B13-6E79-4451-B80F-40B2B10BFA99}"/>
    <cellStyle name="40% - Ênfase6 16" xfId="729" xr:uid="{948AE245-139C-46B3-9ECB-A77682E8F210}"/>
    <cellStyle name="40% - Ênfase6 16 2" xfId="730" xr:uid="{4147494D-8989-4204-846E-7F44C205BAE2}"/>
    <cellStyle name="40% - Ênfase6 17" xfId="731" xr:uid="{739FB311-10A8-45C7-B2CD-B6D027967647}"/>
    <cellStyle name="40% - Ênfase6 17 2" xfId="732" xr:uid="{1E86ED9B-1D67-467E-98BF-4756C7AC3ACD}"/>
    <cellStyle name="40% - Ênfase6 18" xfId="733" xr:uid="{04EFE255-21CA-48DE-AB0F-6B76D7D8784D}"/>
    <cellStyle name="40% - Ênfase6 18 2" xfId="734" xr:uid="{80280FAD-88EE-4F87-AEC8-41A495894FCA}"/>
    <cellStyle name="40% - Ênfase6 19" xfId="735" xr:uid="{5D61BBB8-FE47-4DEA-AB18-5DBE376112AF}"/>
    <cellStyle name="40% - Ênfase6 19 2" xfId="736" xr:uid="{6CB5D9E5-EBEB-4625-BD3C-C5AFFF3F55B6}"/>
    <cellStyle name="40% - Ênfase6 2" xfId="737" xr:uid="{971D35C9-C045-4495-8DCB-FA1DF8AD7C24}"/>
    <cellStyle name="40% - Ênfase6 2 2" xfId="738" xr:uid="{A02D2961-844B-4B0F-B589-9C97D1A908B6}"/>
    <cellStyle name="40% - Ênfase6 2 3" xfId="909" xr:uid="{90E7554F-3BDA-4076-81B0-1F741A9847D2}"/>
    <cellStyle name="40% - Ênfase6 20" xfId="739" xr:uid="{8EE6C5A3-C797-452A-8A43-F4589813BE31}"/>
    <cellStyle name="40% - Ênfase6 20 2" xfId="740" xr:uid="{C9483F92-F2F4-420B-8C1F-14CF652E1653}"/>
    <cellStyle name="40% - Ênfase6 21" xfId="741" xr:uid="{23A1D4F0-5C52-4BCF-B55A-96E062498385}"/>
    <cellStyle name="40% - Ênfase6 21 2" xfId="742" xr:uid="{CB05D145-FAF7-4F68-9CC3-C6547A64E19F}"/>
    <cellStyle name="40% - Ênfase6 22" xfId="743" xr:uid="{ED03752B-942E-4654-A7B7-572652B87135}"/>
    <cellStyle name="40% - Ênfase6 22 2" xfId="744" xr:uid="{31EE6DF1-AB64-45BA-B51A-192DC525F5DC}"/>
    <cellStyle name="40% - Ênfase6 23" xfId="745" xr:uid="{47898C4E-7EEF-4C29-A289-4143C53447AC}"/>
    <cellStyle name="40% - Ênfase6 23 2" xfId="746" xr:uid="{6807E4FC-E2A6-411F-9595-5210F73B7981}"/>
    <cellStyle name="40% - Ênfase6 24" xfId="747" xr:uid="{EAD740F5-A076-45CA-BF1D-398675E92239}"/>
    <cellStyle name="40% - Ênfase6 24 2" xfId="748" xr:uid="{FDF84B1B-0743-4198-81E8-17A7CDEB79A1}"/>
    <cellStyle name="40% - Ênfase6 25" xfId="749" xr:uid="{E37660C9-D262-470B-9143-AD5A2CC02947}"/>
    <cellStyle name="40% - Ênfase6 26" xfId="750" xr:uid="{02992339-5530-4AEB-AF92-FE16E5712796}"/>
    <cellStyle name="40% - Ênfase6 27" xfId="751" xr:uid="{DA5F4AEB-09E4-4301-9C13-66BD3287F654}"/>
    <cellStyle name="40% - Ênfase6 28" xfId="752" xr:uid="{0BBCABC5-1EB1-44C4-8789-F683FA0E6415}"/>
    <cellStyle name="40% - Ênfase6 29" xfId="753" xr:uid="{59F698D5-55D6-4A72-B6FE-7052288D8854}"/>
    <cellStyle name="40% - Ênfase6 3" xfId="754" xr:uid="{17A7B070-93BC-4F94-AE87-293985DC8FFD}"/>
    <cellStyle name="40% - Ênfase6 3 2" xfId="755" xr:uid="{8CE39281-ACF7-4A57-8EF8-5620335FDB0C}"/>
    <cellStyle name="40% - Ênfase6 30" xfId="756" xr:uid="{FEF83A49-3F4F-467C-895D-EF00EAA2A155}"/>
    <cellStyle name="40% - Ênfase6 31" xfId="757" xr:uid="{1006B4FA-F9F7-42B9-92F9-8FA653E4B192}"/>
    <cellStyle name="40% - Ênfase6 32" xfId="758" xr:uid="{708CAB20-6EBF-4E6C-82B3-580D249AE467}"/>
    <cellStyle name="40% - Ênfase6 33" xfId="759" xr:uid="{D3BB1116-7F97-4290-9673-359C279A88FC}"/>
    <cellStyle name="40% - Ênfase6 34" xfId="760" xr:uid="{1980FD63-C986-4800-B90C-145293477EB2}"/>
    <cellStyle name="40% - Ênfase6 35" xfId="761" xr:uid="{A64007BF-3504-4F5C-BF81-78BB7D72C5A2}"/>
    <cellStyle name="40% - Ênfase6 36" xfId="762" xr:uid="{AE415923-0FCA-4FBD-A71F-9CA9B6306411}"/>
    <cellStyle name="40% - Ênfase6 4" xfId="763" xr:uid="{FAE97682-F6D0-4641-9227-258080743A97}"/>
    <cellStyle name="40% - Ênfase6 4 2" xfId="764" xr:uid="{0676C8C2-4F9F-4EF3-99FC-CA2B8C091458}"/>
    <cellStyle name="40% - Ênfase6 5" xfId="765" xr:uid="{1ED5D87B-5A8A-41FF-AD56-49F576A8F88A}"/>
    <cellStyle name="40% - Ênfase6 5 2" xfId="766" xr:uid="{AE2CB4B0-3BDD-4638-A3BC-3FC1950BA04F}"/>
    <cellStyle name="40% - Ênfase6 6" xfId="767" xr:uid="{0793358F-C7CD-4299-9A7C-3799AB1E3556}"/>
    <cellStyle name="40% - Ênfase6 6 2" xfId="768" xr:uid="{477E2FD0-9776-4704-80AD-552478AFAE37}"/>
    <cellStyle name="40% - Ênfase6 7" xfId="769" xr:uid="{DAB16DB7-5C3B-44FF-BBCB-CBE8EAE25C8D}"/>
    <cellStyle name="40% - Ênfase6 7 2" xfId="770" xr:uid="{DF699F82-32E0-4A46-870D-FE49262D0818}"/>
    <cellStyle name="40% - Ênfase6 8" xfId="771" xr:uid="{88CA5FCD-4087-4667-890E-8DD786D8F96C}"/>
    <cellStyle name="40% - Ênfase6 8 2" xfId="772" xr:uid="{05D76EBE-2A2A-40E5-9C31-3D6C273A9798}"/>
    <cellStyle name="40% - Ênfase6 9" xfId="773" xr:uid="{D8831514-6209-48A1-80BB-ADE4F33A7EA4}"/>
    <cellStyle name="40% - Ênfase6 9 2" xfId="774" xr:uid="{9CBB64DD-C772-4092-AC9B-68D556978A32}"/>
    <cellStyle name="60% - Accent1" xfId="910" xr:uid="{B8A5C4D5-90F3-4A1E-BF52-CC599935EC88}"/>
    <cellStyle name="60% - Accent2" xfId="911" xr:uid="{90BDBDFE-AF41-49E3-8E52-3DD36932A535}"/>
    <cellStyle name="60% - Accent3" xfId="912" xr:uid="{99A2AAF9-5A24-4DBB-9851-E17C558C45B1}"/>
    <cellStyle name="60% - Accent4" xfId="913" xr:uid="{9B5AA5EA-A233-43E6-AFF9-6DEC9079E835}"/>
    <cellStyle name="60% - Accent5" xfId="914" xr:uid="{1C721386-1016-4376-B975-BB09DBA09A7E}"/>
    <cellStyle name="60% - Accent6" xfId="915" xr:uid="{8251F03F-779A-4CFD-82C6-712D5FC98C36}"/>
    <cellStyle name="60% - Ênfase1 2" xfId="916" xr:uid="{288B1594-4067-4E42-AD7F-758D0B91EF78}"/>
    <cellStyle name="60% - Ênfase2 2" xfId="917" xr:uid="{EFEABB52-B4E5-4C70-9C26-B9A205C82890}"/>
    <cellStyle name="60% - Ênfase3 2" xfId="918" xr:uid="{7DC44E56-2AE6-4DB4-8281-6EE1C50E111A}"/>
    <cellStyle name="60% - Ênfase4 2" xfId="919" xr:uid="{0915ABDC-8125-4C91-8D7D-AB9E3CBAC6E0}"/>
    <cellStyle name="60% - Ênfase5 2" xfId="920" xr:uid="{CFD77C3B-C62B-4EE0-A17C-469A0AFC24FC}"/>
    <cellStyle name="60% - Ênfase6 2" xfId="921" xr:uid="{C82ADCDB-EB5F-4730-AB5E-114D4038C64C}"/>
    <cellStyle name="Accent1" xfId="922" xr:uid="{5893452F-ECDB-4E95-812D-BB24168B0D96}"/>
    <cellStyle name="Accent2" xfId="923" xr:uid="{730CE9E4-09CA-448D-938C-535C2B98AB9B}"/>
    <cellStyle name="Accent3" xfId="924" xr:uid="{DD463CF3-D0B6-4EBA-B30B-175BD6BED3A2}"/>
    <cellStyle name="Accent4" xfId="925" xr:uid="{40FBEE9E-1641-4B52-A681-DA6EC5B04367}"/>
    <cellStyle name="Accent5" xfId="926" xr:uid="{F1B9D169-8861-4BD6-BE5E-AA449D2B3FE4}"/>
    <cellStyle name="Accent6" xfId="927" xr:uid="{9E4C5610-1D14-4F5B-87C6-548E897057E0}"/>
    <cellStyle name="Bad" xfId="928" xr:uid="{B449AE34-D2CB-46D2-8A30-072EB9F40DE2}"/>
    <cellStyle name="blp_datetime" xfId="884" xr:uid="{ECA6DCAD-2E13-4B65-871F-7449D08FB631}"/>
    <cellStyle name="Bom 2" xfId="929" xr:uid="{4D68472B-58A4-44FE-811C-774416AC5794}"/>
    <cellStyle name="Calculation" xfId="930" xr:uid="{E64E3820-7DAC-48DF-ADB2-538D8859FDEB}"/>
    <cellStyle name="Calculation 2" xfId="973" xr:uid="{858B2CDC-CFAC-4491-BE9F-982DEF4C350E}"/>
    <cellStyle name="Cálculo 2" xfId="931" xr:uid="{BFFEE5D4-347C-43EB-BEA3-DA4F9DCF9C2E}"/>
    <cellStyle name="Cálculo 3" xfId="974" xr:uid="{D98B914C-86B3-4535-B60A-8F7D6EC8640F}"/>
    <cellStyle name="Célula de Verificação 2" xfId="932" xr:uid="{AF7ABDE9-9E7F-4E9D-A245-05F591A4E2C1}"/>
    <cellStyle name="Célula Vinculada 2" xfId="933" xr:uid="{B15C6E21-D99A-43BE-8464-69C0DD899620}"/>
    <cellStyle name="Check Cell" xfId="934" xr:uid="{9CBB8F17-A2CC-49CB-904F-DD27649932BC}"/>
    <cellStyle name="Comma 2" xfId="15" xr:uid="{1C2EBF39-68A4-4256-AEE2-6B699782A828}"/>
    <cellStyle name="Comma 2 2" xfId="16" xr:uid="{99F4EBBB-3DA5-4056-832E-867BCD347ECC}"/>
    <cellStyle name="Comma 2 2 2" xfId="40" xr:uid="{FB73EC37-0C5F-4DD6-8098-4369CFDFF5F0}"/>
    <cellStyle name="Comma 2 2 2 2" xfId="68" xr:uid="{5F949EBD-C01A-4E3C-93A5-D2E1414C25E4}"/>
    <cellStyle name="Comma 2 2 3" xfId="59" xr:uid="{9751B825-9FFE-4991-B306-91A8C3578478}"/>
    <cellStyle name="Comma 2 3" xfId="17" xr:uid="{50BFDDD0-247D-4FB5-9176-EF0F071C2B6C}"/>
    <cellStyle name="Comma 2 3 2" xfId="41" xr:uid="{4E9F4F02-9E71-47B0-B426-2655505837C3}"/>
    <cellStyle name="Comma 2 3 2 2" xfId="69" xr:uid="{F7CB2691-E4C6-44D2-9ADF-734285A27B46}"/>
    <cellStyle name="Comma 2 3 3" xfId="60" xr:uid="{7A066FD6-51CF-4066-ACAF-C317DD767A93}"/>
    <cellStyle name="Comma 2 4" xfId="18" xr:uid="{E329018D-AED5-4863-9F2F-BD298C58D6B5}"/>
    <cellStyle name="Comma 2 4 2" xfId="42" xr:uid="{C4F869A5-473F-4870-9D39-96A55969FC48}"/>
    <cellStyle name="Comma 2 4 2 2" xfId="70" xr:uid="{DC17BD9F-1D9A-48BC-8F56-D7448BA791EA}"/>
    <cellStyle name="Comma 2 4 3" xfId="61" xr:uid="{052A647E-7830-46B0-8A62-5E1CD448B3EC}"/>
    <cellStyle name="Comma 2 5" xfId="39" xr:uid="{FDC9CAFA-7C69-493B-AA01-42E0F6929B1B}"/>
    <cellStyle name="Comma 2 5 2" xfId="67" xr:uid="{9A2F8FDA-6559-4671-9CCC-A79CE63ACB8A}"/>
    <cellStyle name="Comma 2 6" xfId="58" xr:uid="{751BD7C1-8B15-43AA-AFA2-FC44C65745A9}"/>
    <cellStyle name="Comma 4" xfId="874" xr:uid="{955FCF47-3070-4BEC-8B58-BF92F975DDDB}"/>
    <cellStyle name="Ênfase1 2" xfId="935" xr:uid="{1722BC69-8842-44A0-8CA2-04DF4299A5FE}"/>
    <cellStyle name="Ênfase2 2" xfId="936" xr:uid="{A5074523-46E2-43A9-9ACA-758FEFF0956F}"/>
    <cellStyle name="Ênfase3 2" xfId="937" xr:uid="{9F9D588F-7BA7-4C46-BC81-18C502C42631}"/>
    <cellStyle name="Ênfase4 2" xfId="938" xr:uid="{2AAB4757-74AD-47A9-BFCD-FE9A962B8494}"/>
    <cellStyle name="Ênfase5 2" xfId="939" xr:uid="{5C13F80C-33A3-41F8-9D5E-A6483927674F}"/>
    <cellStyle name="Ênfase6 2" xfId="940" xr:uid="{026EDC45-9ED9-4120-AC55-ADBE9EEB9088}"/>
    <cellStyle name="Entrada 2" xfId="941" xr:uid="{E9F137D9-C094-4309-B3BC-A05947A3CB76}"/>
    <cellStyle name="Entrada 3" xfId="975" xr:uid="{D4301A21-B213-4E10-97F3-F28F4D1BC6EF}"/>
    <cellStyle name="Explanatory Text" xfId="942" xr:uid="{9245D4D5-6207-4792-B3E0-DDA07BE10854}"/>
    <cellStyle name="Good" xfId="943" xr:uid="{EF8FD38C-830A-4F20-9C6D-45935109C482}"/>
    <cellStyle name="Heading 1" xfId="944" xr:uid="{74C9504E-8D4D-4D75-BC30-1E2770DF5302}"/>
    <cellStyle name="Heading 2" xfId="945" xr:uid="{0C25965B-49D3-46F2-9FEB-BFAD12F7086D}"/>
    <cellStyle name="Heading 3" xfId="946" xr:uid="{30685C27-9BD3-4D5B-81DF-5EAC53E9090E}"/>
    <cellStyle name="Heading 4" xfId="947" xr:uid="{FEEBBDD2-4F23-45A9-A788-02FC28BCD7D6}"/>
    <cellStyle name="Hiperlink" xfId="11" builtinId="8"/>
    <cellStyle name="Hyperlink 2" xfId="19" xr:uid="{CD858FAC-53C7-45FD-AE25-DA7CB90F465C}"/>
    <cellStyle name="Input" xfId="948" xr:uid="{2D3BAAF7-0585-4CFB-91A6-6B9D01AE1AF5}"/>
    <cellStyle name="Input 2" xfId="976" xr:uid="{5CC04550-0425-431B-BDDE-4FA04B2F7AB7}"/>
    <cellStyle name="Linked Cell" xfId="949" xr:uid="{56B67D76-519F-43D9-B658-D2BB8E3A9531}"/>
    <cellStyle name="Moeda" xfId="869" builtinId="4"/>
    <cellStyle name="Moeda 2" xfId="43" xr:uid="{9561DE86-00C4-41A8-8751-5F63BB986D06}"/>
    <cellStyle name="Moeda 2 2" xfId="872" xr:uid="{C5270D4A-6E49-4CF9-B944-FA87386223C5}"/>
    <cellStyle name="Moeda 2 3" xfId="966" xr:uid="{6DE0B227-FCCB-44BA-A447-87A88A9335CB}"/>
    <cellStyle name="Moeda 2 4" xfId="877" xr:uid="{F412AC14-013A-4CD7-AAD2-6D04392E6515}"/>
    <cellStyle name="Moeda 3" xfId="866" xr:uid="{913CB81F-6B07-4276-8ED3-3547131993B4}"/>
    <cellStyle name="Moeda 3 2" xfId="971" xr:uid="{8E1D72B5-E9AD-4CCD-AB02-253D8E68F152}"/>
    <cellStyle name="Moeda 4" xfId="20" xr:uid="{F8004CDC-F9DE-4034-8706-153806A69ACA}"/>
    <cellStyle name="Neutral" xfId="950" xr:uid="{413F03B4-1716-4E94-B63E-4A6F6580749C}"/>
    <cellStyle name="Normal" xfId="0" builtinId="0"/>
    <cellStyle name="Normal 10" xfId="2" xr:uid="{97F6456F-8B68-4FAC-BC9C-4D78AF85F7C8}"/>
    <cellStyle name="Normal 10 2" xfId="775" xr:uid="{8094A14A-934B-4E85-B3B5-7A0678E3C4F8}"/>
    <cellStyle name="Normal 11" xfId="776" xr:uid="{5D884484-9BAA-46F4-92A3-6DBE170B412B}"/>
    <cellStyle name="Normal 11 2" xfId="777" xr:uid="{55E22624-02D4-48D7-AECC-A690804A5D3B}"/>
    <cellStyle name="Normal 12" xfId="778" xr:uid="{1FB577FF-E5A8-4F2D-943B-D05D843E553B}"/>
    <cellStyle name="Normal 13" xfId="779" xr:uid="{17643C36-B846-4ED4-AA8F-37AF7D5247CF}"/>
    <cellStyle name="Normal 14" xfId="780" xr:uid="{A84041DF-4439-498D-969E-75232811AABD}"/>
    <cellStyle name="Normal 15" xfId="781" xr:uid="{AA557411-D201-441A-A49A-277612237A1A}"/>
    <cellStyle name="Normal 16" xfId="782" xr:uid="{BCB179E5-FA78-4F6C-870D-C8126C3481D1}"/>
    <cellStyle name="Normal 17" xfId="77" xr:uid="{4FBDD36F-F7FB-40AB-ABCB-A44B3BD3A80B}"/>
    <cellStyle name="Normal 18" xfId="868" xr:uid="{5F6CED1C-4AAC-47A3-8434-3832EEE518A7}"/>
    <cellStyle name="Normal 2" xfId="4" xr:uid="{02DF5A75-B36B-40D0-AA81-0171602BBCF0}"/>
    <cellStyle name="Normal 2 2" xfId="9" xr:uid="{768FF156-3060-4F3C-AC00-37A8B5E63E0E}"/>
    <cellStyle name="Normal 2 2 2" xfId="45" xr:uid="{17D110A0-93E8-4675-9248-8463EEC8D60A}"/>
    <cellStyle name="Normal 2 2 2 2" xfId="785" xr:uid="{4A9BF11C-70FC-49B2-B0F0-F9A77B42D254}"/>
    <cellStyle name="Normal 2 2 3" xfId="784" xr:uid="{CAACD49F-2575-43DF-8B81-7E4B00B8CD3C}"/>
    <cellStyle name="Normal 2 2 4" xfId="21" xr:uid="{0A502D70-A745-4EEE-BAFC-6BFAAAE177C9}"/>
    <cellStyle name="Normal 2 2 5" xfId="880" xr:uid="{4F14468F-BD83-46BD-A31D-E990AAAC2125}"/>
    <cellStyle name="Normal 2 3" xfId="44" xr:uid="{AFC1CC7A-F904-4203-99C2-CF530FAF1A07}"/>
    <cellStyle name="Normal 2 3 2" xfId="71" xr:uid="{0894B146-AA91-4BA8-B585-F64C98D031A6}"/>
    <cellStyle name="Normal 2 3 3" xfId="786" xr:uid="{A4DB84AC-C45D-42EB-9A20-DBA15E5D4EC1}"/>
    <cellStyle name="Normal 2 3 4" xfId="883" xr:uid="{73577C64-211D-4496-B265-A8BCCA528B94}"/>
    <cellStyle name="Normal 2 4" xfId="62" xr:uid="{AF6EB8A7-89E4-4514-87B3-016ED5C1CBB2}"/>
    <cellStyle name="Normal 2 4 2" xfId="875" xr:uid="{AD9C0766-27C1-4844-868F-835EFDBBD2D1}"/>
    <cellStyle name="Normal 2 5" xfId="783" xr:uid="{520B5560-8F2E-4F6E-89E1-59FDFCE9BC2D}"/>
    <cellStyle name="Normal 2 5 2" xfId="881" xr:uid="{F1FA7C6A-71F5-4CC4-B927-BBEEEA93BC14}"/>
    <cellStyle name="Normal 2 6" xfId="878" xr:uid="{81787E39-BECE-40A1-98E6-341B111ECAD8}"/>
    <cellStyle name="Normal 2_Cópia de samba in Pecem" xfId="876" xr:uid="{2B3996DE-5095-4E59-A964-83F011503402}"/>
    <cellStyle name="Normal 26 2 2" xfId="3" xr:uid="{FBC60ADE-267E-440D-BFD4-0777C68D437F}"/>
    <cellStyle name="Normal 26 2 2 2" xfId="8" xr:uid="{06816162-04AA-40F9-9696-2373ED647D72}"/>
    <cellStyle name="Normal 26 2 2 2 2" xfId="76" xr:uid="{64CE20E0-4488-407A-ABC5-AFF9E14D7C16}"/>
    <cellStyle name="Normal 26 2 2 3" xfId="64" xr:uid="{E36816BB-2E3A-4084-9A29-1A844BFFA3AA}"/>
    <cellStyle name="Normal 3" xfId="38" xr:uid="{20D0A431-9376-461B-B775-604B769B4C75}"/>
    <cellStyle name="Normal 3 2" xfId="22" xr:uid="{ED1CF454-1F5E-4BF6-8649-788D38C02594}"/>
    <cellStyle name="Normal 3 2 2" xfId="46" xr:uid="{5F6DEA1E-BFB4-406D-8A80-EDCB4906F594}"/>
    <cellStyle name="Normal 3 2 3" xfId="885" xr:uid="{2BDB115F-0312-424B-8C5C-66CA311D2E79}"/>
    <cellStyle name="Normal 3 3" xfId="23" xr:uid="{7A8BDDF4-3EBD-410F-AB5B-00A9DDEFF308}"/>
    <cellStyle name="Normal 3 3 2" xfId="47" xr:uid="{73025FBB-74C2-46E6-B389-6C0F7DCC18F9}"/>
    <cellStyle name="Normal 3 4" xfId="24" xr:uid="{E7B0FD1F-D69D-4FF9-A778-327A43A9B9D4}"/>
    <cellStyle name="Normal 3 4 2" xfId="48" xr:uid="{AF905402-AA9F-4193-95AC-9150D54DB0F0}"/>
    <cellStyle name="Normal 4" xfId="36" xr:uid="{74DE942C-3BED-4A0F-AF80-075066665E3F}"/>
    <cellStyle name="Normal 4 2" xfId="65" xr:uid="{7BDA0B3B-E311-4808-8A06-AC4BEDE9223A}"/>
    <cellStyle name="Normal 4 2 2" xfId="788" xr:uid="{F66A3804-722F-416A-AE3D-143759ED0702}"/>
    <cellStyle name="Normal 4 3" xfId="787" xr:uid="{BBDF5D0D-C5EA-4A64-A128-89D620EDD965}"/>
    <cellStyle name="Normal 5" xfId="789" xr:uid="{309C1A2D-3D9C-42C6-B2D1-FAD9A4773F11}"/>
    <cellStyle name="Normal 5 2" xfId="790" xr:uid="{2DB26B67-3765-402E-84CB-A2FF669CE2A8}"/>
    <cellStyle name="Normal 6" xfId="791" xr:uid="{B2313C2B-B007-4155-AFD0-DD40BD84B47E}"/>
    <cellStyle name="Normal 6 2" xfId="792" xr:uid="{366474FE-F373-42D3-9026-63DED46C3024}"/>
    <cellStyle name="Normal 7" xfId="793" xr:uid="{7085B4AE-9AA9-4D9F-8DE5-0F29869F22EC}"/>
    <cellStyle name="Normal 7 2" xfId="794" xr:uid="{C287FAB4-0F66-44C0-A7F2-50B11F0F15CF}"/>
    <cellStyle name="Normal 8" xfId="795" xr:uid="{F4EDF0B5-A455-41E6-A113-6EB1FEB6A7D1}"/>
    <cellStyle name="Normal 8 2" xfId="796" xr:uid="{7D015042-0713-477A-871B-A00756788A68}"/>
    <cellStyle name="Normal 9" xfId="797" xr:uid="{7214B725-94B4-4E82-8D73-17E1FB064EB9}"/>
    <cellStyle name="Normal 9 2" xfId="798" xr:uid="{D13AA23C-705F-4C8D-ACA2-3585DCA774B6}"/>
    <cellStyle name="Normal_Plan1" xfId="14" xr:uid="{C37A6213-F537-46D2-A49A-ADC35BF5C1FD}"/>
    <cellStyle name="Nota 10" xfId="799" xr:uid="{707208AA-4E71-42FD-9048-A2C74A117BC3}"/>
    <cellStyle name="Nota 10 2" xfId="800" xr:uid="{FBCF9120-B9C4-48DB-A1D0-88E91143E155}"/>
    <cellStyle name="Nota 11" xfId="801" xr:uid="{ED1235B0-7584-4208-B189-693ABE7E282A}"/>
    <cellStyle name="Nota 11 2" xfId="802" xr:uid="{EBE6F563-CE79-4F3F-9200-B114664DCD8F}"/>
    <cellStyle name="Nota 12" xfId="803" xr:uid="{83BF29E7-507A-4584-884C-FF83BC23FA77}"/>
    <cellStyle name="Nota 12 2" xfId="804" xr:uid="{722F1F89-15EC-4C0A-BEA4-EC6282A8F6B4}"/>
    <cellStyle name="Nota 13" xfId="805" xr:uid="{ABB6365C-298C-4C48-9F15-9A7593DB2882}"/>
    <cellStyle name="Nota 13 2" xfId="806" xr:uid="{5994B814-8CD8-4B72-B32D-5F6473AC15CA}"/>
    <cellStyle name="Nota 14" xfId="807" xr:uid="{05631A60-9B9C-49B3-971E-23EED0F61703}"/>
    <cellStyle name="Nota 14 2" xfId="808" xr:uid="{5FC976E1-B0FE-437F-99AE-C1FDC0FA96AF}"/>
    <cellStyle name="Nota 15" xfId="809" xr:uid="{149E7856-29B0-4D8B-B27F-12A8FB1AFFE3}"/>
    <cellStyle name="Nota 15 2" xfId="810" xr:uid="{6A6BC797-6F09-4C22-9876-D9D5BA107CF8}"/>
    <cellStyle name="Nota 16" xfId="811" xr:uid="{98C66094-02CC-4D0E-B07B-A1C37402EFB4}"/>
    <cellStyle name="Nota 16 2" xfId="812" xr:uid="{597924DC-2319-455F-B280-1897B9BBCC96}"/>
    <cellStyle name="Nota 17" xfId="813" xr:uid="{C64464CA-B807-45AD-901D-2FDE46D60B19}"/>
    <cellStyle name="Nota 17 2" xfId="814" xr:uid="{38F2EA08-EAF8-4CA8-B155-8A3136105338}"/>
    <cellStyle name="Nota 18" xfId="815" xr:uid="{E0F9BB08-EF14-4A47-823B-7756A6BA739A}"/>
    <cellStyle name="Nota 18 2" xfId="816" xr:uid="{10553878-2F81-4C4B-B034-0F63626C6A20}"/>
    <cellStyle name="Nota 19" xfId="817" xr:uid="{92851F4D-60E6-49C9-BE79-67C8FC6F9A2C}"/>
    <cellStyle name="Nota 19 2" xfId="818" xr:uid="{3A3A6285-6B28-45A3-B913-70B534B30398}"/>
    <cellStyle name="Nota 2" xfId="819" xr:uid="{1B4F993E-2A05-40DC-AE73-D59D5F7C2976}"/>
    <cellStyle name="Nota 2 2" xfId="967" xr:uid="{9451765D-A4CC-4C9F-9007-AD063B9748FD}"/>
    <cellStyle name="Nota 2 3" xfId="951" xr:uid="{206F4D65-4CB0-4EC1-B7C4-46FEDDD981A4}"/>
    <cellStyle name="Nota 20" xfId="820" xr:uid="{754A0FF8-5202-4A75-A2F5-8D6E8A51F40C}"/>
    <cellStyle name="Nota 20 2" xfId="821" xr:uid="{983295D1-C9CB-4DFD-919A-15BE565C25DB}"/>
    <cellStyle name="Nota 21" xfId="822" xr:uid="{C5A9DCB2-45EA-458D-8C22-F848390357C0}"/>
    <cellStyle name="Nota 21 2" xfId="823" xr:uid="{D819A65C-9381-4AF6-A206-C03A8A20957F}"/>
    <cellStyle name="Nota 22" xfId="824" xr:uid="{81007217-1D65-4D8F-8F28-A6FA74109D5F}"/>
    <cellStyle name="Nota 22 2" xfId="825" xr:uid="{E906697C-ED48-4B4F-9441-1584842E2A00}"/>
    <cellStyle name="Nota 23" xfId="826" xr:uid="{CCAD7AF1-CA15-4879-8C7F-8D8390C8E0F5}"/>
    <cellStyle name="Nota 23 2" xfId="827" xr:uid="{D5981EE6-DAA7-4767-B5D3-C7E107F5FE67}"/>
    <cellStyle name="Nota 24" xfId="828" xr:uid="{9A520C38-9E75-48FE-B566-468FEBA3670F}"/>
    <cellStyle name="Nota 24 2" xfId="829" xr:uid="{20E9BC8F-2AE4-4728-B570-8163AE2F6DB6}"/>
    <cellStyle name="Nota 25" xfId="830" xr:uid="{8B27CBC7-AD4D-4B61-9127-9680D62AD9AC}"/>
    <cellStyle name="Nota 25 2" xfId="831" xr:uid="{8DE4FF8A-51A8-4135-9D66-C381C3E12F6D}"/>
    <cellStyle name="Nota 26" xfId="832" xr:uid="{727E4E7D-15CD-4C40-BF3F-41EBF112DECD}"/>
    <cellStyle name="Nota 26 2" xfId="833" xr:uid="{E7636643-7D60-429A-A604-56EC7CE7F73F}"/>
    <cellStyle name="Nota 27" xfId="834" xr:uid="{0D1ED108-D6AA-43FA-87C6-37AEE513609A}"/>
    <cellStyle name="Nota 28" xfId="835" xr:uid="{52DEDD0A-2176-4A1C-9AF0-8C37DEDBBF39}"/>
    <cellStyle name="Nota 29" xfId="836" xr:uid="{6A9CABD5-DD43-47DF-A514-2DBD95D1F47B}"/>
    <cellStyle name="Nota 3" xfId="837" xr:uid="{ADB8F0AD-7086-4C3F-9C0C-A1EE9FEB2DE6}"/>
    <cellStyle name="Nota 3 2" xfId="838" xr:uid="{3EA1B2AF-C158-42F5-B590-059E1346739D}"/>
    <cellStyle name="Nota 30" xfId="839" xr:uid="{5B1E0717-CC11-4B97-B840-D956C4B72C51}"/>
    <cellStyle name="Nota 31" xfId="840" xr:uid="{4CAE69E9-EB0F-4AE4-93C1-57895D9489F9}"/>
    <cellStyle name="Nota 32" xfId="841" xr:uid="{41457CCE-D017-405D-BF5F-0D0BF6F514CC}"/>
    <cellStyle name="Nota 33" xfId="842" xr:uid="{88F2CDC5-C903-4B18-B3D6-DE59DD7BB143}"/>
    <cellStyle name="Nota 34" xfId="843" xr:uid="{08FEB96F-D1A1-4DA3-96C9-F2E399C3E444}"/>
    <cellStyle name="Nota 35" xfId="844" xr:uid="{25CE6C1C-B28A-4E76-B982-55E591EFC0FD}"/>
    <cellStyle name="Nota 36" xfId="845" xr:uid="{F7ED07F2-F094-4D42-96DA-814F370CD09F}"/>
    <cellStyle name="Nota 37" xfId="846" xr:uid="{73400D77-6792-4ECA-91CC-3323A0EABD98}"/>
    <cellStyle name="Nota 4" xfId="847" xr:uid="{BF16BC70-5755-4907-B657-91B6860EB4A3}"/>
    <cellStyle name="Nota 4 2" xfId="848" xr:uid="{C1D8B208-7B29-49A1-869E-49E47051D22D}"/>
    <cellStyle name="Nota 4 3" xfId="977" xr:uid="{5C2D5C91-5CE8-4177-9728-F9F51B102564}"/>
    <cellStyle name="Nota 5" xfId="849" xr:uid="{58CCBDE5-D57A-47BE-B856-73D9606BA454}"/>
    <cellStyle name="Nota 5 2" xfId="850" xr:uid="{E3BF5166-4BC0-4C49-8719-00013742EAF3}"/>
    <cellStyle name="Nota 6" xfId="851" xr:uid="{BBADD63F-1F41-43C5-AC3C-23753F663DA9}"/>
    <cellStyle name="Nota 6 2" xfId="852" xr:uid="{FC7C4CB6-A7E2-40E6-B789-3878F120684E}"/>
    <cellStyle name="Nota 7" xfId="853" xr:uid="{49DD7FE2-FCFB-4682-9F47-9063D28666FF}"/>
    <cellStyle name="Nota 7 2" xfId="854" xr:uid="{0D69B039-8482-4AC1-BF94-B01F917027A1}"/>
    <cellStyle name="Nota 8" xfId="855" xr:uid="{CADE3940-57AC-4E7C-A525-078F4CE9A6B9}"/>
    <cellStyle name="Nota 8 2" xfId="856" xr:uid="{B406B0EF-8CFE-435B-AA03-D756303A8E62}"/>
    <cellStyle name="Nota 9" xfId="857" xr:uid="{272DCFFC-860E-42FF-B78D-DECB16F4C98D}"/>
    <cellStyle name="Nota 9 2" xfId="858" xr:uid="{F86A395E-B5FC-4B40-822C-A2A2A7CB801F}"/>
    <cellStyle name="Note" xfId="952" xr:uid="{B0D88377-BB7E-4B1C-8D72-A868B7E85BD0}"/>
    <cellStyle name="Note 2" xfId="978" xr:uid="{F014FFC8-4A39-4C48-AC57-2C0FEB97D814}"/>
    <cellStyle name="Output" xfId="953" xr:uid="{594AAE7D-F6B6-412B-8873-5A27688BEEB3}"/>
    <cellStyle name="Output 2" xfId="979" xr:uid="{51530DE1-8ABC-44D4-B079-DDDC77D2C413}"/>
    <cellStyle name="Percent 2" xfId="25" xr:uid="{18E30E22-3F58-4B16-A2C7-063634F30C59}"/>
    <cellStyle name="Percent 2 2" xfId="26" xr:uid="{0026219C-AEC8-4C73-985A-3C3278CB33E2}"/>
    <cellStyle name="Percent 2 3" xfId="27" xr:uid="{E0598F40-5D71-41DB-9C22-836FE783B4E8}"/>
    <cellStyle name="Percent 2 4" xfId="28" xr:uid="{A1150F7C-7112-485C-B84B-1AF4C967F485}"/>
    <cellStyle name="Porcentagem" xfId="5" builtinId="5"/>
    <cellStyle name="Porcentagem 2" xfId="12" xr:uid="{F51BC7D3-71C8-4AA2-964E-8FD089DC3032}"/>
    <cellStyle name="Porcentagem 2 2" xfId="29" xr:uid="{8F71C8E6-A28B-4838-B01F-54572AF8E074}"/>
    <cellStyle name="Porcentagem 2 2 2" xfId="51" xr:uid="{37976A70-A928-4864-BC48-BDF1EEE35F6A}"/>
    <cellStyle name="Porcentagem 2 2 3" xfId="882" xr:uid="{1FBA8624-E6EE-4CFC-A1A5-145AFA88E5A6}"/>
    <cellStyle name="Porcentagem 2 3" xfId="30" xr:uid="{5A3D1163-6CEB-4527-80BC-FD09AF40D861}"/>
    <cellStyle name="Porcentagem 2 3 2" xfId="52" xr:uid="{9D3AD7F6-9205-4AD9-9088-D5BE8B106B18}"/>
    <cellStyle name="Porcentagem 2 4" xfId="31" xr:uid="{C367C5AA-E3D6-4156-A895-E0F030B27822}"/>
    <cellStyle name="Porcentagem 2 4 2" xfId="53" xr:uid="{D9B9EB68-945B-4064-A019-DEE1DFA339C1}"/>
    <cellStyle name="Porcentagem 2 5" xfId="50" xr:uid="{9E60EBF3-31BE-46EE-974E-B3741F31B4A9}"/>
    <cellStyle name="Porcentagem 2 6" xfId="859" xr:uid="{B7A77888-AFC0-4705-A0EA-7AECF13C3A26}"/>
    <cellStyle name="Porcentagem 3" xfId="49" xr:uid="{FD0238C1-BA8F-41C1-B5E4-ECF47889426B}"/>
    <cellStyle name="Porcentagem 4" xfId="867" xr:uid="{3626362A-57F0-4F85-98DF-C3219D159EEF}"/>
    <cellStyle name="Saída 2" xfId="954" xr:uid="{51A80A0F-6ED1-454A-AB62-37A3D94C797E}"/>
    <cellStyle name="Saída 3" xfId="980" xr:uid="{05BC7270-D120-444C-BBBC-61E40FEF30A9}"/>
    <cellStyle name="Separador de milhares 2" xfId="32" xr:uid="{5468F3E2-8E94-432C-A3D3-AC0AA0C22D3E}"/>
    <cellStyle name="Separador de milhares 2 2" xfId="54" xr:uid="{0172CEE8-AF69-41F5-A446-6A92D86AEC59}"/>
    <cellStyle name="Separador de milhares 2 2 2" xfId="72" xr:uid="{1FA63DB7-61DA-4B37-B912-1E79A8EDA6FC}"/>
    <cellStyle name="Separador de milhares 2 3" xfId="63" xr:uid="{6B319526-97D6-4E75-B9DB-D70E3477BF18}"/>
    <cellStyle name="Separador de milhares 2 4" xfId="871" xr:uid="{DEDFDEE8-EF4F-4545-80C8-8CD6599F0879}"/>
    <cellStyle name="Separador de milhares 2 84" xfId="969" xr:uid="{F031FEA3-9236-4F81-890F-4556000C1A0F}"/>
    <cellStyle name="Separador de milhares 4" xfId="33" xr:uid="{698EFA79-39BA-4C3C-AB2B-6A62B3B85499}"/>
    <cellStyle name="Separador de milhares 4 2" xfId="55" xr:uid="{EF643507-4A56-4598-AFD1-4587F1649D55}"/>
    <cellStyle name="Separador de milhares 4 2 2" xfId="73" xr:uid="{15523096-625A-46E3-B38D-8CDB03FBF0F1}"/>
    <cellStyle name="Texto de Aviso 2" xfId="955" xr:uid="{07AAB55D-2F48-45F5-B2DD-2461D41E143A}"/>
    <cellStyle name="Texto Explicativo 2" xfId="956" xr:uid="{C1BDC150-2334-40DE-BECF-9CC27BE2DB1C}"/>
    <cellStyle name="Title" xfId="957" xr:uid="{6A46EFBD-32F0-46B3-999E-69E5D989B2E4}"/>
    <cellStyle name="Título 1 2" xfId="959" xr:uid="{2C230F38-3439-4207-8852-01304E2D62D8}"/>
    <cellStyle name="Título 2 2" xfId="960" xr:uid="{3C462000-86D4-4420-AAB9-6AA11ABECF10}"/>
    <cellStyle name="Título 3 2" xfId="961" xr:uid="{D22C60FB-310D-4B0A-AF91-4C34993AB2EC}"/>
    <cellStyle name="Título 4 2" xfId="962" xr:uid="{FF897645-C553-4122-B9CC-AAACF819A7D8}"/>
    <cellStyle name="Título 5" xfId="958" xr:uid="{FEF355FC-B082-462A-8A7C-59A627641F9D}"/>
    <cellStyle name="Total 2" xfId="963" xr:uid="{CF6CD9F4-A57D-4C66-8D59-A45513E51CCE}"/>
    <cellStyle name="Total 3" xfId="981" xr:uid="{BC78747B-9A3A-4573-B1F8-E20198D25250}"/>
    <cellStyle name="Vírgula" xfId="1" builtinId="3"/>
    <cellStyle name="Vírgula 2" xfId="6" xr:uid="{92BFFDE4-2889-4AB1-AAF4-07BDB7207C86}"/>
    <cellStyle name="Vírgula 2 2" xfId="10" xr:uid="{C1DD72A6-7D6E-4F82-B093-281E47104C4C}"/>
    <cellStyle name="Vírgula 2 2 2" xfId="861" xr:uid="{E96964AE-B390-4C23-9B52-ED220E2E9EA9}"/>
    <cellStyle name="Vírgula 2 2 2 2" xfId="970" xr:uid="{8B321CF9-7281-415F-A896-07F055D2721F}"/>
    <cellStyle name="Vírgula 2 2 3" xfId="74" xr:uid="{D1DBA466-86C4-4928-ABD9-D7636D02FE33}"/>
    <cellStyle name="Vírgula 2 3" xfId="862" xr:uid="{D3943846-5A75-4E08-8E8C-633C5F38E210}"/>
    <cellStyle name="Vírgula 2 3 2" xfId="968" xr:uid="{63969FD7-8B8C-42F9-AB48-5B6E5E1FC90A}"/>
    <cellStyle name="Vírgula 2 4" xfId="860" xr:uid="{993F0598-3DE1-4104-BC97-34DB7E01F678}"/>
    <cellStyle name="Vírgula 2 5" xfId="56" xr:uid="{E932CDB3-7374-498E-9278-412ED8C12265}"/>
    <cellStyle name="Vírgula 3" xfId="7" xr:uid="{D260A292-9117-470F-B00F-3D4BDADA7A93}"/>
    <cellStyle name="Vírgula 3 2" xfId="57" xr:uid="{6136D80C-2394-4CEF-9FEE-04BE3033A371}"/>
    <cellStyle name="Vírgula 3 2 2" xfId="75" xr:uid="{BDCC348C-C773-4A36-B38D-C91F6FA843B3}"/>
    <cellStyle name="Vírgula 3 2 3" xfId="864" xr:uid="{175BD73D-C4B0-4113-9D90-F72B0C22A49C}"/>
    <cellStyle name="Vírgula 3 2 4" xfId="879" xr:uid="{6E2F56A7-14E0-4394-8ABC-9CFD276D1DE1}"/>
    <cellStyle name="Vírgula 3 3" xfId="863" xr:uid="{FC1C93B8-8075-4204-8EC6-A768635E261D}"/>
    <cellStyle name="Vírgula 3 3 2" xfId="972" xr:uid="{F297526F-306F-4681-A81C-66432263E7E3}"/>
    <cellStyle name="Vírgula 3 4" xfId="35" xr:uid="{901C7729-DE60-40D3-A511-B3B5EF77873A}"/>
    <cellStyle name="Vírgula 4" xfId="13" xr:uid="{5F577535-5D25-41D1-BA03-2D1C1BBDD2D1}"/>
    <cellStyle name="Vírgula 4 2" xfId="66" xr:uid="{6A41C5B3-3264-457B-BCC5-7313841F7F1B}"/>
    <cellStyle name="Vírgula 4 3" xfId="865" xr:uid="{4A688997-CA5E-416B-8C96-20E7700C4CDC}"/>
    <cellStyle name="Vírgula 4 4" xfId="37" xr:uid="{AF55F47B-B986-4FCC-BA11-8F6D99F5ED67}"/>
    <cellStyle name="Vírgula 4 5" xfId="965" xr:uid="{4145FB1D-7D4F-4735-96BA-272CFF90A4F5}"/>
    <cellStyle name="Vírgula 5" xfId="78" xr:uid="{9ED1D25C-CF43-42B4-9F6E-8CECE822BF04}"/>
    <cellStyle name="Vírgula 6" xfId="34" xr:uid="{84D193E4-27A4-40FF-B0A5-F26415DEA5E6}"/>
    <cellStyle name="Vírgula 7" xfId="870" xr:uid="{B38BFAB6-8CC5-4AEF-87E8-C6B808470BA2}"/>
    <cellStyle name="Warning Text" xfId="964" xr:uid="{B676319B-033E-4594-B844-0BFD030569ED}"/>
  </cellStyles>
  <dxfs count="5">
    <dxf>
      <font>
        <color rgb="FFFFC000"/>
      </font>
      <fill>
        <patternFill>
          <fgColor rgb="FFFFC000"/>
          <bgColor rgb="FFFFC000"/>
        </patternFill>
      </fill>
    </dxf>
    <dxf>
      <font>
        <color theme="5"/>
      </font>
      <fill>
        <patternFill>
          <fgColor theme="5"/>
          <bgColor theme="5"/>
        </patternFill>
      </fill>
    </dxf>
    <dxf>
      <font>
        <color rgb="FFFFFF00"/>
      </font>
      <fill>
        <patternFill>
          <fgColor rgb="FFFFFF00"/>
          <bgColor rgb="FFFFFF00"/>
        </patternFill>
      </fill>
    </dxf>
    <dxf>
      <font>
        <color theme="6"/>
      </font>
      <fill>
        <patternFill>
          <fgColor theme="6"/>
          <bgColor theme="6"/>
        </patternFill>
      </fill>
    </dxf>
    <dxf>
      <font>
        <color rgb="FF9C0006"/>
      </font>
      <fill>
        <patternFill>
          <bgColor rgb="FFFFC7CE"/>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1549400</xdr:colOff>
      <xdr:row>6</xdr:row>
      <xdr:rowOff>28575</xdr:rowOff>
    </xdr:from>
    <xdr:to>
      <xdr:col>6</xdr:col>
      <xdr:colOff>73025</xdr:colOff>
      <xdr:row>7</xdr:row>
      <xdr:rowOff>57150</xdr:rowOff>
    </xdr:to>
    <xdr:pic>
      <xdr:nvPicPr>
        <xdr:cNvPr id="2" name="Imagem 1">
          <a:extLst>
            <a:ext uri="{FF2B5EF4-FFF2-40B4-BE49-F238E27FC236}">
              <a16:creationId xmlns:a16="http://schemas.microsoft.com/office/drawing/2014/main" id="{0F04FAAD-42E9-DB1D-2064-FAAF1FB80AC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9400" y="1133475"/>
          <a:ext cx="287655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304800</xdr:colOff>
      <xdr:row>3</xdr:row>
      <xdr:rowOff>120650</xdr:rowOff>
    </xdr:to>
    <xdr:sp macro="" textlink="">
      <xdr:nvSpPr>
        <xdr:cNvPr id="2" name="&lt;image003.png@01D7BC55.2D988010&gt;" descr="image003.png">
          <a:extLst>
            <a:ext uri="{FF2B5EF4-FFF2-40B4-BE49-F238E27FC236}">
              <a16:creationId xmlns:a16="http://schemas.microsoft.com/office/drawing/2014/main" id="{D916E812-C0AC-4F5C-BEDF-6348B37F7268}"/>
            </a:ext>
          </a:extLst>
        </xdr:cNvPr>
        <xdr:cNvSpPr>
          <a:spLocks noChangeAspect="1" noChangeArrowheads="1"/>
        </xdr:cNvSpPr>
      </xdr:nvSpPr>
      <xdr:spPr bwMode="auto">
        <a:xfrm>
          <a:off x="7943850" y="59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0</xdr:colOff>
      <xdr:row>1</xdr:row>
      <xdr:rowOff>0</xdr:rowOff>
    </xdr:to>
    <xdr:cxnSp macro="">
      <xdr:nvCxnSpPr>
        <xdr:cNvPr id="2" name="Conector de seta reta 1">
          <a:extLst>
            <a:ext uri="{FF2B5EF4-FFF2-40B4-BE49-F238E27FC236}">
              <a16:creationId xmlns:a16="http://schemas.microsoft.com/office/drawing/2014/main" id="{059F1ACB-5A15-45FF-B710-A28FE41238C7}"/>
            </a:ext>
          </a:extLst>
        </xdr:cNvPr>
        <xdr:cNvCxnSpPr/>
      </xdr:nvCxnSpPr>
      <xdr:spPr>
        <a:xfrm>
          <a:off x="542925" y="190500"/>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8</xdr:col>
      <xdr:colOff>304800</xdr:colOff>
      <xdr:row>3</xdr:row>
      <xdr:rowOff>123825</xdr:rowOff>
    </xdr:to>
    <xdr:sp macro="" textlink="">
      <xdr:nvSpPr>
        <xdr:cNvPr id="4097" name="&lt;image003.png@01D7BC55.2D988010&gt;" descr="image003.png">
          <a:extLst>
            <a:ext uri="{FF2B5EF4-FFF2-40B4-BE49-F238E27FC236}">
              <a16:creationId xmlns:a16="http://schemas.microsoft.com/office/drawing/2014/main" id="{4C9E81A0-2E05-B844-AD7A-804C7E9526C8}"/>
            </a:ext>
          </a:extLst>
        </xdr:cNvPr>
        <xdr:cNvSpPr>
          <a:spLocks noChangeAspect="1" noChangeArrowheads="1"/>
        </xdr:cNvSpPr>
      </xdr:nvSpPr>
      <xdr:spPr bwMode="auto">
        <a:xfrm>
          <a:off x="10807700" y="66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lveloso\Meus%20documentos\G&#225;s%20Natural\CPAC\Tarifa\Dad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aterial%20de%20Estudo\Modelagem%20Tarif&#225;ria\Receita%20Anual%20M&#225;xima%20(AN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aga\Dropbox\nts\gasduc%20III\Gasta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ercial/Cartas/PB/PR%20Guapimirim/GASDUC%20III%20-%20PR%20Guapimirim%2007.12.2018_At&#233;%202030_Corrigida_Rev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ill"/>
      <sheetName val="TIPS"/>
      <sheetName val="EMBI+"/>
      <sheetName val="Plan2"/>
      <sheetName val="Plan3"/>
    </sheetNames>
    <sheetDataSet>
      <sheetData sheetId="0"/>
      <sheetData sheetId="1">
        <row r="20">
          <cell r="D20">
            <v>2.3399999999999997E-2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WACC"/>
      <sheetName val="Input (Assets)"/>
      <sheetName val="Assets"/>
      <sheetName val="Dívida BNDES"/>
      <sheetName val="Tarifa (FCLA)"/>
    </sheetNames>
    <sheetDataSet>
      <sheetData sheetId="0">
        <row r="4">
          <cell r="C4">
            <v>5138</v>
          </cell>
        </row>
        <row r="5">
          <cell r="C5">
            <v>20</v>
          </cell>
        </row>
        <row r="8">
          <cell r="C8">
            <v>4.7555936835712062E-2</v>
          </cell>
        </row>
        <row r="9">
          <cell r="C9">
            <v>1.3000000000000001E-2</v>
          </cell>
        </row>
        <row r="10">
          <cell r="C10">
            <v>0.01</v>
          </cell>
        </row>
        <row r="11">
          <cell r="C11">
            <v>5.8999999999999997E-2</v>
          </cell>
        </row>
        <row r="12">
          <cell r="C12">
            <v>0</v>
          </cell>
        </row>
        <row r="13">
          <cell r="C13">
            <v>0.6</v>
          </cell>
        </row>
        <row r="14">
          <cell r="C14">
            <v>0</v>
          </cell>
        </row>
        <row r="15">
          <cell r="C15">
            <v>0.62</v>
          </cell>
        </row>
      </sheetData>
      <sheetData sheetId="1">
        <row r="30">
          <cell r="E30">
            <v>0.12080333089268684</v>
          </cell>
        </row>
      </sheetData>
      <sheetData sheetId="2">
        <row r="7">
          <cell r="F7">
            <v>5138</v>
          </cell>
          <cell r="G7">
            <v>30</v>
          </cell>
          <cell r="H7">
            <v>30</v>
          </cell>
          <cell r="I7">
            <v>5138</v>
          </cell>
          <cell r="J7">
            <v>30</v>
          </cell>
          <cell r="K7">
            <v>30</v>
          </cell>
        </row>
        <row r="8">
          <cell r="F8">
            <v>0</v>
          </cell>
          <cell r="G8" t="str">
            <v>n/a</v>
          </cell>
          <cell r="H8" t="str">
            <v>n/a</v>
          </cell>
          <cell r="I8">
            <v>0</v>
          </cell>
          <cell r="J8" t="str">
            <v>n/a</v>
          </cell>
          <cell r="K8" t="str">
            <v>n/a</v>
          </cell>
        </row>
        <row r="9">
          <cell r="F9">
            <v>0</v>
          </cell>
          <cell r="G9" t="str">
            <v>n/a</v>
          </cell>
          <cell r="H9" t="str">
            <v>n/a</v>
          </cell>
          <cell r="I9">
            <v>0</v>
          </cell>
          <cell r="J9" t="str">
            <v>n/a</v>
          </cell>
          <cell r="K9" t="str">
            <v>n/a</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ssas"/>
      <sheetName val="FC - Tarifa Total"/>
      <sheetName val="FC - Tarifa Entrada"/>
      <sheetName val="FC - Tarifa Saída"/>
      <sheetName val="Depreciação"/>
      <sheetName val="Investimento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ssas"/>
      <sheetName val="Detalhamento"/>
      <sheetName val="FC - TE - Guapimirim"/>
      <sheetName val="Depreciação"/>
      <sheetName val="Investimentos"/>
      <sheetName val="WACC"/>
      <sheetName val="IGPM"/>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968A-628E-4EC3-9D9D-18E935604720}">
  <sheetPr>
    <tabColor theme="4" tint="0.79998168889431442"/>
  </sheetPr>
  <dimension ref="A1:H36"/>
  <sheetViews>
    <sheetView showGridLines="0" tabSelected="1" zoomScale="90" zoomScaleNormal="90" workbookViewId="0">
      <selection activeCell="H15" sqref="H15"/>
    </sheetView>
  </sheetViews>
  <sheetFormatPr defaultRowHeight="14.5" x14ac:dyDescent="0.35"/>
  <cols>
    <col min="1" max="1" width="19" customWidth="1"/>
    <col min="2" max="2" width="12" customWidth="1"/>
    <col min="3" max="3" width="1.90625" customWidth="1"/>
    <col min="4" max="4" width="11.6328125" customWidth="1"/>
    <col min="5" max="5" width="2" customWidth="1"/>
    <col min="6" max="6" width="12.26953125" customWidth="1"/>
  </cols>
  <sheetData>
    <row r="1" spans="1:8" ht="18.5" x14ac:dyDescent="0.45">
      <c r="A1" s="401" t="s">
        <v>532</v>
      </c>
    </row>
    <row r="3" spans="1:8" x14ac:dyDescent="0.35">
      <c r="A3" t="s">
        <v>533</v>
      </c>
    </row>
    <row r="4" spans="1:8" x14ac:dyDescent="0.35">
      <c r="A4" s="388" t="s">
        <v>535</v>
      </c>
    </row>
    <row r="5" spans="1:8" x14ac:dyDescent="0.35">
      <c r="A5" s="388" t="s">
        <v>534</v>
      </c>
    </row>
    <row r="9" spans="1:8" x14ac:dyDescent="0.35">
      <c r="F9" s="404" t="s">
        <v>547</v>
      </c>
    </row>
    <row r="10" spans="1:8" ht="29" x14ac:dyDescent="0.35">
      <c r="B10" s="390" t="s">
        <v>537</v>
      </c>
      <c r="D10" s="390" t="s">
        <v>538</v>
      </c>
      <c r="F10" s="389" t="s">
        <v>542</v>
      </c>
    </row>
    <row r="11" spans="1:8" x14ac:dyDescent="0.35">
      <c r="A11" s="394" t="s">
        <v>163</v>
      </c>
      <c r="B11" s="390" t="s">
        <v>539</v>
      </c>
      <c r="D11" s="390" t="s">
        <v>539</v>
      </c>
      <c r="F11" s="389" t="s">
        <v>539</v>
      </c>
    </row>
    <row r="12" spans="1:8" x14ac:dyDescent="0.35">
      <c r="A12" s="395" t="s">
        <v>479</v>
      </c>
      <c r="B12" s="391">
        <f ca="1">'Tarifa Ponderada Legados 2025'!D2</f>
        <v>6.0674002899364794</v>
      </c>
      <c r="D12" s="391">
        <f ca="1">'Tarifa Ponderada GASIG 2025'!D2</f>
        <v>5.8416391367797894E-2</v>
      </c>
      <c r="F12" s="398">
        <f ca="1">ROUND(SUM(B12,D12),4)</f>
        <v>6.1257999999999999</v>
      </c>
      <c r="H12" s="408"/>
    </row>
    <row r="13" spans="1:8" x14ac:dyDescent="0.35">
      <c r="A13" s="395" t="s">
        <v>483</v>
      </c>
      <c r="B13" s="391">
        <f ca="1">'Tarifa Ponderada Legados 2025'!D3</f>
        <v>5.4330791766106596</v>
      </c>
      <c r="D13" s="391">
        <f ca="1">'Tarifa Ponderada GASIG 2025'!D3</f>
        <v>5.1547185364504852E-2</v>
      </c>
      <c r="F13" s="398">
        <f t="shared" ref="F13:F19" ca="1" si="0">ROUND(SUM(B13,D13),4)</f>
        <v>5.4846000000000004</v>
      </c>
    </row>
    <row r="14" spans="1:8" x14ac:dyDescent="0.35">
      <c r="A14" s="392" t="s">
        <v>489</v>
      </c>
      <c r="B14" s="391">
        <f ca="1">'Tarifa Ponderada Legados 2025'!D4</f>
        <v>5.5750002957610825</v>
      </c>
      <c r="D14" s="391">
        <f ca="1">'Tarifa Ponderada GASIG 2025'!D4</f>
        <v>5.3062509970532031E-2</v>
      </c>
      <c r="F14" s="398">
        <f t="shared" ca="1" si="0"/>
        <v>5.6280999999999999</v>
      </c>
    </row>
    <row r="15" spans="1:8" x14ac:dyDescent="0.35">
      <c r="A15" s="393" t="s">
        <v>545</v>
      </c>
      <c r="B15" s="391">
        <f ca="1">'Tarifa Ponderada Legados 2025'!D5</f>
        <v>0.56108511699990327</v>
      </c>
      <c r="D15" s="391">
        <f ca="1">'Tarifa Ponderada GASIG 2025'!D5</f>
        <v>5.2072062030541974E-3</v>
      </c>
      <c r="F15" s="398">
        <f t="shared" ca="1" si="0"/>
        <v>0.56630000000000003</v>
      </c>
    </row>
    <row r="16" spans="1:8" x14ac:dyDescent="0.35">
      <c r="A16" s="395" t="s">
        <v>25</v>
      </c>
      <c r="B16" s="391">
        <f ca="1">'Tarifa Ponderada Legados 2025'!D8</f>
        <v>5.992613162473754</v>
      </c>
      <c r="D16" s="391">
        <f ca="1">'Tarifa Ponderada GASIG 2025'!D8</f>
        <v>5.7476711923487647E-2</v>
      </c>
      <c r="F16" s="398">
        <f t="shared" ca="1" si="0"/>
        <v>6.0500999999999996</v>
      </c>
    </row>
    <row r="17" spans="1:6" ht="29" x14ac:dyDescent="0.35">
      <c r="A17" s="392" t="s">
        <v>540</v>
      </c>
      <c r="B17" s="391">
        <f ca="1">'Tarifa Ponderada Legados 2025'!D9</f>
        <v>0.52193822404658941</v>
      </c>
      <c r="D17" s="391">
        <f ca="1">'Tarifa Ponderada GASIG 2025'!D9</f>
        <v>4.8599368417841463E-3</v>
      </c>
      <c r="F17" s="398">
        <f t="shared" ca="1" si="0"/>
        <v>0.52680000000000005</v>
      </c>
    </row>
    <row r="18" spans="1:6" x14ac:dyDescent="0.35">
      <c r="A18" s="392" t="s">
        <v>541</v>
      </c>
      <c r="B18" s="391">
        <f ca="1">'Tarifa Ponderada Legados 2025'!D10</f>
        <v>0.56108511699990327</v>
      </c>
      <c r="D18" s="391">
        <f ca="1">'Tarifa Ponderada GASIG 2025'!D10</f>
        <v>5.2072062030541974E-3</v>
      </c>
      <c r="F18" s="398">
        <f t="shared" ca="1" si="0"/>
        <v>0.56630000000000003</v>
      </c>
    </row>
    <row r="19" spans="1:6" x14ac:dyDescent="0.35">
      <c r="A19" s="392" t="s">
        <v>546</v>
      </c>
      <c r="B19" s="391">
        <f ca="1">'Tarifa Ponderada Legados 2025'!D11</f>
        <v>0.54821584001902091</v>
      </c>
      <c r="D19" s="391">
        <f ca="1">'Tarifa Ponderada GASIG 2025'!D11</f>
        <v>5.112977960270145E-3</v>
      </c>
      <c r="F19" s="398">
        <f t="shared" ca="1" si="0"/>
        <v>0.55330000000000001</v>
      </c>
    </row>
    <row r="20" spans="1:6" x14ac:dyDescent="0.35">
      <c r="A20" s="395"/>
    </row>
    <row r="21" spans="1:6" x14ac:dyDescent="0.35">
      <c r="A21" s="395"/>
    </row>
    <row r="22" spans="1:6" x14ac:dyDescent="0.35">
      <c r="A22" s="396" t="s">
        <v>164</v>
      </c>
    </row>
    <row r="23" spans="1:6" ht="16" x14ac:dyDescent="0.4">
      <c r="A23" s="397" t="s">
        <v>58</v>
      </c>
      <c r="B23" s="391">
        <f ca="1">'Tarifa Ponderada Legados 2025'!H18</f>
        <v>3.4877090575113581</v>
      </c>
      <c r="D23" s="391">
        <f ca="1">'Tarifa Ponderada GASIG 2025'!H18</f>
        <v>3.0868233542173305E-2</v>
      </c>
      <c r="F23" s="398">
        <f t="shared" ref="F23:F27" ca="1" si="1">ROUND(SUM(B23,D23),4)</f>
        <v>3.5186000000000002</v>
      </c>
    </row>
    <row r="24" spans="1:6" ht="16" x14ac:dyDescent="0.4">
      <c r="A24" s="397" t="s">
        <v>69</v>
      </c>
      <c r="B24" s="391">
        <f ca="1">'Tarifa Ponderada Legados 2025'!H23</f>
        <v>2.7678032861678337</v>
      </c>
      <c r="D24" s="391">
        <f ca="1">'Tarifa Ponderada GASIG 2025'!H23</f>
        <v>2.3904226883332651E-2</v>
      </c>
      <c r="F24" s="398">
        <f t="shared" ca="1" si="1"/>
        <v>2.7917000000000001</v>
      </c>
    </row>
    <row r="25" spans="1:6" ht="16" x14ac:dyDescent="0.4">
      <c r="A25" s="397" t="s">
        <v>258</v>
      </c>
      <c r="B25" s="391">
        <f ca="1">'Tarifa Ponderada Legados 2025'!H27</f>
        <v>3.2765083612854298</v>
      </c>
      <c r="D25" s="391">
        <f ca="1">'Tarifa Ponderada GASIG 2025'!H27</f>
        <v>2.8884105929856994E-2</v>
      </c>
      <c r="F25" s="398">
        <f t="shared" ca="1" si="1"/>
        <v>3.3054000000000001</v>
      </c>
    </row>
    <row r="26" spans="1:6" x14ac:dyDescent="0.35">
      <c r="A26" s="392" t="s">
        <v>541</v>
      </c>
      <c r="B26" s="391">
        <f ca="1">'Tarifa Ponderada Legados 2025'!H29</f>
        <v>0.29751872962761944</v>
      </c>
      <c r="D26" s="391">
        <f ca="1">'Tarifa Ponderada GASIG 2025'!H29</f>
        <v>2.5631785829438292E-3</v>
      </c>
      <c r="F26" s="398">
        <f t="shared" ca="1" si="1"/>
        <v>0.30009999999999998</v>
      </c>
    </row>
    <row r="27" spans="1:6" x14ac:dyDescent="0.35">
      <c r="A27" s="392" t="s">
        <v>546</v>
      </c>
      <c r="B27" s="391">
        <f ca="1">'Tarifa Ponderada Legados 2025'!H30</f>
        <v>0.25703606389410255</v>
      </c>
      <c r="D27" s="391">
        <f ca="1">'Tarifa Ponderada GASIG 2025'!H30</f>
        <v>2.237851010041978E-3</v>
      </c>
      <c r="F27" s="398">
        <f t="shared" ca="1" si="1"/>
        <v>0.25929999999999997</v>
      </c>
    </row>
    <row r="30" spans="1:6" ht="15.5" x14ac:dyDescent="0.35">
      <c r="A30" s="387" t="s">
        <v>536</v>
      </c>
    </row>
    <row r="32" spans="1:6" x14ac:dyDescent="0.35">
      <c r="A32" s="399"/>
      <c r="B32" s="402" t="s">
        <v>543</v>
      </c>
    </row>
    <row r="33" spans="1:2" ht="8.5" customHeight="1" x14ac:dyDescent="0.35"/>
    <row r="34" spans="1:2" x14ac:dyDescent="0.35">
      <c r="A34" s="400"/>
      <c r="B34" s="402" t="s">
        <v>544</v>
      </c>
    </row>
    <row r="35" spans="1:2" ht="12" customHeight="1" x14ac:dyDescent="0.35"/>
    <row r="36" spans="1:2" x14ac:dyDescent="0.35">
      <c r="A36" s="403"/>
      <c r="B36" s="402" t="s">
        <v>548</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9268-9BEB-4B74-8377-514DDE51555C}">
  <sheetPr codeName="Planilha3">
    <tabColor theme="1" tint="0.499984740745262"/>
  </sheetPr>
  <dimension ref="A1:J15"/>
  <sheetViews>
    <sheetView showGridLines="0" zoomScaleNormal="100" workbookViewId="0">
      <selection activeCell="J42" sqref="J42"/>
    </sheetView>
  </sheetViews>
  <sheetFormatPr defaultColWidth="9.1796875" defaultRowHeight="13" x14ac:dyDescent="0.3"/>
  <cols>
    <col min="1" max="1" width="31" style="143" bestFit="1" customWidth="1"/>
    <col min="2" max="2" width="18" style="143" customWidth="1"/>
    <col min="3" max="3" width="12.54296875" style="143" customWidth="1"/>
    <col min="4" max="4" width="10.1796875" style="143" bestFit="1" customWidth="1"/>
    <col min="5" max="5" width="10.453125" style="143" bestFit="1" customWidth="1"/>
    <col min="6" max="6" width="10.81640625" style="143" bestFit="1" customWidth="1"/>
    <col min="7" max="7" width="10.1796875" style="143" customWidth="1"/>
    <col min="8" max="8" width="10.54296875" style="143" customWidth="1"/>
    <col min="9" max="9" width="10.453125" style="143" bestFit="1" customWidth="1"/>
    <col min="10" max="10" width="10.1796875" style="143" bestFit="1" customWidth="1"/>
    <col min="11" max="16384" width="9.1796875" style="143"/>
  </cols>
  <sheetData>
    <row r="1" spans="1:10" ht="18" customHeight="1" x14ac:dyDescent="0.3">
      <c r="A1" s="417" t="s">
        <v>523</v>
      </c>
      <c r="B1" s="417"/>
      <c r="C1" s="417"/>
      <c r="D1" s="417"/>
      <c r="E1" s="417"/>
      <c r="F1" s="417"/>
      <c r="G1" s="417"/>
      <c r="H1" s="417"/>
      <c r="I1" s="417"/>
      <c r="J1" s="417"/>
    </row>
    <row r="2" spans="1:10" ht="29" x14ac:dyDescent="0.3">
      <c r="A2" s="289" t="s">
        <v>484</v>
      </c>
      <c r="B2" s="289" t="s">
        <v>23</v>
      </c>
      <c r="C2" s="289" t="s">
        <v>516</v>
      </c>
      <c r="D2" s="289">
        <v>2023</v>
      </c>
      <c r="E2" s="289">
        <v>2024</v>
      </c>
      <c r="F2" s="289">
        <v>2025</v>
      </c>
      <c r="G2" s="289">
        <f>F2+1</f>
        <v>2026</v>
      </c>
      <c r="H2" s="289">
        <f>G2+1</f>
        <v>2027</v>
      </c>
      <c r="I2" s="289">
        <f>H2+1</f>
        <v>2028</v>
      </c>
      <c r="J2" s="289">
        <f>I2+1</f>
        <v>2029</v>
      </c>
    </row>
    <row r="3" spans="1:10" ht="14.5" x14ac:dyDescent="0.3">
      <c r="A3" s="365" t="s">
        <v>28</v>
      </c>
      <c r="B3" s="365" t="s">
        <v>21</v>
      </c>
      <c r="C3" s="366">
        <v>20000</v>
      </c>
      <c r="D3" s="366">
        <v>15000</v>
      </c>
      <c r="E3" s="366">
        <v>7602</v>
      </c>
      <c r="F3" s="176">
        <v>14178</v>
      </c>
      <c r="G3" s="364">
        <f>F3</f>
        <v>14178</v>
      </c>
      <c r="H3" s="364">
        <f t="shared" ref="H3:J3" si="0">G3</f>
        <v>14178</v>
      </c>
      <c r="I3" s="364">
        <f t="shared" si="0"/>
        <v>14178</v>
      </c>
      <c r="J3" s="364">
        <f t="shared" si="0"/>
        <v>14178</v>
      </c>
    </row>
    <row r="4" spans="1:10" ht="14.5" x14ac:dyDescent="0.3">
      <c r="A4" s="365" t="s">
        <v>26</v>
      </c>
      <c r="B4" s="365" t="s">
        <v>233</v>
      </c>
      <c r="C4" s="366">
        <v>20000</v>
      </c>
      <c r="D4" s="366">
        <v>20000</v>
      </c>
      <c r="E4" s="366">
        <v>20000</v>
      </c>
      <c r="F4" s="176">
        <v>20000</v>
      </c>
      <c r="G4" s="364">
        <f t="shared" ref="G4:J12" si="1">F4</f>
        <v>20000</v>
      </c>
      <c r="H4" s="364">
        <f t="shared" si="1"/>
        <v>20000</v>
      </c>
      <c r="I4" s="364">
        <f t="shared" si="1"/>
        <v>20000</v>
      </c>
      <c r="J4" s="364">
        <f t="shared" si="1"/>
        <v>20000</v>
      </c>
    </row>
    <row r="5" spans="1:10" ht="14.5" x14ac:dyDescent="0.3">
      <c r="A5" s="365" t="s">
        <v>488</v>
      </c>
      <c r="B5" s="365" t="s">
        <v>20</v>
      </c>
      <c r="C5" s="366">
        <v>18200</v>
      </c>
      <c r="D5" s="366">
        <v>7322</v>
      </c>
      <c r="E5" s="366">
        <v>14114</v>
      </c>
      <c r="F5" s="176">
        <v>13564</v>
      </c>
      <c r="G5" s="364">
        <v>13439</v>
      </c>
      <c r="H5" s="364">
        <v>13432</v>
      </c>
      <c r="I5" s="364">
        <v>13448</v>
      </c>
      <c r="J5" s="364">
        <f t="shared" si="1"/>
        <v>13448</v>
      </c>
    </row>
    <row r="6" spans="1:10" ht="14.5" x14ac:dyDescent="0.3">
      <c r="A6" s="365" t="s">
        <v>463</v>
      </c>
      <c r="B6" s="365" t="s">
        <v>214</v>
      </c>
      <c r="C6" s="366">
        <v>1250</v>
      </c>
      <c r="D6" s="366">
        <v>1250</v>
      </c>
      <c r="E6" s="366">
        <v>305</v>
      </c>
      <c r="F6" s="176">
        <v>335</v>
      </c>
      <c r="G6" s="364">
        <f t="shared" si="1"/>
        <v>335</v>
      </c>
      <c r="H6" s="364">
        <f t="shared" si="1"/>
        <v>335</v>
      </c>
      <c r="I6" s="364">
        <f t="shared" si="1"/>
        <v>335</v>
      </c>
      <c r="J6" s="364">
        <f t="shared" si="1"/>
        <v>335</v>
      </c>
    </row>
    <row r="7" spans="1:10" ht="14.5" x14ac:dyDescent="0.3">
      <c r="A7" s="365" t="s">
        <v>27</v>
      </c>
      <c r="B7" s="365" t="s">
        <v>229</v>
      </c>
      <c r="C7" s="366">
        <v>5000</v>
      </c>
      <c r="D7" s="366">
        <v>0</v>
      </c>
      <c r="E7" s="366">
        <v>0</v>
      </c>
      <c r="F7" s="176">
        <v>0</v>
      </c>
      <c r="G7" s="364">
        <f t="shared" si="1"/>
        <v>0</v>
      </c>
      <c r="H7" s="364">
        <f t="shared" si="1"/>
        <v>0</v>
      </c>
      <c r="I7" s="364">
        <f t="shared" si="1"/>
        <v>0</v>
      </c>
      <c r="J7" s="364">
        <f t="shared" si="1"/>
        <v>0</v>
      </c>
    </row>
    <row r="8" spans="1:10" ht="14.5" x14ac:dyDescent="0.3">
      <c r="A8" s="365" t="s">
        <v>29</v>
      </c>
      <c r="B8" s="365" t="s">
        <v>230</v>
      </c>
      <c r="C8" s="366">
        <v>2200</v>
      </c>
      <c r="D8" s="366">
        <v>0</v>
      </c>
      <c r="E8" s="366">
        <v>0</v>
      </c>
      <c r="F8" s="176">
        <v>0</v>
      </c>
      <c r="G8" s="364">
        <f t="shared" si="1"/>
        <v>0</v>
      </c>
      <c r="H8" s="364">
        <f t="shared" si="1"/>
        <v>0</v>
      </c>
      <c r="I8" s="364">
        <f t="shared" si="1"/>
        <v>0</v>
      </c>
      <c r="J8" s="364">
        <f t="shared" si="1"/>
        <v>0</v>
      </c>
    </row>
    <row r="9" spans="1:10" ht="14.5" x14ac:dyDescent="0.3">
      <c r="A9" s="365" t="s">
        <v>24</v>
      </c>
      <c r="B9" s="365" t="s">
        <v>25</v>
      </c>
      <c r="C9" s="366">
        <v>25160</v>
      </c>
      <c r="D9" s="366">
        <v>11650</v>
      </c>
      <c r="E9" s="366">
        <v>7201</v>
      </c>
      <c r="F9" s="176">
        <v>14855</v>
      </c>
      <c r="G9" s="364">
        <f t="shared" si="1"/>
        <v>14855</v>
      </c>
      <c r="H9" s="364">
        <f t="shared" si="1"/>
        <v>14855</v>
      </c>
      <c r="I9" s="364">
        <f t="shared" si="1"/>
        <v>14855</v>
      </c>
      <c r="J9" s="364">
        <f t="shared" si="1"/>
        <v>14855</v>
      </c>
    </row>
    <row r="10" spans="1:10" ht="14.5" x14ac:dyDescent="0.3">
      <c r="A10" s="365" t="s">
        <v>264</v>
      </c>
      <c r="B10" s="365" t="s">
        <v>232</v>
      </c>
      <c r="C10" s="366">
        <v>0</v>
      </c>
      <c r="D10" s="366">
        <v>7000</v>
      </c>
      <c r="E10" s="366">
        <v>6000</v>
      </c>
      <c r="F10" s="176">
        <v>6000</v>
      </c>
      <c r="G10" s="364">
        <f t="shared" si="1"/>
        <v>6000</v>
      </c>
      <c r="H10" s="364">
        <f t="shared" si="1"/>
        <v>6000</v>
      </c>
      <c r="I10" s="364">
        <f t="shared" si="1"/>
        <v>6000</v>
      </c>
      <c r="J10" s="364">
        <f t="shared" si="1"/>
        <v>6000</v>
      </c>
    </row>
    <row r="11" spans="1:10" ht="14.5" x14ac:dyDescent="0.3">
      <c r="A11" s="365" t="s">
        <v>266</v>
      </c>
      <c r="B11" s="365" t="s">
        <v>231</v>
      </c>
      <c r="C11" s="366">
        <v>0</v>
      </c>
      <c r="D11" s="366">
        <v>8400</v>
      </c>
      <c r="E11" s="366">
        <v>205</v>
      </c>
      <c r="F11" s="176">
        <v>200</v>
      </c>
      <c r="G11" s="364">
        <f t="shared" si="1"/>
        <v>200</v>
      </c>
      <c r="H11" s="364">
        <f t="shared" si="1"/>
        <v>200</v>
      </c>
      <c r="I11" s="364">
        <f t="shared" si="1"/>
        <v>200</v>
      </c>
      <c r="J11" s="364">
        <f t="shared" si="1"/>
        <v>200</v>
      </c>
    </row>
    <row r="12" spans="1:10" ht="14.5" x14ac:dyDescent="0.3">
      <c r="A12" s="365" t="s">
        <v>265</v>
      </c>
      <c r="B12" s="365" t="s">
        <v>25</v>
      </c>
      <c r="C12" s="366">
        <v>0</v>
      </c>
      <c r="D12" s="366">
        <v>8000</v>
      </c>
      <c r="E12" s="366">
        <v>1E-3</v>
      </c>
      <c r="F12" s="176">
        <v>200</v>
      </c>
      <c r="G12" s="364">
        <f t="shared" si="1"/>
        <v>200</v>
      </c>
      <c r="H12" s="364">
        <f t="shared" si="1"/>
        <v>200</v>
      </c>
      <c r="I12" s="364">
        <f t="shared" si="1"/>
        <v>200</v>
      </c>
      <c r="J12" s="364">
        <f t="shared" si="1"/>
        <v>200</v>
      </c>
    </row>
    <row r="13" spans="1:10" ht="14.5" x14ac:dyDescent="0.3">
      <c r="A13" s="285" t="s">
        <v>234</v>
      </c>
      <c r="B13" s="286"/>
      <c r="C13" s="287">
        <f>SUM(C3:C12)</f>
        <v>91810</v>
      </c>
      <c r="D13" s="287">
        <f>SUM(D3:D12)</f>
        <v>78622</v>
      </c>
      <c r="E13" s="287">
        <f>SUM(E3:E12)</f>
        <v>55427.000999999997</v>
      </c>
      <c r="F13" s="287">
        <f t="shared" ref="F13:H13" si="2">SUM(F3:F12)</f>
        <v>69332</v>
      </c>
      <c r="G13" s="287">
        <f t="shared" si="2"/>
        <v>69207</v>
      </c>
      <c r="H13" s="287">
        <f t="shared" si="2"/>
        <v>69200</v>
      </c>
      <c r="I13" s="287">
        <f t="shared" ref="I13:J13" si="3">SUM(I3:I12)</f>
        <v>69216</v>
      </c>
      <c r="J13" s="287">
        <f t="shared" si="3"/>
        <v>69216</v>
      </c>
    </row>
    <row r="14" spans="1:10" x14ac:dyDescent="0.3">
      <c r="E14" s="41"/>
      <c r="F14" s="41"/>
      <c r="G14" s="41"/>
      <c r="H14" s="41"/>
    </row>
    <row r="15" spans="1:10" x14ac:dyDescent="0.3">
      <c r="E15" s="41"/>
      <c r="F15" s="41"/>
      <c r="G15" s="41"/>
      <c r="H15" s="41"/>
    </row>
  </sheetData>
  <sortState xmlns:xlrd2="http://schemas.microsoft.com/office/spreadsheetml/2017/richdata2" ref="A10:H12">
    <sortCondition ref="A10:A12"/>
  </sortState>
  <mergeCells count="1">
    <mergeCell ref="A1:J1"/>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06FC-677E-4853-8410-0C0B3DBEAABC}">
  <sheetPr codeName="Planilha4">
    <tabColor theme="1" tint="0.499984740745262"/>
  </sheetPr>
  <dimension ref="A1:GH20"/>
  <sheetViews>
    <sheetView showGridLines="0" zoomScaleNormal="100" workbookViewId="0">
      <selection activeCell="J42" sqref="J42"/>
    </sheetView>
  </sheetViews>
  <sheetFormatPr defaultColWidth="9.1796875" defaultRowHeight="14.5" x14ac:dyDescent="0.35"/>
  <cols>
    <col min="1" max="1" width="28.81640625" style="49" bestFit="1" customWidth="1"/>
    <col min="2" max="2" width="15" style="57" customWidth="1"/>
    <col min="3" max="3" width="16" style="49" customWidth="1"/>
    <col min="4" max="4" width="10.453125" style="49" customWidth="1"/>
    <col min="5" max="5" width="10.453125" style="49" bestFit="1" customWidth="1"/>
    <col min="6" max="8" width="10.453125" style="49" customWidth="1"/>
    <col min="9" max="9" width="10.453125" style="49" bestFit="1" customWidth="1"/>
    <col min="10" max="10" width="10.1796875" style="49" bestFit="1" customWidth="1"/>
    <col min="11" max="16384" width="9.1796875" style="49"/>
  </cols>
  <sheetData>
    <row r="1" spans="1:190" x14ac:dyDescent="0.35">
      <c r="A1" s="418" t="s">
        <v>524</v>
      </c>
      <c r="B1" s="419"/>
      <c r="C1" s="419"/>
      <c r="D1" s="419"/>
      <c r="E1" s="419"/>
      <c r="F1" s="419"/>
      <c r="G1" s="419"/>
      <c r="H1" s="419"/>
      <c r="I1" s="419"/>
      <c r="J1" s="419"/>
    </row>
    <row r="2" spans="1:190" s="50" customFormat="1" ht="29" x14ac:dyDescent="0.35">
      <c r="A2" s="288" t="s">
        <v>485</v>
      </c>
      <c r="B2" s="288" t="s">
        <v>31</v>
      </c>
      <c r="C2" s="288" t="s">
        <v>215</v>
      </c>
      <c r="D2" s="288">
        <v>2023</v>
      </c>
      <c r="E2" s="288">
        <v>2024</v>
      </c>
      <c r="F2" s="288">
        <v>2025</v>
      </c>
      <c r="G2" s="288">
        <f>F2+1</f>
        <v>2026</v>
      </c>
      <c r="H2" s="288">
        <f t="shared" ref="H2:J2" si="0">G2+1</f>
        <v>2027</v>
      </c>
      <c r="I2" s="288">
        <f t="shared" si="0"/>
        <v>2028</v>
      </c>
      <c r="J2" s="288">
        <f t="shared" si="0"/>
        <v>2029</v>
      </c>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row>
    <row r="3" spans="1:190" s="53" customFormat="1" x14ac:dyDescent="0.35">
      <c r="A3" s="51" t="s">
        <v>216</v>
      </c>
      <c r="B3" s="52" t="s">
        <v>33</v>
      </c>
      <c r="C3" s="133">
        <v>864.5</v>
      </c>
      <c r="D3" s="58">
        <v>622</v>
      </c>
      <c r="E3" s="58">
        <v>633</v>
      </c>
      <c r="F3" s="176">
        <v>607</v>
      </c>
      <c r="G3" s="364">
        <f>F3</f>
        <v>607</v>
      </c>
      <c r="H3" s="364">
        <f t="shared" ref="H3:J3" si="1">G3</f>
        <v>607</v>
      </c>
      <c r="I3" s="364">
        <f t="shared" si="1"/>
        <v>607</v>
      </c>
      <c r="J3" s="364">
        <f t="shared" si="1"/>
        <v>607</v>
      </c>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row>
    <row r="4" spans="1:190" s="54" customFormat="1" x14ac:dyDescent="0.35">
      <c r="A4" s="51" t="s">
        <v>217</v>
      </c>
      <c r="B4" s="52" t="s">
        <v>33</v>
      </c>
      <c r="C4" s="133">
        <v>1825.9</v>
      </c>
      <c r="D4" s="58">
        <v>1364</v>
      </c>
      <c r="E4" s="58">
        <v>1580</v>
      </c>
      <c r="F4" s="176">
        <v>1678</v>
      </c>
      <c r="G4" s="364">
        <f t="shared" ref="G4:J18" si="2">F4</f>
        <v>1678</v>
      </c>
      <c r="H4" s="364">
        <f t="shared" si="2"/>
        <v>1678</v>
      </c>
      <c r="I4" s="364">
        <f t="shared" si="2"/>
        <v>1678</v>
      </c>
      <c r="J4" s="364">
        <f t="shared" si="2"/>
        <v>1678</v>
      </c>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row>
    <row r="5" spans="1:190" s="53" customFormat="1" x14ac:dyDescent="0.35">
      <c r="A5" s="51" t="s">
        <v>218</v>
      </c>
      <c r="B5" s="52" t="s">
        <v>33</v>
      </c>
      <c r="C5" s="133">
        <v>3040.95</v>
      </c>
      <c r="D5" s="58">
        <v>2920</v>
      </c>
      <c r="E5" s="58">
        <v>2852</v>
      </c>
      <c r="F5" s="176">
        <v>2737</v>
      </c>
      <c r="G5" s="364">
        <f t="shared" si="2"/>
        <v>2737</v>
      </c>
      <c r="H5" s="364">
        <f t="shared" si="2"/>
        <v>2737</v>
      </c>
      <c r="I5" s="364">
        <f t="shared" si="2"/>
        <v>2737</v>
      </c>
      <c r="J5" s="364">
        <f t="shared" si="2"/>
        <v>2737</v>
      </c>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row>
    <row r="6" spans="1:190" s="54" customFormat="1" x14ac:dyDescent="0.35">
      <c r="A6" s="51" t="s">
        <v>219</v>
      </c>
      <c r="B6" s="52" t="s">
        <v>33</v>
      </c>
      <c r="C6" s="133">
        <v>1187.5</v>
      </c>
      <c r="D6" s="58">
        <v>1250</v>
      </c>
      <c r="E6" s="58">
        <v>300</v>
      </c>
      <c r="F6" s="176">
        <v>335</v>
      </c>
      <c r="G6" s="364">
        <f t="shared" si="2"/>
        <v>335</v>
      </c>
      <c r="H6" s="364">
        <f t="shared" si="2"/>
        <v>335</v>
      </c>
      <c r="I6" s="364">
        <f t="shared" si="2"/>
        <v>335</v>
      </c>
      <c r="J6" s="364">
        <f t="shared" si="2"/>
        <v>335</v>
      </c>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row>
    <row r="7" spans="1:190" s="53" customFormat="1" x14ac:dyDescent="0.35">
      <c r="A7" s="51" t="s">
        <v>220</v>
      </c>
      <c r="B7" s="52" t="s">
        <v>34</v>
      </c>
      <c r="C7" s="133">
        <v>21185</v>
      </c>
      <c r="D7" s="58">
        <v>17531</v>
      </c>
      <c r="E7" s="58">
        <v>17374</v>
      </c>
      <c r="F7" s="176">
        <v>17793</v>
      </c>
      <c r="G7" s="364">
        <f t="shared" si="2"/>
        <v>17793</v>
      </c>
      <c r="H7" s="364">
        <f t="shared" si="2"/>
        <v>17793</v>
      </c>
      <c r="I7" s="364">
        <f t="shared" si="2"/>
        <v>17793</v>
      </c>
      <c r="J7" s="364">
        <f t="shared" si="2"/>
        <v>17793</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row>
    <row r="8" spans="1:190" s="54" customFormat="1" x14ac:dyDescent="0.35">
      <c r="A8" s="51" t="s">
        <v>221</v>
      </c>
      <c r="B8" s="52" t="s">
        <v>34</v>
      </c>
      <c r="C8" s="133">
        <v>11271.75</v>
      </c>
      <c r="D8" s="58">
        <v>8470</v>
      </c>
      <c r="E8" s="58">
        <v>8403</v>
      </c>
      <c r="F8" s="176">
        <v>8406</v>
      </c>
      <c r="G8" s="364">
        <f t="shared" si="2"/>
        <v>8406</v>
      </c>
      <c r="H8" s="364">
        <f t="shared" si="2"/>
        <v>8406</v>
      </c>
      <c r="I8" s="364">
        <f t="shared" si="2"/>
        <v>8406</v>
      </c>
      <c r="J8" s="364">
        <f t="shared" si="2"/>
        <v>8406</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row>
    <row r="9" spans="1:190" s="53" customFormat="1" x14ac:dyDescent="0.35">
      <c r="A9" s="51" t="s">
        <v>222</v>
      </c>
      <c r="B9" s="52" t="s">
        <v>34</v>
      </c>
      <c r="C9" s="133">
        <v>3249</v>
      </c>
      <c r="D9" s="58">
        <v>1524</v>
      </c>
      <c r="E9" s="58">
        <v>2173</v>
      </c>
      <c r="F9" s="176">
        <v>1714</v>
      </c>
      <c r="G9" s="364">
        <f t="shared" si="2"/>
        <v>1714</v>
      </c>
      <c r="H9" s="364">
        <f t="shared" si="2"/>
        <v>1714</v>
      </c>
      <c r="I9" s="364">
        <f t="shared" si="2"/>
        <v>1714</v>
      </c>
      <c r="J9" s="364">
        <f t="shared" si="2"/>
        <v>1714</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row>
    <row r="10" spans="1:190" s="54" customFormat="1" x14ac:dyDescent="0.35">
      <c r="A10" s="51" t="s">
        <v>223</v>
      </c>
      <c r="B10" s="52" t="s">
        <v>34</v>
      </c>
      <c r="C10" s="133">
        <v>498.75</v>
      </c>
      <c r="D10" s="58">
        <v>314</v>
      </c>
      <c r="E10" s="58">
        <v>283</v>
      </c>
      <c r="F10" s="176">
        <v>323</v>
      </c>
      <c r="G10" s="364">
        <f t="shared" si="2"/>
        <v>323</v>
      </c>
      <c r="H10" s="364">
        <f t="shared" si="2"/>
        <v>323</v>
      </c>
      <c r="I10" s="364">
        <f t="shared" si="2"/>
        <v>323</v>
      </c>
      <c r="J10" s="364">
        <f t="shared" si="2"/>
        <v>323</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row>
    <row r="11" spans="1:190" s="53" customFormat="1" x14ac:dyDescent="0.35">
      <c r="A11" s="51" t="s">
        <v>224</v>
      </c>
      <c r="B11" s="52" t="s">
        <v>34</v>
      </c>
      <c r="C11" s="133">
        <v>3321.2</v>
      </c>
      <c r="D11" s="58">
        <v>2315</v>
      </c>
      <c r="E11" s="58">
        <v>2116</v>
      </c>
      <c r="F11" s="176">
        <v>2128</v>
      </c>
      <c r="G11" s="364">
        <f t="shared" si="2"/>
        <v>2128</v>
      </c>
      <c r="H11" s="364">
        <f t="shared" si="2"/>
        <v>2128</v>
      </c>
      <c r="I11" s="364">
        <f t="shared" si="2"/>
        <v>2128</v>
      </c>
      <c r="J11" s="364">
        <f t="shared" si="2"/>
        <v>2128</v>
      </c>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row>
    <row r="12" spans="1:190" s="54" customFormat="1" x14ac:dyDescent="0.35">
      <c r="A12" s="51" t="s">
        <v>225</v>
      </c>
      <c r="B12" s="52" t="s">
        <v>32</v>
      </c>
      <c r="C12" s="133">
        <v>14292.75</v>
      </c>
      <c r="D12" s="58">
        <v>1312</v>
      </c>
      <c r="E12" s="58">
        <v>1130</v>
      </c>
      <c r="F12" s="176">
        <v>1237</v>
      </c>
      <c r="G12" s="364">
        <f t="shared" si="2"/>
        <v>1237</v>
      </c>
      <c r="H12" s="364">
        <f t="shared" si="2"/>
        <v>1237</v>
      </c>
      <c r="I12" s="364">
        <f t="shared" si="2"/>
        <v>1237</v>
      </c>
      <c r="J12" s="364">
        <f t="shared" si="2"/>
        <v>1237</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row>
    <row r="13" spans="1:190" s="53" customFormat="1" x14ac:dyDescent="0.35">
      <c r="A13" s="51" t="s">
        <v>226</v>
      </c>
      <c r="B13" s="52" t="s">
        <v>32</v>
      </c>
      <c r="C13" s="133">
        <v>3971</v>
      </c>
      <c r="D13" s="58">
        <v>2985</v>
      </c>
      <c r="E13" s="58">
        <v>3043</v>
      </c>
      <c r="F13" s="176">
        <v>2972</v>
      </c>
      <c r="G13" s="364">
        <f t="shared" si="2"/>
        <v>2972</v>
      </c>
      <c r="H13" s="364">
        <f t="shared" si="2"/>
        <v>2972</v>
      </c>
      <c r="I13" s="364">
        <f t="shared" si="2"/>
        <v>2972</v>
      </c>
      <c r="J13" s="364">
        <f t="shared" si="2"/>
        <v>2972</v>
      </c>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row>
    <row r="14" spans="1:190" s="54" customFormat="1" x14ac:dyDescent="0.35">
      <c r="A14" s="51" t="s">
        <v>227</v>
      </c>
      <c r="B14" s="52" t="s">
        <v>32</v>
      </c>
      <c r="C14" s="133">
        <v>9941.75</v>
      </c>
      <c r="D14" s="58">
        <v>7903</v>
      </c>
      <c r="E14" s="58">
        <v>5834</v>
      </c>
      <c r="F14" s="176">
        <v>7969</v>
      </c>
      <c r="G14" s="364">
        <f t="shared" si="2"/>
        <v>7969</v>
      </c>
      <c r="H14" s="364">
        <f t="shared" si="2"/>
        <v>7969</v>
      </c>
      <c r="I14" s="364">
        <f t="shared" si="2"/>
        <v>7969</v>
      </c>
      <c r="J14" s="364">
        <f t="shared" si="2"/>
        <v>7969</v>
      </c>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row>
    <row r="15" spans="1:190" s="53" customFormat="1" x14ac:dyDescent="0.35">
      <c r="A15" s="51" t="s">
        <v>228</v>
      </c>
      <c r="B15" s="52" t="s">
        <v>32</v>
      </c>
      <c r="C15" s="133">
        <v>3809.5</v>
      </c>
      <c r="D15" s="58">
        <v>3684</v>
      </c>
      <c r="E15" s="58">
        <v>2513</v>
      </c>
      <c r="F15" s="176">
        <v>3281</v>
      </c>
      <c r="G15" s="364">
        <f t="shared" si="2"/>
        <v>3281</v>
      </c>
      <c r="H15" s="364">
        <f t="shared" si="2"/>
        <v>3281</v>
      </c>
      <c r="I15" s="364">
        <f t="shared" si="2"/>
        <v>3281</v>
      </c>
      <c r="J15" s="364">
        <f t="shared" si="2"/>
        <v>3281</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row>
    <row r="16" spans="1:190" s="54" customFormat="1" x14ac:dyDescent="0.35">
      <c r="A16" s="51" t="s">
        <v>269</v>
      </c>
      <c r="B16" s="52"/>
      <c r="C16" s="133">
        <v>0</v>
      </c>
      <c r="D16" s="58">
        <v>0</v>
      </c>
      <c r="E16" s="58">
        <v>0</v>
      </c>
      <c r="F16" s="176">
        <v>0</v>
      </c>
      <c r="G16" s="364">
        <f t="shared" si="2"/>
        <v>0</v>
      </c>
      <c r="H16" s="364">
        <f t="shared" si="2"/>
        <v>0</v>
      </c>
      <c r="I16" s="364">
        <f t="shared" si="2"/>
        <v>0</v>
      </c>
      <c r="J16" s="364">
        <f t="shared" si="2"/>
        <v>0</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row>
    <row r="17" spans="1:190" s="53" customFormat="1" x14ac:dyDescent="0.35">
      <c r="A17" s="51" t="s">
        <v>268</v>
      </c>
      <c r="B17" s="52"/>
      <c r="C17" s="133">
        <v>0</v>
      </c>
      <c r="D17" s="58">
        <v>7800</v>
      </c>
      <c r="E17" s="58">
        <v>6824</v>
      </c>
      <c r="F17" s="176">
        <v>7011</v>
      </c>
      <c r="G17" s="364">
        <f t="shared" si="2"/>
        <v>7011</v>
      </c>
      <c r="H17" s="364">
        <f t="shared" si="2"/>
        <v>7011</v>
      </c>
      <c r="I17" s="364">
        <f t="shared" si="2"/>
        <v>7011</v>
      </c>
      <c r="J17" s="364">
        <f t="shared" si="2"/>
        <v>7011</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row>
    <row r="18" spans="1:190" s="54" customFormat="1" x14ac:dyDescent="0.35">
      <c r="A18" s="51" t="s">
        <v>267</v>
      </c>
      <c r="B18" s="52"/>
      <c r="C18" s="133">
        <v>0</v>
      </c>
      <c r="D18" s="58">
        <v>200</v>
      </c>
      <c r="E18" s="58">
        <v>1E-3</v>
      </c>
      <c r="F18" s="176">
        <v>200</v>
      </c>
      <c r="G18" s="364">
        <f t="shared" si="2"/>
        <v>200</v>
      </c>
      <c r="H18" s="364">
        <f t="shared" si="2"/>
        <v>200</v>
      </c>
      <c r="I18" s="364">
        <f t="shared" si="2"/>
        <v>200</v>
      </c>
      <c r="J18" s="364">
        <f t="shared" si="2"/>
        <v>200</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row>
    <row r="19" spans="1:190" s="53" customFormat="1" x14ac:dyDescent="0.35">
      <c r="A19" s="55" t="s">
        <v>234</v>
      </c>
      <c r="B19" s="56"/>
      <c r="C19" s="134">
        <f t="shared" ref="C19:H19" si="3">SUM(C3:C18)</f>
        <v>78459.549999999988</v>
      </c>
      <c r="D19" s="134">
        <f t="shared" si="3"/>
        <v>60194</v>
      </c>
      <c r="E19" s="134">
        <f>SUM(E3:E18)</f>
        <v>55058.000999999997</v>
      </c>
      <c r="F19" s="134">
        <f t="shared" si="3"/>
        <v>58391</v>
      </c>
      <c r="G19" s="134">
        <f t="shared" si="3"/>
        <v>58391</v>
      </c>
      <c r="H19" s="134">
        <f t="shared" si="3"/>
        <v>58391</v>
      </c>
      <c r="I19" s="134">
        <f t="shared" ref="I19:J19" si="4">SUM(I3:I18)</f>
        <v>58391</v>
      </c>
      <c r="J19" s="134">
        <f t="shared" si="4"/>
        <v>58391</v>
      </c>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row>
    <row r="20" spans="1:190" s="53" customFormat="1" x14ac:dyDescent="0.35">
      <c r="A20" s="49"/>
      <c r="B20" s="57"/>
      <c r="C20" s="135"/>
      <c r="D20" s="135"/>
      <c r="E20" s="135"/>
      <c r="F20" s="135"/>
      <c r="G20" s="135"/>
      <c r="H20" s="135"/>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row>
  </sheetData>
  <sortState xmlns:xlrd2="http://schemas.microsoft.com/office/spreadsheetml/2017/richdata2" ref="A3:H19">
    <sortCondition ref="A16:A19"/>
  </sortState>
  <mergeCells count="1">
    <mergeCell ref="A1:J1"/>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31CE-28DC-44D3-A505-68D6052955CA}">
  <sheetPr codeName="Planilha5">
    <tabColor theme="1" tint="0.499984740745262"/>
  </sheetPr>
  <dimension ref="A1:Z75"/>
  <sheetViews>
    <sheetView showGridLines="0" zoomScaleNormal="100" workbookViewId="0">
      <selection activeCell="J42" sqref="J42"/>
    </sheetView>
  </sheetViews>
  <sheetFormatPr defaultColWidth="9.1796875" defaultRowHeight="13" x14ac:dyDescent="0.3"/>
  <cols>
    <col min="1" max="1" width="30" style="143" bestFit="1" customWidth="1"/>
    <col min="2" max="2" width="8.7265625" style="143" bestFit="1" customWidth="1"/>
    <col min="3" max="3" width="8.81640625" style="143" bestFit="1" customWidth="1"/>
    <col min="4" max="6" width="8.7265625" style="143" bestFit="1" customWidth="1"/>
    <col min="7" max="8" width="8.7265625" style="143" customWidth="1"/>
    <col min="9" max="9" width="8.81640625" style="143" customWidth="1"/>
    <col min="10" max="10" width="30" style="143" bestFit="1" customWidth="1"/>
    <col min="11" max="11" width="11.453125" style="143" customWidth="1"/>
    <col min="12" max="13" width="11.54296875" style="143" bestFit="1" customWidth="1"/>
    <col min="14" max="17" width="11" style="143" bestFit="1" customWidth="1"/>
    <col min="18" max="18" width="8.81640625" style="143" customWidth="1"/>
    <col min="19" max="19" width="30.81640625" style="143" bestFit="1" customWidth="1"/>
    <col min="20" max="20" width="14.54296875" style="143" bestFit="1" customWidth="1"/>
    <col min="21" max="21" width="16.81640625" style="143" bestFit="1" customWidth="1"/>
    <col min="22" max="26" width="14.54296875" style="143" bestFit="1" customWidth="1"/>
    <col min="27" max="16384" width="9.1796875" style="143"/>
  </cols>
  <sheetData>
    <row r="1" spans="1:26" ht="17.5" x14ac:dyDescent="0.35">
      <c r="A1" s="173" t="s">
        <v>445</v>
      </c>
      <c r="B1" s="173">
        <f>'Oferta (Legados)'!D2</f>
        <v>2023</v>
      </c>
      <c r="C1" s="173">
        <f>'Oferta (Legados)'!E2</f>
        <v>2024</v>
      </c>
      <c r="D1" s="173">
        <f>'Oferta (Legados)'!F2</f>
        <v>2025</v>
      </c>
      <c r="E1" s="173">
        <f>'Oferta (Legados)'!G2</f>
        <v>2026</v>
      </c>
      <c r="F1" s="173">
        <f>'Oferta (Legados)'!H2</f>
        <v>2027</v>
      </c>
      <c r="G1" s="173">
        <f>'Oferta (Legados)'!I2</f>
        <v>2028</v>
      </c>
      <c r="H1" s="173">
        <f>'Oferta (Legados)'!J2</f>
        <v>2029</v>
      </c>
      <c r="J1" s="173" t="s">
        <v>446</v>
      </c>
      <c r="K1" s="173">
        <f t="shared" ref="K1:Q1" si="0">B16</f>
        <v>2023</v>
      </c>
      <c r="L1" s="173">
        <f t="shared" si="0"/>
        <v>2024</v>
      </c>
      <c r="M1" s="173">
        <f t="shared" si="0"/>
        <v>2025</v>
      </c>
      <c r="N1" s="173">
        <f t="shared" si="0"/>
        <v>2026</v>
      </c>
      <c r="O1" s="173">
        <f t="shared" si="0"/>
        <v>2027</v>
      </c>
      <c r="P1" s="173">
        <f t="shared" si="0"/>
        <v>2028</v>
      </c>
      <c r="Q1" s="173">
        <f t="shared" si="0"/>
        <v>2029</v>
      </c>
      <c r="S1" s="173" t="s">
        <v>36</v>
      </c>
      <c r="T1" s="173">
        <f>K1</f>
        <v>2023</v>
      </c>
      <c r="U1" s="173">
        <f>L1</f>
        <v>2024</v>
      </c>
      <c r="V1" s="173">
        <f>M1</f>
        <v>2025</v>
      </c>
      <c r="W1" s="173">
        <f>N1</f>
        <v>2026</v>
      </c>
      <c r="X1" s="173">
        <f>O1</f>
        <v>2027</v>
      </c>
      <c r="Y1" s="173">
        <f t="shared" ref="Y1:Z1" si="1">P1</f>
        <v>2028</v>
      </c>
      <c r="Z1" s="173">
        <f t="shared" si="1"/>
        <v>2029</v>
      </c>
    </row>
    <row r="2" spans="1:26" ht="14.5" x14ac:dyDescent="0.3">
      <c r="A2" s="174" t="str">
        <f>'Oferta (Legados)'!A3</f>
        <v>PR-CARAGUATATUBA</v>
      </c>
      <c r="B2" s="175">
        <f>'Oferta (Legados)'!D3</f>
        <v>15000</v>
      </c>
      <c r="C2" s="175">
        <f>'Oferta (Legados)'!E3</f>
        <v>7602</v>
      </c>
      <c r="D2" s="176">
        <f>'Oferta (Legados)'!F3</f>
        <v>14178</v>
      </c>
      <c r="E2" s="175">
        <f>'Oferta (Legados)'!G3</f>
        <v>14178</v>
      </c>
      <c r="F2" s="175">
        <f>'Oferta (Legados)'!H3</f>
        <v>14178</v>
      </c>
      <c r="G2" s="175">
        <f>'Oferta (Legados)'!I3</f>
        <v>14178</v>
      </c>
      <c r="H2" s="175">
        <f>'Oferta (Legados)'!J3</f>
        <v>14178</v>
      </c>
      <c r="I2" s="177"/>
      <c r="J2" s="174" t="str">
        <f t="shared" ref="J2:J11" si="2">A2</f>
        <v>PR-CARAGUATATUBA</v>
      </c>
      <c r="K2" s="178">
        <f>'Oferta x Demanda (Legados)'!B2*'Premissas (Legados)'!D$20</f>
        <v>5475000</v>
      </c>
      <c r="L2" s="175">
        <f>'Oferta x Demanda (Legados)'!C2*'Premissas (Legados)'!E$20</f>
        <v>2774730</v>
      </c>
      <c r="M2" s="176">
        <f>'Oferta x Demanda (Legados)'!D2*'Premissas (Legados)'!F$20</f>
        <v>5174970</v>
      </c>
      <c r="N2" s="178">
        <f>'Oferta x Demanda (Legados)'!E2*'Premissas (Legados)'!E$20</f>
        <v>5174970</v>
      </c>
      <c r="O2" s="178">
        <f>'Oferta x Demanda (Legados)'!F2*'Premissas (Legados)'!F$20</f>
        <v>5174970</v>
      </c>
      <c r="P2" s="178">
        <f>'Oferta x Demanda (Legados)'!G2*'Premissas (Legados)'!G$20</f>
        <v>5174970</v>
      </c>
      <c r="Q2" s="178">
        <f>'Oferta x Demanda (Legados)'!H2*'Premissas (Legados)'!H$20</f>
        <v>5174970</v>
      </c>
      <c r="S2" s="174" t="str">
        <f>J2</f>
        <v>PR-CARAGUATATUBA</v>
      </c>
      <c r="T2" s="178">
        <f>K2*'Premissas (Legados)'!$B$19</f>
        <v>204229430.02500001</v>
      </c>
      <c r="U2" s="175">
        <f>L2*'Premissas (Legados)'!$B$19</f>
        <v>103503475.13667001</v>
      </c>
      <c r="V2" s="176">
        <f>M2*'Premissas (Legados)'!$B$19</f>
        <v>193037657.25963002</v>
      </c>
      <c r="W2" s="178">
        <f>N2*'Premissas (Legados)'!$B$19</f>
        <v>193037657.25963002</v>
      </c>
      <c r="X2" s="178">
        <f>O2*'Premissas (Legados)'!$B$19</f>
        <v>193037657.25963002</v>
      </c>
      <c r="Y2" s="178">
        <f>P2*'Premissas (Legados)'!$B$19</f>
        <v>193037657.25963002</v>
      </c>
      <c r="Z2" s="178">
        <f>Q2*'Premissas (Legados)'!$B$19</f>
        <v>193037657.25963002</v>
      </c>
    </row>
    <row r="3" spans="1:26" ht="14.5" x14ac:dyDescent="0.3">
      <c r="A3" s="174" t="str">
        <f>'Oferta (Legados)'!A4</f>
        <v>PR-GNLBGB</v>
      </c>
      <c r="B3" s="175">
        <f>'Oferta (Legados)'!D4</f>
        <v>20000</v>
      </c>
      <c r="C3" s="175">
        <f>'Oferta (Legados)'!E4</f>
        <v>20000</v>
      </c>
      <c r="D3" s="176">
        <f>'Oferta (Legados)'!F4</f>
        <v>20000</v>
      </c>
      <c r="E3" s="175">
        <f>'Oferta (Legados)'!G4</f>
        <v>20000</v>
      </c>
      <c r="F3" s="175">
        <f>'Oferta (Legados)'!H4</f>
        <v>20000</v>
      </c>
      <c r="G3" s="175">
        <f>'Oferta (Legados)'!I4</f>
        <v>20000</v>
      </c>
      <c r="H3" s="175">
        <f>'Oferta (Legados)'!J4</f>
        <v>20000</v>
      </c>
      <c r="I3" s="177"/>
      <c r="J3" s="174" t="str">
        <f t="shared" si="2"/>
        <v>PR-GNLBGB</v>
      </c>
      <c r="K3" s="178">
        <f>'Oferta x Demanda (Legados)'!B3*'Premissas (Legados)'!D$20</f>
        <v>7300000</v>
      </c>
      <c r="L3" s="175">
        <f>'Oferta x Demanda (Legados)'!C3*'Premissas (Legados)'!E$20</f>
        <v>7300000</v>
      </c>
      <c r="M3" s="176">
        <f>'Oferta x Demanda (Legados)'!D3*'Premissas (Legados)'!F$20</f>
        <v>7300000</v>
      </c>
      <c r="N3" s="178">
        <f>'Oferta x Demanda (Legados)'!E3*'Premissas (Legados)'!E$20</f>
        <v>7300000</v>
      </c>
      <c r="O3" s="178">
        <f>'Oferta x Demanda (Legados)'!F3*'Premissas (Legados)'!F$20</f>
        <v>7300000</v>
      </c>
      <c r="P3" s="178">
        <f>'Oferta x Demanda (Legados)'!G3*'Premissas (Legados)'!G$20</f>
        <v>7300000</v>
      </c>
      <c r="Q3" s="178">
        <f>'Oferta x Demanda (Legados)'!H3*'Premissas (Legados)'!H$20</f>
        <v>7300000</v>
      </c>
      <c r="S3" s="174" t="str">
        <f t="shared" ref="S3:S11" si="3">J3</f>
        <v>PR-GNLBGB</v>
      </c>
      <c r="T3" s="178">
        <f>K3*'Premissas (Legados)'!$B$19</f>
        <v>272305906.69999999</v>
      </c>
      <c r="U3" s="175">
        <f>L3*'Premissas (Legados)'!$B$19</f>
        <v>272305906.69999999</v>
      </c>
      <c r="V3" s="176">
        <f>M3*'Premissas (Legados)'!$B$19</f>
        <v>272305906.69999999</v>
      </c>
      <c r="W3" s="178">
        <f>N3*'Premissas (Legados)'!$B$19</f>
        <v>272305906.69999999</v>
      </c>
      <c r="X3" s="178">
        <f>O3*'Premissas (Legados)'!$B$19</f>
        <v>272305906.69999999</v>
      </c>
      <c r="Y3" s="178">
        <f>P3*'Premissas (Legados)'!$B$19</f>
        <v>272305906.69999999</v>
      </c>
      <c r="Z3" s="178">
        <f>Q3*'Premissas (Legados)'!$B$19</f>
        <v>272305906.69999999</v>
      </c>
    </row>
    <row r="4" spans="1:26" ht="14.5" x14ac:dyDescent="0.3">
      <c r="A4" s="174" t="str">
        <f>'Oferta (Legados)'!A5</f>
        <v>PR-ITABORAÍ</v>
      </c>
      <c r="B4" s="175">
        <f>'Oferta (Legados)'!D5</f>
        <v>7322</v>
      </c>
      <c r="C4" s="175">
        <f>'Oferta (Legados)'!E5</f>
        <v>14114</v>
      </c>
      <c r="D4" s="176">
        <f>'Oferta (Legados)'!F5</f>
        <v>13564</v>
      </c>
      <c r="E4" s="175">
        <f>'Oferta (Legados)'!G5</f>
        <v>13439</v>
      </c>
      <c r="F4" s="175">
        <f>'Oferta (Legados)'!H5</f>
        <v>13432</v>
      </c>
      <c r="G4" s="175">
        <f>'Oferta (Legados)'!I5</f>
        <v>13448</v>
      </c>
      <c r="H4" s="175">
        <f>'Oferta (Legados)'!J5</f>
        <v>13448</v>
      </c>
      <c r="I4" s="177"/>
      <c r="J4" s="174" t="str">
        <f t="shared" si="2"/>
        <v>PR-ITABORAÍ</v>
      </c>
      <c r="K4" s="178">
        <f>'Oferta x Demanda (Legados)'!B4*'Premissas (Legados)'!D$20</f>
        <v>2672530</v>
      </c>
      <c r="L4" s="175">
        <f>'Oferta x Demanda (Legados)'!C4*'Premissas (Legados)'!E$20</f>
        <v>5151610</v>
      </c>
      <c r="M4" s="176">
        <f>'Oferta x Demanda (Legados)'!D4*'Premissas (Legados)'!F$20</f>
        <v>4950860</v>
      </c>
      <c r="N4" s="178">
        <f>'Oferta x Demanda (Legados)'!E4*'Premissas (Legados)'!E$20</f>
        <v>4905235</v>
      </c>
      <c r="O4" s="178">
        <f>'Oferta x Demanda (Legados)'!F4*'Premissas (Legados)'!F$20</f>
        <v>4902680</v>
      </c>
      <c r="P4" s="178">
        <f>'Oferta x Demanda (Legados)'!G4*'Premissas (Legados)'!G$20</f>
        <v>4908520</v>
      </c>
      <c r="Q4" s="178">
        <f>'Oferta x Demanda (Legados)'!H4*'Premissas (Legados)'!H$20</f>
        <v>4908520</v>
      </c>
      <c r="S4" s="174" t="str">
        <f t="shared" si="3"/>
        <v>PR-ITABORAÍ</v>
      </c>
      <c r="T4" s="178">
        <f>K4*'Premissas (Legados)'!$B$19</f>
        <v>99691192.442870006</v>
      </c>
      <c r="U4" s="175">
        <f>L4*'Premissas (Legados)'!$B$19</f>
        <v>192166278.35819</v>
      </c>
      <c r="V4" s="176">
        <f>M4*'Premissas (Legados)'!$B$19</f>
        <v>184677865.92394</v>
      </c>
      <c r="W4" s="178">
        <f>N4*'Premissas (Legados)'!$B$19</f>
        <v>182975954.007065</v>
      </c>
      <c r="X4" s="178">
        <f>O4*'Premissas (Legados)'!$B$19</f>
        <v>182880646.93972</v>
      </c>
      <c r="Y4" s="178">
        <f>P4*'Premissas (Legados)'!$B$19</f>
        <v>183098491.66508001</v>
      </c>
      <c r="Z4" s="178">
        <f>Q4*'Premissas (Legados)'!$B$19</f>
        <v>183098491.66508001</v>
      </c>
    </row>
    <row r="5" spans="1:26" ht="14.5" x14ac:dyDescent="0.3">
      <c r="A5" s="174" t="str">
        <f>'Oferta (Legados)'!A6</f>
        <v>PR-GASPAJ (INTERCONEXÃO)</v>
      </c>
      <c r="B5" s="175">
        <f>'Oferta (Legados)'!D6</f>
        <v>1250</v>
      </c>
      <c r="C5" s="175">
        <f>'Oferta (Legados)'!E6</f>
        <v>305</v>
      </c>
      <c r="D5" s="176">
        <f>'Oferta (Legados)'!F6</f>
        <v>335</v>
      </c>
      <c r="E5" s="175">
        <f>'Oferta (Legados)'!G6</f>
        <v>335</v>
      </c>
      <c r="F5" s="175">
        <f>'Oferta (Legados)'!H6</f>
        <v>335</v>
      </c>
      <c r="G5" s="175">
        <f>'Oferta (Legados)'!I6</f>
        <v>335</v>
      </c>
      <c r="H5" s="175">
        <f>'Oferta (Legados)'!J6</f>
        <v>335</v>
      </c>
      <c r="I5" s="177"/>
      <c r="J5" s="174" t="str">
        <f t="shared" si="2"/>
        <v>PR-GASPAJ (INTERCONEXÃO)</v>
      </c>
      <c r="K5" s="178">
        <f>'Oferta x Demanda (Legados)'!B5*'Premissas (Legados)'!D$20</f>
        <v>456250</v>
      </c>
      <c r="L5" s="175">
        <f>'Oferta x Demanda (Legados)'!C5*'Premissas (Legados)'!E$20</f>
        <v>111325</v>
      </c>
      <c r="M5" s="176">
        <f>'Oferta x Demanda (Legados)'!D5*'Premissas (Legados)'!F$20</f>
        <v>122275</v>
      </c>
      <c r="N5" s="178">
        <f>'Oferta x Demanda (Legados)'!E5*'Premissas (Legados)'!E$20</f>
        <v>122275</v>
      </c>
      <c r="O5" s="178">
        <f>'Oferta x Demanda (Legados)'!F5*'Premissas (Legados)'!F$20</f>
        <v>122275</v>
      </c>
      <c r="P5" s="178">
        <f>'Oferta x Demanda (Legados)'!G5*'Premissas (Legados)'!G$20</f>
        <v>122275</v>
      </c>
      <c r="Q5" s="178">
        <f>'Oferta x Demanda (Legados)'!H5*'Premissas (Legados)'!H$20</f>
        <v>122275</v>
      </c>
      <c r="S5" s="174" t="str">
        <f t="shared" si="3"/>
        <v>PR-GASPAJ (INTERCONEXÃO)</v>
      </c>
      <c r="T5" s="178">
        <f>K5*'Premissas (Legados)'!$B$19</f>
        <v>17019119.168749999</v>
      </c>
      <c r="U5" s="175">
        <f>L5*'Premissas (Legados)'!$B$19</f>
        <v>4152665.0771750002</v>
      </c>
      <c r="V5" s="176">
        <f>M5*'Premissas (Legados)'!$B$19</f>
        <v>4561123.937225</v>
      </c>
      <c r="W5" s="178">
        <f>N5*'Premissas (Legados)'!$B$19</f>
        <v>4561123.937225</v>
      </c>
      <c r="X5" s="178">
        <f>O5*'Premissas (Legados)'!$B$19</f>
        <v>4561123.937225</v>
      </c>
      <c r="Y5" s="178">
        <f>P5*'Premissas (Legados)'!$B$19</f>
        <v>4561123.937225</v>
      </c>
      <c r="Z5" s="178">
        <f>Q5*'Premissas (Legados)'!$B$19</f>
        <v>4561123.937225</v>
      </c>
    </row>
    <row r="6" spans="1:26" ht="14.5" x14ac:dyDescent="0.3">
      <c r="A6" s="174" t="str">
        <f>'Oferta (Legados)'!A7</f>
        <v>PR-REDUC</v>
      </c>
      <c r="B6" s="175">
        <f>'Oferta (Legados)'!D7</f>
        <v>0</v>
      </c>
      <c r="C6" s="175">
        <f>'Oferta (Legados)'!E7</f>
        <v>0</v>
      </c>
      <c r="D6" s="176">
        <f>'Oferta (Legados)'!F7</f>
        <v>0</v>
      </c>
      <c r="E6" s="175">
        <f>'Oferta (Legados)'!G7</f>
        <v>0</v>
      </c>
      <c r="F6" s="175">
        <f>'Oferta (Legados)'!H7</f>
        <v>0</v>
      </c>
      <c r="G6" s="175">
        <f>'Oferta (Legados)'!I7</f>
        <v>0</v>
      </c>
      <c r="H6" s="175">
        <f>'Oferta (Legados)'!J7</f>
        <v>0</v>
      </c>
      <c r="I6" s="177"/>
      <c r="J6" s="174" t="str">
        <f t="shared" si="2"/>
        <v>PR-REDUC</v>
      </c>
      <c r="K6" s="178">
        <f>'Oferta x Demanda (Legados)'!B6*'Premissas (Legados)'!D$20</f>
        <v>0</v>
      </c>
      <c r="L6" s="175">
        <f>'Oferta x Demanda (Legados)'!C6*'Premissas (Legados)'!E$20</f>
        <v>0</v>
      </c>
      <c r="M6" s="176">
        <f>'Oferta x Demanda (Legados)'!D6*'Premissas (Legados)'!F$20</f>
        <v>0</v>
      </c>
      <c r="N6" s="178">
        <f>'Oferta x Demanda (Legados)'!E6*'Premissas (Legados)'!E$20</f>
        <v>0</v>
      </c>
      <c r="O6" s="178">
        <f>'Oferta x Demanda (Legados)'!F6*'Premissas (Legados)'!F$20</f>
        <v>0</v>
      </c>
      <c r="P6" s="178">
        <f>'Oferta x Demanda (Legados)'!G6*'Premissas (Legados)'!G$20</f>
        <v>0</v>
      </c>
      <c r="Q6" s="178">
        <f>'Oferta x Demanda (Legados)'!H6*'Premissas (Legados)'!H$20</f>
        <v>0</v>
      </c>
      <c r="S6" s="174" t="str">
        <f t="shared" si="3"/>
        <v>PR-REDUC</v>
      </c>
      <c r="T6" s="178">
        <f>K6*'Premissas (Legados)'!$B$19</f>
        <v>0</v>
      </c>
      <c r="U6" s="175">
        <f>L6*'Premissas (Legados)'!$B$19</f>
        <v>0</v>
      </c>
      <c r="V6" s="176">
        <f>M6*'Premissas (Legados)'!$B$19</f>
        <v>0</v>
      </c>
      <c r="W6" s="178">
        <f>N6*'Premissas (Legados)'!$B$19</f>
        <v>0</v>
      </c>
      <c r="X6" s="178">
        <f>O6*'Premissas (Legados)'!$B$19</f>
        <v>0</v>
      </c>
      <c r="Y6" s="178">
        <f>P6*'Premissas (Legados)'!$B$19</f>
        <v>0</v>
      </c>
      <c r="Z6" s="178">
        <f>Q6*'Premissas (Legados)'!$B$19</f>
        <v>0</v>
      </c>
    </row>
    <row r="7" spans="1:26" ht="14.5" x14ac:dyDescent="0.3">
      <c r="A7" s="174" t="str">
        <f>'Oferta (Legados)'!A8</f>
        <v>PR-RPBC</v>
      </c>
      <c r="B7" s="175">
        <f>'Oferta (Legados)'!D8</f>
        <v>0</v>
      </c>
      <c r="C7" s="175">
        <f>'Oferta (Legados)'!E8</f>
        <v>0</v>
      </c>
      <c r="D7" s="176">
        <f>'Oferta (Legados)'!F8</f>
        <v>0</v>
      </c>
      <c r="E7" s="175">
        <f>'Oferta (Legados)'!G8</f>
        <v>0</v>
      </c>
      <c r="F7" s="175">
        <f>'Oferta (Legados)'!H8</f>
        <v>0</v>
      </c>
      <c r="G7" s="175">
        <f>'Oferta (Legados)'!I8</f>
        <v>0</v>
      </c>
      <c r="H7" s="175">
        <f>'Oferta (Legados)'!J8</f>
        <v>0</v>
      </c>
      <c r="I7" s="177"/>
      <c r="J7" s="174" t="str">
        <f t="shared" si="2"/>
        <v>PR-RPBC</v>
      </c>
      <c r="K7" s="178">
        <f>'Oferta x Demanda (Legados)'!B7*'Premissas (Legados)'!D$20</f>
        <v>0</v>
      </c>
      <c r="L7" s="175">
        <f>'Oferta x Demanda (Legados)'!C7*'Premissas (Legados)'!E$20</f>
        <v>0</v>
      </c>
      <c r="M7" s="176">
        <f>'Oferta x Demanda (Legados)'!D7*'Premissas (Legados)'!F$20</f>
        <v>0</v>
      </c>
      <c r="N7" s="178">
        <f>'Oferta x Demanda (Legados)'!E7*'Premissas (Legados)'!E$20</f>
        <v>0</v>
      </c>
      <c r="O7" s="178">
        <f>'Oferta x Demanda (Legados)'!F7*'Premissas (Legados)'!F$20</f>
        <v>0</v>
      </c>
      <c r="P7" s="178">
        <f>'Oferta x Demanda (Legados)'!G7*'Premissas (Legados)'!G$20</f>
        <v>0</v>
      </c>
      <c r="Q7" s="178">
        <f>'Oferta x Demanda (Legados)'!H7*'Premissas (Legados)'!H$20</f>
        <v>0</v>
      </c>
      <c r="S7" s="174" t="str">
        <f t="shared" si="3"/>
        <v>PR-RPBC</v>
      </c>
      <c r="T7" s="178">
        <f>K7*'Premissas (Legados)'!$B$19</f>
        <v>0</v>
      </c>
      <c r="U7" s="175">
        <f>L7*'Premissas (Legados)'!$B$19</f>
        <v>0</v>
      </c>
      <c r="V7" s="176">
        <f>M7*'Premissas (Legados)'!$B$19</f>
        <v>0</v>
      </c>
      <c r="W7" s="178">
        <f>N7*'Premissas (Legados)'!$B$19</f>
        <v>0</v>
      </c>
      <c r="X7" s="178">
        <f>O7*'Premissas (Legados)'!$B$19</f>
        <v>0</v>
      </c>
      <c r="Y7" s="178">
        <f>P7*'Premissas (Legados)'!$B$19</f>
        <v>0</v>
      </c>
      <c r="Z7" s="178">
        <f>Q7*'Premissas (Legados)'!$B$19</f>
        <v>0</v>
      </c>
    </row>
    <row r="8" spans="1:26" ht="14.5" x14ac:dyDescent="0.3">
      <c r="A8" s="174" t="str">
        <f>'Oferta (Legados)'!A9</f>
        <v>PR-TECAB</v>
      </c>
      <c r="B8" s="175">
        <f>'Oferta (Legados)'!D9</f>
        <v>11650</v>
      </c>
      <c r="C8" s="175">
        <f>'Oferta (Legados)'!E9</f>
        <v>7201</v>
      </c>
      <c r="D8" s="176">
        <f>'Oferta (Legados)'!F9</f>
        <v>14855</v>
      </c>
      <c r="E8" s="175">
        <f>'Oferta (Legados)'!G9</f>
        <v>14855</v>
      </c>
      <c r="F8" s="175">
        <f>'Oferta (Legados)'!H9</f>
        <v>14855</v>
      </c>
      <c r="G8" s="175">
        <f>'Oferta (Legados)'!I9</f>
        <v>14855</v>
      </c>
      <c r="H8" s="175">
        <f>'Oferta (Legados)'!J9</f>
        <v>14855</v>
      </c>
      <c r="I8" s="177"/>
      <c r="J8" s="174" t="str">
        <f t="shared" si="2"/>
        <v>PR-TECAB</v>
      </c>
      <c r="K8" s="178">
        <f>'Oferta x Demanda (Legados)'!B8*'Premissas (Legados)'!D$20</f>
        <v>4252250</v>
      </c>
      <c r="L8" s="175">
        <f>'Oferta x Demanda (Legados)'!C8*'Premissas (Legados)'!E$20</f>
        <v>2628365</v>
      </c>
      <c r="M8" s="176">
        <f>'Oferta x Demanda (Legados)'!D8*'Premissas (Legados)'!F$20</f>
        <v>5422075</v>
      </c>
      <c r="N8" s="178">
        <f>'Oferta x Demanda (Legados)'!E8*'Premissas (Legados)'!E$20</f>
        <v>5422075</v>
      </c>
      <c r="O8" s="178">
        <f>'Oferta x Demanda (Legados)'!F8*'Premissas (Legados)'!F$20</f>
        <v>5422075</v>
      </c>
      <c r="P8" s="178">
        <f>'Oferta x Demanda (Legados)'!G8*'Premissas (Legados)'!G$20</f>
        <v>5422075</v>
      </c>
      <c r="Q8" s="178">
        <f>'Oferta x Demanda (Legados)'!H8*'Premissas (Legados)'!H$20</f>
        <v>5422075</v>
      </c>
      <c r="S8" s="174" t="str">
        <f t="shared" si="3"/>
        <v>PR-TECAB</v>
      </c>
      <c r="T8" s="178">
        <f>K8*'Premissas (Legados)'!$B$19</f>
        <v>158618190.65275002</v>
      </c>
      <c r="U8" s="175">
        <f>L8*'Premissas (Legados)'!$B$19</f>
        <v>98043741.70733501</v>
      </c>
      <c r="V8" s="176">
        <f>M8*'Premissas (Legados)'!$B$19</f>
        <v>202255212.20142502</v>
      </c>
      <c r="W8" s="178">
        <f>N8*'Premissas (Legados)'!$B$19</f>
        <v>202255212.20142502</v>
      </c>
      <c r="X8" s="178">
        <f>O8*'Premissas (Legados)'!$B$19</f>
        <v>202255212.20142502</v>
      </c>
      <c r="Y8" s="178">
        <f>P8*'Premissas (Legados)'!$B$19</f>
        <v>202255212.20142502</v>
      </c>
      <c r="Z8" s="178">
        <f>Q8*'Premissas (Legados)'!$B$19</f>
        <v>202255212.20142502</v>
      </c>
    </row>
    <row r="9" spans="1:26" ht="14.5" x14ac:dyDescent="0.3">
      <c r="A9" s="174" t="str">
        <f>'Oferta (Legados)'!A10</f>
        <v>PR-GUARAREMA (INTERCONEXÃO)</v>
      </c>
      <c r="B9" s="175">
        <f>'Oferta (Legados)'!D10</f>
        <v>7000</v>
      </c>
      <c r="C9" s="175">
        <f>'Oferta (Legados)'!E10</f>
        <v>6000</v>
      </c>
      <c r="D9" s="176">
        <f>'Oferta (Legados)'!F10</f>
        <v>6000</v>
      </c>
      <c r="E9" s="175">
        <f>'Oferta (Legados)'!G10</f>
        <v>6000</v>
      </c>
      <c r="F9" s="175">
        <f>'Oferta (Legados)'!H10</f>
        <v>6000</v>
      </c>
      <c r="G9" s="175">
        <f>'Oferta (Legados)'!I10</f>
        <v>6000</v>
      </c>
      <c r="H9" s="175">
        <f>'Oferta (Legados)'!J10</f>
        <v>6000</v>
      </c>
      <c r="I9" s="177"/>
      <c r="J9" s="174" t="str">
        <f t="shared" si="2"/>
        <v>PR-GUARAREMA (INTERCONEXÃO)</v>
      </c>
      <c r="K9" s="178">
        <f>'Oferta x Demanda (Legados)'!B9*'Premissas (Legados)'!D$20</f>
        <v>2555000</v>
      </c>
      <c r="L9" s="175">
        <f>'Oferta x Demanda (Legados)'!C9*'Premissas (Legados)'!E$20</f>
        <v>2190000</v>
      </c>
      <c r="M9" s="176">
        <f>'Oferta x Demanda (Legados)'!D9*'Premissas (Legados)'!F$20</f>
        <v>2190000</v>
      </c>
      <c r="N9" s="178">
        <f>'Oferta x Demanda (Legados)'!E9*'Premissas (Legados)'!E$20</f>
        <v>2190000</v>
      </c>
      <c r="O9" s="178">
        <f>'Oferta x Demanda (Legados)'!F9*'Premissas (Legados)'!F$20</f>
        <v>2190000</v>
      </c>
      <c r="P9" s="178">
        <f>'Oferta x Demanda (Legados)'!G9*'Premissas (Legados)'!G$20</f>
        <v>2190000</v>
      </c>
      <c r="Q9" s="178">
        <f>'Oferta x Demanda (Legados)'!H9*'Premissas (Legados)'!H$20</f>
        <v>2190000</v>
      </c>
      <c r="S9" s="174" t="str">
        <f t="shared" si="3"/>
        <v>PR-GUARAREMA (INTERCONEXÃO)</v>
      </c>
      <c r="T9" s="178">
        <f>K9*'Premissas (Legados)'!$B$19</f>
        <v>95307067.344999999</v>
      </c>
      <c r="U9" s="175">
        <f>L9*'Premissas (Legados)'!$B$19</f>
        <v>81691772.010000005</v>
      </c>
      <c r="V9" s="176">
        <f>M9*'Premissas (Legados)'!$B$19</f>
        <v>81691772.010000005</v>
      </c>
      <c r="W9" s="178">
        <f>N9*'Premissas (Legados)'!$B$19</f>
        <v>81691772.010000005</v>
      </c>
      <c r="X9" s="178">
        <f>O9*'Premissas (Legados)'!$B$19</f>
        <v>81691772.010000005</v>
      </c>
      <c r="Y9" s="178">
        <f>P9*'Premissas (Legados)'!$B$19</f>
        <v>81691772.010000005</v>
      </c>
      <c r="Z9" s="178">
        <f>Q9*'Premissas (Legados)'!$B$19</f>
        <v>81691772.010000005</v>
      </c>
    </row>
    <row r="10" spans="1:26" ht="14.5" x14ac:dyDescent="0.3">
      <c r="A10" s="174" t="str">
        <f>'Oferta (Legados)'!A11</f>
        <v>PR-REPLAN (INTERCONEXÃO)</v>
      </c>
      <c r="B10" s="175">
        <f>'Oferta (Legados)'!D11</f>
        <v>8400</v>
      </c>
      <c r="C10" s="175">
        <f>'Oferta (Legados)'!E11</f>
        <v>205</v>
      </c>
      <c r="D10" s="176">
        <f>'Oferta (Legados)'!F11</f>
        <v>200</v>
      </c>
      <c r="E10" s="175">
        <f>'Oferta (Legados)'!G11</f>
        <v>200</v>
      </c>
      <c r="F10" s="175">
        <f>'Oferta (Legados)'!H11</f>
        <v>200</v>
      </c>
      <c r="G10" s="175">
        <f>'Oferta (Legados)'!I11</f>
        <v>200</v>
      </c>
      <c r="H10" s="175">
        <f>'Oferta (Legados)'!J11</f>
        <v>200</v>
      </c>
      <c r="I10" s="177"/>
      <c r="J10" s="174" t="str">
        <f t="shared" si="2"/>
        <v>PR-REPLAN (INTERCONEXÃO)</v>
      </c>
      <c r="K10" s="178">
        <f>'Oferta x Demanda (Legados)'!B10*'Premissas (Legados)'!D$20</f>
        <v>3066000</v>
      </c>
      <c r="L10" s="175">
        <f>'Oferta x Demanda (Legados)'!C10*'Premissas (Legados)'!E$20</f>
        <v>74825</v>
      </c>
      <c r="M10" s="176">
        <f>'Oferta x Demanda (Legados)'!D10*'Premissas (Legados)'!F$20</f>
        <v>73000</v>
      </c>
      <c r="N10" s="178">
        <f>'Oferta x Demanda (Legados)'!E10*'Premissas (Legados)'!E$20</f>
        <v>73000</v>
      </c>
      <c r="O10" s="178">
        <f>'Oferta x Demanda (Legados)'!F10*'Premissas (Legados)'!F$20</f>
        <v>73000</v>
      </c>
      <c r="P10" s="178">
        <f>'Oferta x Demanda (Legados)'!G10*'Premissas (Legados)'!G$20</f>
        <v>73000</v>
      </c>
      <c r="Q10" s="178">
        <f>'Oferta x Demanda (Legados)'!H10*'Premissas (Legados)'!H$20</f>
        <v>73000</v>
      </c>
      <c r="S10" s="174" t="str">
        <f t="shared" si="3"/>
        <v>PR-REPLAN (INTERCONEXÃO)</v>
      </c>
      <c r="T10" s="178">
        <f>K10*'Premissas (Legados)'!$B$19</f>
        <v>114368480.81400001</v>
      </c>
      <c r="U10" s="175">
        <f>L10*'Premissas (Legados)'!$B$19</f>
        <v>2791135.5436750003</v>
      </c>
      <c r="V10" s="176">
        <f>M10*'Premissas (Legados)'!$B$19</f>
        <v>2723059.0670000003</v>
      </c>
      <c r="W10" s="178">
        <f>N10*'Premissas (Legados)'!$B$19</f>
        <v>2723059.0670000003</v>
      </c>
      <c r="X10" s="178">
        <f>O10*'Premissas (Legados)'!$B$19</f>
        <v>2723059.0670000003</v>
      </c>
      <c r="Y10" s="178">
        <f>P10*'Premissas (Legados)'!$B$19</f>
        <v>2723059.0670000003</v>
      </c>
      <c r="Z10" s="178">
        <f>Q10*'Premissas (Legados)'!$B$19</f>
        <v>2723059.0670000003</v>
      </c>
    </row>
    <row r="11" spans="1:26" ht="14.5" x14ac:dyDescent="0.3">
      <c r="A11" s="174" t="str">
        <f>'Oferta (Legados)'!A12</f>
        <v>PR-TECAB (INTERCONEXÃO)</v>
      </c>
      <c r="B11" s="175">
        <f>'Oferta (Legados)'!D12</f>
        <v>8000</v>
      </c>
      <c r="C11" s="175">
        <f>'Oferta (Legados)'!E12</f>
        <v>1E-3</v>
      </c>
      <c r="D11" s="176">
        <f>'Oferta (Legados)'!F12</f>
        <v>200</v>
      </c>
      <c r="E11" s="175">
        <f>'Oferta (Legados)'!G12</f>
        <v>200</v>
      </c>
      <c r="F11" s="175">
        <f>'Oferta (Legados)'!H12</f>
        <v>200</v>
      </c>
      <c r="G11" s="175">
        <f>'Oferta (Legados)'!I12</f>
        <v>200</v>
      </c>
      <c r="H11" s="175">
        <f>'Oferta (Legados)'!J12</f>
        <v>200</v>
      </c>
      <c r="I11" s="177"/>
      <c r="J11" s="174" t="str">
        <f t="shared" si="2"/>
        <v>PR-TECAB (INTERCONEXÃO)</v>
      </c>
      <c r="K11" s="178">
        <f>'Oferta x Demanda (Legados)'!B11*'Premissas (Legados)'!D$20</f>
        <v>2920000</v>
      </c>
      <c r="L11" s="175">
        <f>'Oferta x Demanda (Legados)'!C11*'Premissas (Legados)'!E$20</f>
        <v>0.36499999999999999</v>
      </c>
      <c r="M11" s="176">
        <f>'Oferta x Demanda (Legados)'!D11*'Premissas (Legados)'!F$20</f>
        <v>73000</v>
      </c>
      <c r="N11" s="178">
        <f>'Oferta x Demanda (Legados)'!E11*'Premissas (Legados)'!E$20</f>
        <v>73000</v>
      </c>
      <c r="O11" s="178">
        <f>'Oferta x Demanda (Legados)'!F11*'Premissas (Legados)'!F$20</f>
        <v>73000</v>
      </c>
      <c r="P11" s="178">
        <f>'Oferta x Demanda (Legados)'!G11*'Premissas (Legados)'!G$20</f>
        <v>73000</v>
      </c>
      <c r="Q11" s="178">
        <f>'Oferta x Demanda (Legados)'!H11*'Premissas (Legados)'!H$20</f>
        <v>73000</v>
      </c>
      <c r="S11" s="174" t="str">
        <f t="shared" si="3"/>
        <v>PR-TECAB (INTERCONEXÃO)</v>
      </c>
      <c r="T11" s="178">
        <f>K11*'Premissas (Legados)'!$B$19</f>
        <v>108922362.68000001</v>
      </c>
      <c r="U11" s="175">
        <f>L11*'Premissas (Legados)'!$B$19</f>
        <v>13.615295335000001</v>
      </c>
      <c r="V11" s="176">
        <f>M11*'Premissas (Legados)'!$B$19</f>
        <v>2723059.0670000003</v>
      </c>
      <c r="W11" s="178">
        <f>N11*'Premissas (Legados)'!$B$19</f>
        <v>2723059.0670000003</v>
      </c>
      <c r="X11" s="178">
        <f>O11*'Premissas (Legados)'!$B$19</f>
        <v>2723059.0670000003</v>
      </c>
      <c r="Y11" s="178">
        <f>P11*'Premissas (Legados)'!$B$19</f>
        <v>2723059.0670000003</v>
      </c>
      <c r="Z11" s="178">
        <f>Q11*'Premissas (Legados)'!$B$19</f>
        <v>2723059.0670000003</v>
      </c>
    </row>
    <row r="12" spans="1:26" ht="14.5" x14ac:dyDescent="0.3">
      <c r="A12" s="285" t="s">
        <v>234</v>
      </c>
      <c r="B12" s="41">
        <f>SUM(B2:B11)</f>
        <v>78622</v>
      </c>
      <c r="C12" s="41">
        <f>SUM(C2:C11)</f>
        <v>55427.000999999997</v>
      </c>
      <c r="D12" s="41">
        <f t="shared" ref="D12:F12" si="4">SUM(D2:D11)</f>
        <v>69332</v>
      </c>
      <c r="E12" s="41">
        <f t="shared" si="4"/>
        <v>69207</v>
      </c>
      <c r="F12" s="41">
        <f t="shared" si="4"/>
        <v>69200</v>
      </c>
      <c r="G12" s="41">
        <f t="shared" ref="G12:H12" si="5">SUM(G2:G11)</f>
        <v>69216</v>
      </c>
      <c r="H12" s="41">
        <f t="shared" si="5"/>
        <v>69216</v>
      </c>
      <c r="I12" s="41"/>
      <c r="J12" s="285" t="s">
        <v>234</v>
      </c>
      <c r="K12" s="41">
        <f>SUM(K2:K11)</f>
        <v>28697030</v>
      </c>
      <c r="L12" s="41">
        <f>SUM(L2:L11)</f>
        <v>20230855.364999998</v>
      </c>
      <c r="M12" s="41">
        <f>SUM(M2:M11)</f>
        <v>25306180</v>
      </c>
      <c r="N12" s="41">
        <f>SUM(N2:N11)</f>
        <v>25260555</v>
      </c>
      <c r="O12" s="41">
        <f>SUM(O2:O11)</f>
        <v>25258000</v>
      </c>
      <c r="P12" s="41">
        <f t="shared" ref="P12:Q12" si="6">SUM(P2:P11)</f>
        <v>25263840</v>
      </c>
      <c r="Q12" s="41">
        <f t="shared" si="6"/>
        <v>25263840</v>
      </c>
      <c r="R12" s="41"/>
      <c r="S12" s="285" t="s">
        <v>234</v>
      </c>
      <c r="T12" s="41">
        <f>SUM(T2:T11)</f>
        <v>1070461749.8283701</v>
      </c>
      <c r="U12" s="41">
        <f>SUM(U2:U11)</f>
        <v>754654988.14834023</v>
      </c>
      <c r="V12" s="41">
        <f>SUM(V2:V11)</f>
        <v>943975656.16621995</v>
      </c>
      <c r="W12" s="41">
        <f>SUM(W2:W11)</f>
        <v>942273744.24934506</v>
      </c>
      <c r="X12" s="41">
        <f>SUM(X2:X11)</f>
        <v>942178437.18200016</v>
      </c>
      <c r="Y12" s="41">
        <f t="shared" ref="Y12:Z12" si="7">SUM(Y2:Y11)</f>
        <v>942396281.90736008</v>
      </c>
      <c r="Z12" s="41">
        <f t="shared" si="7"/>
        <v>942396281.90736008</v>
      </c>
    </row>
    <row r="13" spans="1:26" hidden="1" x14ac:dyDescent="0.3">
      <c r="B13" s="41">
        <f>'Oferta (Legados)'!D13</f>
        <v>78622</v>
      </c>
      <c r="C13" s="41">
        <f>'Oferta (Legados)'!E13</f>
        <v>55427.000999999997</v>
      </c>
      <c r="D13" s="41">
        <f>'Oferta (Legados)'!F13</f>
        <v>69332</v>
      </c>
      <c r="E13" s="41">
        <f>'Oferta (Legados)'!G13</f>
        <v>69207</v>
      </c>
      <c r="F13" s="41">
        <f>'Oferta (Legados)'!H13</f>
        <v>69200</v>
      </c>
      <c r="G13" s="41">
        <f>'Oferta (Legados)'!I13</f>
        <v>69216</v>
      </c>
      <c r="H13" s="41">
        <f>'Oferta (Legados)'!J13</f>
        <v>69216</v>
      </c>
      <c r="K13" s="41">
        <f>B13*'Premissas (Legados)'!D20</f>
        <v>28697030</v>
      </c>
      <c r="L13" s="41">
        <f>C13*'Premissas (Legados)'!E20</f>
        <v>20230855.364999998</v>
      </c>
      <c r="M13" s="41">
        <f>D13*'Premissas (Legados)'!F20</f>
        <v>25306180</v>
      </c>
      <c r="N13" s="41">
        <f>E13*'Premissas (Legados)'!E20</f>
        <v>25260555</v>
      </c>
      <c r="O13" s="41">
        <f>F13*'Premissas (Legados)'!F20</f>
        <v>25258000</v>
      </c>
      <c r="P13" s="41">
        <f>G13*'Premissas (Legados)'!G20</f>
        <v>25263840</v>
      </c>
      <c r="Q13" s="41">
        <f>H13*'Premissas (Legados)'!H20</f>
        <v>25263840</v>
      </c>
      <c r="R13" s="41"/>
      <c r="S13" s="41"/>
      <c r="T13" s="41">
        <f>K13*'Premissas (Legados)'!$B$19</f>
        <v>1070461749.8283701</v>
      </c>
      <c r="U13" s="41">
        <f>L13*'Premissas (Legados)'!$B$19</f>
        <v>754654988.14834034</v>
      </c>
      <c r="V13" s="41">
        <f>M13*'Premissas (Legados)'!$B$19</f>
        <v>943975656.16622007</v>
      </c>
      <c r="W13" s="41">
        <f>N13*'Premissas (Legados)'!$B$19</f>
        <v>942273744.24934506</v>
      </c>
      <c r="X13" s="41">
        <f>O13*'Premissas (Legados)'!$B$19</f>
        <v>942178437.18200004</v>
      </c>
      <c r="Y13" s="41">
        <f>P13*'Premissas (Legados)'!$B$19</f>
        <v>942396281.90736008</v>
      </c>
      <c r="Z13" s="41">
        <f>Q13*'Premissas (Legados)'!$B$19</f>
        <v>942396281.90736008</v>
      </c>
    </row>
    <row r="14" spans="1:26" hidden="1" x14ac:dyDescent="0.3">
      <c r="B14" s="41">
        <f>B12-B13</f>
        <v>0</v>
      </c>
      <c r="C14" s="41">
        <f>C12-C13</f>
        <v>0</v>
      </c>
      <c r="D14" s="41">
        <f>D12-D13</f>
        <v>0</v>
      </c>
      <c r="E14" s="41">
        <f>E12-E13</f>
        <v>0</v>
      </c>
      <c r="F14" s="41">
        <f>F12-F13</f>
        <v>0</v>
      </c>
      <c r="G14" s="41">
        <f t="shared" ref="G14:H14" si="8">G12-G13</f>
        <v>0</v>
      </c>
      <c r="H14" s="41">
        <f t="shared" si="8"/>
        <v>0</v>
      </c>
      <c r="I14" s="41"/>
      <c r="J14" s="41"/>
      <c r="K14" s="41">
        <f>K12-K13</f>
        <v>0</v>
      </c>
      <c r="L14" s="41">
        <f>L12-L13</f>
        <v>0</v>
      </c>
      <c r="M14" s="41">
        <f>M12-M13</f>
        <v>0</v>
      </c>
      <c r="N14" s="41">
        <f>N12-N13</f>
        <v>0</v>
      </c>
      <c r="O14" s="41">
        <f>O12-O13</f>
        <v>0</v>
      </c>
      <c r="P14" s="41">
        <f t="shared" ref="P14:Q14" si="9">P12-P13</f>
        <v>0</v>
      </c>
      <c r="Q14" s="41">
        <f t="shared" si="9"/>
        <v>0</v>
      </c>
      <c r="R14" s="41"/>
      <c r="S14" s="41"/>
      <c r="T14" s="41">
        <f>T12-T13</f>
        <v>0</v>
      </c>
      <c r="U14" s="41">
        <f>U12-U13</f>
        <v>0</v>
      </c>
      <c r="V14" s="41">
        <f>V12-V13</f>
        <v>0</v>
      </c>
      <c r="W14" s="41">
        <f>W12-W13</f>
        <v>0</v>
      </c>
      <c r="X14" s="41">
        <f>X12-X13</f>
        <v>0</v>
      </c>
      <c r="Y14" s="41">
        <f t="shared" ref="Y14:Z14" si="10">Y12-Y13</f>
        <v>0</v>
      </c>
      <c r="Z14" s="41">
        <f t="shared" si="10"/>
        <v>0</v>
      </c>
    </row>
    <row r="16" spans="1:26" ht="17.5" x14ac:dyDescent="0.35">
      <c r="A16" s="173" t="s">
        <v>35</v>
      </c>
      <c r="B16" s="173">
        <f>B1</f>
        <v>2023</v>
      </c>
      <c r="C16" s="173">
        <f t="shared" ref="C16:H16" si="11">C1</f>
        <v>2024</v>
      </c>
      <c r="D16" s="173">
        <f t="shared" si="11"/>
        <v>2025</v>
      </c>
      <c r="E16" s="173">
        <f t="shared" si="11"/>
        <v>2026</v>
      </c>
      <c r="F16" s="173">
        <f t="shared" si="11"/>
        <v>2027</v>
      </c>
      <c r="G16" s="173">
        <f t="shared" si="11"/>
        <v>2028</v>
      </c>
      <c r="H16" s="173">
        <f t="shared" si="11"/>
        <v>2029</v>
      </c>
      <c r="J16" s="173" t="s">
        <v>447</v>
      </c>
      <c r="K16" s="173">
        <f>B16</f>
        <v>2023</v>
      </c>
      <c r="L16" s="173">
        <f>C16</f>
        <v>2024</v>
      </c>
      <c r="M16" s="173">
        <f>D16</f>
        <v>2025</v>
      </c>
      <c r="N16" s="173">
        <f>E16</f>
        <v>2026</v>
      </c>
      <c r="O16" s="173">
        <f>F16</f>
        <v>2027</v>
      </c>
      <c r="P16" s="173">
        <f t="shared" ref="P16:Q16" si="12">G16</f>
        <v>2028</v>
      </c>
      <c r="Q16" s="173">
        <f t="shared" si="12"/>
        <v>2029</v>
      </c>
      <c r="S16" s="173" t="s">
        <v>37</v>
      </c>
      <c r="T16" s="173">
        <f>T1</f>
        <v>2023</v>
      </c>
      <c r="U16" s="173">
        <f>U1</f>
        <v>2024</v>
      </c>
      <c r="V16" s="173">
        <f>V1</f>
        <v>2025</v>
      </c>
      <c r="W16" s="173">
        <f>W1</f>
        <v>2026</v>
      </c>
      <c r="X16" s="173">
        <f>X1</f>
        <v>2027</v>
      </c>
      <c r="Y16" s="173">
        <f t="shared" ref="Y16:Z16" si="13">Y1</f>
        <v>2028</v>
      </c>
      <c r="Z16" s="173">
        <f t="shared" si="13"/>
        <v>2029</v>
      </c>
    </row>
    <row r="17" spans="1:26" ht="14.5" x14ac:dyDescent="0.3">
      <c r="A17" s="174" t="str">
        <f>'Demanda (Legados)'!A3</f>
        <v>NTS MG 1</v>
      </c>
      <c r="B17" s="179">
        <f>'Demanda (Legados)'!D3</f>
        <v>622</v>
      </c>
      <c r="C17" s="179">
        <f>'Demanda (Legados)'!E3</f>
        <v>633</v>
      </c>
      <c r="D17" s="176">
        <f>'Demanda (Legados)'!F3</f>
        <v>607</v>
      </c>
      <c r="E17" s="179">
        <f>'Demanda (Legados)'!G3</f>
        <v>607</v>
      </c>
      <c r="F17" s="179">
        <f>'Demanda (Legados)'!H3</f>
        <v>607</v>
      </c>
      <c r="G17" s="179">
        <f>'Demanda (Legados)'!I3</f>
        <v>607</v>
      </c>
      <c r="H17" s="179">
        <f>'Demanda (Legados)'!J3</f>
        <v>607</v>
      </c>
      <c r="J17" s="174" t="str">
        <f>'Demanda (Legados)'!A3</f>
        <v>NTS MG 1</v>
      </c>
      <c r="K17" s="179">
        <f>B17*'Premissas (Legados)'!D$20</f>
        <v>227030</v>
      </c>
      <c r="L17" s="179">
        <f>C17*'Premissas (Legados)'!E$20</f>
        <v>231045</v>
      </c>
      <c r="M17" s="176">
        <f>D17*'Premissas (Legados)'!F$20</f>
        <v>221555</v>
      </c>
      <c r="N17" s="179">
        <f>E17*'Premissas (Legados)'!E$20</f>
        <v>221555</v>
      </c>
      <c r="O17" s="179">
        <f>F17*'Premissas (Legados)'!F$20</f>
        <v>221555</v>
      </c>
      <c r="P17" s="179">
        <f>G17*'Premissas (Legados)'!G$20</f>
        <v>221555</v>
      </c>
      <c r="Q17" s="179">
        <f>H17*'Premissas (Legados)'!H$20</f>
        <v>221555</v>
      </c>
      <c r="S17" s="174" t="str">
        <f>J17</f>
        <v>NTS MG 1</v>
      </c>
      <c r="T17" s="180">
        <f>K17*'Premissas (Legados)'!$B$19</f>
        <v>8468713.6983700003</v>
      </c>
      <c r="U17" s="179">
        <f>L17*'Premissas (Legados)'!$B$19</f>
        <v>8618481.9470550008</v>
      </c>
      <c r="V17" s="176">
        <f>M17*'Premissas (Legados)'!$B$19</f>
        <v>8264484.2683450002</v>
      </c>
      <c r="W17" s="180">
        <f>N17*'Premissas (Legados)'!$B$19</f>
        <v>8264484.2683450002</v>
      </c>
      <c r="X17" s="180">
        <f>O17*'Premissas (Legados)'!$B$19</f>
        <v>8264484.2683450002</v>
      </c>
      <c r="Y17" s="180">
        <f>P17*'Premissas (Legados)'!$B$19</f>
        <v>8264484.2683450002</v>
      </c>
      <c r="Z17" s="180">
        <f>Q17*'Premissas (Legados)'!$B$19</f>
        <v>8264484.2683450002</v>
      </c>
    </row>
    <row r="18" spans="1:26" ht="14.5" x14ac:dyDescent="0.3">
      <c r="A18" s="174" t="str">
        <f>'Demanda (Legados)'!A4</f>
        <v>NTS MG 2</v>
      </c>
      <c r="B18" s="179">
        <f>'Demanda (Legados)'!D4</f>
        <v>1364</v>
      </c>
      <c r="C18" s="179">
        <f>'Demanda (Legados)'!E4</f>
        <v>1580</v>
      </c>
      <c r="D18" s="176">
        <f>'Demanda (Legados)'!F4</f>
        <v>1678</v>
      </c>
      <c r="E18" s="179">
        <f>'Demanda (Legados)'!G4</f>
        <v>1678</v>
      </c>
      <c r="F18" s="179">
        <f>'Demanda (Legados)'!H4</f>
        <v>1678</v>
      </c>
      <c r="G18" s="179">
        <f>'Demanda (Legados)'!I4</f>
        <v>1678</v>
      </c>
      <c r="H18" s="179">
        <f>'Demanda (Legados)'!J4</f>
        <v>1678</v>
      </c>
      <c r="J18" s="174" t="str">
        <f>'Demanda (Legados)'!A4</f>
        <v>NTS MG 2</v>
      </c>
      <c r="K18" s="179">
        <f>B18*'Premissas (Legados)'!D$20</f>
        <v>497860</v>
      </c>
      <c r="L18" s="179">
        <f>C18*'Premissas (Legados)'!E$20</f>
        <v>576700</v>
      </c>
      <c r="M18" s="176">
        <f>D18*'Premissas (Legados)'!F$20</f>
        <v>612470</v>
      </c>
      <c r="N18" s="179">
        <f>E18*'Premissas (Legados)'!E$20</f>
        <v>612470</v>
      </c>
      <c r="O18" s="179">
        <f>F18*'Premissas (Legados)'!F$20</f>
        <v>612470</v>
      </c>
      <c r="P18" s="179">
        <f>G18*'Premissas (Legados)'!G$20</f>
        <v>612470</v>
      </c>
      <c r="Q18" s="179">
        <f>H18*'Premissas (Legados)'!H$20</f>
        <v>612470</v>
      </c>
      <c r="S18" s="174" t="str">
        <f t="shared" ref="S18:S32" si="14">J18</f>
        <v>NTS MG 2</v>
      </c>
      <c r="T18" s="180">
        <f>K18*'Premissas (Legados)'!$B$19</f>
        <v>18571262.836940002</v>
      </c>
      <c r="U18" s="179">
        <f>L18*'Premissas (Legados)'!$B$19</f>
        <v>21512166.629300002</v>
      </c>
      <c r="V18" s="176">
        <f>M18*'Premissas (Legados)'!$B$19</f>
        <v>22846465.572130002</v>
      </c>
      <c r="W18" s="180">
        <f>N18*'Premissas (Legados)'!$B$19</f>
        <v>22846465.572130002</v>
      </c>
      <c r="X18" s="180">
        <f>O18*'Premissas (Legados)'!$B$19</f>
        <v>22846465.572130002</v>
      </c>
      <c r="Y18" s="180">
        <f>P18*'Premissas (Legados)'!$B$19</f>
        <v>22846465.572130002</v>
      </c>
      <c r="Z18" s="180">
        <f>Q18*'Premissas (Legados)'!$B$19</f>
        <v>22846465.572130002</v>
      </c>
    </row>
    <row r="19" spans="1:26" ht="14.5" x14ac:dyDescent="0.3">
      <c r="A19" s="174" t="str">
        <f>'Demanda (Legados)'!A5</f>
        <v>NTS MG 3</v>
      </c>
      <c r="B19" s="179">
        <f>'Demanda (Legados)'!D5</f>
        <v>2920</v>
      </c>
      <c r="C19" s="179">
        <f>'Demanda (Legados)'!E5</f>
        <v>2852</v>
      </c>
      <c r="D19" s="176">
        <f>'Demanda (Legados)'!F5</f>
        <v>2737</v>
      </c>
      <c r="E19" s="179">
        <f>'Demanda (Legados)'!G5</f>
        <v>2737</v>
      </c>
      <c r="F19" s="179">
        <f>'Demanda (Legados)'!H5</f>
        <v>2737</v>
      </c>
      <c r="G19" s="179">
        <f>'Demanda (Legados)'!I5</f>
        <v>2737</v>
      </c>
      <c r="H19" s="179">
        <f>'Demanda (Legados)'!J5</f>
        <v>2737</v>
      </c>
      <c r="J19" s="174" t="str">
        <f>'Demanda (Legados)'!A5</f>
        <v>NTS MG 3</v>
      </c>
      <c r="K19" s="179">
        <f>B19*'Premissas (Legados)'!D$20</f>
        <v>1065800</v>
      </c>
      <c r="L19" s="179">
        <f>C19*'Premissas (Legados)'!E$20</f>
        <v>1040980</v>
      </c>
      <c r="M19" s="176">
        <f>D19*'Premissas (Legados)'!F$20</f>
        <v>999005</v>
      </c>
      <c r="N19" s="179">
        <f>E19*'Premissas (Legados)'!E$20</f>
        <v>999005</v>
      </c>
      <c r="O19" s="179">
        <f>F19*'Premissas (Legados)'!F$20</f>
        <v>999005</v>
      </c>
      <c r="P19" s="179">
        <f>G19*'Premissas (Legados)'!G$20</f>
        <v>999005</v>
      </c>
      <c r="Q19" s="179">
        <f>H19*'Premissas (Legados)'!H$20</f>
        <v>999005</v>
      </c>
      <c r="S19" s="174" t="str">
        <f t="shared" si="14"/>
        <v>NTS MG 3</v>
      </c>
      <c r="T19" s="180">
        <f>K19*'Premissas (Legados)'!$B$19</f>
        <v>39756662.378200002</v>
      </c>
      <c r="U19" s="179">
        <f>L19*'Premissas (Legados)'!$B$19</f>
        <v>38830822.295420006</v>
      </c>
      <c r="V19" s="176">
        <f>M19*'Premissas (Legados)'!$B$19</f>
        <v>37265063.331895001</v>
      </c>
      <c r="W19" s="180">
        <f>N19*'Premissas (Legados)'!$B$19</f>
        <v>37265063.331895001</v>
      </c>
      <c r="X19" s="180">
        <f>O19*'Premissas (Legados)'!$B$19</f>
        <v>37265063.331895001</v>
      </c>
      <c r="Y19" s="180">
        <f>P19*'Premissas (Legados)'!$B$19</f>
        <v>37265063.331895001</v>
      </c>
      <c r="Z19" s="180">
        <f>Q19*'Premissas (Legados)'!$B$19</f>
        <v>37265063.331895001</v>
      </c>
    </row>
    <row r="20" spans="1:26" ht="14.5" x14ac:dyDescent="0.3">
      <c r="A20" s="174" t="str">
        <f>'Demanda (Legados)'!A6</f>
        <v>NTS MG 4</v>
      </c>
      <c r="B20" s="179">
        <f>'Demanda (Legados)'!D6</f>
        <v>1250</v>
      </c>
      <c r="C20" s="179">
        <f>'Demanda (Legados)'!E6</f>
        <v>300</v>
      </c>
      <c r="D20" s="176">
        <f>'Demanda (Legados)'!F6</f>
        <v>335</v>
      </c>
      <c r="E20" s="179">
        <f>'Demanda (Legados)'!G6</f>
        <v>335</v>
      </c>
      <c r="F20" s="179">
        <f>'Demanda (Legados)'!H6</f>
        <v>335</v>
      </c>
      <c r="G20" s="179">
        <f>'Demanda (Legados)'!I6</f>
        <v>335</v>
      </c>
      <c r="H20" s="179">
        <f>'Demanda (Legados)'!J6</f>
        <v>335</v>
      </c>
      <c r="J20" s="174" t="str">
        <f>'Demanda (Legados)'!A6</f>
        <v>NTS MG 4</v>
      </c>
      <c r="K20" s="179">
        <f>B20*'Premissas (Legados)'!D$20</f>
        <v>456250</v>
      </c>
      <c r="L20" s="179">
        <f>C20*'Premissas (Legados)'!E$20</f>
        <v>109500</v>
      </c>
      <c r="M20" s="176">
        <f>D20*'Premissas (Legados)'!F$20</f>
        <v>122275</v>
      </c>
      <c r="N20" s="179">
        <f>E20*'Premissas (Legados)'!E$20</f>
        <v>122275</v>
      </c>
      <c r="O20" s="179">
        <f>F20*'Premissas (Legados)'!F$20</f>
        <v>122275</v>
      </c>
      <c r="P20" s="179">
        <f>G20*'Premissas (Legados)'!G$20</f>
        <v>122275</v>
      </c>
      <c r="Q20" s="179">
        <f>H20*'Premissas (Legados)'!H$20</f>
        <v>122275</v>
      </c>
      <c r="S20" s="174" t="str">
        <f t="shared" si="14"/>
        <v>NTS MG 4</v>
      </c>
      <c r="T20" s="180">
        <f>K20*'Premissas (Legados)'!$B$19</f>
        <v>17019119.168749999</v>
      </c>
      <c r="U20" s="179">
        <f>L20*'Premissas (Legados)'!$B$19</f>
        <v>4084588.6005000002</v>
      </c>
      <c r="V20" s="176">
        <f>M20*'Premissas (Legados)'!$B$19</f>
        <v>4561123.937225</v>
      </c>
      <c r="W20" s="180">
        <f>N20*'Premissas (Legados)'!$B$19</f>
        <v>4561123.937225</v>
      </c>
      <c r="X20" s="180">
        <f>O20*'Premissas (Legados)'!$B$19</f>
        <v>4561123.937225</v>
      </c>
      <c r="Y20" s="180">
        <f>P20*'Premissas (Legados)'!$B$19</f>
        <v>4561123.937225</v>
      </c>
      <c r="Z20" s="180">
        <f>Q20*'Premissas (Legados)'!$B$19</f>
        <v>4561123.937225</v>
      </c>
    </row>
    <row r="21" spans="1:26" ht="14.5" x14ac:dyDescent="0.3">
      <c r="A21" s="174" t="str">
        <f>'Demanda (Legados)'!A7</f>
        <v>NTS RJ 1</v>
      </c>
      <c r="B21" s="179">
        <f>'Demanda (Legados)'!D7</f>
        <v>17531</v>
      </c>
      <c r="C21" s="179">
        <f>'Demanda (Legados)'!E7</f>
        <v>17374</v>
      </c>
      <c r="D21" s="176">
        <f>'Demanda (Legados)'!F7</f>
        <v>17793</v>
      </c>
      <c r="E21" s="179">
        <f>'Demanda (Legados)'!G7</f>
        <v>17793</v>
      </c>
      <c r="F21" s="179">
        <f>'Demanda (Legados)'!H7</f>
        <v>17793</v>
      </c>
      <c r="G21" s="179">
        <f>'Demanda (Legados)'!I7</f>
        <v>17793</v>
      </c>
      <c r="H21" s="179">
        <f>'Demanda (Legados)'!J7</f>
        <v>17793</v>
      </c>
      <c r="J21" s="174" t="str">
        <f>'Demanda (Legados)'!A7</f>
        <v>NTS RJ 1</v>
      </c>
      <c r="K21" s="179">
        <f>B21*'Premissas (Legados)'!D$20</f>
        <v>6398815</v>
      </c>
      <c r="L21" s="179">
        <f>C21*'Premissas (Legados)'!E$20</f>
        <v>6341510</v>
      </c>
      <c r="M21" s="176">
        <f>D21*'Premissas (Legados)'!F$20</f>
        <v>6494445</v>
      </c>
      <c r="N21" s="179">
        <f>E21*'Premissas (Legados)'!E$20</f>
        <v>6494445</v>
      </c>
      <c r="O21" s="179">
        <f>F21*'Premissas (Legados)'!F$20</f>
        <v>6494445</v>
      </c>
      <c r="P21" s="179">
        <f>G21*'Premissas (Legados)'!G$20</f>
        <v>6494445</v>
      </c>
      <c r="Q21" s="179">
        <f>H21*'Premissas (Legados)'!H$20</f>
        <v>6494445</v>
      </c>
      <c r="S21" s="174" t="str">
        <f t="shared" si="14"/>
        <v>NTS RJ 1</v>
      </c>
      <c r="T21" s="180">
        <f>K21*'Premissas (Legados)'!$B$19</f>
        <v>238689742.51788503</v>
      </c>
      <c r="U21" s="179">
        <f>L21*'Premissas (Legados)'!$B$19</f>
        <v>236552141.15029001</v>
      </c>
      <c r="V21" s="176">
        <f>M21*'Premissas (Legados)'!$B$19</f>
        <v>242256949.89565501</v>
      </c>
      <c r="W21" s="180">
        <f>N21*'Premissas (Legados)'!$B$19</f>
        <v>242256949.89565501</v>
      </c>
      <c r="X21" s="180">
        <f>O21*'Premissas (Legados)'!$B$19</f>
        <v>242256949.89565501</v>
      </c>
      <c r="Y21" s="180">
        <f>P21*'Premissas (Legados)'!$B$19</f>
        <v>242256949.89565501</v>
      </c>
      <c r="Z21" s="180">
        <f>Q21*'Premissas (Legados)'!$B$19</f>
        <v>242256949.89565501</v>
      </c>
    </row>
    <row r="22" spans="1:26" ht="14.5" x14ac:dyDescent="0.3">
      <c r="A22" s="174" t="str">
        <f>'Demanda (Legados)'!A8</f>
        <v>NTS RJ 2</v>
      </c>
      <c r="B22" s="179">
        <f>'Demanda (Legados)'!D8</f>
        <v>8470</v>
      </c>
      <c r="C22" s="179">
        <f>'Demanda (Legados)'!E8</f>
        <v>8403</v>
      </c>
      <c r="D22" s="176">
        <f>'Demanda (Legados)'!F8</f>
        <v>8406</v>
      </c>
      <c r="E22" s="179">
        <f>'Demanda (Legados)'!G8</f>
        <v>8406</v>
      </c>
      <c r="F22" s="179">
        <f>'Demanda (Legados)'!H8</f>
        <v>8406</v>
      </c>
      <c r="G22" s="179">
        <f>'Demanda (Legados)'!I8</f>
        <v>8406</v>
      </c>
      <c r="H22" s="179">
        <f>'Demanda (Legados)'!J8</f>
        <v>8406</v>
      </c>
      <c r="J22" s="174" t="str">
        <f>'Demanda (Legados)'!A8</f>
        <v>NTS RJ 2</v>
      </c>
      <c r="K22" s="179">
        <f>B22*'Premissas (Legados)'!D$20</f>
        <v>3091550</v>
      </c>
      <c r="L22" s="179">
        <f>C22*'Premissas (Legados)'!E$20</f>
        <v>3067095</v>
      </c>
      <c r="M22" s="176">
        <f>D22*'Premissas (Legados)'!F$20</f>
        <v>3068190</v>
      </c>
      <c r="N22" s="179">
        <f>E22*'Premissas (Legados)'!E$20</f>
        <v>3068190</v>
      </c>
      <c r="O22" s="179">
        <f>F22*'Premissas (Legados)'!F$20</f>
        <v>3068190</v>
      </c>
      <c r="P22" s="179">
        <f>G22*'Premissas (Legados)'!G$20</f>
        <v>3068190</v>
      </c>
      <c r="Q22" s="179">
        <f>H22*'Premissas (Legados)'!H$20</f>
        <v>3068190</v>
      </c>
      <c r="S22" s="174" t="str">
        <f t="shared" si="14"/>
        <v>NTS RJ 2</v>
      </c>
      <c r="T22" s="180">
        <f>K22*'Premissas (Legados)'!$B$19</f>
        <v>115321551.48745</v>
      </c>
      <c r="U22" s="179">
        <f>L22*'Premissas (Legados)'!$B$19</f>
        <v>114409326.70000501</v>
      </c>
      <c r="V22" s="176">
        <f>M22*'Premissas (Legados)'!$B$19</f>
        <v>114450172.58601001</v>
      </c>
      <c r="W22" s="180">
        <f>N22*'Premissas (Legados)'!$B$19</f>
        <v>114450172.58601001</v>
      </c>
      <c r="X22" s="180">
        <f>O22*'Premissas (Legados)'!$B$19</f>
        <v>114450172.58601001</v>
      </c>
      <c r="Y22" s="180">
        <f>P22*'Premissas (Legados)'!$B$19</f>
        <v>114450172.58601001</v>
      </c>
      <c r="Z22" s="180">
        <f>Q22*'Premissas (Legados)'!$B$19</f>
        <v>114450172.58601001</v>
      </c>
    </row>
    <row r="23" spans="1:26" ht="14.5" x14ac:dyDescent="0.3">
      <c r="A23" s="174" t="str">
        <f>'Demanda (Legados)'!A9</f>
        <v>NTS RJ 3</v>
      </c>
      <c r="B23" s="179">
        <f>'Demanda (Legados)'!D9</f>
        <v>1524</v>
      </c>
      <c r="C23" s="179">
        <f>'Demanda (Legados)'!E9</f>
        <v>2173</v>
      </c>
      <c r="D23" s="176">
        <f>'Demanda (Legados)'!F9</f>
        <v>1714</v>
      </c>
      <c r="E23" s="179">
        <f>'Demanda (Legados)'!G9</f>
        <v>1714</v>
      </c>
      <c r="F23" s="179">
        <f>'Demanda (Legados)'!H9</f>
        <v>1714</v>
      </c>
      <c r="G23" s="179">
        <f>'Demanda (Legados)'!I9</f>
        <v>1714</v>
      </c>
      <c r="H23" s="179">
        <f>'Demanda (Legados)'!J9</f>
        <v>1714</v>
      </c>
      <c r="J23" s="174" t="str">
        <f>'Demanda (Legados)'!A9</f>
        <v>NTS RJ 3</v>
      </c>
      <c r="K23" s="179">
        <f>B23*'Premissas (Legados)'!D$20</f>
        <v>556260</v>
      </c>
      <c r="L23" s="179">
        <f>C23*'Premissas (Legados)'!E$20</f>
        <v>793145</v>
      </c>
      <c r="M23" s="176">
        <f>D23*'Premissas (Legados)'!F$20</f>
        <v>625610</v>
      </c>
      <c r="N23" s="179">
        <f>E23*'Premissas (Legados)'!E$20</f>
        <v>625610</v>
      </c>
      <c r="O23" s="179">
        <f>F23*'Premissas (Legados)'!F$20</f>
        <v>625610</v>
      </c>
      <c r="P23" s="179">
        <f>G23*'Premissas (Legados)'!G$20</f>
        <v>625610</v>
      </c>
      <c r="Q23" s="179">
        <f>H23*'Premissas (Legados)'!H$20</f>
        <v>625610</v>
      </c>
      <c r="S23" s="174" t="str">
        <f t="shared" si="14"/>
        <v>NTS RJ 3</v>
      </c>
      <c r="T23" s="180">
        <f>K23*'Premissas (Legados)'!$B$19</f>
        <v>20749710.090540003</v>
      </c>
      <c r="U23" s="179">
        <f>L23*'Premissas (Legados)'!$B$19</f>
        <v>29586036.762955002</v>
      </c>
      <c r="V23" s="176">
        <f>M23*'Premissas (Legados)'!$B$19</f>
        <v>23336616.204190001</v>
      </c>
      <c r="W23" s="180">
        <f>N23*'Premissas (Legados)'!$B$19</f>
        <v>23336616.204190001</v>
      </c>
      <c r="X23" s="180">
        <f>O23*'Premissas (Legados)'!$B$19</f>
        <v>23336616.204190001</v>
      </c>
      <c r="Y23" s="180">
        <f>P23*'Premissas (Legados)'!$B$19</f>
        <v>23336616.204190001</v>
      </c>
      <c r="Z23" s="180">
        <f>Q23*'Premissas (Legados)'!$B$19</f>
        <v>23336616.204190001</v>
      </c>
    </row>
    <row r="24" spans="1:26" ht="14.5" x14ac:dyDescent="0.3">
      <c r="A24" s="174" t="str">
        <f>'Demanda (Legados)'!A10</f>
        <v>NTS RJ 4</v>
      </c>
      <c r="B24" s="179">
        <f>'Demanda (Legados)'!D10</f>
        <v>314</v>
      </c>
      <c r="C24" s="179">
        <f>'Demanda (Legados)'!E10</f>
        <v>283</v>
      </c>
      <c r="D24" s="176">
        <f>'Demanda (Legados)'!F10</f>
        <v>323</v>
      </c>
      <c r="E24" s="179">
        <f>'Demanda (Legados)'!G10</f>
        <v>323</v>
      </c>
      <c r="F24" s="179">
        <f>'Demanda (Legados)'!H10</f>
        <v>323</v>
      </c>
      <c r="G24" s="179">
        <f>'Demanda (Legados)'!I10</f>
        <v>323</v>
      </c>
      <c r="H24" s="179">
        <f>'Demanda (Legados)'!J10</f>
        <v>323</v>
      </c>
      <c r="J24" s="174" t="str">
        <f>'Demanda (Legados)'!A10</f>
        <v>NTS RJ 4</v>
      </c>
      <c r="K24" s="179">
        <f>B24*'Premissas (Legados)'!D$20</f>
        <v>114610</v>
      </c>
      <c r="L24" s="179">
        <f>C24*'Premissas (Legados)'!E$20</f>
        <v>103295</v>
      </c>
      <c r="M24" s="176">
        <f>D24*'Premissas (Legados)'!F$20</f>
        <v>117895</v>
      </c>
      <c r="N24" s="179">
        <f>E24*'Premissas (Legados)'!E$20</f>
        <v>117895</v>
      </c>
      <c r="O24" s="179">
        <f>F24*'Premissas (Legados)'!F$20</f>
        <v>117895</v>
      </c>
      <c r="P24" s="179">
        <f>G24*'Premissas (Legados)'!G$20</f>
        <v>117895</v>
      </c>
      <c r="Q24" s="179">
        <f>H24*'Premissas (Legados)'!H$20</f>
        <v>117895</v>
      </c>
      <c r="S24" s="174" t="str">
        <f t="shared" si="14"/>
        <v>NTS RJ 4</v>
      </c>
      <c r="T24" s="180">
        <f>K24*'Premissas (Legados)'!$B$19</f>
        <v>4275202.7351900004</v>
      </c>
      <c r="U24" s="179">
        <f>L24*'Premissas (Legados)'!$B$19</f>
        <v>3853128.5798050002</v>
      </c>
      <c r="V24" s="176">
        <f>M24*'Premissas (Legados)'!$B$19</f>
        <v>4397740.3932050001</v>
      </c>
      <c r="W24" s="180">
        <f>N24*'Premissas (Legados)'!$B$19</f>
        <v>4397740.3932050001</v>
      </c>
      <c r="X24" s="180">
        <f>O24*'Premissas (Legados)'!$B$19</f>
        <v>4397740.3932050001</v>
      </c>
      <c r="Y24" s="180">
        <f>P24*'Premissas (Legados)'!$B$19</f>
        <v>4397740.3932050001</v>
      </c>
      <c r="Z24" s="180">
        <f>Q24*'Premissas (Legados)'!$B$19</f>
        <v>4397740.3932050001</v>
      </c>
    </row>
    <row r="25" spans="1:26" ht="14.5" x14ac:dyDescent="0.3">
      <c r="A25" s="174" t="str">
        <f>'Demanda (Legados)'!A11</f>
        <v>NTS RJ 5</v>
      </c>
      <c r="B25" s="179">
        <f>'Demanda (Legados)'!D11</f>
        <v>2315</v>
      </c>
      <c r="C25" s="179">
        <f>'Demanda (Legados)'!E11</f>
        <v>2116</v>
      </c>
      <c r="D25" s="176">
        <f>'Demanda (Legados)'!F11</f>
        <v>2128</v>
      </c>
      <c r="E25" s="179">
        <f>'Demanda (Legados)'!G11</f>
        <v>2128</v>
      </c>
      <c r="F25" s="179">
        <f>'Demanda (Legados)'!H11</f>
        <v>2128</v>
      </c>
      <c r="G25" s="179">
        <f>'Demanda (Legados)'!I11</f>
        <v>2128</v>
      </c>
      <c r="H25" s="179">
        <f>'Demanda (Legados)'!J11</f>
        <v>2128</v>
      </c>
      <c r="J25" s="174" t="str">
        <f>'Demanda (Legados)'!A11</f>
        <v>NTS RJ 5</v>
      </c>
      <c r="K25" s="179">
        <f>B25*'Premissas (Legados)'!D$20</f>
        <v>844975</v>
      </c>
      <c r="L25" s="179">
        <f>C25*'Premissas (Legados)'!E$20</f>
        <v>772340</v>
      </c>
      <c r="M25" s="176">
        <f>D25*'Premissas (Legados)'!F$20</f>
        <v>776720</v>
      </c>
      <c r="N25" s="179">
        <f>E25*'Premissas (Legados)'!E$20</f>
        <v>776720</v>
      </c>
      <c r="O25" s="179">
        <f>F25*'Premissas (Legados)'!F$20</f>
        <v>776720</v>
      </c>
      <c r="P25" s="179">
        <f>G25*'Premissas (Legados)'!G$20</f>
        <v>776720</v>
      </c>
      <c r="Q25" s="179">
        <f>H25*'Premissas (Legados)'!H$20</f>
        <v>776720</v>
      </c>
      <c r="S25" s="174" t="str">
        <f t="shared" si="14"/>
        <v>NTS RJ 5</v>
      </c>
      <c r="T25" s="180">
        <f>K25*'Premissas (Legados)'!$B$19</f>
        <v>31519408.700525001</v>
      </c>
      <c r="U25" s="179">
        <f>L25*'Premissas (Legados)'!$B$19</f>
        <v>28809964.928860001</v>
      </c>
      <c r="V25" s="176">
        <f>M25*'Premissas (Legados)'!$B$19</f>
        <v>28973348.472880002</v>
      </c>
      <c r="W25" s="180">
        <f>N25*'Premissas (Legados)'!$B$19</f>
        <v>28973348.472880002</v>
      </c>
      <c r="X25" s="180">
        <f>O25*'Premissas (Legados)'!$B$19</f>
        <v>28973348.472880002</v>
      </c>
      <c r="Y25" s="180">
        <f>P25*'Premissas (Legados)'!$B$19</f>
        <v>28973348.472880002</v>
      </c>
      <c r="Z25" s="180">
        <f>Q25*'Premissas (Legados)'!$B$19</f>
        <v>28973348.472880002</v>
      </c>
    </row>
    <row r="26" spans="1:26" ht="14.5" x14ac:dyDescent="0.3">
      <c r="A26" s="174" t="str">
        <f>'Demanda (Legados)'!A12</f>
        <v>NTS SP 1</v>
      </c>
      <c r="B26" s="179">
        <f>'Demanda (Legados)'!D12</f>
        <v>1312</v>
      </c>
      <c r="C26" s="179">
        <f>'Demanda (Legados)'!E12</f>
        <v>1130</v>
      </c>
      <c r="D26" s="176">
        <f>'Demanda (Legados)'!F12</f>
        <v>1237</v>
      </c>
      <c r="E26" s="179">
        <f>'Demanda (Legados)'!G12</f>
        <v>1237</v>
      </c>
      <c r="F26" s="179">
        <f>'Demanda (Legados)'!H12</f>
        <v>1237</v>
      </c>
      <c r="G26" s="179">
        <f>'Demanda (Legados)'!I12</f>
        <v>1237</v>
      </c>
      <c r="H26" s="179">
        <f>'Demanda (Legados)'!J12</f>
        <v>1237</v>
      </c>
      <c r="J26" s="174" t="str">
        <f>'Demanda (Legados)'!A12</f>
        <v>NTS SP 1</v>
      </c>
      <c r="K26" s="179">
        <f>B26*'Premissas (Legados)'!D$20</f>
        <v>478880</v>
      </c>
      <c r="L26" s="179">
        <f>C26*'Premissas (Legados)'!E$20</f>
        <v>412450</v>
      </c>
      <c r="M26" s="176">
        <f>D26*'Premissas (Legados)'!F$20</f>
        <v>451505</v>
      </c>
      <c r="N26" s="179">
        <f>E26*'Premissas (Legados)'!E$20</f>
        <v>451505</v>
      </c>
      <c r="O26" s="179">
        <f>F26*'Premissas (Legados)'!F$20</f>
        <v>451505</v>
      </c>
      <c r="P26" s="179">
        <f>G26*'Premissas (Legados)'!G$20</f>
        <v>451505</v>
      </c>
      <c r="Q26" s="179">
        <f>H26*'Premissas (Legados)'!H$20</f>
        <v>451505</v>
      </c>
      <c r="S26" s="174" t="str">
        <f t="shared" si="14"/>
        <v>NTS SP 1</v>
      </c>
      <c r="T26" s="180">
        <f>K26*'Premissas (Legados)'!$B$19</f>
        <v>17863267.479520001</v>
      </c>
      <c r="U26" s="179">
        <f>L26*'Premissas (Legados)'!$B$19</f>
        <v>15385283.72855</v>
      </c>
      <c r="V26" s="176">
        <f>M26*'Premissas (Legados)'!$B$19</f>
        <v>16842120.329395</v>
      </c>
      <c r="W26" s="180">
        <f>N26*'Premissas (Legados)'!$B$19</f>
        <v>16842120.329395</v>
      </c>
      <c r="X26" s="180">
        <f>O26*'Premissas (Legados)'!$B$19</f>
        <v>16842120.329395</v>
      </c>
      <c r="Y26" s="180">
        <f>P26*'Premissas (Legados)'!$B$19</f>
        <v>16842120.329395</v>
      </c>
      <c r="Z26" s="180">
        <f>Q26*'Premissas (Legados)'!$B$19</f>
        <v>16842120.329395</v>
      </c>
    </row>
    <row r="27" spans="1:26" ht="14.5" x14ac:dyDescent="0.3">
      <c r="A27" s="174" t="str">
        <f>'Demanda (Legados)'!A13</f>
        <v>NTS SP 2</v>
      </c>
      <c r="B27" s="179">
        <f>'Demanda (Legados)'!D13</f>
        <v>2985</v>
      </c>
      <c r="C27" s="179">
        <f>'Demanda (Legados)'!E13</f>
        <v>3043</v>
      </c>
      <c r="D27" s="176">
        <f>'Demanda (Legados)'!F13</f>
        <v>2972</v>
      </c>
      <c r="E27" s="179">
        <f>'Demanda (Legados)'!G13</f>
        <v>2972</v>
      </c>
      <c r="F27" s="179">
        <f>'Demanda (Legados)'!H13</f>
        <v>2972</v>
      </c>
      <c r="G27" s="179">
        <f>'Demanda (Legados)'!I13</f>
        <v>2972</v>
      </c>
      <c r="H27" s="179">
        <f>'Demanda (Legados)'!J13</f>
        <v>2972</v>
      </c>
      <c r="J27" s="174" t="str">
        <f>'Demanda (Legados)'!A13</f>
        <v>NTS SP 2</v>
      </c>
      <c r="K27" s="179">
        <f>B27*'Premissas (Legados)'!D$20</f>
        <v>1089525</v>
      </c>
      <c r="L27" s="179">
        <f>C27*'Premissas (Legados)'!E$20</f>
        <v>1110695</v>
      </c>
      <c r="M27" s="176">
        <f>D27*'Premissas (Legados)'!F$20</f>
        <v>1084780</v>
      </c>
      <c r="N27" s="179">
        <f>E27*'Premissas (Legados)'!E$20</f>
        <v>1084780</v>
      </c>
      <c r="O27" s="179">
        <f>F27*'Premissas (Legados)'!F$20</f>
        <v>1084780</v>
      </c>
      <c r="P27" s="179">
        <f>G27*'Premissas (Legados)'!G$20</f>
        <v>1084780</v>
      </c>
      <c r="Q27" s="179">
        <f>H27*'Premissas (Legados)'!H$20</f>
        <v>1084780</v>
      </c>
      <c r="S27" s="174" t="str">
        <f t="shared" si="14"/>
        <v>NTS SP 2</v>
      </c>
      <c r="T27" s="180">
        <f>K27*'Premissas (Legados)'!$B$19</f>
        <v>40641656.574975006</v>
      </c>
      <c r="U27" s="179">
        <f>L27*'Premissas (Legados)'!$B$19</f>
        <v>41431343.704405002</v>
      </c>
      <c r="V27" s="176">
        <f>M27*'Premissas (Legados)'!$B$19</f>
        <v>40464657.735619999</v>
      </c>
      <c r="W27" s="180">
        <f>N27*'Premissas (Legados)'!$B$19</f>
        <v>40464657.735619999</v>
      </c>
      <c r="X27" s="180">
        <f>O27*'Premissas (Legados)'!$B$19</f>
        <v>40464657.735619999</v>
      </c>
      <c r="Y27" s="180">
        <f>P27*'Premissas (Legados)'!$B$19</f>
        <v>40464657.735619999</v>
      </c>
      <c r="Z27" s="180">
        <f>Q27*'Premissas (Legados)'!$B$19</f>
        <v>40464657.735619999</v>
      </c>
    </row>
    <row r="28" spans="1:26" ht="14.5" x14ac:dyDescent="0.3">
      <c r="A28" s="174" t="str">
        <f>'Demanda (Legados)'!A14</f>
        <v>NTS SP 3</v>
      </c>
      <c r="B28" s="179">
        <f>'Demanda (Legados)'!D14</f>
        <v>7903</v>
      </c>
      <c r="C28" s="179">
        <f>'Demanda (Legados)'!E14</f>
        <v>5834</v>
      </c>
      <c r="D28" s="176">
        <f>'Demanda (Legados)'!F14</f>
        <v>7969</v>
      </c>
      <c r="E28" s="179">
        <f>'Demanda (Legados)'!G14</f>
        <v>7969</v>
      </c>
      <c r="F28" s="179">
        <f>'Demanda (Legados)'!H14</f>
        <v>7969</v>
      </c>
      <c r="G28" s="179">
        <f>'Demanda (Legados)'!I14</f>
        <v>7969</v>
      </c>
      <c r="H28" s="179">
        <f>'Demanda (Legados)'!J14</f>
        <v>7969</v>
      </c>
      <c r="J28" s="174" t="str">
        <f>'Demanda (Legados)'!A14</f>
        <v>NTS SP 3</v>
      </c>
      <c r="K28" s="179">
        <f>B28*'Premissas (Legados)'!D$20</f>
        <v>2884595</v>
      </c>
      <c r="L28" s="179">
        <f>C28*'Premissas (Legados)'!E$20</f>
        <v>2129410</v>
      </c>
      <c r="M28" s="176">
        <f>D28*'Premissas (Legados)'!F$20</f>
        <v>2908685</v>
      </c>
      <c r="N28" s="179">
        <f>E28*'Premissas (Legados)'!E$20</f>
        <v>2908685</v>
      </c>
      <c r="O28" s="179">
        <f>F28*'Premissas (Legados)'!F$20</f>
        <v>2908685</v>
      </c>
      <c r="P28" s="179">
        <f>G28*'Premissas (Legados)'!G$20</f>
        <v>2908685</v>
      </c>
      <c r="Q28" s="179">
        <f>H28*'Premissas (Legados)'!H$20</f>
        <v>2908685</v>
      </c>
      <c r="S28" s="174" t="str">
        <f t="shared" si="14"/>
        <v>NTS SP 3</v>
      </c>
      <c r="T28" s="180">
        <f>K28*'Premissas (Legados)'!$B$19</f>
        <v>107601679.03250501</v>
      </c>
      <c r="U28" s="179">
        <f>L28*'Premissas (Legados)'!$B$19</f>
        <v>79431632.984390005</v>
      </c>
      <c r="V28" s="176">
        <f>M28*'Premissas (Legados)'!$B$19</f>
        <v>108500288.524615</v>
      </c>
      <c r="W28" s="180">
        <f>N28*'Premissas (Legados)'!$B$19</f>
        <v>108500288.524615</v>
      </c>
      <c r="X28" s="180">
        <f>O28*'Premissas (Legados)'!$B$19</f>
        <v>108500288.524615</v>
      </c>
      <c r="Y28" s="180">
        <f>P28*'Premissas (Legados)'!$B$19</f>
        <v>108500288.524615</v>
      </c>
      <c r="Z28" s="180">
        <f>Q28*'Premissas (Legados)'!$B$19</f>
        <v>108500288.524615</v>
      </c>
    </row>
    <row r="29" spans="1:26" ht="14.5" x14ac:dyDescent="0.3">
      <c r="A29" s="174" t="str">
        <f>'Demanda (Legados)'!A15</f>
        <v>NTS SP 4</v>
      </c>
      <c r="B29" s="179">
        <f>'Demanda (Legados)'!D15</f>
        <v>3684</v>
      </c>
      <c r="C29" s="179">
        <f>'Demanda (Legados)'!E15</f>
        <v>2513</v>
      </c>
      <c r="D29" s="176">
        <f>'Demanda (Legados)'!F15</f>
        <v>3281</v>
      </c>
      <c r="E29" s="179">
        <f>'Demanda (Legados)'!G15</f>
        <v>3281</v>
      </c>
      <c r="F29" s="179">
        <f>'Demanda (Legados)'!H15</f>
        <v>3281</v>
      </c>
      <c r="G29" s="179">
        <f>'Demanda (Legados)'!I15</f>
        <v>3281</v>
      </c>
      <c r="H29" s="179">
        <f>'Demanda (Legados)'!J15</f>
        <v>3281</v>
      </c>
      <c r="J29" s="174" t="str">
        <f>'Demanda (Legados)'!A15</f>
        <v>NTS SP 4</v>
      </c>
      <c r="K29" s="179">
        <f>B29*'Premissas (Legados)'!D$20</f>
        <v>1344660</v>
      </c>
      <c r="L29" s="179">
        <f>C29*'Premissas (Legados)'!E$20</f>
        <v>917245</v>
      </c>
      <c r="M29" s="176">
        <f>D29*'Premissas (Legados)'!F$20</f>
        <v>1197565</v>
      </c>
      <c r="N29" s="179">
        <f>E29*'Premissas (Legados)'!E$20</f>
        <v>1197565</v>
      </c>
      <c r="O29" s="179">
        <f>F29*'Premissas (Legados)'!F$20</f>
        <v>1197565</v>
      </c>
      <c r="P29" s="179">
        <f>G29*'Premissas (Legados)'!G$20</f>
        <v>1197565</v>
      </c>
      <c r="Q29" s="179">
        <f>H29*'Premissas (Legados)'!H$20</f>
        <v>1197565</v>
      </c>
      <c r="S29" s="174" t="str">
        <f t="shared" si="14"/>
        <v>NTS SP 4</v>
      </c>
      <c r="T29" s="180">
        <f>K29*'Premissas (Legados)'!$B$19</f>
        <v>50158748.014140002</v>
      </c>
      <c r="U29" s="179">
        <f>L29*'Premissas (Legados)'!$B$19</f>
        <v>34215237.176855005</v>
      </c>
      <c r="V29" s="176">
        <f>M29*'Premissas (Legados)'!$B$19</f>
        <v>44671783.994135</v>
      </c>
      <c r="W29" s="180">
        <f>N29*'Premissas (Legados)'!$B$19</f>
        <v>44671783.994135</v>
      </c>
      <c r="X29" s="180">
        <f>O29*'Premissas (Legados)'!$B$19</f>
        <v>44671783.994135</v>
      </c>
      <c r="Y29" s="180">
        <f>P29*'Premissas (Legados)'!$B$19</f>
        <v>44671783.994135</v>
      </c>
      <c r="Z29" s="180">
        <f>Q29*'Premissas (Legados)'!$B$19</f>
        <v>44671783.994135</v>
      </c>
    </row>
    <row r="30" spans="1:26" ht="14.5" x14ac:dyDescent="0.3">
      <c r="A30" s="174" t="str">
        <f>'Demanda (Legados)'!A16</f>
        <v>PE-GUARAREMA (INTERCONEXÃO)</v>
      </c>
      <c r="B30" s="179">
        <f>'Demanda (Legados)'!D16</f>
        <v>0</v>
      </c>
      <c r="C30" s="179">
        <f>'Demanda (Legados)'!E16</f>
        <v>0</v>
      </c>
      <c r="D30" s="176">
        <f>'Demanda (Legados)'!F16</f>
        <v>0</v>
      </c>
      <c r="E30" s="179">
        <f>'Demanda (Legados)'!G16</f>
        <v>0</v>
      </c>
      <c r="F30" s="179">
        <f>'Demanda (Legados)'!H16</f>
        <v>0</v>
      </c>
      <c r="G30" s="179">
        <f>'Demanda (Legados)'!I16</f>
        <v>0</v>
      </c>
      <c r="H30" s="179">
        <f>'Demanda (Legados)'!J16</f>
        <v>0</v>
      </c>
      <c r="J30" s="174" t="str">
        <f>'Demanda (Legados)'!A16</f>
        <v>PE-GUARAREMA (INTERCONEXÃO)</v>
      </c>
      <c r="K30" s="179">
        <f>B30*'Premissas (Legados)'!D$20</f>
        <v>0</v>
      </c>
      <c r="L30" s="179">
        <f>C30*'Premissas (Legados)'!E$20</f>
        <v>0</v>
      </c>
      <c r="M30" s="176">
        <f>D30*'Premissas (Legados)'!F$20</f>
        <v>0</v>
      </c>
      <c r="N30" s="179">
        <f>E30*'Premissas (Legados)'!E$20</f>
        <v>0</v>
      </c>
      <c r="O30" s="179">
        <f>F30*'Premissas (Legados)'!F$20</f>
        <v>0</v>
      </c>
      <c r="P30" s="179">
        <f>G30*'Premissas (Legados)'!G$20</f>
        <v>0</v>
      </c>
      <c r="Q30" s="179">
        <f>H30*'Premissas (Legados)'!H$20</f>
        <v>0</v>
      </c>
      <c r="S30" s="174" t="str">
        <f t="shared" si="14"/>
        <v>PE-GUARAREMA (INTERCONEXÃO)</v>
      </c>
      <c r="T30" s="180">
        <f>K30*'Premissas (Legados)'!$B$19</f>
        <v>0</v>
      </c>
      <c r="U30" s="179">
        <f>L30*'Premissas (Legados)'!$B$19</f>
        <v>0</v>
      </c>
      <c r="V30" s="176">
        <f>M30*'Premissas (Legados)'!$B$19</f>
        <v>0</v>
      </c>
      <c r="W30" s="180">
        <f>N30*'Premissas (Legados)'!$B$19</f>
        <v>0</v>
      </c>
      <c r="X30" s="180">
        <f>O30*'Premissas (Legados)'!$B$19</f>
        <v>0</v>
      </c>
      <c r="Y30" s="180">
        <f>P30*'Premissas (Legados)'!$B$19</f>
        <v>0</v>
      </c>
      <c r="Z30" s="180">
        <f>Q30*'Premissas (Legados)'!$B$19</f>
        <v>0</v>
      </c>
    </row>
    <row r="31" spans="1:26" ht="14.5" x14ac:dyDescent="0.3">
      <c r="A31" s="174" t="str">
        <f>'Demanda (Legados)'!A17</f>
        <v>PE-REPLAN (INTERCONEXÃO)</v>
      </c>
      <c r="B31" s="179">
        <f>'Demanda (Legados)'!D17</f>
        <v>7800</v>
      </c>
      <c r="C31" s="179">
        <f>'Demanda (Legados)'!E17</f>
        <v>6824</v>
      </c>
      <c r="D31" s="176">
        <f>'Demanda (Legados)'!F17</f>
        <v>7011</v>
      </c>
      <c r="E31" s="179">
        <f>'Demanda (Legados)'!G17</f>
        <v>7011</v>
      </c>
      <c r="F31" s="179">
        <f>'Demanda (Legados)'!H17</f>
        <v>7011</v>
      </c>
      <c r="G31" s="179">
        <f>'Demanda (Legados)'!I17</f>
        <v>7011</v>
      </c>
      <c r="H31" s="179">
        <f>'Demanda (Legados)'!J17</f>
        <v>7011</v>
      </c>
      <c r="J31" s="174" t="str">
        <f>'Demanda (Legados)'!A17</f>
        <v>PE-REPLAN (INTERCONEXÃO)</v>
      </c>
      <c r="K31" s="179">
        <f>B31*'Premissas (Legados)'!D$20</f>
        <v>2847000</v>
      </c>
      <c r="L31" s="179">
        <f>C31*'Premissas (Legados)'!E$20</f>
        <v>2490760</v>
      </c>
      <c r="M31" s="176">
        <f>D31*'Premissas (Legados)'!F$20</f>
        <v>2559015</v>
      </c>
      <c r="N31" s="179">
        <f>E31*'Premissas (Legados)'!E$20</f>
        <v>2559015</v>
      </c>
      <c r="O31" s="179">
        <f>F31*'Premissas (Legados)'!F$20</f>
        <v>2559015</v>
      </c>
      <c r="P31" s="179">
        <f>G31*'Premissas (Legados)'!G$20</f>
        <v>2559015</v>
      </c>
      <c r="Q31" s="179">
        <f>H31*'Premissas (Legados)'!H$20</f>
        <v>2559015</v>
      </c>
      <c r="S31" s="174" t="str">
        <f t="shared" si="14"/>
        <v>PE-REPLAN (INTERCONEXÃO)</v>
      </c>
      <c r="T31" s="180">
        <f>K31*'Premissas (Legados)'!$B$19</f>
        <v>106199303.61300001</v>
      </c>
      <c r="U31" s="179">
        <f>L31*'Premissas (Legados)'!$B$19</f>
        <v>92910775.366040006</v>
      </c>
      <c r="V31" s="176">
        <f>M31*'Premissas (Legados)'!$B$19</f>
        <v>95456835.593685001</v>
      </c>
      <c r="W31" s="180">
        <f>N31*'Premissas (Legados)'!$B$19</f>
        <v>95456835.593685001</v>
      </c>
      <c r="X31" s="180">
        <f>O31*'Premissas (Legados)'!$B$19</f>
        <v>95456835.593685001</v>
      </c>
      <c r="Y31" s="180">
        <f>P31*'Premissas (Legados)'!$B$19</f>
        <v>95456835.593685001</v>
      </c>
      <c r="Z31" s="180">
        <f>Q31*'Premissas (Legados)'!$B$19</f>
        <v>95456835.593685001</v>
      </c>
    </row>
    <row r="32" spans="1:26" ht="14.5" x14ac:dyDescent="0.3">
      <c r="A32" s="174" t="str">
        <f>'Demanda (Legados)'!A18</f>
        <v>PE-TECAB (INTERCONEXÃO)</v>
      </c>
      <c r="B32" s="179">
        <f>'Demanda (Legados)'!D18</f>
        <v>200</v>
      </c>
      <c r="C32" s="179">
        <f>'Demanda (Legados)'!E18</f>
        <v>1E-3</v>
      </c>
      <c r="D32" s="176">
        <f>'Demanda (Legados)'!F18</f>
        <v>200</v>
      </c>
      <c r="E32" s="179">
        <f>'Demanda (Legados)'!G18</f>
        <v>200</v>
      </c>
      <c r="F32" s="179">
        <f>'Demanda (Legados)'!H18</f>
        <v>200</v>
      </c>
      <c r="G32" s="179">
        <f>'Demanda (Legados)'!I18</f>
        <v>200</v>
      </c>
      <c r="H32" s="179">
        <f>'Demanda (Legados)'!J18</f>
        <v>200</v>
      </c>
      <c r="J32" s="174" t="str">
        <f>'Demanda (Legados)'!A18</f>
        <v>PE-TECAB (INTERCONEXÃO)</v>
      </c>
      <c r="K32" s="179">
        <f>B32*'Premissas (Legados)'!D$20</f>
        <v>73000</v>
      </c>
      <c r="L32" s="179">
        <f>C32*'Premissas (Legados)'!E$20</f>
        <v>0.36499999999999999</v>
      </c>
      <c r="M32" s="176">
        <f>D32*'Premissas (Legados)'!F$20</f>
        <v>73000</v>
      </c>
      <c r="N32" s="179">
        <f>E32*'Premissas (Legados)'!E$20</f>
        <v>73000</v>
      </c>
      <c r="O32" s="179">
        <f>F32*'Premissas (Legados)'!F$20</f>
        <v>73000</v>
      </c>
      <c r="P32" s="179">
        <f>G32*'Premissas (Legados)'!G$20</f>
        <v>73000</v>
      </c>
      <c r="Q32" s="179">
        <f>H32*'Premissas (Legados)'!H$20</f>
        <v>73000</v>
      </c>
      <c r="S32" s="174" t="str">
        <f t="shared" si="14"/>
        <v>PE-TECAB (INTERCONEXÃO)</v>
      </c>
      <c r="T32" s="180">
        <f>K32*'Premissas (Legados)'!$B$19</f>
        <v>2723059.0670000003</v>
      </c>
      <c r="U32" s="179">
        <f>L32*'Premissas (Legados)'!$B$19</f>
        <v>13.615295335000001</v>
      </c>
      <c r="V32" s="176">
        <f>M32*'Premissas (Legados)'!$B$19</f>
        <v>2723059.0670000003</v>
      </c>
      <c r="W32" s="180">
        <f>N32*'Premissas (Legados)'!$B$19</f>
        <v>2723059.0670000003</v>
      </c>
      <c r="X32" s="180">
        <f>O32*'Premissas (Legados)'!$B$19</f>
        <v>2723059.0670000003</v>
      </c>
      <c r="Y32" s="180">
        <f>P32*'Premissas (Legados)'!$B$19</f>
        <v>2723059.0670000003</v>
      </c>
      <c r="Z32" s="180">
        <f>Q32*'Premissas (Legados)'!$B$19</f>
        <v>2723059.0670000003</v>
      </c>
    </row>
    <row r="33" spans="1:26" ht="14.5" x14ac:dyDescent="0.3">
      <c r="A33" s="285" t="s">
        <v>234</v>
      </c>
      <c r="B33" s="42">
        <f>SUM(B17:B32)</f>
        <v>60194</v>
      </c>
      <c r="C33" s="42">
        <f>SUM(C17:C32)</f>
        <v>55058.000999999997</v>
      </c>
      <c r="D33" s="42">
        <f t="shared" ref="D33:F33" si="15">SUM(D17:D32)</f>
        <v>58391</v>
      </c>
      <c r="E33" s="42">
        <f t="shared" si="15"/>
        <v>58391</v>
      </c>
      <c r="F33" s="42">
        <f t="shared" si="15"/>
        <v>58391</v>
      </c>
      <c r="G33" s="42">
        <f t="shared" ref="G33:H33" si="16">SUM(G17:G32)</f>
        <v>58391</v>
      </c>
      <c r="H33" s="42">
        <f t="shared" si="16"/>
        <v>58391</v>
      </c>
      <c r="I33" s="42"/>
      <c r="J33" s="285" t="s">
        <v>234</v>
      </c>
      <c r="K33" s="42">
        <f>SUM(K17:K32)</f>
        <v>21970810</v>
      </c>
      <c r="L33" s="42">
        <f>SUM(L17:L32)</f>
        <v>20096170.364999998</v>
      </c>
      <c r="M33" s="42">
        <f>SUM(M17:M32)</f>
        <v>21312715</v>
      </c>
      <c r="N33" s="42">
        <f>SUM(N17:N32)</f>
        <v>21312715</v>
      </c>
      <c r="O33" s="42">
        <f>SUM(O17:O32)</f>
        <v>21312715</v>
      </c>
      <c r="P33" s="42">
        <f t="shared" ref="P33:Q33" si="17">SUM(P17:P32)</f>
        <v>21312715</v>
      </c>
      <c r="Q33" s="42">
        <f t="shared" si="17"/>
        <v>21312715</v>
      </c>
      <c r="R33" s="42"/>
      <c r="S33" s="285" t="s">
        <v>234</v>
      </c>
      <c r="T33" s="84">
        <f>SUM(T17:T32)</f>
        <v>819559087.39499009</v>
      </c>
      <c r="U33" s="84">
        <f>SUM(U17:U32)</f>
        <v>749630944.1697253</v>
      </c>
      <c r="V33" s="84">
        <f>SUM(V17:V32)</f>
        <v>795010709.90598512</v>
      </c>
      <c r="W33" s="84">
        <f>SUM(W17:W32)</f>
        <v>795010709.90598512</v>
      </c>
      <c r="X33" s="84">
        <f>SUM(X17:X32)</f>
        <v>795010709.90598512</v>
      </c>
      <c r="Y33" s="84">
        <f t="shared" ref="Y33:Z33" si="18">SUM(Y17:Y32)</f>
        <v>795010709.90598512</v>
      </c>
      <c r="Z33" s="84">
        <f t="shared" si="18"/>
        <v>795010709.90598512</v>
      </c>
    </row>
    <row r="34" spans="1:26" hidden="1" x14ac:dyDescent="0.3">
      <c r="B34" s="42">
        <f>'Demanda (Legados)'!D19</f>
        <v>60194</v>
      </c>
      <c r="C34" s="42">
        <f>'Demanda (Legados)'!E19</f>
        <v>55058.000999999997</v>
      </c>
      <c r="D34" s="42">
        <f>'Demanda (Legados)'!F19</f>
        <v>58391</v>
      </c>
      <c r="E34" s="42">
        <f>'Demanda (Legados)'!G19</f>
        <v>58391</v>
      </c>
      <c r="F34" s="42">
        <f>'Demanda (Legados)'!H19</f>
        <v>58391</v>
      </c>
      <c r="G34" s="42">
        <f>'Demanda (Legados)'!I19</f>
        <v>58391</v>
      </c>
      <c r="H34" s="42">
        <f>'Demanda (Legados)'!J19</f>
        <v>58391</v>
      </c>
      <c r="I34" s="42"/>
      <c r="J34" s="42"/>
      <c r="K34" s="42">
        <f>B34*'Premissas (Legados)'!D20</f>
        <v>21970810</v>
      </c>
      <c r="L34" s="42">
        <f>C34*'Premissas (Legados)'!E20</f>
        <v>20096170.364999998</v>
      </c>
      <c r="M34" s="42">
        <f>D34*'Premissas (Legados)'!F20</f>
        <v>21312715</v>
      </c>
      <c r="N34" s="42">
        <f>E34*'Premissas (Legados)'!E20</f>
        <v>21312715</v>
      </c>
      <c r="O34" s="42">
        <f>F34*'Premissas (Legados)'!F20</f>
        <v>21312715</v>
      </c>
      <c r="P34" s="42">
        <f>G34*'Premissas (Legados)'!G20</f>
        <v>21312715</v>
      </c>
      <c r="Q34" s="42">
        <f>H34*'Premissas (Legados)'!H20</f>
        <v>21312715</v>
      </c>
      <c r="R34" s="42"/>
      <c r="S34" s="42"/>
      <c r="T34" s="84">
        <f>K34*'Premissas (Legados)'!$B$19</f>
        <v>819559087.39499009</v>
      </c>
      <c r="U34" s="84">
        <f>L34*'Premissas (Legados)'!$B$19</f>
        <v>749630944.1697253</v>
      </c>
      <c r="V34" s="84">
        <f>M34*'Premissas (Legados)'!$B$19</f>
        <v>795010709.905985</v>
      </c>
      <c r="W34" s="84">
        <f>N34*'Premissas (Legados)'!$B$19</f>
        <v>795010709.905985</v>
      </c>
      <c r="X34" s="84">
        <f>O34*'Premissas (Legados)'!$B$19</f>
        <v>795010709.905985</v>
      </c>
      <c r="Y34" s="84">
        <f>P34*'Premissas (Legados)'!$B$19</f>
        <v>795010709.905985</v>
      </c>
      <c r="Z34" s="84">
        <f>Q34*'Premissas (Legados)'!$B$19</f>
        <v>795010709.905985</v>
      </c>
    </row>
    <row r="35" spans="1:26" hidden="1" x14ac:dyDescent="0.3">
      <c r="B35" s="41">
        <f>B33-B34</f>
        <v>0</v>
      </c>
      <c r="C35" s="41">
        <f>C33-C34</f>
        <v>0</v>
      </c>
      <c r="D35" s="41">
        <f>D33-D34</f>
        <v>0</v>
      </c>
      <c r="E35" s="41">
        <f>E33-E34</f>
        <v>0</v>
      </c>
      <c r="F35" s="41">
        <f>F33-F34</f>
        <v>0</v>
      </c>
      <c r="G35" s="41">
        <f t="shared" ref="G35:H35" si="19">G33-G34</f>
        <v>0</v>
      </c>
      <c r="H35" s="41">
        <f t="shared" si="19"/>
        <v>0</v>
      </c>
      <c r="I35" s="41"/>
      <c r="J35" s="41"/>
      <c r="K35" s="41">
        <f>K33-K34</f>
        <v>0</v>
      </c>
      <c r="L35" s="41">
        <f>L33-L34</f>
        <v>0</v>
      </c>
      <c r="M35" s="41">
        <f>M33-M34</f>
        <v>0</v>
      </c>
      <c r="N35" s="41">
        <f>N33-N34</f>
        <v>0</v>
      </c>
      <c r="O35" s="41">
        <f>O33-O34</f>
        <v>0</v>
      </c>
      <c r="P35" s="41">
        <f t="shared" ref="P35:Q35" si="20">P33-P34</f>
        <v>0</v>
      </c>
      <c r="Q35" s="41">
        <f t="shared" si="20"/>
        <v>0</v>
      </c>
      <c r="R35" s="41"/>
      <c r="S35" s="41"/>
      <c r="T35" s="84">
        <f>T33-T34</f>
        <v>0</v>
      </c>
      <c r="U35" s="84">
        <f>U33-U34</f>
        <v>0</v>
      </c>
      <c r="V35" s="84">
        <f>V33-V34</f>
        <v>0</v>
      </c>
      <c r="W35" s="84">
        <f>W33-W34</f>
        <v>0</v>
      </c>
      <c r="X35" s="84">
        <f>X33-X34</f>
        <v>0</v>
      </c>
      <c r="Y35" s="84">
        <f t="shared" ref="Y35:Z35" si="21">Y33-Y34</f>
        <v>0</v>
      </c>
      <c r="Z35" s="84">
        <f t="shared" si="21"/>
        <v>0</v>
      </c>
    </row>
    <row r="36" spans="1:26" x14ac:dyDescent="0.3">
      <c r="A36" s="181"/>
      <c r="W36" s="177"/>
      <c r="X36" s="177"/>
    </row>
    <row r="37" spans="1:26" x14ac:dyDescent="0.3">
      <c r="A37" s="139"/>
      <c r="W37" s="177"/>
      <c r="X37" s="177"/>
    </row>
    <row r="39" spans="1:26" x14ac:dyDescent="0.3">
      <c r="J39" s="177"/>
    </row>
    <row r="40" spans="1:26" x14ac:dyDescent="0.3">
      <c r="I40" s="177"/>
      <c r="J40" s="177"/>
      <c r="X40" s="182"/>
    </row>
    <row r="41" spans="1:26" x14ac:dyDescent="0.3">
      <c r="I41" s="177"/>
      <c r="J41" s="177"/>
      <c r="X41" s="182"/>
      <c r="Y41" s="183"/>
    </row>
    <row r="42" spans="1:26" x14ac:dyDescent="0.3">
      <c r="I42" s="177"/>
      <c r="J42" s="177"/>
      <c r="Y42" s="183"/>
    </row>
    <row r="43" spans="1:26" x14ac:dyDescent="0.3">
      <c r="I43" s="177"/>
      <c r="J43" s="177"/>
    </row>
    <row r="44" spans="1:26" x14ac:dyDescent="0.3">
      <c r="I44" s="177"/>
      <c r="J44" s="177"/>
    </row>
    <row r="45" spans="1:26" x14ac:dyDescent="0.3">
      <c r="I45" s="177"/>
    </row>
    <row r="46" spans="1:26" x14ac:dyDescent="0.3">
      <c r="I46" s="177"/>
    </row>
    <row r="47" spans="1:26" x14ac:dyDescent="0.3">
      <c r="I47" s="177"/>
      <c r="J47" s="177"/>
    </row>
    <row r="48" spans="1:26" x14ac:dyDescent="0.3">
      <c r="I48" s="177"/>
      <c r="J48" s="177"/>
    </row>
    <row r="49" spans="1:19" x14ac:dyDescent="0.3">
      <c r="I49" s="177"/>
      <c r="J49" s="177"/>
    </row>
    <row r="50" spans="1:19" x14ac:dyDescent="0.3">
      <c r="I50" s="177"/>
      <c r="J50" s="177"/>
    </row>
    <row r="51" spans="1:19" x14ac:dyDescent="0.3">
      <c r="I51" s="177"/>
      <c r="J51" s="177"/>
      <c r="S51" s="184"/>
    </row>
    <row r="52" spans="1:19" x14ac:dyDescent="0.3">
      <c r="I52" s="177"/>
      <c r="J52" s="177"/>
    </row>
    <row r="53" spans="1:19" x14ac:dyDescent="0.3">
      <c r="I53" s="177"/>
      <c r="J53" s="177"/>
    </row>
    <row r="54" spans="1:19" x14ac:dyDescent="0.3">
      <c r="I54" s="177"/>
      <c r="J54" s="177"/>
    </row>
    <row r="55" spans="1:19" x14ac:dyDescent="0.3">
      <c r="I55" s="177"/>
      <c r="J55" s="177"/>
    </row>
    <row r="56" spans="1:19" x14ac:dyDescent="0.3">
      <c r="I56" s="177"/>
      <c r="J56" s="177"/>
    </row>
    <row r="57" spans="1:19" x14ac:dyDescent="0.3">
      <c r="I57" s="177"/>
      <c r="J57" s="177"/>
    </row>
    <row r="58" spans="1:19" x14ac:dyDescent="0.3">
      <c r="I58" s="177"/>
      <c r="J58" s="177"/>
    </row>
    <row r="59" spans="1:19" x14ac:dyDescent="0.3">
      <c r="I59" s="177"/>
    </row>
    <row r="61" spans="1:19" x14ac:dyDescent="0.3">
      <c r="A61" s="139"/>
      <c r="B61" s="139"/>
      <c r="C61" s="139"/>
      <c r="D61" s="139"/>
      <c r="E61" s="139"/>
      <c r="F61" s="139"/>
      <c r="G61" s="139"/>
      <c r="H61" s="139"/>
      <c r="J61" s="182"/>
      <c r="K61" s="183"/>
    </row>
    <row r="62" spans="1:19" x14ac:dyDescent="0.3">
      <c r="J62" s="182"/>
      <c r="K62" s="183"/>
    </row>
    <row r="72" spans="2:18" x14ac:dyDescent="0.3">
      <c r="M72" s="184"/>
      <c r="N72" s="184"/>
      <c r="O72" s="184"/>
    </row>
    <row r="73" spans="2:18" x14ac:dyDescent="0.3">
      <c r="P73" s="184"/>
      <c r="Q73" s="184"/>
      <c r="R73" s="184"/>
    </row>
    <row r="74" spans="2:18" x14ac:dyDescent="0.3">
      <c r="B74" s="42"/>
    </row>
    <row r="75" spans="2:18" x14ac:dyDescent="0.3">
      <c r="B75" s="42"/>
    </row>
  </sheetData>
  <sortState xmlns:xlrd2="http://schemas.microsoft.com/office/spreadsheetml/2017/richdata2" ref="J2:O14">
    <sortCondition ref="J2:J14"/>
  </sortState>
  <pageMargins left="0.511811024" right="0.511811024" top="0.78740157499999996" bottom="0.78740157499999996" header="0.31496062000000002" footer="0.31496062000000002"/>
  <pageSetup paperSize="9" orientation="portrait" r:id="rId1"/>
  <ignoredErrors>
    <ignoredError sqref="M17:M34 T12:Z13 T33:Z35 M13 N34 N17:N3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1E22-A321-4376-BAF5-37866EB8922F}">
  <sheetPr codeName="Planilha6">
    <tabColor theme="4" tint="0.79998168889431442"/>
  </sheetPr>
  <dimension ref="C1:AF85"/>
  <sheetViews>
    <sheetView showGridLines="0" topLeftCell="A18" zoomScale="90" zoomScaleNormal="90" workbookViewId="0">
      <selection activeCell="N57" sqref="N57"/>
    </sheetView>
  </sheetViews>
  <sheetFormatPr defaultColWidth="9.1796875" defaultRowHeight="14.5" x14ac:dyDescent="0.35"/>
  <cols>
    <col min="1" max="1" width="9.1796875" style="139"/>
    <col min="2" max="2" width="3.81640625" style="139" customWidth="1"/>
    <col min="3" max="3" width="20.81640625" style="139" bestFit="1" customWidth="1"/>
    <col min="4" max="4" width="27.81640625" style="139" bestFit="1" customWidth="1"/>
    <col min="5" max="5" width="9.81640625" style="201" bestFit="1" customWidth="1"/>
    <col min="6" max="9" width="14.81640625" style="203" customWidth="1"/>
    <col min="10" max="10" width="13.453125" customWidth="1"/>
    <col min="11" max="11" width="14.1796875" customWidth="1"/>
    <col min="12" max="17" width="14.81640625" style="203" customWidth="1"/>
    <col min="18" max="18" width="15.1796875" style="139" customWidth="1"/>
    <col min="19" max="19" width="27.81640625" style="201" bestFit="1" customWidth="1"/>
    <col min="20" max="22" width="12.453125" style="139" customWidth="1"/>
    <col min="23" max="23" width="16.81640625" style="139" customWidth="1"/>
    <col min="24" max="27" width="12.453125" style="139" customWidth="1"/>
    <col min="28" max="28" width="15" style="139" customWidth="1"/>
    <col min="29" max="29" width="15.54296875" style="139" customWidth="1"/>
    <col min="30" max="30" width="12.453125" style="139" customWidth="1"/>
    <col min="31" max="31" width="13.81640625" style="139" customWidth="1"/>
    <col min="32" max="16384" width="9.1796875" style="139"/>
  </cols>
  <sheetData>
    <row r="1" spans="3:32" s="188" customFormat="1" ht="65.150000000000006" customHeight="1" x14ac:dyDescent="0.3">
      <c r="C1" s="185" t="s">
        <v>38</v>
      </c>
      <c r="D1" s="186" t="s">
        <v>39</v>
      </c>
      <c r="E1" s="186" t="s">
        <v>40</v>
      </c>
      <c r="F1" s="187" t="s">
        <v>251</v>
      </c>
      <c r="G1" s="187" t="s">
        <v>26</v>
      </c>
      <c r="H1" s="187" t="s">
        <v>488</v>
      </c>
      <c r="I1" s="187" t="s">
        <v>264</v>
      </c>
      <c r="J1" s="187" t="s">
        <v>243</v>
      </c>
      <c r="K1" s="187" t="s">
        <v>27</v>
      </c>
      <c r="L1" s="187" t="s">
        <v>266</v>
      </c>
      <c r="M1" s="187" t="s">
        <v>29</v>
      </c>
      <c r="N1" s="187" t="s">
        <v>24</v>
      </c>
      <c r="O1" s="187" t="s">
        <v>265</v>
      </c>
      <c r="S1" s="186" t="s">
        <v>40</v>
      </c>
      <c r="T1" s="187" t="str">
        <f>F1</f>
        <v>PR-CARAGUA-TATUBA</v>
      </c>
      <c r="U1" s="187" t="str">
        <f t="shared" ref="U1:W1" si="0">G1</f>
        <v>PR-GNLBGB</v>
      </c>
      <c r="V1" s="187" t="str">
        <f t="shared" si="0"/>
        <v>PR-ITABORAÍ</v>
      </c>
      <c r="W1" s="187" t="str">
        <f t="shared" si="0"/>
        <v>PR-GUARAREMA (INTERCONEXÃO)</v>
      </c>
      <c r="X1" s="187" t="str">
        <f t="shared" ref="X1:AC1" si="1">J1</f>
        <v>PR-GASPAJ</v>
      </c>
      <c r="Y1" s="187" t="str">
        <f t="shared" si="1"/>
        <v>PR-REDUC</v>
      </c>
      <c r="Z1" s="187" t="str">
        <f t="shared" si="1"/>
        <v>PR-REPLAN (INTERCONEXÃO)</v>
      </c>
      <c r="AA1" s="187" t="str">
        <f t="shared" si="1"/>
        <v>PR-RPBC</v>
      </c>
      <c r="AB1" s="187" t="str">
        <f t="shared" si="1"/>
        <v>PR-TECAB</v>
      </c>
      <c r="AC1" s="187" t="str">
        <f t="shared" si="1"/>
        <v>PR-TECAB (INTERCONEXÃO)</v>
      </c>
    </row>
    <row r="2" spans="3:32" x14ac:dyDescent="0.35">
      <c r="C2" s="420" t="s">
        <v>58</v>
      </c>
      <c r="D2" s="189" t="s">
        <v>59</v>
      </c>
      <c r="E2" s="190" t="s">
        <v>216</v>
      </c>
      <c r="F2" s="191">
        <v>442.80099999999999</v>
      </c>
      <c r="G2" s="191">
        <v>247.636</v>
      </c>
      <c r="H2" s="191">
        <v>297.05799999999999</v>
      </c>
      <c r="I2" s="192">
        <v>408.62099999999998</v>
      </c>
      <c r="J2" s="192">
        <f t="shared" ref="J2:J17" si="2">L2</f>
        <v>545.95600000000002</v>
      </c>
      <c r="K2" s="191">
        <v>129.63399999999999</v>
      </c>
      <c r="L2" s="192">
        <v>545.95600000000002</v>
      </c>
      <c r="M2" s="191">
        <v>514.78399999999999</v>
      </c>
      <c r="N2" s="191">
        <v>427.93400000000003</v>
      </c>
      <c r="O2" s="192">
        <v>427.93400000000003</v>
      </c>
      <c r="S2" s="193">
        <v>1</v>
      </c>
      <c r="T2" s="193">
        <v>2</v>
      </c>
      <c r="U2" s="193">
        <v>3</v>
      </c>
      <c r="V2" s="193">
        <v>4</v>
      </c>
      <c r="W2" s="193">
        <v>5</v>
      </c>
      <c r="X2" s="193">
        <v>6</v>
      </c>
      <c r="Y2" s="193">
        <v>7</v>
      </c>
      <c r="Z2" s="193">
        <v>8</v>
      </c>
      <c r="AA2" s="193">
        <v>9</v>
      </c>
      <c r="AB2" s="193">
        <v>10</v>
      </c>
      <c r="AC2" s="193">
        <v>11</v>
      </c>
    </row>
    <row r="3" spans="3:32" x14ac:dyDescent="0.35">
      <c r="C3" s="420"/>
      <c r="D3" s="194" t="s">
        <v>60</v>
      </c>
      <c r="E3" s="195" t="s">
        <v>216</v>
      </c>
      <c r="F3" s="196">
        <v>451.399</v>
      </c>
      <c r="G3" s="196">
        <v>256.23399999999998</v>
      </c>
      <c r="H3" s="196">
        <v>305.65599999999995</v>
      </c>
      <c r="I3" s="197">
        <v>417.21899999999999</v>
      </c>
      <c r="J3" s="197">
        <f t="shared" si="2"/>
        <v>554.55399999999997</v>
      </c>
      <c r="K3" s="196">
        <v>138.232</v>
      </c>
      <c r="L3" s="197">
        <v>554.55399999999997</v>
      </c>
      <c r="M3" s="196">
        <v>523.38199999999995</v>
      </c>
      <c r="N3" s="196">
        <v>436.53199999999998</v>
      </c>
      <c r="O3" s="197">
        <v>436.53199999999998</v>
      </c>
      <c r="S3" s="198" t="s">
        <v>216</v>
      </c>
      <c r="T3" s="199">
        <f t="shared" ref="T3:T15" ca="1" si="3">AVERAGEIF($E$2:$Q$54,$S3,F$2:F$54)</f>
        <v>447.1</v>
      </c>
      <c r="U3" s="199">
        <f t="shared" ref="U3:U15" ca="1" si="4">AVERAGEIF($E$2:$O$45,$S3,G$2:G$45)</f>
        <v>251.935</v>
      </c>
      <c r="V3" s="199">
        <f t="shared" ref="V3:V15" ca="1" si="5">AVERAGEIF($E$2:$O$45,$S3,H$2:H$45)</f>
        <v>301.35699999999997</v>
      </c>
      <c r="W3" s="199">
        <f t="shared" ref="W3:W15" ca="1" si="6">AVERAGEIF($E$2:$O$45,$S3,I$2:I$45)</f>
        <v>412.91999999999996</v>
      </c>
      <c r="X3" s="199">
        <f t="shared" ref="X3:X15" ca="1" si="7">AVERAGEIF($E$2:$O$45,$S3,J$2:J$45)</f>
        <v>550.255</v>
      </c>
      <c r="Y3" s="199">
        <f t="shared" ref="Y3:Y15" ca="1" si="8">AVERAGEIF($E$2:$O$45,$S3,K$2:K$45)</f>
        <v>133.93299999999999</v>
      </c>
      <c r="Z3" s="199">
        <f t="shared" ref="Z3:Z15" ca="1" si="9">AVERAGEIF($E$2:$O$45,$S3,L$2:L$45)</f>
        <v>550.255</v>
      </c>
      <c r="AA3" s="199">
        <f t="shared" ref="AA3:AA15" ca="1" si="10">AVERAGEIF($E$2:$O$45,$S3,M$2:M$45)</f>
        <v>519.08299999999997</v>
      </c>
      <c r="AB3" s="199">
        <f t="shared" ref="AB3:AB15" ca="1" si="11">AVERAGEIF($E$2:$O$45,$S3,N$2:N$45)</f>
        <v>432.233</v>
      </c>
      <c r="AC3" s="199">
        <f t="shared" ref="AC3:AC15" ca="1" si="12">AVERAGEIF($E$2:$O$45,$S3,O$2:O$45)</f>
        <v>432.233</v>
      </c>
      <c r="AF3" s="200"/>
    </row>
    <row r="4" spans="3:32" x14ac:dyDescent="0.35">
      <c r="C4" s="420"/>
      <c r="D4" s="189" t="s">
        <v>61</v>
      </c>
      <c r="E4" s="190" t="s">
        <v>217</v>
      </c>
      <c r="F4" s="191">
        <v>507.58100000000002</v>
      </c>
      <c r="G4" s="191">
        <v>312.416</v>
      </c>
      <c r="H4" s="191">
        <v>361.83799999999997</v>
      </c>
      <c r="I4" s="192">
        <v>473.40100000000001</v>
      </c>
      <c r="J4" s="192">
        <f t="shared" si="2"/>
        <v>610.73599999999999</v>
      </c>
      <c r="K4" s="191">
        <v>194.41399999999999</v>
      </c>
      <c r="L4" s="192">
        <v>610.73599999999999</v>
      </c>
      <c r="M4" s="191">
        <v>579.56399999999996</v>
      </c>
      <c r="N4" s="191">
        <v>492.714</v>
      </c>
      <c r="O4" s="192">
        <v>492.714</v>
      </c>
      <c r="S4" s="198" t="s">
        <v>217</v>
      </c>
      <c r="T4" s="199">
        <f t="shared" ca="1" si="3"/>
        <v>544.26400000000001</v>
      </c>
      <c r="U4" s="199">
        <f t="shared" ca="1" si="4"/>
        <v>349.09899999999999</v>
      </c>
      <c r="V4" s="199">
        <f t="shared" ca="1" si="5"/>
        <v>398.52100000000002</v>
      </c>
      <c r="W4" s="199">
        <f t="shared" ca="1" si="6"/>
        <v>510.08400000000006</v>
      </c>
      <c r="X4" s="199">
        <f t="shared" ca="1" si="7"/>
        <v>647.41899999999998</v>
      </c>
      <c r="Y4" s="199">
        <f t="shared" ca="1" si="8"/>
        <v>231.09699999999998</v>
      </c>
      <c r="Z4" s="199">
        <f t="shared" ca="1" si="9"/>
        <v>647.41899999999998</v>
      </c>
      <c r="AA4" s="199">
        <f t="shared" ca="1" si="10"/>
        <v>616.24699999999996</v>
      </c>
      <c r="AB4" s="199">
        <f t="shared" ca="1" si="11"/>
        <v>529.39700000000005</v>
      </c>
      <c r="AC4" s="199">
        <f t="shared" ca="1" si="12"/>
        <v>529.39700000000005</v>
      </c>
      <c r="AF4" s="200"/>
    </row>
    <row r="5" spans="3:32" x14ac:dyDescent="0.35">
      <c r="C5" s="420"/>
      <c r="D5" s="194" t="s">
        <v>62</v>
      </c>
      <c r="E5" s="195" t="s">
        <v>217</v>
      </c>
      <c r="F5" s="196">
        <v>580.947</v>
      </c>
      <c r="G5" s="196">
        <v>385.78199999999998</v>
      </c>
      <c r="H5" s="196">
        <v>435.20400000000006</v>
      </c>
      <c r="I5" s="197">
        <v>546.76700000000005</v>
      </c>
      <c r="J5" s="197">
        <f t="shared" si="2"/>
        <v>684.10199999999998</v>
      </c>
      <c r="K5" s="196">
        <v>267.77999999999997</v>
      </c>
      <c r="L5" s="197">
        <v>684.10199999999998</v>
      </c>
      <c r="M5" s="196">
        <v>652.92999999999995</v>
      </c>
      <c r="N5" s="196">
        <v>566.08000000000004</v>
      </c>
      <c r="O5" s="197">
        <v>566.08000000000004</v>
      </c>
      <c r="S5" s="198" t="s">
        <v>218</v>
      </c>
      <c r="T5" s="199">
        <f t="shared" ca="1" si="3"/>
        <v>661.42919999999992</v>
      </c>
      <c r="U5" s="199">
        <f t="shared" ca="1" si="4"/>
        <v>466.26419999999996</v>
      </c>
      <c r="V5" s="199">
        <f t="shared" ca="1" si="5"/>
        <v>515.68619999999999</v>
      </c>
      <c r="W5" s="199">
        <f t="shared" ca="1" si="6"/>
        <v>627.24920000000009</v>
      </c>
      <c r="X5" s="199">
        <f t="shared" ca="1" si="7"/>
        <v>764.58420000000001</v>
      </c>
      <c r="Y5" s="199">
        <f t="shared" ca="1" si="8"/>
        <v>348.26220000000001</v>
      </c>
      <c r="Z5" s="199">
        <f t="shared" ca="1" si="9"/>
        <v>764.58420000000001</v>
      </c>
      <c r="AA5" s="199">
        <f t="shared" ca="1" si="10"/>
        <v>733.4122000000001</v>
      </c>
      <c r="AB5" s="199">
        <f t="shared" ca="1" si="11"/>
        <v>646.56219999999996</v>
      </c>
      <c r="AC5" s="199">
        <f t="shared" ca="1" si="12"/>
        <v>646.56219999999996</v>
      </c>
      <c r="AF5" s="200"/>
    </row>
    <row r="6" spans="3:32" x14ac:dyDescent="0.35">
      <c r="C6" s="420"/>
      <c r="D6" s="189" t="s">
        <v>63</v>
      </c>
      <c r="E6" s="190" t="s">
        <v>218</v>
      </c>
      <c r="F6" s="191">
        <v>631.10199999999998</v>
      </c>
      <c r="G6" s="191">
        <v>435.93700000000001</v>
      </c>
      <c r="H6" s="191">
        <v>485.35900000000004</v>
      </c>
      <c r="I6" s="192">
        <v>596.92200000000003</v>
      </c>
      <c r="J6" s="192">
        <f t="shared" si="2"/>
        <v>734.25699999999995</v>
      </c>
      <c r="K6" s="191">
        <v>317.935</v>
      </c>
      <c r="L6" s="192">
        <v>734.25699999999995</v>
      </c>
      <c r="M6" s="191">
        <v>703.08500000000004</v>
      </c>
      <c r="N6" s="191">
        <v>616.23500000000001</v>
      </c>
      <c r="O6" s="192">
        <v>616.23500000000001</v>
      </c>
      <c r="S6" s="198" t="s">
        <v>219</v>
      </c>
      <c r="T6" s="199">
        <f t="shared" ca="1" si="3"/>
        <v>394.62900000000002</v>
      </c>
      <c r="U6" s="199">
        <f t="shared" ca="1" si="4"/>
        <v>596.17999999999995</v>
      </c>
      <c r="V6" s="199">
        <f t="shared" ca="1" si="5"/>
        <v>645.60199999999998</v>
      </c>
      <c r="W6" s="199">
        <f t="shared" ca="1" si="6"/>
        <v>360.44900000000001</v>
      </c>
      <c r="X6" s="199">
        <f t="shared" ca="1" si="7"/>
        <v>93.766000000000005</v>
      </c>
      <c r="Y6" s="199">
        <f t="shared" ca="1" si="8"/>
        <v>598.4799999999999</v>
      </c>
      <c r="Z6" s="199">
        <f t="shared" ca="1" si="9"/>
        <v>93.766000000000005</v>
      </c>
      <c r="AA6" s="199">
        <f t="shared" ca="1" si="10"/>
        <v>466.61200000000002</v>
      </c>
      <c r="AB6" s="199">
        <f t="shared" ca="1" si="11"/>
        <v>776.47799999999995</v>
      </c>
      <c r="AC6" s="199">
        <f t="shared" ca="1" si="12"/>
        <v>776.47799999999995</v>
      </c>
      <c r="AF6" s="200"/>
    </row>
    <row r="7" spans="3:32" x14ac:dyDescent="0.35">
      <c r="C7" s="420"/>
      <c r="D7" s="194" t="s">
        <v>64</v>
      </c>
      <c r="E7" s="195" t="s">
        <v>218</v>
      </c>
      <c r="F7" s="196">
        <v>669.01099999999997</v>
      </c>
      <c r="G7" s="196">
        <v>473.846</v>
      </c>
      <c r="H7" s="196">
        <v>523.26800000000003</v>
      </c>
      <c r="I7" s="197">
        <v>634.83100000000002</v>
      </c>
      <c r="J7" s="197">
        <f t="shared" si="2"/>
        <v>772.16600000000005</v>
      </c>
      <c r="K7" s="196">
        <v>355.84399999999999</v>
      </c>
      <c r="L7" s="197">
        <v>772.16600000000005</v>
      </c>
      <c r="M7" s="196">
        <v>740.99400000000003</v>
      </c>
      <c r="N7" s="196">
        <v>654.14400000000001</v>
      </c>
      <c r="O7" s="197">
        <v>654.14400000000001</v>
      </c>
      <c r="S7" s="198" t="s">
        <v>220</v>
      </c>
      <c r="T7" s="199">
        <f t="shared" ca="1" si="3"/>
        <v>460.82099999999997</v>
      </c>
      <c r="U7" s="199">
        <f t="shared" ca="1" si="4"/>
        <v>64.091333333333338</v>
      </c>
      <c r="V7" s="199">
        <f t="shared" ca="1" si="5"/>
        <v>75.091333333333338</v>
      </c>
      <c r="W7" s="199">
        <f t="shared" ca="1" si="6"/>
        <v>423.95966666666664</v>
      </c>
      <c r="X7" s="199">
        <f t="shared" ca="1" si="7"/>
        <v>563.976</v>
      </c>
      <c r="Y7" s="199">
        <f t="shared" ca="1" si="8"/>
        <v>64.091333333333338</v>
      </c>
      <c r="Z7" s="199">
        <f t="shared" ca="1" si="9"/>
        <v>563.976</v>
      </c>
      <c r="AA7" s="199">
        <f t="shared" ca="1" si="10"/>
        <v>530.12266666666665</v>
      </c>
      <c r="AB7" s="199">
        <f t="shared" ca="1" si="11"/>
        <v>120.26933333333334</v>
      </c>
      <c r="AC7" s="199">
        <f t="shared" ca="1" si="12"/>
        <v>120.26933333333334</v>
      </c>
      <c r="AF7" s="200"/>
    </row>
    <row r="8" spans="3:32" x14ac:dyDescent="0.35">
      <c r="C8" s="420"/>
      <c r="D8" s="189" t="s">
        <v>65</v>
      </c>
      <c r="E8" s="190" t="s">
        <v>218</v>
      </c>
      <c r="F8" s="191">
        <v>669.01099999999997</v>
      </c>
      <c r="G8" s="191">
        <v>473.846</v>
      </c>
      <c r="H8" s="191">
        <v>523.26800000000003</v>
      </c>
      <c r="I8" s="192">
        <v>634.83100000000002</v>
      </c>
      <c r="J8" s="192">
        <f t="shared" si="2"/>
        <v>772.16600000000005</v>
      </c>
      <c r="K8" s="191">
        <v>355.84399999999999</v>
      </c>
      <c r="L8" s="192">
        <v>772.16600000000005</v>
      </c>
      <c r="M8" s="191">
        <v>740.99400000000003</v>
      </c>
      <c r="N8" s="191">
        <v>654.14400000000001</v>
      </c>
      <c r="O8" s="192">
        <v>654.14400000000001</v>
      </c>
      <c r="S8" s="198" t="s">
        <v>221</v>
      </c>
      <c r="T8" s="199">
        <f t="shared" ca="1" si="3"/>
        <v>352.80099999999999</v>
      </c>
      <c r="U8" s="199">
        <f t="shared" ca="1" si="4"/>
        <v>46.097999999999992</v>
      </c>
      <c r="V8" s="199">
        <f t="shared" ca="1" si="5"/>
        <v>95.519999999999982</v>
      </c>
      <c r="W8" s="199">
        <f t="shared" ca="1" si="6"/>
        <v>318.62100000000004</v>
      </c>
      <c r="X8" s="199">
        <f t="shared" ca="1" si="7"/>
        <v>456.31599999999997</v>
      </c>
      <c r="Y8" s="199">
        <f t="shared" ca="1" si="8"/>
        <v>45.943333333333328</v>
      </c>
      <c r="Z8" s="199">
        <f t="shared" ca="1" si="9"/>
        <v>456.31599999999997</v>
      </c>
      <c r="AA8" s="199">
        <f t="shared" ca="1" si="10"/>
        <v>424.06400000000002</v>
      </c>
      <c r="AB8" s="199">
        <f t="shared" ca="1" si="11"/>
        <v>226.39599999999999</v>
      </c>
      <c r="AC8" s="199">
        <f t="shared" ca="1" si="12"/>
        <v>226.39599999999999</v>
      </c>
      <c r="AF8" s="200"/>
    </row>
    <row r="9" spans="3:32" x14ac:dyDescent="0.35">
      <c r="C9" s="420"/>
      <c r="D9" s="194" t="s">
        <v>66</v>
      </c>
      <c r="E9" s="195" t="s">
        <v>218</v>
      </c>
      <c r="F9" s="196">
        <v>669.01099999999997</v>
      </c>
      <c r="G9" s="196">
        <v>473.846</v>
      </c>
      <c r="H9" s="196">
        <v>523.26800000000003</v>
      </c>
      <c r="I9" s="197">
        <v>634.83100000000002</v>
      </c>
      <c r="J9" s="197">
        <f t="shared" si="2"/>
        <v>772.16600000000005</v>
      </c>
      <c r="K9" s="196">
        <v>355.84399999999999</v>
      </c>
      <c r="L9" s="197">
        <v>772.16600000000005</v>
      </c>
      <c r="M9" s="196">
        <v>740.99400000000003</v>
      </c>
      <c r="N9" s="196">
        <v>654.14400000000001</v>
      </c>
      <c r="O9" s="197">
        <v>654.14400000000001</v>
      </c>
      <c r="S9" s="198" t="s">
        <v>222</v>
      </c>
      <c r="T9" s="199">
        <f t="shared" ca="1" si="3"/>
        <v>307.62360000000001</v>
      </c>
      <c r="U9" s="199">
        <f t="shared" ca="1" si="4"/>
        <v>92.737400000000008</v>
      </c>
      <c r="V9" s="199">
        <f t="shared" ca="1" si="5"/>
        <v>142.15940000000001</v>
      </c>
      <c r="W9" s="199">
        <f t="shared" ca="1" si="6"/>
        <v>273.44359999999995</v>
      </c>
      <c r="X9" s="199">
        <f t="shared" ca="1" si="7"/>
        <v>448.94899999999996</v>
      </c>
      <c r="Y9" s="199">
        <f t="shared" ca="1" si="8"/>
        <v>89.951799999999992</v>
      </c>
      <c r="Z9" s="199">
        <f t="shared" ca="1" si="9"/>
        <v>448.94899999999996</v>
      </c>
      <c r="AA9" s="199">
        <f t="shared" ca="1" si="10"/>
        <v>379.60659999999996</v>
      </c>
      <c r="AB9" s="199">
        <f t="shared" ca="1" si="11"/>
        <v>273.03540000000004</v>
      </c>
      <c r="AC9" s="199">
        <f t="shared" ca="1" si="12"/>
        <v>273.03540000000004</v>
      </c>
      <c r="AF9" s="200"/>
    </row>
    <row r="10" spans="3:32" x14ac:dyDescent="0.35">
      <c r="C10" s="420"/>
      <c r="D10" s="189" t="s">
        <v>67</v>
      </c>
      <c r="E10" s="190" t="s">
        <v>218</v>
      </c>
      <c r="F10" s="191">
        <v>669.01099999999997</v>
      </c>
      <c r="G10" s="191">
        <v>473.846</v>
      </c>
      <c r="H10" s="191">
        <v>523.26800000000003</v>
      </c>
      <c r="I10" s="192">
        <v>634.83100000000002</v>
      </c>
      <c r="J10" s="192">
        <f t="shared" si="2"/>
        <v>772.16600000000005</v>
      </c>
      <c r="K10" s="191">
        <v>355.84399999999999</v>
      </c>
      <c r="L10" s="192">
        <v>772.16600000000005</v>
      </c>
      <c r="M10" s="191">
        <v>740.99400000000003</v>
      </c>
      <c r="N10" s="191">
        <v>654.14400000000001</v>
      </c>
      <c r="O10" s="192">
        <v>654.14400000000001</v>
      </c>
      <c r="S10" s="198" t="s">
        <v>223</v>
      </c>
      <c r="T10" s="199">
        <f t="shared" ca="1" si="3"/>
        <v>244.471</v>
      </c>
      <c r="U10" s="199">
        <f t="shared" ca="1" si="4"/>
        <v>154.518</v>
      </c>
      <c r="V10" s="199">
        <f t="shared" ca="1" si="5"/>
        <v>203.93999999999997</v>
      </c>
      <c r="W10" s="199">
        <f t="shared" ca="1" si="6"/>
        <v>210.56099999999998</v>
      </c>
      <c r="X10" s="199">
        <f t="shared" ca="1" si="7"/>
        <v>347.89600000000002</v>
      </c>
      <c r="Y10" s="199">
        <f t="shared" ca="1" si="8"/>
        <v>156.81800000000001</v>
      </c>
      <c r="Z10" s="199">
        <f t="shared" ca="1" si="9"/>
        <v>347.89600000000002</v>
      </c>
      <c r="AA10" s="199">
        <f t="shared" ca="1" si="10"/>
        <v>316.72399999999999</v>
      </c>
      <c r="AB10" s="199">
        <f t="shared" ca="1" si="11"/>
        <v>334.81599999999997</v>
      </c>
      <c r="AC10" s="199">
        <f t="shared" ca="1" si="12"/>
        <v>334.81599999999997</v>
      </c>
      <c r="AF10" s="200"/>
    </row>
    <row r="11" spans="3:32" x14ac:dyDescent="0.35">
      <c r="C11" s="420"/>
      <c r="D11" s="194" t="s">
        <v>68</v>
      </c>
      <c r="E11" s="195" t="s">
        <v>219</v>
      </c>
      <c r="F11" s="196">
        <v>394.62900000000002</v>
      </c>
      <c r="G11" s="196">
        <v>596.17999999999995</v>
      </c>
      <c r="H11" s="196">
        <v>645.60199999999998</v>
      </c>
      <c r="I11" s="197">
        <v>360.44900000000001</v>
      </c>
      <c r="J11" s="197">
        <f t="shared" si="2"/>
        <v>93.766000000000005</v>
      </c>
      <c r="K11" s="196">
        <v>598.4799999999999</v>
      </c>
      <c r="L11" s="197">
        <v>93.766000000000005</v>
      </c>
      <c r="M11" s="196">
        <v>466.61200000000002</v>
      </c>
      <c r="N11" s="196">
        <v>776.47799999999995</v>
      </c>
      <c r="O11" s="197">
        <v>776.47799999999995</v>
      </c>
      <c r="S11" s="198" t="s">
        <v>224</v>
      </c>
      <c r="T11" s="199">
        <f t="shared" ca="1" si="3"/>
        <v>395.91849999999999</v>
      </c>
      <c r="U11" s="199">
        <f t="shared" ca="1" si="4"/>
        <v>36.580500000000001</v>
      </c>
      <c r="V11" s="199">
        <f t="shared" ca="1" si="5"/>
        <v>87.152500000000003</v>
      </c>
      <c r="W11" s="272">
        <f t="shared" ca="1" si="6"/>
        <v>357.71899999999999</v>
      </c>
      <c r="X11" s="199">
        <f t="shared" ca="1" si="7"/>
        <v>499.07349999999997</v>
      </c>
      <c r="Y11" s="199">
        <f t="shared" ca="1" si="8"/>
        <v>34.080500000000001</v>
      </c>
      <c r="Z11" s="199">
        <f t="shared" ca="1" si="9"/>
        <v>499.07349999999997</v>
      </c>
      <c r="AA11" s="199">
        <f t="shared" ca="1" si="10"/>
        <v>463.87950000000001</v>
      </c>
      <c r="AB11" s="199">
        <f t="shared" ca="1" si="11"/>
        <v>218.02850000000001</v>
      </c>
      <c r="AC11" s="199">
        <f t="shared" ca="1" si="12"/>
        <v>218.02850000000001</v>
      </c>
      <c r="AF11" s="200"/>
    </row>
    <row r="12" spans="3:32" x14ac:dyDescent="0.35">
      <c r="C12" s="421" t="s">
        <v>69</v>
      </c>
      <c r="D12" s="189" t="s">
        <v>70</v>
      </c>
      <c r="E12" s="190" t="s">
        <v>220</v>
      </c>
      <c r="F12" s="191">
        <v>391.67099999999999</v>
      </c>
      <c r="G12" s="191">
        <v>7.5880000000000001</v>
      </c>
      <c r="H12" s="191">
        <v>57.009999999999991</v>
      </c>
      <c r="I12" s="192">
        <v>357.49099999999999</v>
      </c>
      <c r="J12" s="192">
        <f t="shared" si="2"/>
        <v>494.82600000000002</v>
      </c>
      <c r="K12" s="191">
        <v>9.8879999999999999</v>
      </c>
      <c r="L12" s="192">
        <v>494.82600000000002</v>
      </c>
      <c r="M12" s="191">
        <v>463.654</v>
      </c>
      <c r="N12" s="191">
        <v>187.886</v>
      </c>
      <c r="O12" s="192">
        <v>187.886</v>
      </c>
      <c r="S12" s="198" t="s">
        <v>225</v>
      </c>
      <c r="T12" s="199">
        <f ca="1">AVERAGEIF($E$2:$Q$54,$S12,F$2:F$54)</f>
        <v>162.84283333333335</v>
      </c>
      <c r="U12" s="199">
        <f t="shared" ca="1" si="4"/>
        <v>343.1248333333333</v>
      </c>
      <c r="V12" s="199">
        <f t="shared" ca="1" si="5"/>
        <v>329.05316666666664</v>
      </c>
      <c r="W12" s="199">
        <f t="shared" ca="1" si="6"/>
        <v>128.66283333333334</v>
      </c>
      <c r="X12" s="199">
        <f t="shared" ca="1" si="7"/>
        <v>222.24283333333335</v>
      </c>
      <c r="Y12" s="199">
        <f t="shared" ca="1" si="8"/>
        <v>278.44916666666666</v>
      </c>
      <c r="Z12" s="199">
        <f t="shared" ca="1" si="9"/>
        <v>222.24283333333335</v>
      </c>
      <c r="AA12" s="199">
        <f t="shared" ca="1" si="10"/>
        <v>234.82583333333335</v>
      </c>
      <c r="AB12" s="199">
        <f t="shared" ca="1" si="11"/>
        <v>459.92916666666662</v>
      </c>
      <c r="AC12" s="199">
        <f t="shared" ca="1" si="12"/>
        <v>459.92916666666662</v>
      </c>
      <c r="AF12" s="200"/>
    </row>
    <row r="13" spans="3:32" x14ac:dyDescent="0.35">
      <c r="C13" s="422"/>
      <c r="D13" s="194" t="s">
        <v>71</v>
      </c>
      <c r="E13" s="195" t="s">
        <v>220</v>
      </c>
      <c r="F13" s="196">
        <v>401.55900000000003</v>
      </c>
      <c r="G13" s="196">
        <v>2.2999999999999998</v>
      </c>
      <c r="H13" s="196">
        <v>51.722000000000008</v>
      </c>
      <c r="I13" s="197">
        <v>359.33499999999998</v>
      </c>
      <c r="J13" s="197">
        <f t="shared" si="2"/>
        <v>504.714</v>
      </c>
      <c r="K13" s="196">
        <v>0</v>
      </c>
      <c r="L13" s="197">
        <v>504.714</v>
      </c>
      <c r="M13" s="196">
        <v>465.49799999999999</v>
      </c>
      <c r="N13" s="196">
        <v>182.59800000000001</v>
      </c>
      <c r="O13" s="197">
        <v>182.59800000000001</v>
      </c>
      <c r="S13" s="198" t="s">
        <v>226</v>
      </c>
      <c r="T13" s="199">
        <f t="shared" ca="1" si="3"/>
        <v>77.567999999999998</v>
      </c>
      <c r="U13" s="199">
        <f t="shared" ca="1" si="4"/>
        <v>319.46766666666667</v>
      </c>
      <c r="V13" s="199">
        <f t="shared" ca="1" si="5"/>
        <v>367.80966666666671</v>
      </c>
      <c r="W13" s="199">
        <f t="shared" ca="1" si="6"/>
        <v>45.611333333333334</v>
      </c>
      <c r="X13" s="199">
        <f t="shared" ca="1" si="7"/>
        <v>221.07166666666669</v>
      </c>
      <c r="Y13" s="199">
        <f t="shared" ca="1" si="8"/>
        <v>321.76766666666668</v>
      </c>
      <c r="Z13" s="199">
        <f t="shared" ca="1" si="9"/>
        <v>221.07166666666669</v>
      </c>
      <c r="AA13" s="199">
        <f t="shared" ca="1" si="10"/>
        <v>151.77433333333332</v>
      </c>
      <c r="AB13" s="199">
        <f t="shared" ca="1" si="11"/>
        <v>498.68566666666669</v>
      </c>
      <c r="AC13" s="199">
        <f t="shared" ca="1" si="12"/>
        <v>498.68566666666669</v>
      </c>
      <c r="AF13" s="200"/>
    </row>
    <row r="14" spans="3:32" x14ac:dyDescent="0.35">
      <c r="C14" s="422"/>
      <c r="D14" s="189" t="s">
        <v>72</v>
      </c>
      <c r="E14" s="190" t="s">
        <v>220</v>
      </c>
      <c r="F14" s="191">
        <v>401.55900000000003</v>
      </c>
      <c r="G14" s="191">
        <v>2.2999999999999998</v>
      </c>
      <c r="H14" s="191">
        <v>51.722000000000008</v>
      </c>
      <c r="I14" s="192">
        <v>359.33499999999998</v>
      </c>
      <c r="J14" s="192">
        <f t="shared" si="2"/>
        <v>504.714</v>
      </c>
      <c r="K14" s="191">
        <v>0</v>
      </c>
      <c r="L14" s="192">
        <v>504.714</v>
      </c>
      <c r="M14" s="191">
        <v>465.49799999999999</v>
      </c>
      <c r="N14" s="191">
        <v>182.59800000000001</v>
      </c>
      <c r="O14" s="192">
        <v>182.59800000000001</v>
      </c>
      <c r="S14" s="198" t="s">
        <v>227</v>
      </c>
      <c r="T14" s="199">
        <f t="shared" ca="1" si="3"/>
        <v>176.60120000000001</v>
      </c>
      <c r="U14" s="199">
        <f t="shared" ca="1" si="4"/>
        <v>435.43320000000006</v>
      </c>
      <c r="V14" s="199">
        <f t="shared" ca="1" si="5"/>
        <v>483.80799999999999</v>
      </c>
      <c r="W14" s="199">
        <f t="shared" ca="1" si="6"/>
        <v>70.354199999999992</v>
      </c>
      <c r="X14" s="199">
        <f t="shared" ca="1" si="7"/>
        <v>337.03720000000004</v>
      </c>
      <c r="Y14" s="199">
        <f t="shared" ca="1" si="8"/>
        <v>437.73320000000001</v>
      </c>
      <c r="Z14" s="199">
        <f t="shared" ca="1" si="9"/>
        <v>337.03720000000004</v>
      </c>
      <c r="AA14" s="199">
        <f t="shared" ca="1" si="10"/>
        <v>46.044000000000004</v>
      </c>
      <c r="AB14" s="199">
        <f t="shared" ca="1" si="11"/>
        <v>614.68399999999997</v>
      </c>
      <c r="AC14" s="199">
        <f t="shared" ca="1" si="12"/>
        <v>614.68399999999997</v>
      </c>
      <c r="AF14" s="200"/>
    </row>
    <row r="15" spans="3:32" x14ac:dyDescent="0.35">
      <c r="C15" s="422"/>
      <c r="D15" s="194" t="s">
        <v>73</v>
      </c>
      <c r="E15" s="195" t="s">
        <v>220</v>
      </c>
      <c r="F15" s="196">
        <v>437.68099999999998</v>
      </c>
      <c r="G15" s="196">
        <v>38.421999999999997</v>
      </c>
      <c r="H15" s="196">
        <v>11</v>
      </c>
      <c r="I15" s="197">
        <v>403.50099999999998</v>
      </c>
      <c r="J15" s="197">
        <f t="shared" si="2"/>
        <v>540.83600000000001</v>
      </c>
      <c r="K15" s="196">
        <v>40.721999999999994</v>
      </c>
      <c r="L15" s="197">
        <v>540.83600000000001</v>
      </c>
      <c r="M15" s="196">
        <v>509.66399999999999</v>
      </c>
      <c r="N15" s="196">
        <v>141.876</v>
      </c>
      <c r="O15" s="197">
        <v>141.876</v>
      </c>
      <c r="S15" s="198" t="s">
        <v>228</v>
      </c>
      <c r="T15" s="199">
        <f t="shared" ca="1" si="3"/>
        <v>211.58399999999997</v>
      </c>
      <c r="U15" s="199">
        <f t="shared" ca="1" si="4"/>
        <v>470.416</v>
      </c>
      <c r="V15" s="199">
        <f t="shared" ca="1" si="5"/>
        <v>519.83799999999997</v>
      </c>
      <c r="W15" s="199">
        <f t="shared" ca="1" si="6"/>
        <v>105.337</v>
      </c>
      <c r="X15" s="199">
        <f t="shared" ca="1" si="7"/>
        <v>372.02</v>
      </c>
      <c r="Y15" s="199">
        <f t="shared" ca="1" si="8"/>
        <v>472.71600000000007</v>
      </c>
      <c r="Z15" s="199">
        <f t="shared" ca="1" si="9"/>
        <v>372.02</v>
      </c>
      <c r="AA15" s="199">
        <f t="shared" ca="1" si="10"/>
        <v>0.82600000000000007</v>
      </c>
      <c r="AB15" s="199">
        <f t="shared" ca="1" si="11"/>
        <v>650.71399999999994</v>
      </c>
      <c r="AC15" s="199">
        <f t="shared" ca="1" si="12"/>
        <v>650.71399999999994</v>
      </c>
      <c r="AF15" s="200"/>
    </row>
    <row r="16" spans="3:32" x14ac:dyDescent="0.35">
      <c r="C16" s="422"/>
      <c r="D16" s="189" t="s">
        <v>74</v>
      </c>
      <c r="E16" s="190" t="s">
        <v>220</v>
      </c>
      <c r="F16" s="191">
        <v>566.22799999999995</v>
      </c>
      <c r="G16" s="191">
        <v>166.96899999999999</v>
      </c>
      <c r="H16" s="191">
        <v>139.547</v>
      </c>
      <c r="I16" s="192">
        <v>532.048</v>
      </c>
      <c r="J16" s="192">
        <f t="shared" si="2"/>
        <v>669.38300000000004</v>
      </c>
      <c r="K16" s="191">
        <v>166.96899999999999</v>
      </c>
      <c r="L16" s="192">
        <v>669.38300000000004</v>
      </c>
      <c r="M16" s="191">
        <v>638.21100000000001</v>
      </c>
      <c r="N16" s="191">
        <v>13.329000000000001</v>
      </c>
      <c r="O16" s="192">
        <v>13.329000000000001</v>
      </c>
      <c r="S16" s="198" t="str">
        <f>D46</f>
        <v>PE-GUARAREMA (INTERCONEXÃO)</v>
      </c>
      <c r="T16" s="199">
        <f t="shared" ref="T16:AC18" si="13">F46</f>
        <v>106.247</v>
      </c>
      <c r="U16" s="199">
        <f t="shared" si="13"/>
        <v>365.07900000000001</v>
      </c>
      <c r="V16" s="199">
        <f t="shared" si="13"/>
        <v>414.50099999999998</v>
      </c>
      <c r="W16" s="199">
        <f t="shared" si="13"/>
        <v>0</v>
      </c>
      <c r="X16" s="199">
        <f t="shared" si="13"/>
        <v>266.68299999999999</v>
      </c>
      <c r="Y16" s="199">
        <f t="shared" si="13"/>
        <v>367.37900000000002</v>
      </c>
      <c r="Z16" s="199">
        <f t="shared" si="13"/>
        <v>266.68299999999999</v>
      </c>
      <c r="AA16" s="199">
        <f t="shared" si="13"/>
        <v>106.163</v>
      </c>
      <c r="AB16" s="199">
        <f t="shared" si="13"/>
        <v>545.37699999999995</v>
      </c>
      <c r="AC16" s="199">
        <f t="shared" si="13"/>
        <v>545.37699999999995</v>
      </c>
      <c r="AF16" s="200"/>
    </row>
    <row r="17" spans="3:32" x14ac:dyDescent="0.35">
      <c r="C17" s="422"/>
      <c r="D17" s="194" t="s">
        <v>75</v>
      </c>
      <c r="E17" s="195" t="s">
        <v>220</v>
      </c>
      <c r="F17" s="196">
        <v>566.22799999999995</v>
      </c>
      <c r="G17" s="196">
        <v>166.96899999999999</v>
      </c>
      <c r="H17" s="196">
        <v>139.547</v>
      </c>
      <c r="I17" s="197">
        <v>532.048</v>
      </c>
      <c r="J17" s="197">
        <f t="shared" si="2"/>
        <v>669.38300000000004</v>
      </c>
      <c r="K17" s="196">
        <v>166.96899999999999</v>
      </c>
      <c r="L17" s="197">
        <v>669.38300000000004</v>
      </c>
      <c r="M17" s="196">
        <v>638.21100000000001</v>
      </c>
      <c r="N17" s="196">
        <v>13.329000000000001</v>
      </c>
      <c r="O17" s="197">
        <v>13.329000000000001</v>
      </c>
      <c r="S17" s="198" t="str">
        <f>D47</f>
        <v>PE-REPLAN (INTERCONEXÃO)</v>
      </c>
      <c r="T17" s="199">
        <f t="shared" si="13"/>
        <v>300.863</v>
      </c>
      <c r="U17" s="199">
        <f t="shared" si="13"/>
        <v>502.41399999999999</v>
      </c>
      <c r="V17" s="199">
        <f t="shared" si="13"/>
        <v>551.83600000000001</v>
      </c>
      <c r="W17" s="199">
        <f t="shared" si="13"/>
        <v>266.68299999999999</v>
      </c>
      <c r="X17" s="199">
        <f t="shared" si="13"/>
        <v>0</v>
      </c>
      <c r="Y17" s="199">
        <f t="shared" si="13"/>
        <v>504.714</v>
      </c>
      <c r="Z17" s="199">
        <f t="shared" si="13"/>
        <v>0</v>
      </c>
      <c r="AA17" s="199">
        <f t="shared" si="13"/>
        <v>372.846</v>
      </c>
      <c r="AB17" s="199">
        <f t="shared" si="13"/>
        <v>682.71199999999999</v>
      </c>
      <c r="AC17" s="199">
        <f t="shared" si="13"/>
        <v>682.71199999999999</v>
      </c>
      <c r="AF17" s="200"/>
    </row>
    <row r="18" spans="3:32" x14ac:dyDescent="0.35">
      <c r="C18" s="422"/>
      <c r="D18" s="194" t="s">
        <v>76</v>
      </c>
      <c r="E18" s="195" t="s">
        <v>221</v>
      </c>
      <c r="F18" s="196">
        <v>352.08100000000002</v>
      </c>
      <c r="G18" s="196">
        <v>46.097999999999999</v>
      </c>
      <c r="H18" s="196">
        <v>95.519999999999982</v>
      </c>
      <c r="I18" s="197">
        <v>317.90100000000001</v>
      </c>
      <c r="J18" s="197">
        <f t="shared" ref="J18:J34" si="14">L18</f>
        <v>456.31599999999997</v>
      </c>
      <c r="K18" s="196">
        <v>41.033999999999999</v>
      </c>
      <c r="L18" s="197">
        <v>456.31599999999997</v>
      </c>
      <c r="M18" s="196">
        <v>424.06400000000002</v>
      </c>
      <c r="N18" s="196">
        <v>226.39599999999999</v>
      </c>
      <c r="O18" s="197">
        <v>226.39599999999999</v>
      </c>
      <c r="S18" s="198" t="str">
        <f>D48</f>
        <v>PE-TECAB (INTERCONEXÃO)</v>
      </c>
      <c r="T18" s="199">
        <f t="shared" si="13"/>
        <v>579.55700000000002</v>
      </c>
      <c r="U18" s="199">
        <f t="shared" si="13"/>
        <v>180.298</v>
      </c>
      <c r="V18" s="199">
        <f t="shared" si="13"/>
        <v>152.876</v>
      </c>
      <c r="W18" s="199">
        <f t="shared" si="13"/>
        <v>545.37699999999995</v>
      </c>
      <c r="X18" s="199">
        <f t="shared" si="13"/>
        <v>682.71199999999999</v>
      </c>
      <c r="Y18" s="199">
        <f t="shared" si="13"/>
        <v>180.298</v>
      </c>
      <c r="Z18" s="199">
        <f t="shared" si="13"/>
        <v>682.71199999999999</v>
      </c>
      <c r="AA18" s="199">
        <f t="shared" si="13"/>
        <v>651.54</v>
      </c>
      <c r="AB18" s="199">
        <f t="shared" si="13"/>
        <v>0</v>
      </c>
      <c r="AC18" s="199">
        <f t="shared" si="13"/>
        <v>0</v>
      </c>
      <c r="AF18" s="200"/>
    </row>
    <row r="19" spans="3:32" x14ac:dyDescent="0.35">
      <c r="C19" s="422"/>
      <c r="D19" s="189" t="s">
        <v>77</v>
      </c>
      <c r="E19" s="190" t="s">
        <v>221</v>
      </c>
      <c r="F19" s="191">
        <v>353.161</v>
      </c>
      <c r="G19" s="191">
        <v>46.097999999999999</v>
      </c>
      <c r="H19" s="191">
        <v>95.519999999999982</v>
      </c>
      <c r="I19" s="192">
        <v>318.98099999999999</v>
      </c>
      <c r="J19" s="192">
        <f t="shared" si="14"/>
        <v>456.31599999999997</v>
      </c>
      <c r="K19" s="191">
        <v>48.397999999999996</v>
      </c>
      <c r="L19" s="192">
        <v>456.31599999999997</v>
      </c>
      <c r="M19" s="191">
        <v>424.06400000000002</v>
      </c>
      <c r="N19" s="191">
        <v>226.39599999999999</v>
      </c>
      <c r="O19" s="192">
        <v>226.39599999999999</v>
      </c>
    </row>
    <row r="20" spans="3:32" x14ac:dyDescent="0.35">
      <c r="C20" s="422"/>
      <c r="D20" s="194" t="s">
        <v>78</v>
      </c>
      <c r="E20" s="195" t="s">
        <v>221</v>
      </c>
      <c r="F20" s="196">
        <v>353.161</v>
      </c>
      <c r="G20" s="196">
        <v>46.097999999999999</v>
      </c>
      <c r="H20" s="196">
        <v>95.519999999999982</v>
      </c>
      <c r="I20" s="197">
        <v>318.98099999999999</v>
      </c>
      <c r="J20" s="197">
        <f t="shared" si="14"/>
        <v>456.31599999999997</v>
      </c>
      <c r="K20" s="196">
        <v>48.397999999999996</v>
      </c>
      <c r="L20" s="197">
        <v>456.31599999999997</v>
      </c>
      <c r="M20" s="196">
        <v>424.06400000000002</v>
      </c>
      <c r="N20" s="196">
        <v>226.39599999999999</v>
      </c>
      <c r="O20" s="197">
        <v>226.39599999999999</v>
      </c>
      <c r="S20" s="139"/>
    </row>
    <row r="21" spans="3:32" x14ac:dyDescent="0.35">
      <c r="C21" s="422"/>
      <c r="D21" s="189" t="s">
        <v>79</v>
      </c>
      <c r="E21" s="190" t="s">
        <v>222</v>
      </c>
      <c r="F21" s="191">
        <v>278.76900000000001</v>
      </c>
      <c r="G21" s="191">
        <v>119.41</v>
      </c>
      <c r="H21" s="191">
        <v>168.83200000000002</v>
      </c>
      <c r="I21" s="192">
        <v>244.58899999999994</v>
      </c>
      <c r="J21" s="192">
        <f t="shared" si="14"/>
        <v>381.92399999999998</v>
      </c>
      <c r="K21" s="191">
        <v>117.11</v>
      </c>
      <c r="L21" s="192">
        <v>381.92399999999998</v>
      </c>
      <c r="M21" s="191">
        <v>350.75200000000001</v>
      </c>
      <c r="N21" s="191">
        <v>299.70800000000003</v>
      </c>
      <c r="O21" s="192">
        <v>299.70800000000003</v>
      </c>
      <c r="S21" s="139"/>
    </row>
    <row r="22" spans="3:32" x14ac:dyDescent="0.35">
      <c r="C22" s="422"/>
      <c r="D22" s="194" t="s">
        <v>80</v>
      </c>
      <c r="E22" s="195" t="s">
        <v>222</v>
      </c>
      <c r="F22" s="196">
        <v>291.45699999999999</v>
      </c>
      <c r="G22" s="196">
        <v>106.72199999999999</v>
      </c>
      <c r="H22" s="196">
        <v>156.14399999999998</v>
      </c>
      <c r="I22" s="197">
        <v>257.27699999999993</v>
      </c>
      <c r="J22" s="197">
        <f t="shared" si="14"/>
        <v>394.61200000000002</v>
      </c>
      <c r="K22" s="196">
        <v>104.422</v>
      </c>
      <c r="L22" s="197">
        <v>394.61200000000002</v>
      </c>
      <c r="M22" s="196">
        <v>363.44</v>
      </c>
      <c r="N22" s="196">
        <v>287.02</v>
      </c>
      <c r="O22" s="197">
        <v>287.02</v>
      </c>
      <c r="S22" s="139"/>
    </row>
    <row r="23" spans="3:32" x14ac:dyDescent="0.35">
      <c r="C23" s="422"/>
      <c r="D23" s="189" t="s">
        <v>83</v>
      </c>
      <c r="E23" s="190" t="s">
        <v>222</v>
      </c>
      <c r="F23" s="191">
        <v>304.05500000000001</v>
      </c>
      <c r="G23" s="191">
        <v>105.03400000000001</v>
      </c>
      <c r="H23" s="191">
        <v>154.45599999999999</v>
      </c>
      <c r="I23" s="192">
        <v>269.875</v>
      </c>
      <c r="J23" s="192">
        <f t="shared" si="14"/>
        <v>515.25199999999995</v>
      </c>
      <c r="K23" s="191">
        <v>105.03400000000001</v>
      </c>
      <c r="L23" s="192">
        <v>515.25199999999995</v>
      </c>
      <c r="M23" s="191">
        <v>376.03800000000001</v>
      </c>
      <c r="N23" s="191">
        <v>285.33199999999999</v>
      </c>
      <c r="O23" s="192">
        <v>285.33199999999999</v>
      </c>
      <c r="S23" s="139"/>
    </row>
    <row r="24" spans="3:32" x14ac:dyDescent="0.35">
      <c r="C24" s="422"/>
      <c r="D24" s="194" t="s">
        <v>82</v>
      </c>
      <c r="E24" s="195" t="s">
        <v>222</v>
      </c>
      <c r="F24" s="196">
        <v>322.28199999999998</v>
      </c>
      <c r="G24" s="196">
        <v>75.897000000000006</v>
      </c>
      <c r="H24" s="196">
        <v>125.31899999999999</v>
      </c>
      <c r="I24" s="197">
        <v>288.10199999999998</v>
      </c>
      <c r="J24" s="197">
        <f t="shared" si="14"/>
        <v>486.11500000000001</v>
      </c>
      <c r="K24" s="196">
        <v>71.233000000000004</v>
      </c>
      <c r="L24" s="197">
        <v>486.11500000000001</v>
      </c>
      <c r="M24" s="196">
        <v>394.26499999999999</v>
      </c>
      <c r="N24" s="196">
        <v>256.19499999999999</v>
      </c>
      <c r="O24" s="197">
        <v>256.19499999999999</v>
      </c>
      <c r="S24" s="139"/>
    </row>
    <row r="25" spans="3:32" x14ac:dyDescent="0.35">
      <c r="C25" s="422"/>
      <c r="D25" s="189" t="s">
        <v>81</v>
      </c>
      <c r="E25" s="190" t="s">
        <v>222</v>
      </c>
      <c r="F25" s="191">
        <v>341.55500000000001</v>
      </c>
      <c r="G25" s="191">
        <v>56.624000000000002</v>
      </c>
      <c r="H25" s="191">
        <v>106.04599999999999</v>
      </c>
      <c r="I25" s="192">
        <v>307.375</v>
      </c>
      <c r="J25" s="192">
        <f t="shared" si="14"/>
        <v>466.84199999999998</v>
      </c>
      <c r="K25" s="191">
        <v>51.96</v>
      </c>
      <c r="L25" s="192">
        <v>466.84199999999998</v>
      </c>
      <c r="M25" s="191">
        <v>413.53800000000001</v>
      </c>
      <c r="N25" s="191">
        <v>236.922</v>
      </c>
      <c r="O25" s="192">
        <v>236.922</v>
      </c>
      <c r="S25" s="139"/>
    </row>
    <row r="26" spans="3:32" x14ac:dyDescent="0.35">
      <c r="C26" s="422"/>
      <c r="D26" s="194" t="s">
        <v>84</v>
      </c>
      <c r="E26" s="195" t="s">
        <v>223</v>
      </c>
      <c r="F26" s="196">
        <v>244.471</v>
      </c>
      <c r="G26" s="196">
        <v>154.518</v>
      </c>
      <c r="H26" s="196">
        <v>203.93999999999997</v>
      </c>
      <c r="I26" s="197">
        <v>210.56099999999998</v>
      </c>
      <c r="J26" s="197">
        <f t="shared" si="14"/>
        <v>347.89600000000002</v>
      </c>
      <c r="K26" s="196">
        <v>156.81800000000001</v>
      </c>
      <c r="L26" s="197">
        <v>347.89600000000002</v>
      </c>
      <c r="M26" s="196">
        <v>316.72399999999999</v>
      </c>
      <c r="N26" s="196">
        <v>334.81599999999997</v>
      </c>
      <c r="O26" s="197">
        <v>334.81599999999997</v>
      </c>
      <c r="S26" s="139"/>
    </row>
    <row r="27" spans="3:32" x14ac:dyDescent="0.35">
      <c r="C27" s="422"/>
      <c r="D27" s="189" t="s">
        <v>85</v>
      </c>
      <c r="E27" s="190" t="s">
        <v>224</v>
      </c>
      <c r="F27" s="191">
        <v>390.27800000000002</v>
      </c>
      <c r="G27" s="191">
        <v>70.861000000000004</v>
      </c>
      <c r="H27" s="191">
        <v>122.583</v>
      </c>
      <c r="I27" s="192">
        <v>356.09800000000001</v>
      </c>
      <c r="J27" s="192">
        <f t="shared" si="14"/>
        <v>493.43299999999999</v>
      </c>
      <c r="K27" s="191">
        <v>68.161000000000001</v>
      </c>
      <c r="L27" s="192">
        <v>493.43299999999999</v>
      </c>
      <c r="M27" s="191">
        <v>462.26100000000002</v>
      </c>
      <c r="N27" s="191">
        <v>253.459</v>
      </c>
      <c r="O27" s="192">
        <v>253.459</v>
      </c>
      <c r="S27" s="139"/>
    </row>
    <row r="28" spans="3:32" x14ac:dyDescent="0.35">
      <c r="C28" s="423"/>
      <c r="D28" s="194" t="s">
        <v>86</v>
      </c>
      <c r="E28" s="195" t="s">
        <v>224</v>
      </c>
      <c r="F28" s="196">
        <v>401.55900000000003</v>
      </c>
      <c r="G28" s="196">
        <v>2.2999999999999998</v>
      </c>
      <c r="H28" s="196">
        <v>51.722000000000008</v>
      </c>
      <c r="I28" s="197">
        <v>359.34</v>
      </c>
      <c r="J28" s="197">
        <f t="shared" si="14"/>
        <v>504.714</v>
      </c>
      <c r="K28" s="196">
        <v>0</v>
      </c>
      <c r="L28" s="197">
        <v>504.714</v>
      </c>
      <c r="M28" s="196">
        <v>465.49799999999999</v>
      </c>
      <c r="N28" s="196">
        <v>182.59800000000001</v>
      </c>
      <c r="O28" s="197">
        <v>182.59800000000001</v>
      </c>
      <c r="S28" s="139"/>
    </row>
    <row r="29" spans="3:32" x14ac:dyDescent="0.35">
      <c r="C29" s="421" t="s">
        <v>87</v>
      </c>
      <c r="D29" s="189" t="s">
        <v>89</v>
      </c>
      <c r="E29" s="190" t="s">
        <v>225</v>
      </c>
      <c r="F29" s="191">
        <v>111.196</v>
      </c>
      <c r="G29" s="191">
        <v>312.74700000000001</v>
      </c>
      <c r="H29" s="191">
        <v>362.16899999999998</v>
      </c>
      <c r="I29" s="192">
        <v>77.016000000000005</v>
      </c>
      <c r="J29" s="192">
        <f t="shared" si="14"/>
        <v>189.667</v>
      </c>
      <c r="K29" s="191">
        <v>315.04700000000003</v>
      </c>
      <c r="L29" s="192">
        <v>189.667</v>
      </c>
      <c r="M29" s="191">
        <v>183.179</v>
      </c>
      <c r="N29" s="191">
        <v>493.04500000000002</v>
      </c>
      <c r="O29" s="192">
        <v>493.04500000000002</v>
      </c>
      <c r="S29" s="139"/>
    </row>
    <row r="30" spans="3:32" x14ac:dyDescent="0.35">
      <c r="C30" s="422"/>
      <c r="D30" s="194" t="s">
        <v>90</v>
      </c>
      <c r="E30" s="195" t="s">
        <v>225</v>
      </c>
      <c r="F30" s="196">
        <v>128.608</v>
      </c>
      <c r="G30" s="196">
        <v>330.15899999999999</v>
      </c>
      <c r="H30" s="196">
        <v>318.99300000000005</v>
      </c>
      <c r="I30" s="197">
        <v>94.427999999999997</v>
      </c>
      <c r="J30" s="197">
        <f t="shared" si="14"/>
        <v>231.76300000000001</v>
      </c>
      <c r="K30" s="196">
        <v>264.90699999999998</v>
      </c>
      <c r="L30" s="197">
        <v>231.76300000000001</v>
      </c>
      <c r="M30" s="196">
        <v>200.59100000000001</v>
      </c>
      <c r="N30" s="196">
        <v>449.86900000000003</v>
      </c>
      <c r="O30" s="197">
        <v>449.86900000000003</v>
      </c>
      <c r="S30" s="139"/>
    </row>
    <row r="31" spans="3:32" x14ac:dyDescent="0.35">
      <c r="C31" s="422"/>
      <c r="D31" s="189" t="s">
        <v>91</v>
      </c>
      <c r="E31" s="190" t="s">
        <v>225</v>
      </c>
      <c r="F31" s="191">
        <v>162.661</v>
      </c>
      <c r="G31" s="191">
        <v>236.59800000000001</v>
      </c>
      <c r="H31" s="191">
        <v>286.02</v>
      </c>
      <c r="I31" s="192">
        <v>128.48100000000005</v>
      </c>
      <c r="J31" s="192">
        <f t="shared" si="14"/>
        <v>265.81599999999997</v>
      </c>
      <c r="K31" s="191">
        <v>238.89800000000002</v>
      </c>
      <c r="L31" s="192">
        <v>265.81599999999997</v>
      </c>
      <c r="M31" s="191">
        <v>234.64400000000001</v>
      </c>
      <c r="N31" s="191">
        <v>416.89600000000002</v>
      </c>
      <c r="O31" s="192">
        <v>416.89600000000002</v>
      </c>
      <c r="S31" s="139"/>
    </row>
    <row r="32" spans="3:32" x14ac:dyDescent="0.35">
      <c r="C32" s="422"/>
      <c r="D32" s="194" t="s">
        <v>92</v>
      </c>
      <c r="E32" s="195" t="s">
        <v>225</v>
      </c>
      <c r="F32" s="196">
        <v>166.572</v>
      </c>
      <c r="G32" s="196">
        <v>368.12299999999999</v>
      </c>
      <c r="H32" s="196">
        <v>281.029</v>
      </c>
      <c r="I32" s="197">
        <v>132.392</v>
      </c>
      <c r="J32" s="197">
        <f t="shared" si="14"/>
        <v>269.72699999999998</v>
      </c>
      <c r="K32" s="196">
        <v>226.94300000000001</v>
      </c>
      <c r="L32" s="197">
        <v>269.72699999999998</v>
      </c>
      <c r="M32" s="196">
        <v>238.55500000000001</v>
      </c>
      <c r="N32" s="196">
        <v>411.90499999999997</v>
      </c>
      <c r="O32" s="197">
        <v>411.90499999999997</v>
      </c>
      <c r="S32" s="139"/>
    </row>
    <row r="33" spans="3:22" x14ac:dyDescent="0.35">
      <c r="C33" s="422"/>
      <c r="D33" s="189" t="s">
        <v>93</v>
      </c>
      <c r="E33" s="190" t="s">
        <v>225</v>
      </c>
      <c r="F33" s="191">
        <v>190.24299999999999</v>
      </c>
      <c r="G33" s="191">
        <v>391.79399999999998</v>
      </c>
      <c r="H33" s="191">
        <v>257.35799999999995</v>
      </c>
      <c r="I33" s="192">
        <v>156.06299999999999</v>
      </c>
      <c r="J33" s="192">
        <f t="shared" si="14"/>
        <v>293.39800000000002</v>
      </c>
      <c r="K33" s="191">
        <v>203.27199999999999</v>
      </c>
      <c r="L33" s="192">
        <v>293.39800000000002</v>
      </c>
      <c r="M33" s="191">
        <v>262.226</v>
      </c>
      <c r="N33" s="191">
        <v>388.23399999999998</v>
      </c>
      <c r="O33" s="192">
        <v>388.23399999999998</v>
      </c>
      <c r="S33" s="139"/>
    </row>
    <row r="34" spans="3:22" x14ac:dyDescent="0.35">
      <c r="C34" s="422"/>
      <c r="D34" s="194" t="s">
        <v>88</v>
      </c>
      <c r="E34" s="195" t="s">
        <v>225</v>
      </c>
      <c r="F34" s="196">
        <v>217.77699999999999</v>
      </c>
      <c r="G34" s="196">
        <v>419.32799999999997</v>
      </c>
      <c r="H34" s="196">
        <v>468.75</v>
      </c>
      <c r="I34" s="197">
        <v>183.59700000000001</v>
      </c>
      <c r="J34" s="197">
        <f t="shared" si="14"/>
        <v>83.085999999999999</v>
      </c>
      <c r="K34" s="196">
        <v>421.62799999999999</v>
      </c>
      <c r="L34" s="197">
        <v>83.085999999999999</v>
      </c>
      <c r="M34" s="196">
        <v>289.76</v>
      </c>
      <c r="N34" s="196">
        <v>599.62599999999998</v>
      </c>
      <c r="O34" s="197">
        <v>599.62599999999998</v>
      </c>
      <c r="S34" s="139"/>
    </row>
    <row r="35" spans="3:22" x14ac:dyDescent="0.35">
      <c r="C35" s="422"/>
      <c r="D35" s="194" t="s">
        <v>95</v>
      </c>
      <c r="E35" s="195" t="s">
        <v>226</v>
      </c>
      <c r="F35" s="196">
        <v>66.924999999999997</v>
      </c>
      <c r="G35" s="196">
        <v>328.99900000000002</v>
      </c>
      <c r="H35" s="196">
        <v>377.34100000000001</v>
      </c>
      <c r="I35" s="197">
        <v>36.08</v>
      </c>
      <c r="J35" s="197">
        <f t="shared" ref="J35:J45" si="15">L35</f>
        <v>230.60300000000001</v>
      </c>
      <c r="K35" s="196">
        <v>331.29900000000004</v>
      </c>
      <c r="L35" s="197">
        <v>230.60300000000001</v>
      </c>
      <c r="M35" s="196">
        <v>142.24299999999999</v>
      </c>
      <c r="N35" s="196">
        <v>508.21699999999998</v>
      </c>
      <c r="O35" s="197">
        <v>508.21699999999998</v>
      </c>
      <c r="S35" s="139"/>
    </row>
    <row r="36" spans="3:22" x14ac:dyDescent="0.35">
      <c r="C36" s="422"/>
      <c r="D36" s="189" t="s">
        <v>96</v>
      </c>
      <c r="E36" s="190" t="s">
        <v>226</v>
      </c>
      <c r="F36" s="191">
        <v>66.924999999999997</v>
      </c>
      <c r="G36" s="191">
        <v>328.99900000000002</v>
      </c>
      <c r="H36" s="191">
        <v>377.34100000000001</v>
      </c>
      <c r="I36" s="192">
        <v>36.08</v>
      </c>
      <c r="J36" s="192">
        <f t="shared" si="15"/>
        <v>230.60300000000001</v>
      </c>
      <c r="K36" s="191">
        <v>331.29900000000004</v>
      </c>
      <c r="L36" s="192">
        <v>230.60300000000001</v>
      </c>
      <c r="M36" s="191">
        <v>142.24299999999999</v>
      </c>
      <c r="N36" s="191">
        <v>508.21699999999998</v>
      </c>
      <c r="O36" s="192">
        <v>508.21699999999998</v>
      </c>
      <c r="S36" s="139"/>
    </row>
    <row r="37" spans="3:22" x14ac:dyDescent="0.35">
      <c r="C37" s="422"/>
      <c r="D37" s="194" t="s">
        <v>94</v>
      </c>
      <c r="E37" s="195" t="s">
        <v>226</v>
      </c>
      <c r="F37" s="196">
        <v>98.853999999999999</v>
      </c>
      <c r="G37" s="196">
        <v>300.40499999999997</v>
      </c>
      <c r="H37" s="196">
        <v>348.74699999999996</v>
      </c>
      <c r="I37" s="197">
        <v>64.674000000000007</v>
      </c>
      <c r="J37" s="197">
        <f t="shared" si="15"/>
        <v>202.00899999999999</v>
      </c>
      <c r="K37" s="196">
        <v>302.70499999999998</v>
      </c>
      <c r="L37" s="197">
        <v>202.00899999999999</v>
      </c>
      <c r="M37" s="196">
        <v>170.83699999999999</v>
      </c>
      <c r="N37" s="196">
        <v>479.62299999999999</v>
      </c>
      <c r="O37" s="197">
        <v>479.62299999999999</v>
      </c>
      <c r="S37" s="139"/>
    </row>
    <row r="38" spans="3:22" x14ac:dyDescent="0.35">
      <c r="C38" s="422"/>
      <c r="D38" s="194" t="s">
        <v>97</v>
      </c>
      <c r="E38" s="195" t="s">
        <v>227</v>
      </c>
      <c r="F38" s="196">
        <v>141.17599999999999</v>
      </c>
      <c r="G38" s="196">
        <v>400.00799999999998</v>
      </c>
      <c r="H38" s="196">
        <v>448.35</v>
      </c>
      <c r="I38" s="197">
        <v>34.929000000000002</v>
      </c>
      <c r="J38" s="197">
        <f t="shared" si="15"/>
        <v>301.61200000000002</v>
      </c>
      <c r="K38" s="196">
        <v>402.30799999999999</v>
      </c>
      <c r="L38" s="197">
        <v>301.61200000000002</v>
      </c>
      <c r="M38" s="196">
        <v>70.236000000000004</v>
      </c>
      <c r="N38" s="196">
        <v>579.226</v>
      </c>
      <c r="O38" s="197">
        <v>579.226</v>
      </c>
      <c r="S38" s="139"/>
    </row>
    <row r="39" spans="3:22" x14ac:dyDescent="0.35">
      <c r="C39" s="422"/>
      <c r="D39" s="189" t="s">
        <v>98</v>
      </c>
      <c r="E39" s="190" t="s">
        <v>227</v>
      </c>
      <c r="F39" s="191">
        <v>170.52600000000001</v>
      </c>
      <c r="G39" s="191">
        <v>429.358</v>
      </c>
      <c r="H39" s="191">
        <v>476.702</v>
      </c>
      <c r="I39" s="192">
        <v>64.278999999999996</v>
      </c>
      <c r="J39" s="192">
        <f t="shared" si="15"/>
        <v>330.96199999999999</v>
      </c>
      <c r="K39" s="191">
        <v>431.65800000000002</v>
      </c>
      <c r="L39" s="192">
        <v>330.96199999999999</v>
      </c>
      <c r="M39" s="191">
        <v>60.747999999999998</v>
      </c>
      <c r="N39" s="191">
        <v>607.57799999999997</v>
      </c>
      <c r="O39" s="192">
        <v>607.57799999999997</v>
      </c>
      <c r="S39" s="139"/>
    </row>
    <row r="40" spans="3:22" x14ac:dyDescent="0.35">
      <c r="C40" s="422"/>
      <c r="D40" s="194" t="s">
        <v>99</v>
      </c>
      <c r="E40" s="195" t="s">
        <v>227</v>
      </c>
      <c r="F40" s="196">
        <v>170.52600000000001</v>
      </c>
      <c r="G40" s="196">
        <v>429.358</v>
      </c>
      <c r="H40" s="196">
        <v>476.702</v>
      </c>
      <c r="I40" s="197">
        <v>64.278999999999996</v>
      </c>
      <c r="J40" s="197">
        <f t="shared" si="15"/>
        <v>330.96199999999999</v>
      </c>
      <c r="K40" s="196">
        <v>431.65800000000002</v>
      </c>
      <c r="L40" s="197">
        <v>330.96199999999999</v>
      </c>
      <c r="M40" s="196">
        <v>60.747999999999998</v>
      </c>
      <c r="N40" s="196">
        <v>607.57799999999997</v>
      </c>
      <c r="O40" s="197">
        <v>607.57799999999997</v>
      </c>
      <c r="S40" s="139"/>
    </row>
    <row r="41" spans="3:22" x14ac:dyDescent="0.35">
      <c r="C41" s="422"/>
      <c r="D41" s="189" t="s">
        <v>100</v>
      </c>
      <c r="E41" s="190" t="s">
        <v>227</v>
      </c>
      <c r="F41" s="191">
        <v>194.40700000000001</v>
      </c>
      <c r="G41" s="191">
        <v>453.23899999999998</v>
      </c>
      <c r="H41" s="191">
        <v>502.66100000000006</v>
      </c>
      <c r="I41" s="192">
        <v>88.16</v>
      </c>
      <c r="J41" s="192">
        <f t="shared" si="15"/>
        <v>354.84300000000002</v>
      </c>
      <c r="K41" s="191">
        <v>455.53899999999999</v>
      </c>
      <c r="L41" s="192">
        <v>354.84300000000002</v>
      </c>
      <c r="M41" s="191">
        <v>18.003</v>
      </c>
      <c r="N41" s="191">
        <v>633.53700000000003</v>
      </c>
      <c r="O41" s="192">
        <v>633.53700000000003</v>
      </c>
      <c r="S41" s="139"/>
    </row>
    <row r="42" spans="3:22" x14ac:dyDescent="0.35">
      <c r="C42" s="422"/>
      <c r="D42" s="194" t="s">
        <v>101</v>
      </c>
      <c r="E42" s="195" t="s">
        <v>227</v>
      </c>
      <c r="F42" s="196">
        <v>206.37100000000001</v>
      </c>
      <c r="G42" s="196">
        <v>465.20299999999997</v>
      </c>
      <c r="H42" s="196">
        <v>514.625</v>
      </c>
      <c r="I42" s="197">
        <v>100.124</v>
      </c>
      <c r="J42" s="197">
        <f t="shared" si="15"/>
        <v>366.80700000000002</v>
      </c>
      <c r="K42" s="196">
        <v>467.50299999999999</v>
      </c>
      <c r="L42" s="197">
        <v>366.80700000000002</v>
      </c>
      <c r="M42" s="196">
        <v>20.484999999999999</v>
      </c>
      <c r="N42" s="196">
        <v>645.50099999999998</v>
      </c>
      <c r="O42" s="197">
        <v>645.50099999999998</v>
      </c>
      <c r="R42" s="201"/>
      <c r="T42" s="201"/>
      <c r="U42" s="201"/>
      <c r="V42" s="201"/>
    </row>
    <row r="43" spans="3:22" s="201" customFormat="1" x14ac:dyDescent="0.35">
      <c r="C43" s="422"/>
      <c r="D43" s="189" t="s">
        <v>103</v>
      </c>
      <c r="E43" s="190" t="s">
        <v>228</v>
      </c>
      <c r="F43" s="191">
        <v>209.93199999999999</v>
      </c>
      <c r="G43" s="191">
        <v>468.76400000000001</v>
      </c>
      <c r="H43" s="191">
        <v>518.18600000000004</v>
      </c>
      <c r="I43" s="192">
        <v>103.685</v>
      </c>
      <c r="J43" s="192">
        <f t="shared" si="15"/>
        <v>370.36799999999999</v>
      </c>
      <c r="K43" s="191">
        <v>471.06400000000002</v>
      </c>
      <c r="L43" s="192">
        <v>370.36799999999999</v>
      </c>
      <c r="M43" s="191">
        <v>2.4780000000000002</v>
      </c>
      <c r="N43" s="191">
        <v>649.06200000000001</v>
      </c>
      <c r="O43" s="192">
        <v>649.06200000000001</v>
      </c>
      <c r="R43" s="139"/>
      <c r="S43" s="139"/>
      <c r="T43" s="139"/>
      <c r="U43" s="139"/>
      <c r="V43" s="139"/>
    </row>
    <row r="44" spans="3:22" x14ac:dyDescent="0.35">
      <c r="C44" s="422"/>
      <c r="D44" s="194" t="s">
        <v>102</v>
      </c>
      <c r="E44" s="195" t="s">
        <v>228</v>
      </c>
      <c r="F44" s="196">
        <v>212.41</v>
      </c>
      <c r="G44" s="196">
        <v>471.24200000000002</v>
      </c>
      <c r="H44" s="196">
        <v>520.66399999999999</v>
      </c>
      <c r="I44" s="197">
        <v>106.163</v>
      </c>
      <c r="J44" s="197">
        <f t="shared" si="15"/>
        <v>372.846</v>
      </c>
      <c r="K44" s="196">
        <v>473.54200000000003</v>
      </c>
      <c r="L44" s="197">
        <v>372.846</v>
      </c>
      <c r="M44" s="196">
        <v>0</v>
      </c>
      <c r="N44" s="196">
        <v>651.54</v>
      </c>
      <c r="O44" s="197">
        <v>651.54</v>
      </c>
      <c r="S44" s="139"/>
    </row>
    <row r="45" spans="3:22" x14ac:dyDescent="0.35">
      <c r="C45" s="423"/>
      <c r="D45" s="189" t="s">
        <v>104</v>
      </c>
      <c r="E45" s="190" t="s">
        <v>228</v>
      </c>
      <c r="F45" s="191">
        <v>212.41</v>
      </c>
      <c r="G45" s="191">
        <v>471.24200000000002</v>
      </c>
      <c r="H45" s="191">
        <v>520.66399999999999</v>
      </c>
      <c r="I45" s="192">
        <v>106.163</v>
      </c>
      <c r="J45" s="192">
        <f t="shared" si="15"/>
        <v>372.846</v>
      </c>
      <c r="K45" s="191">
        <v>473.54200000000003</v>
      </c>
      <c r="L45" s="192">
        <v>372.846</v>
      </c>
      <c r="M45" s="191">
        <v>0</v>
      </c>
      <c r="N45" s="191">
        <v>651.54</v>
      </c>
      <c r="O45" s="192">
        <v>651.54</v>
      </c>
      <c r="S45" s="139"/>
    </row>
    <row r="46" spans="3:22" x14ac:dyDescent="0.35">
      <c r="C46"/>
      <c r="D46" s="194" t="s">
        <v>269</v>
      </c>
      <c r="E46" s="195"/>
      <c r="F46" s="196">
        <v>106.247</v>
      </c>
      <c r="G46" s="196">
        <v>365.07900000000001</v>
      </c>
      <c r="H46" s="196">
        <v>414.50099999999998</v>
      </c>
      <c r="I46" s="196">
        <v>0</v>
      </c>
      <c r="J46" s="196">
        <v>266.68299999999999</v>
      </c>
      <c r="K46" s="196">
        <v>367.37900000000002</v>
      </c>
      <c r="L46" s="196">
        <v>266.68299999999999</v>
      </c>
      <c r="M46" s="196">
        <v>106.163</v>
      </c>
      <c r="N46" s="196">
        <v>545.37699999999995</v>
      </c>
      <c r="O46" s="196">
        <v>545.37699999999995</v>
      </c>
      <c r="S46" s="139"/>
    </row>
    <row r="47" spans="3:22" x14ac:dyDescent="0.35">
      <c r="C47"/>
      <c r="D47" s="189" t="s">
        <v>268</v>
      </c>
      <c r="E47" s="190"/>
      <c r="F47" s="191">
        <v>300.863</v>
      </c>
      <c r="G47" s="191">
        <v>502.41399999999999</v>
      </c>
      <c r="H47" s="191">
        <v>551.83600000000001</v>
      </c>
      <c r="I47" s="191">
        <v>266.68299999999999</v>
      </c>
      <c r="J47" s="191">
        <v>0</v>
      </c>
      <c r="K47" s="191">
        <v>504.714</v>
      </c>
      <c r="L47" s="191">
        <v>0</v>
      </c>
      <c r="M47" s="191">
        <v>372.846</v>
      </c>
      <c r="N47" s="191">
        <v>682.71199999999999</v>
      </c>
      <c r="O47" s="191">
        <v>682.71199999999999</v>
      </c>
      <c r="S47" s="139"/>
    </row>
    <row r="48" spans="3:22" x14ac:dyDescent="0.35">
      <c r="C48"/>
      <c r="D48" s="194" t="s">
        <v>267</v>
      </c>
      <c r="E48" s="195"/>
      <c r="F48" s="196">
        <v>579.55700000000002</v>
      </c>
      <c r="G48" s="196">
        <v>180.298</v>
      </c>
      <c r="H48" s="196">
        <v>152.876</v>
      </c>
      <c r="I48" s="197">
        <v>545.37699999999995</v>
      </c>
      <c r="J48" s="197">
        <v>682.71199999999999</v>
      </c>
      <c r="K48" s="196">
        <v>180.298</v>
      </c>
      <c r="L48" s="197">
        <v>682.71199999999999</v>
      </c>
      <c r="M48" s="196">
        <v>651.54</v>
      </c>
      <c r="N48" s="196">
        <v>0</v>
      </c>
      <c r="O48" s="197">
        <v>0</v>
      </c>
      <c r="S48" s="139"/>
    </row>
    <row r="49" spans="3:22" x14ac:dyDescent="0.35">
      <c r="C49" s="202"/>
      <c r="S49" s="139"/>
    </row>
    <row r="50" spans="3:22" x14ac:dyDescent="0.35">
      <c r="C50" s="202"/>
      <c r="S50" s="139"/>
    </row>
    <row r="51" spans="3:22" x14ac:dyDescent="0.35">
      <c r="C51" s="202"/>
      <c r="S51" s="139"/>
    </row>
    <row r="52" spans="3:22" x14ac:dyDescent="0.35">
      <c r="C52" s="202"/>
      <c r="S52" s="139"/>
    </row>
    <row r="53" spans="3:22" x14ac:dyDescent="0.35">
      <c r="C53" s="202"/>
      <c r="S53" s="204"/>
      <c r="T53" s="200"/>
      <c r="U53" s="200"/>
      <c r="V53" s="200"/>
    </row>
    <row r="54" spans="3:22" x14ac:dyDescent="0.35">
      <c r="C54" s="202"/>
      <c r="S54" s="204"/>
      <c r="T54" s="200"/>
      <c r="U54" s="200"/>
      <c r="V54" s="200"/>
    </row>
    <row r="55" spans="3:22" x14ac:dyDescent="0.35">
      <c r="S55" s="204"/>
      <c r="T55" s="200"/>
      <c r="U55" s="200"/>
      <c r="V55" s="200"/>
    </row>
    <row r="56" spans="3:22" x14ac:dyDescent="0.35">
      <c r="S56" s="204"/>
      <c r="T56" s="200"/>
      <c r="U56" s="200"/>
      <c r="V56" s="200"/>
    </row>
    <row r="57" spans="3:22" x14ac:dyDescent="0.35">
      <c r="S57" s="204"/>
      <c r="T57" s="200"/>
      <c r="U57" s="200"/>
      <c r="V57" s="200"/>
    </row>
    <row r="58" spans="3:22" x14ac:dyDescent="0.35">
      <c r="S58" s="204"/>
      <c r="T58" s="200"/>
      <c r="U58" s="200"/>
      <c r="V58" s="200"/>
    </row>
    <row r="59" spans="3:22" x14ac:dyDescent="0.35">
      <c r="S59" s="204"/>
      <c r="T59" s="200"/>
      <c r="U59" s="200"/>
      <c r="V59" s="200"/>
    </row>
    <row r="60" spans="3:22" x14ac:dyDescent="0.35">
      <c r="S60" s="204"/>
      <c r="T60" s="200"/>
      <c r="U60" s="200"/>
      <c r="V60" s="200"/>
    </row>
    <row r="61" spans="3:22" x14ac:dyDescent="0.35">
      <c r="S61" s="204"/>
      <c r="T61" s="200"/>
      <c r="U61" s="200"/>
      <c r="V61" s="200"/>
    </row>
    <row r="62" spans="3:22" x14ac:dyDescent="0.35">
      <c r="S62" s="204"/>
      <c r="T62" s="200"/>
      <c r="U62" s="200"/>
      <c r="V62" s="200"/>
    </row>
    <row r="63" spans="3:22" x14ac:dyDescent="0.35">
      <c r="S63" s="204"/>
      <c r="T63" s="200"/>
      <c r="U63" s="200"/>
      <c r="V63" s="200"/>
    </row>
    <row r="64" spans="3:22" x14ac:dyDescent="0.35">
      <c r="S64" s="204"/>
      <c r="T64" s="200"/>
      <c r="U64" s="200"/>
      <c r="V64" s="200"/>
    </row>
    <row r="65" spans="19:22" x14ac:dyDescent="0.35">
      <c r="S65" s="204"/>
      <c r="T65" s="200"/>
      <c r="U65" s="200"/>
      <c r="V65" s="200"/>
    </row>
    <row r="66" spans="19:22" x14ac:dyDescent="0.35">
      <c r="S66" s="204"/>
      <c r="T66" s="200"/>
      <c r="U66" s="200"/>
      <c r="V66" s="200"/>
    </row>
    <row r="67" spans="19:22" x14ac:dyDescent="0.35">
      <c r="S67" s="204"/>
      <c r="T67" s="200"/>
      <c r="U67" s="200"/>
      <c r="V67" s="200"/>
    </row>
    <row r="68" spans="19:22" x14ac:dyDescent="0.35">
      <c r="S68" s="204"/>
      <c r="T68" s="200"/>
      <c r="U68" s="200"/>
      <c r="V68" s="200"/>
    </row>
    <row r="69" spans="19:22" x14ac:dyDescent="0.35">
      <c r="S69" s="204"/>
      <c r="T69" s="200"/>
      <c r="U69" s="200"/>
      <c r="V69" s="200"/>
    </row>
    <row r="70" spans="19:22" x14ac:dyDescent="0.35">
      <c r="S70" s="204"/>
      <c r="T70" s="200"/>
      <c r="U70" s="200"/>
      <c r="V70" s="200"/>
    </row>
    <row r="71" spans="19:22" x14ac:dyDescent="0.35">
      <c r="S71" s="204"/>
      <c r="T71" s="200"/>
      <c r="U71" s="200"/>
      <c r="V71" s="200"/>
    </row>
    <row r="72" spans="19:22" x14ac:dyDescent="0.35">
      <c r="S72" s="204"/>
      <c r="T72" s="200"/>
      <c r="U72" s="200"/>
      <c r="V72" s="200"/>
    </row>
    <row r="73" spans="19:22" x14ac:dyDescent="0.35">
      <c r="S73" s="204"/>
      <c r="T73" s="200"/>
      <c r="U73" s="200"/>
      <c r="V73" s="200"/>
    </row>
    <row r="74" spans="19:22" x14ac:dyDescent="0.35">
      <c r="S74" s="204"/>
      <c r="T74" s="200"/>
      <c r="U74" s="200"/>
      <c r="V74" s="200"/>
    </row>
    <row r="75" spans="19:22" x14ac:dyDescent="0.35">
      <c r="S75" s="204"/>
      <c r="T75" s="200"/>
      <c r="U75" s="200"/>
      <c r="V75" s="200"/>
    </row>
    <row r="76" spans="19:22" x14ac:dyDescent="0.35">
      <c r="S76" s="204"/>
      <c r="T76" s="200"/>
      <c r="U76" s="200"/>
      <c r="V76" s="200"/>
    </row>
    <row r="77" spans="19:22" x14ac:dyDescent="0.35">
      <c r="S77" s="204"/>
      <c r="T77" s="200"/>
      <c r="U77" s="200"/>
      <c r="V77" s="200"/>
    </row>
    <row r="78" spans="19:22" x14ac:dyDescent="0.35">
      <c r="S78" s="204"/>
      <c r="T78" s="200"/>
      <c r="U78" s="200"/>
      <c r="V78" s="200"/>
    </row>
    <row r="79" spans="19:22" x14ac:dyDescent="0.35">
      <c r="S79" s="204"/>
      <c r="T79" s="200"/>
      <c r="U79" s="200"/>
      <c r="V79" s="200"/>
    </row>
    <row r="80" spans="19:22" x14ac:dyDescent="0.35">
      <c r="S80" s="204"/>
      <c r="T80" s="200"/>
      <c r="U80" s="200"/>
      <c r="V80" s="200"/>
    </row>
    <row r="81" spans="19:22" x14ac:dyDescent="0.35">
      <c r="S81" s="204"/>
      <c r="T81" s="200"/>
      <c r="U81" s="200"/>
      <c r="V81" s="200"/>
    </row>
    <row r="82" spans="19:22" x14ac:dyDescent="0.35">
      <c r="S82" s="204"/>
      <c r="T82" s="200"/>
      <c r="U82" s="200"/>
      <c r="V82" s="200"/>
    </row>
    <row r="83" spans="19:22" x14ac:dyDescent="0.35">
      <c r="S83" s="204"/>
      <c r="T83" s="200"/>
      <c r="U83" s="200"/>
      <c r="V83" s="200"/>
    </row>
    <row r="84" spans="19:22" x14ac:dyDescent="0.35">
      <c r="S84" s="204"/>
      <c r="T84" s="200"/>
      <c r="U84" s="200"/>
      <c r="V84" s="200"/>
    </row>
    <row r="85" spans="19:22" x14ac:dyDescent="0.35">
      <c r="S85" s="204"/>
      <c r="T85" s="200"/>
      <c r="U85" s="200"/>
      <c r="V85" s="200"/>
    </row>
  </sheetData>
  <sortState xmlns:xlrd2="http://schemas.microsoft.com/office/spreadsheetml/2017/richdata2" ref="D48:Q50">
    <sortCondition ref="D48:D50"/>
  </sortState>
  <mergeCells count="3">
    <mergeCell ref="C2:C11"/>
    <mergeCell ref="C12:C28"/>
    <mergeCell ref="C29:C45"/>
  </mergeCells>
  <phoneticPr fontId="14" type="noConversion"/>
  <pageMargins left="0.511811024" right="0.511811024" top="0.78740157499999996" bottom="0.78740157499999996" header="0.31496062000000002" footer="0.31496062000000002"/>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DC70-D5DD-4F18-925B-42C155A2F874}">
  <sheetPr>
    <tabColor theme="5"/>
  </sheetPr>
  <dimension ref="A2:AA302"/>
  <sheetViews>
    <sheetView showGridLines="0" topLeftCell="A31" zoomScale="70" zoomScaleNormal="70" workbookViewId="0">
      <selection activeCell="C38" sqref="C38:D3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109</v>
      </c>
    </row>
    <row r="3" spans="1:9" ht="15" thickBot="1" x14ac:dyDescent="0.4">
      <c r="G3" s="205">
        <v>2025</v>
      </c>
    </row>
    <row r="4" spans="1:9" ht="17" thickBot="1" x14ac:dyDescent="0.4">
      <c r="A4" s="220"/>
      <c r="B4" s="221" t="s">
        <v>110</v>
      </c>
      <c r="C4" s="222" t="s">
        <v>270</v>
      </c>
      <c r="D4" s="381">
        <f>'Premissas (GASIG)'!D32/1000</f>
        <v>52.406475388523603</v>
      </c>
      <c r="E4" s="224" t="s">
        <v>111</v>
      </c>
      <c r="F4" s="220"/>
      <c r="G4" s="220"/>
      <c r="H4" s="235"/>
      <c r="I4" s="235"/>
    </row>
    <row r="5" spans="1:9" ht="16.5" x14ac:dyDescent="0.35">
      <c r="A5" s="206">
        <f>HLOOKUP($G$3,'Premissas (GASIG)'!$B$5:$F$13,9,FALSE)</f>
        <v>0.7</v>
      </c>
      <c r="B5" s="207" t="s">
        <v>112</v>
      </c>
      <c r="C5" s="208" t="s">
        <v>271</v>
      </c>
      <c r="D5" s="382">
        <f>$A$5*$D$4</f>
        <v>36.684532771966516</v>
      </c>
      <c r="E5" s="210" t="s">
        <v>113</v>
      </c>
      <c r="F5" s="211"/>
      <c r="G5" s="211"/>
      <c r="H5" s="235"/>
    </row>
    <row r="6" spans="1:9" ht="29" x14ac:dyDescent="0.35">
      <c r="A6" s="92"/>
      <c r="B6" s="212" t="s">
        <v>114</v>
      </c>
      <c r="C6" s="213" t="s">
        <v>272</v>
      </c>
      <c r="D6" s="383">
        <f>$D$34*'Premissas (GASIG)'!$F$20</f>
        <v>20427955</v>
      </c>
      <c r="E6" s="212" t="s">
        <v>115</v>
      </c>
      <c r="F6" s="230">
        <f>H34</f>
        <v>762007234.01394498</v>
      </c>
      <c r="G6" s="82" t="s">
        <v>116</v>
      </c>
    </row>
    <row r="7" spans="1:9" ht="17" thickBot="1" x14ac:dyDescent="0.4">
      <c r="A7" s="215"/>
      <c r="B7" s="216" t="s">
        <v>117</v>
      </c>
      <c r="C7" s="217" t="s">
        <v>273</v>
      </c>
      <c r="D7" s="218">
        <f>$D$5/$D$6*1000</f>
        <v>1.7958005474344601E-3</v>
      </c>
      <c r="E7" s="219" t="s">
        <v>118</v>
      </c>
      <c r="F7" s="384">
        <f>$D$5/$F$6*1000000</f>
        <v>4.8141974425527798E-2</v>
      </c>
      <c r="G7" s="228" t="s">
        <v>15</v>
      </c>
      <c r="I7" s="235"/>
    </row>
    <row r="8" spans="1:9" ht="16.5" x14ac:dyDescent="0.35">
      <c r="A8" s="206">
        <f>1-A5</f>
        <v>0.30000000000000004</v>
      </c>
      <c r="B8" s="207" t="s">
        <v>119</v>
      </c>
      <c r="C8" s="208" t="s">
        <v>274</v>
      </c>
      <c r="D8" s="382">
        <f>$A$8*$D$4</f>
        <v>15.721942616557083</v>
      </c>
      <c r="E8" s="210" t="s">
        <v>113</v>
      </c>
      <c r="F8" s="231"/>
      <c r="G8" s="229"/>
    </row>
    <row r="9" spans="1:9" ht="29" x14ac:dyDescent="0.35">
      <c r="B9" s="212" t="s">
        <v>120</v>
      </c>
      <c r="C9" s="213" t="s">
        <v>275</v>
      </c>
      <c r="D9" s="383">
        <f>$D$57*'Premissas (GASIG)'!$F$20</f>
        <v>18480315</v>
      </c>
      <c r="E9" s="212" t="s">
        <v>115</v>
      </c>
      <c r="F9" s="230">
        <f>H57</f>
        <v>689356018.10638499</v>
      </c>
      <c r="G9" s="82" t="s">
        <v>116</v>
      </c>
    </row>
    <row r="10" spans="1:9" ht="17" thickBot="1" x14ac:dyDescent="0.4">
      <c r="A10" s="225"/>
      <c r="B10" s="216" t="s">
        <v>121</v>
      </c>
      <c r="C10" s="217" t="s">
        <v>276</v>
      </c>
      <c r="D10" s="218">
        <f>$D$8/$D$9*1000</f>
        <v>8.507399693434383E-4</v>
      </c>
      <c r="E10" s="219" t="s">
        <v>118</v>
      </c>
      <c r="F10" s="384">
        <f>$D$8/$F$9*1000000</f>
        <v>2.2806709745922304E-2</v>
      </c>
      <c r="G10" s="228" t="s">
        <v>15</v>
      </c>
    </row>
    <row r="11" spans="1:9" ht="15" thickBot="1" x14ac:dyDescent="0.4">
      <c r="A11" s="220"/>
      <c r="B11" s="220" t="s">
        <v>122</v>
      </c>
      <c r="C11" s="226">
        <f>HLOOKUP($G$3,'Premissas (GASIG)'!$B$5:$F$8,4,FALSE)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(GASIG)'!C3</f>
        <v>20000</v>
      </c>
      <c r="D24" s="290">
        <f>'Oferta (GASIG)'!F3</f>
        <v>9427</v>
      </c>
      <c r="F24" s="104"/>
      <c r="G24" s="43">
        <f>IFERROR($C24*$H$19*'Premissas (GASIG)'!$F$20*1000," ")</f>
        <v>272305906.69999999</v>
      </c>
      <c r="H24" s="43">
        <f>IFERROR($D24*$H$19*'Premissas (GASIG)'!$F$20*1000," ")</f>
        <v>128351389.123045</v>
      </c>
      <c r="I24" s="93"/>
    </row>
    <row r="25" spans="1:9" x14ac:dyDescent="0.35">
      <c r="A25" s="2" t="s">
        <v>133</v>
      </c>
      <c r="B25" s="44" t="s">
        <v>26</v>
      </c>
      <c r="C25" s="290">
        <f>'Oferta (GASIG)'!C4</f>
        <v>20000</v>
      </c>
      <c r="D25" s="290">
        <f>'Oferta (GASIG)'!F4</f>
        <v>20000</v>
      </c>
      <c r="F25" s="104"/>
      <c r="G25" s="43">
        <f>IFERROR($C25*$H$19*'Premissas (GASIG)'!$F$20*1000," ")</f>
        <v>272305906.69999999</v>
      </c>
      <c r="H25" s="43">
        <f>IFERROR($D25*$H$19*'Premissas (GASIG)'!$F$20*1000," ")</f>
        <v>272305906.69999999</v>
      </c>
      <c r="I25" s="93"/>
    </row>
    <row r="26" spans="1:9" x14ac:dyDescent="0.35">
      <c r="A26" s="2" t="s">
        <v>134</v>
      </c>
      <c r="B26" s="44" t="s">
        <v>488</v>
      </c>
      <c r="C26" s="290">
        <f>'Oferta (GASIG)'!C5</f>
        <v>18200</v>
      </c>
      <c r="D26" s="290">
        <f>'Oferta (GASIG)'!F5</f>
        <v>13564</v>
      </c>
      <c r="E26" s="46"/>
      <c r="F26" s="104"/>
      <c r="G26" s="43">
        <f>IFERROR($C26*$H$19*'Premissas (GASIG)'!$F$20*1000," ")</f>
        <v>247798375.097</v>
      </c>
      <c r="H26" s="43">
        <f>IFERROR($D26*$H$19*'Premissas (GASIG)'!$F$20*1000," ")</f>
        <v>184677865.92394</v>
      </c>
      <c r="I26" s="93"/>
    </row>
    <row r="27" spans="1:9" x14ac:dyDescent="0.35">
      <c r="A27" s="2" t="s">
        <v>135</v>
      </c>
      <c r="B27" s="44" t="s">
        <v>463</v>
      </c>
      <c r="C27" s="290">
        <f>'Oferta (GASIG)'!C6</f>
        <v>1250</v>
      </c>
      <c r="D27" s="290">
        <f>'Oferta (GASIG)'!F6</f>
        <v>305</v>
      </c>
      <c r="E27" s="46"/>
      <c r="F27" s="104"/>
      <c r="G27" s="43">
        <f>IFERROR($C27*$H$19*'Premissas (GASIG)'!$F$20*1000," ")</f>
        <v>17019119.168749999</v>
      </c>
      <c r="H27" s="43">
        <f>IFERROR($D27*$H$19*'Premissas (GASIG)'!$F$20*1000," ")</f>
        <v>4152665.0771750002</v>
      </c>
      <c r="I27" s="93"/>
    </row>
    <row r="28" spans="1:9" x14ac:dyDescent="0.35">
      <c r="A28" s="2" t="s">
        <v>136</v>
      </c>
      <c r="B28" s="44" t="s">
        <v>27</v>
      </c>
      <c r="C28" s="290">
        <f>'Oferta (GASIG)'!C7</f>
        <v>5000</v>
      </c>
      <c r="D28" s="290">
        <f>'Oferta (GASIG)'!F7</f>
        <v>0</v>
      </c>
      <c r="E28" s="46"/>
      <c r="F28" s="104"/>
      <c r="G28" s="43">
        <f>IFERROR($C28*$H$19*'Premissas (GASIG)'!$F$20*1000," ")</f>
        <v>68076476.674999997</v>
      </c>
      <c r="H28" s="43">
        <f>IFERROR($D28*$H$19*'Premissas (GASIG)'!$F$20*1000," ")</f>
        <v>0</v>
      </c>
      <c r="I28" s="93"/>
    </row>
    <row r="29" spans="1:9" x14ac:dyDescent="0.35">
      <c r="A29" s="2" t="s">
        <v>239</v>
      </c>
      <c r="B29" s="44" t="s">
        <v>29</v>
      </c>
      <c r="C29" s="290">
        <f>'Oferta (GASIG)'!C8</f>
        <v>2200</v>
      </c>
      <c r="D29" s="290">
        <f>'Oferta (GASIG)'!F8</f>
        <v>0</v>
      </c>
      <c r="E29" s="46"/>
      <c r="F29" s="104"/>
      <c r="G29" s="43">
        <f>IFERROR($C29*$H$19*'Premissas (GASIG)'!$F$20*1000," ")</f>
        <v>29953649.736999996</v>
      </c>
      <c r="H29" s="43">
        <f>IFERROR($D29*$H$19*'Premissas (GASIG)'!$F$20*1000," ")</f>
        <v>0</v>
      </c>
      <c r="I29" s="93"/>
    </row>
    <row r="30" spans="1:9" x14ac:dyDescent="0.35">
      <c r="A30" s="2" t="s">
        <v>137</v>
      </c>
      <c r="B30" s="44" t="s">
        <v>24</v>
      </c>
      <c r="C30" s="290">
        <f>'Oferta (GASIG)'!C9</f>
        <v>25160</v>
      </c>
      <c r="D30" s="290">
        <f>'Oferta (GASIG)'!F9</f>
        <v>6266</v>
      </c>
      <c r="E30" s="46"/>
      <c r="F30" s="104"/>
      <c r="G30" s="43">
        <f>IFERROR($C30*$H$19*'Premissas (GASIG)'!$F$20*1000," ")</f>
        <v>342560830.6286</v>
      </c>
      <c r="H30" s="43">
        <f>IFERROR($D30*$H$19*'Premissas (GASIG)'!$F$20*1000," ")</f>
        <v>85313440.569109991</v>
      </c>
      <c r="I30" s="93"/>
    </row>
    <row r="31" spans="1:9" x14ac:dyDescent="0.35">
      <c r="A31" s="2" t="s">
        <v>240</v>
      </c>
      <c r="B31" s="44" t="s">
        <v>264</v>
      </c>
      <c r="C31" s="290">
        <f>'Oferta (GASIG)'!C10</f>
        <v>0</v>
      </c>
      <c r="D31" s="290">
        <f>'Oferta (GASIG)'!F10</f>
        <v>6000</v>
      </c>
      <c r="E31" s="46"/>
      <c r="F31" s="104"/>
      <c r="G31" s="43">
        <f>IFERROR($C31*$H$19*'Premissas (GASIG)'!$F$20*1000," ")</f>
        <v>0</v>
      </c>
      <c r="H31" s="43">
        <f>IFERROR($D31*$H$19*'Premissas (GASIG)'!$F$20*1000," ")</f>
        <v>81691772.010000005</v>
      </c>
      <c r="I31" s="93"/>
    </row>
    <row r="32" spans="1:9" x14ac:dyDescent="0.35">
      <c r="A32" s="2" t="s">
        <v>138</v>
      </c>
      <c r="B32" s="44" t="s">
        <v>266</v>
      </c>
      <c r="C32" s="290">
        <f>'Oferta (GASIG)'!C11</f>
        <v>0</v>
      </c>
      <c r="D32" s="290">
        <f>'Oferta (GASIG)'!F11</f>
        <v>205</v>
      </c>
      <c r="E32" s="46"/>
      <c r="F32" s="104"/>
      <c r="G32" s="43">
        <f>IFERROR($C32*$H$19*'Premissas (GASIG)'!$F$20*1000," ")</f>
        <v>0</v>
      </c>
      <c r="H32" s="43">
        <f>IFERROR($D32*$H$19*'Premissas (GASIG)'!$F$20*1000," ")</f>
        <v>2791135.5436749998</v>
      </c>
      <c r="I32" s="93"/>
    </row>
    <row r="33" spans="1:10" x14ac:dyDescent="0.35">
      <c r="A33" s="2" t="s">
        <v>139</v>
      </c>
      <c r="B33" s="44" t="s">
        <v>265</v>
      </c>
      <c r="C33" s="290">
        <f>'Oferta (GASIG)'!C12</f>
        <v>0</v>
      </c>
      <c r="D33" s="290">
        <f>'Oferta (GASIG)'!F12</f>
        <v>200</v>
      </c>
      <c r="E33" s="46"/>
      <c r="F33" s="104"/>
      <c r="G33" s="43">
        <f>IFERROR($C33*$H$19*'Premissas (GASIG)'!$F$20*1000," ")</f>
        <v>0</v>
      </c>
      <c r="H33" s="43">
        <f>IFERROR($D33*$H$19*'Premissas (GASIG)'!$F$20*1000," ")</f>
        <v>2723059.0670000003</v>
      </c>
      <c r="I33" s="93"/>
    </row>
    <row r="34" spans="1:10" x14ac:dyDescent="0.35">
      <c r="C34" s="105">
        <f>SUM(C24:C33)</f>
        <v>91810</v>
      </c>
      <c r="D34" s="105">
        <f>SUM(D24:D33)</f>
        <v>55967</v>
      </c>
      <c r="E34" s="105"/>
      <c r="F34" s="104"/>
      <c r="G34" s="105">
        <f>SUM(G24:G33)</f>
        <v>1250020264.7063498</v>
      </c>
      <c r="H34" s="105">
        <f>SUM(H24:H33)</f>
        <v>762007234.01394498</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(GASIG)'!C3</f>
        <v>864.5</v>
      </c>
      <c r="D41" s="290">
        <f>'Demanda (GASIG)'!F3</f>
        <v>633</v>
      </c>
      <c r="G41" s="43">
        <f>IFERROR($C41*$H$19*'Premissas (GASIG)'!$F$20*1000," ")</f>
        <v>11770422.817107499</v>
      </c>
      <c r="H41" s="43">
        <f>IFERROR($D41*$H$19*'Premissas (GASIG)'!$F$20*1000," ")</f>
        <v>8618481.9470549989</v>
      </c>
      <c r="I41" s="93"/>
    </row>
    <row r="42" spans="1:10" x14ac:dyDescent="0.35">
      <c r="A42" s="2" t="s">
        <v>42</v>
      </c>
      <c r="B42" s="44" t="s">
        <v>217</v>
      </c>
      <c r="C42" s="290">
        <f>'Demanda (GASIG)'!C4</f>
        <v>1825.9</v>
      </c>
      <c r="D42" s="290">
        <f>'Demanda (GASIG)'!F4</f>
        <v>1098</v>
      </c>
      <c r="G42" s="43">
        <f>IFERROR($C42*$H$19*'Premissas (GASIG)'!$F$20*1000," ")</f>
        <v>24860167.752176501</v>
      </c>
      <c r="H42" s="43">
        <f>IFERROR($D42*$H$19*'Premissas (GASIG)'!$F$20*1000," ")</f>
        <v>14949594.277829999</v>
      </c>
      <c r="I42" s="93"/>
    </row>
    <row r="43" spans="1:10" x14ac:dyDescent="0.35">
      <c r="A43" s="2" t="s">
        <v>43</v>
      </c>
      <c r="B43" s="44" t="s">
        <v>218</v>
      </c>
      <c r="C43" s="290">
        <f>'Demanda (GASIG)'!C5</f>
        <v>3040.95</v>
      </c>
      <c r="D43" s="290">
        <f>'Demanda (GASIG)'!F5</f>
        <v>2852</v>
      </c>
      <c r="E43" s="46"/>
      <c r="G43" s="43">
        <f>IFERROR($C43*$H$19*'Premissas (GASIG)'!$F$20*1000," ")</f>
        <v>41403432.348968253</v>
      </c>
      <c r="H43" s="43">
        <f>IFERROR($D43*$H$19*'Premissas (GASIG)'!$F$20*1000," ")</f>
        <v>38830822.295419998</v>
      </c>
      <c r="I43" s="93"/>
    </row>
    <row r="44" spans="1:10" x14ac:dyDescent="0.35">
      <c r="A44" s="2" t="s">
        <v>44</v>
      </c>
      <c r="B44" s="44" t="s">
        <v>219</v>
      </c>
      <c r="C44" s="290">
        <f>'Demanda (GASIG)'!C6</f>
        <v>1187.5</v>
      </c>
      <c r="D44" s="290">
        <f>'Demanda (GASIG)'!F6</f>
        <v>305</v>
      </c>
      <c r="E44" s="46"/>
      <c r="G44" s="43">
        <f>IFERROR($C44*$H$19*'Premissas (GASIG)'!$F$20*1000," ")</f>
        <v>16168163.210312499</v>
      </c>
      <c r="H44" s="43">
        <f>IFERROR($D44*$H$19*'Premissas (GASIG)'!$F$20*1000," ")</f>
        <v>4152665.0771750002</v>
      </c>
      <c r="I44" s="93"/>
    </row>
    <row r="45" spans="1:10" x14ac:dyDescent="0.35">
      <c r="A45" s="2" t="s">
        <v>45</v>
      </c>
      <c r="B45" s="44" t="s">
        <v>220</v>
      </c>
      <c r="C45" s="290">
        <f>'Demanda (GASIG)'!C7</f>
        <v>21185</v>
      </c>
      <c r="D45" s="290">
        <f>'Demanda (GASIG)'!F7</f>
        <v>13624</v>
      </c>
      <c r="E45" s="46"/>
      <c r="G45" s="43">
        <f>IFERROR($C45*$H$19*'Premissas (GASIG)'!$F$20*1000," ")</f>
        <v>288440031.67197496</v>
      </c>
      <c r="H45" s="43">
        <f>IFERROR($D45*$H$19*'Premissas (GASIG)'!$F$20*1000," ")</f>
        <v>185494783.64403999</v>
      </c>
      <c r="I45" s="93"/>
    </row>
    <row r="46" spans="1:10" x14ac:dyDescent="0.35">
      <c r="A46" s="2" t="s">
        <v>46</v>
      </c>
      <c r="B46" s="44" t="s">
        <v>221</v>
      </c>
      <c r="C46" s="290">
        <f>'Demanda (GASIG)'!C8</f>
        <v>11271.75</v>
      </c>
      <c r="D46" s="290">
        <f>'Demanda (GASIG)'!F8</f>
        <v>8403</v>
      </c>
      <c r="E46" s="46"/>
      <c r="G46" s="43">
        <f>IFERROR($C46*$H$19*'Premissas (GASIG)'!$F$20*1000," ")</f>
        <v>153468205.19228625</v>
      </c>
      <c r="H46" s="43">
        <f>IFERROR($D46*$H$19*'Premissas (GASIG)'!$F$20*1000," ")</f>
        <v>114409326.70000499</v>
      </c>
      <c r="I46" s="93"/>
    </row>
    <row r="47" spans="1:10" x14ac:dyDescent="0.35">
      <c r="A47" s="2" t="s">
        <v>47</v>
      </c>
      <c r="B47" s="44" t="s">
        <v>222</v>
      </c>
      <c r="C47" s="290">
        <f>'Demanda (GASIG)'!C9</f>
        <v>3249</v>
      </c>
      <c r="D47" s="290">
        <f>'Demanda (GASIG)'!F9</f>
        <v>2173</v>
      </c>
      <c r="E47" s="46"/>
      <c r="G47" s="43">
        <f>IFERROR($C47*$H$19*'Premissas (GASIG)'!$F$20*1000," ")</f>
        <v>44236094.543414995</v>
      </c>
      <c r="H47" s="43">
        <f>IFERROR($D47*$H$19*'Premissas (GASIG)'!$F$20*1000," ")</f>
        <v>29586036.762954999</v>
      </c>
      <c r="I47" s="93"/>
    </row>
    <row r="48" spans="1:10" x14ac:dyDescent="0.35">
      <c r="A48" s="2" t="s">
        <v>48</v>
      </c>
      <c r="B48" s="44" t="s">
        <v>223</v>
      </c>
      <c r="C48" s="290">
        <f>'Demanda (GASIG)'!C10</f>
        <v>498.75</v>
      </c>
      <c r="D48" s="290">
        <f>'Demanda (GASIG)'!F10</f>
        <v>283</v>
      </c>
      <c r="E48" s="46"/>
      <c r="G48" s="43">
        <f>IFERROR($C48*$H$19*'Premissas (GASIG)'!$F$20*1000," ")</f>
        <v>6790628.5483312495</v>
      </c>
      <c r="H48" s="43">
        <f>IFERROR($D48*$H$19*'Premissas (GASIG)'!$F$20*1000," ")</f>
        <v>3853128.5798049998</v>
      </c>
      <c r="I48" s="93"/>
    </row>
    <row r="49" spans="1:9" x14ac:dyDescent="0.35">
      <c r="A49" s="2" t="s">
        <v>49</v>
      </c>
      <c r="B49" s="44" t="s">
        <v>224</v>
      </c>
      <c r="C49" s="290">
        <f>'Demanda (GASIG)'!C11</f>
        <v>3321.2</v>
      </c>
      <c r="D49" s="290">
        <f>'Demanda (GASIG)'!F11</f>
        <v>2116</v>
      </c>
      <c r="E49" s="46"/>
      <c r="G49" s="43">
        <f>IFERROR($C49*$H$19*'Premissas (GASIG)'!$F$20*1000," ")</f>
        <v>45219118.866601996</v>
      </c>
      <c r="H49" s="43">
        <f>IFERROR($D49*$H$19*'Premissas (GASIG)'!$F$20*1000," ")</f>
        <v>28809964.928859998</v>
      </c>
      <c r="I49" s="93"/>
    </row>
    <row r="50" spans="1:9" x14ac:dyDescent="0.35">
      <c r="A50" s="2" t="s">
        <v>50</v>
      </c>
      <c r="B50" s="44" t="s">
        <v>225</v>
      </c>
      <c r="C50" s="290">
        <f>'Demanda (GASIG)'!C12</f>
        <v>14292.75</v>
      </c>
      <c r="D50" s="290">
        <f>'Demanda (GASIG)'!F12</f>
        <v>1050</v>
      </c>
      <c r="E50" s="46"/>
      <c r="G50" s="43">
        <f>IFERROR($C50*$H$19*'Premissas (GASIG)'!$F$20*1000," ")</f>
        <v>194600012.39932126</v>
      </c>
      <c r="H50" s="43">
        <f>IFERROR($D50*$H$19*'Premissas (GASIG)'!$F$20*1000," ")</f>
        <v>14296060.101749998</v>
      </c>
      <c r="I50" s="93"/>
    </row>
    <row r="51" spans="1:9" x14ac:dyDescent="0.35">
      <c r="A51" s="2" t="s">
        <v>51</v>
      </c>
      <c r="B51" s="44" t="s">
        <v>226</v>
      </c>
      <c r="C51" s="290">
        <f>'Demanda (GASIG)'!C13</f>
        <v>3971</v>
      </c>
      <c r="D51" s="290">
        <f>'Demanda (GASIG)'!F13</f>
        <v>3003</v>
      </c>
      <c r="E51" s="46"/>
      <c r="G51" s="43">
        <f>IFERROR($C51*$H$19*'Premissas (GASIG)'!$F$20*1000," ")</f>
        <v>54066337.775284998</v>
      </c>
      <c r="H51" s="43">
        <f>IFERROR($D51*$H$19*'Premissas (GASIG)'!$F$20*1000," ")</f>
        <v>40886731.891005002</v>
      </c>
      <c r="I51" s="93"/>
    </row>
    <row r="52" spans="1:9" x14ac:dyDescent="0.35">
      <c r="A52" s="2" t="s">
        <v>52</v>
      </c>
      <c r="B52" s="44" t="s">
        <v>227</v>
      </c>
      <c r="C52" s="290">
        <f>'Demanda (GASIG)'!C14</f>
        <v>9941.75</v>
      </c>
      <c r="D52" s="290">
        <f>'Demanda (GASIG)'!F14</f>
        <v>5584</v>
      </c>
      <c r="E52" s="46"/>
      <c r="G52" s="43">
        <f>IFERROR($C52*$H$19*'Premissas (GASIG)'!$F$20*1000," ")</f>
        <v>135359862.39673626</v>
      </c>
      <c r="H52" s="43">
        <f>IFERROR($D52*$H$19*'Premissas (GASIG)'!$F$20*1000," ")</f>
        <v>76027809.150639996</v>
      </c>
      <c r="I52" s="93"/>
    </row>
    <row r="53" spans="1:9" x14ac:dyDescent="0.35">
      <c r="A53" s="2" t="s">
        <v>53</v>
      </c>
      <c r="B53" s="44" t="s">
        <v>228</v>
      </c>
      <c r="C53" s="290">
        <f>'Demanda (GASIG)'!C15</f>
        <v>3809.5</v>
      </c>
      <c r="D53" s="290">
        <f>'Demanda (GASIG)'!F15</f>
        <v>2483</v>
      </c>
      <c r="E53" s="46"/>
      <c r="G53" s="43">
        <f>IFERROR($C53*$H$19*'Premissas (GASIG)'!$F$20*1000," ")</f>
        <v>51867467.578682497</v>
      </c>
      <c r="H53" s="43">
        <f>IFERROR($D53*$H$19*'Premissas (GASIG)'!$F$20*1000," ")</f>
        <v>33806778.316804998</v>
      </c>
      <c r="I53" s="93"/>
    </row>
    <row r="54" spans="1:9" x14ac:dyDescent="0.35">
      <c r="A54" s="2" t="s">
        <v>54</v>
      </c>
      <c r="B54" s="44" t="s">
        <v>269</v>
      </c>
      <c r="C54" s="290">
        <f>'Demanda (GASIG)'!C16</f>
        <v>0</v>
      </c>
      <c r="D54" s="290">
        <f>'Demanda (GASIG)'!F16</f>
        <v>0</v>
      </c>
      <c r="E54" s="46"/>
      <c r="G54" s="43">
        <f>IFERROR($C54*$H$19*'Premissas (GASIG)'!$F$20*1000," ")</f>
        <v>0</v>
      </c>
      <c r="H54" s="43">
        <f>IFERROR($D54*$H$19*'Premissas (GASIG)'!$F$20*1000," ")</f>
        <v>0</v>
      </c>
      <c r="I54" s="93"/>
    </row>
    <row r="55" spans="1:9" x14ac:dyDescent="0.35">
      <c r="A55" s="2" t="s">
        <v>55</v>
      </c>
      <c r="B55" s="44" t="s">
        <v>268</v>
      </c>
      <c r="C55" s="290">
        <f>'Demanda (GASIG)'!C17</f>
        <v>0</v>
      </c>
      <c r="D55" s="290">
        <f>'Demanda (GASIG)'!F17</f>
        <v>6824</v>
      </c>
      <c r="E55" s="46"/>
      <c r="G55" s="43">
        <f>IFERROR($C55*$H$19*'Premissas (GASIG)'!$F$20*1000," ")</f>
        <v>0</v>
      </c>
      <c r="H55" s="43">
        <f>IFERROR($D55*$H$19*'Premissas (GASIG)'!$F$20*1000," ")</f>
        <v>92910775.366039991</v>
      </c>
      <c r="I55" s="93"/>
    </row>
    <row r="56" spans="1:9" x14ac:dyDescent="0.35">
      <c r="A56" s="2" t="s">
        <v>56</v>
      </c>
      <c r="B56" s="44" t="s">
        <v>267</v>
      </c>
      <c r="C56" s="290">
        <f>'Demanda (GASIG)'!C18</f>
        <v>0</v>
      </c>
      <c r="D56" s="290">
        <f>'Demanda (GASIG)'!F18</f>
        <v>200</v>
      </c>
      <c r="E56" s="46"/>
      <c r="G56" s="43">
        <f>IFERROR($C56*$H$19*'Premissas (GASIG)'!$F$20*1000," ")</f>
        <v>0</v>
      </c>
      <c r="H56" s="43">
        <f>IFERROR($D56*$H$19*'Premissas (GASIG)'!$F$20*1000," ")</f>
        <v>2723059.0670000003</v>
      </c>
      <c r="I56" s="93"/>
    </row>
    <row r="57" spans="1:9" x14ac:dyDescent="0.35">
      <c r="C57" s="105">
        <f>SUM(C41:C56)</f>
        <v>78459.549999999988</v>
      </c>
      <c r="D57" s="105">
        <f>SUM(D41:D56)</f>
        <v>50631</v>
      </c>
      <c r="E57" s="105"/>
      <c r="G57" s="105">
        <f>SUM(G41:G56)</f>
        <v>1068249945.1011992</v>
      </c>
      <c r="H57" s="105">
        <f>SUM(H41:H56)</f>
        <v>689356018.10638499</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0.16843854414208373</v>
      </c>
      <c r="C99" s="9"/>
      <c r="D99" t="s">
        <v>304</v>
      </c>
      <c r="E99" s="110">
        <f>H41/$H$57</f>
        <v>1.2502221958878946E-2</v>
      </c>
      <c r="G99" s="109" t="s">
        <v>148</v>
      </c>
      <c r="H99" s="111">
        <f>H24/$H$34</f>
        <v>0.16843854414208373</v>
      </c>
      <c r="I99" s="111">
        <f>H25/$H$34</f>
        <v>0.35735344042024764</v>
      </c>
      <c r="J99" s="111">
        <f>$H26/$H$34</f>
        <v>0.24235710329301197</v>
      </c>
      <c r="K99" s="111">
        <f>$H27/$H$34</f>
        <v>5.4496399664087768E-3</v>
      </c>
      <c r="L99" s="111">
        <f>$H28/$H$34</f>
        <v>0</v>
      </c>
      <c r="M99" s="111">
        <f>$H29/$H$34</f>
        <v>0</v>
      </c>
      <c r="N99" s="111">
        <f>$H30/$H$34</f>
        <v>0.11195883288366358</v>
      </c>
      <c r="O99" s="111">
        <f>$H31/$H$34</f>
        <v>0.1072060321260743</v>
      </c>
      <c r="P99" s="111">
        <f>$H32/$H$34</f>
        <v>3.6628727643075384E-3</v>
      </c>
      <c r="Q99" s="111">
        <f>$H33/$H$34</f>
        <v>3.5735344042024768E-3</v>
      </c>
      <c r="R99" s="111">
        <f>SUM(H99:Q99)</f>
        <v>1</v>
      </c>
      <c r="S99" s="110"/>
      <c r="T99" s="110"/>
      <c r="U99" s="110"/>
      <c r="V99" s="110"/>
      <c r="W99" s="110"/>
    </row>
    <row r="100" spans="1:27" ht="16.5" x14ac:dyDescent="0.45">
      <c r="A100" t="s">
        <v>295</v>
      </c>
      <c r="B100" s="112">
        <f t="shared" ref="B100:B108" si="1">H25/$H$34</f>
        <v>0.35735344042024764</v>
      </c>
      <c r="C100" s="4"/>
      <c r="D100" t="s">
        <v>305</v>
      </c>
      <c r="E100" s="110">
        <f t="shared" ref="E100:E114" si="2">H42/$H$57</f>
        <v>2.1686318658529359E-2</v>
      </c>
      <c r="W100" s="113"/>
    </row>
    <row r="101" spans="1:27" ht="16.5" x14ac:dyDescent="0.45">
      <c r="A101" t="s">
        <v>296</v>
      </c>
      <c r="B101" s="112">
        <f t="shared" si="1"/>
        <v>0.24235710329301197</v>
      </c>
      <c r="C101" s="4"/>
      <c r="D101" t="s">
        <v>306</v>
      </c>
      <c r="E101" s="110">
        <f t="shared" si="2"/>
        <v>5.6329126424522521E-2</v>
      </c>
      <c r="G101" s="110"/>
    </row>
    <row r="102" spans="1:27" ht="16.5" x14ac:dyDescent="0.45">
      <c r="A102" t="s">
        <v>297</v>
      </c>
      <c r="B102" s="112">
        <f t="shared" si="1"/>
        <v>5.4496399664087768E-3</v>
      </c>
      <c r="C102" s="4"/>
      <c r="D102" t="s">
        <v>307</v>
      </c>
      <c r="E102" s="110">
        <f t="shared" si="2"/>
        <v>6.0239774051470451E-3</v>
      </c>
      <c r="G102" s="110"/>
    </row>
    <row r="103" spans="1:27" ht="16.5" x14ac:dyDescent="0.45">
      <c r="A103" t="s">
        <v>298</v>
      </c>
      <c r="B103" s="112">
        <f t="shared" si="1"/>
        <v>0</v>
      </c>
      <c r="C103" s="4"/>
      <c r="D103" t="s">
        <v>308</v>
      </c>
      <c r="E103" s="110">
        <f t="shared" si="2"/>
        <v>0.26908415792696172</v>
      </c>
      <c r="G103" s="110"/>
      <c r="H103" s="112"/>
      <c r="I103" s="112"/>
    </row>
    <row r="104" spans="1:27" ht="16.5" x14ac:dyDescent="0.45">
      <c r="A104" t="s">
        <v>299</v>
      </c>
      <c r="B104" s="112">
        <f t="shared" si="1"/>
        <v>0</v>
      </c>
      <c r="C104" s="4"/>
      <c r="D104" t="s">
        <v>309</v>
      </c>
      <c r="E104" s="110">
        <f t="shared" si="2"/>
        <v>0.16596551519819872</v>
      </c>
      <c r="G104" s="110"/>
      <c r="H104" s="112"/>
      <c r="I104" s="112"/>
    </row>
    <row r="105" spans="1:27" ht="16.5" x14ac:dyDescent="0.45">
      <c r="A105" t="s">
        <v>300</v>
      </c>
      <c r="B105" s="112">
        <f t="shared" si="1"/>
        <v>0.11195883288366358</v>
      </c>
      <c r="C105" s="4"/>
      <c r="D105" t="s">
        <v>310</v>
      </c>
      <c r="E105" s="110">
        <f t="shared" si="2"/>
        <v>4.2918370168473857E-2</v>
      </c>
      <c r="G105" s="110"/>
      <c r="H105" s="112"/>
      <c r="I105" s="112"/>
    </row>
    <row r="106" spans="1:27" ht="16.5" x14ac:dyDescent="0.45">
      <c r="A106" t="s">
        <v>301</v>
      </c>
      <c r="B106" s="112">
        <f t="shared" si="1"/>
        <v>0.1072060321260743</v>
      </c>
      <c r="C106" s="4"/>
      <c r="D106" t="s">
        <v>311</v>
      </c>
      <c r="E106" s="110">
        <f t="shared" si="2"/>
        <v>5.5894610021528313E-3</v>
      </c>
      <c r="G106" s="110"/>
      <c r="H106" s="112"/>
      <c r="I106" s="112"/>
    </row>
    <row r="107" spans="1:27" ht="16.5" x14ac:dyDescent="0.45">
      <c r="A107" t="s">
        <v>302</v>
      </c>
      <c r="B107" s="112">
        <f t="shared" si="1"/>
        <v>3.6628727643075384E-3</v>
      </c>
      <c r="C107" s="4"/>
      <c r="D107" t="s">
        <v>312</v>
      </c>
      <c r="E107" s="110">
        <f t="shared" si="2"/>
        <v>4.1792577669807034E-2</v>
      </c>
      <c r="G107" s="110"/>
      <c r="H107" s="112"/>
      <c r="I107" s="112"/>
    </row>
    <row r="108" spans="1:27" ht="16.5" x14ac:dyDescent="0.45">
      <c r="A108" t="s">
        <v>303</v>
      </c>
      <c r="B108" s="112">
        <f t="shared" si="1"/>
        <v>3.5735344042024768E-3</v>
      </c>
      <c r="D108" t="s">
        <v>313</v>
      </c>
      <c r="E108" s="110">
        <f t="shared" si="2"/>
        <v>2.0738282870178346E-2</v>
      </c>
      <c r="G108" s="110"/>
    </row>
    <row r="109" spans="1:27" ht="16.5" x14ac:dyDescent="0.45">
      <c r="B109" s="112">
        <f>SUM(B99:B108)</f>
        <v>1</v>
      </c>
      <c r="D109" t="s">
        <v>314</v>
      </c>
      <c r="E109" s="110">
        <f t="shared" si="2"/>
        <v>5.9311489008710083E-2</v>
      </c>
      <c r="G109" s="110"/>
    </row>
    <row r="110" spans="1:27" ht="16.5" x14ac:dyDescent="0.45">
      <c r="B110" s="112"/>
      <c r="D110" t="s">
        <v>315</v>
      </c>
      <c r="E110" s="110">
        <f t="shared" si="2"/>
        <v>0.11028816337816752</v>
      </c>
      <c r="G110" s="110"/>
    </row>
    <row r="111" spans="1:27" ht="16.5" x14ac:dyDescent="0.45">
      <c r="B111" s="112"/>
      <c r="D111" t="s">
        <v>316</v>
      </c>
      <c r="E111" s="110">
        <f t="shared" si="2"/>
        <v>4.904110130157413E-2</v>
      </c>
    </row>
    <row r="112" spans="1:27" ht="16.5" x14ac:dyDescent="0.45">
      <c r="B112" s="112"/>
      <c r="D112" t="s">
        <v>317</v>
      </c>
      <c r="E112" s="110">
        <f t="shared" si="2"/>
        <v>0</v>
      </c>
    </row>
    <row r="113" spans="1:5" ht="16.5" x14ac:dyDescent="0.45">
      <c r="B113" s="112"/>
      <c r="D113" t="s">
        <v>318</v>
      </c>
      <c r="E113" s="110">
        <f t="shared" si="2"/>
        <v>0.13477908791056861</v>
      </c>
    </row>
    <row r="114" spans="1:5" ht="16.5" x14ac:dyDescent="0.45">
      <c r="B114" s="112"/>
      <c r="D114" t="s">
        <v>319</v>
      </c>
      <c r="E114" s="110">
        <f t="shared" si="2"/>
        <v>3.9501491181292096E-3</v>
      </c>
    </row>
    <row r="115" spans="1:5" x14ac:dyDescent="0.35">
      <c r="E115" s="110">
        <f>SUM(E99:E114)</f>
        <v>0.99999999999999989</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351.36630696608796</v>
      </c>
      <c r="C130" s="114"/>
      <c r="D130" t="s">
        <v>325</v>
      </c>
      <c r="E130" s="4">
        <f ca="1">SUMPRODUCT($H$99:$Q$99,$C67:$L67)</f>
        <v>337.59334386334808</v>
      </c>
    </row>
    <row r="131" spans="1:5" ht="16.5" x14ac:dyDescent="0.45">
      <c r="A131" t="s">
        <v>326</v>
      </c>
      <c r="B131" s="110">
        <f ca="1">SUMPRODUCT($E$99:$E$114,D$67:D$82)</f>
        <v>237.42916805382737</v>
      </c>
      <c r="C131" s="114"/>
      <c r="D131" t="s">
        <v>327</v>
      </c>
      <c r="E131" s="4">
        <f t="shared" ref="E131:E145" ca="1" si="3">SUMPRODUCT($H$99:$Q$99,$C68:$L68)</f>
        <v>434.75734386334807</v>
      </c>
    </row>
    <row r="132" spans="1:5" ht="16.5" x14ac:dyDescent="0.45">
      <c r="A132" t="s">
        <v>328</v>
      </c>
      <c r="B132" s="110">
        <f ca="1">SUMPRODUCT($E$99:$E$114,E$67:E$82)</f>
        <v>274.76063295082724</v>
      </c>
      <c r="C132" s="114"/>
      <c r="D132" t="s">
        <v>329</v>
      </c>
      <c r="E132" s="4">
        <f t="shared" ca="1" si="3"/>
        <v>551.92254386334798</v>
      </c>
    </row>
    <row r="133" spans="1:5" ht="16.5" x14ac:dyDescent="0.45">
      <c r="A133" t="s">
        <v>330</v>
      </c>
      <c r="B133" s="110">
        <f ca="1">SUMPRODUCT($E$99:$E$114,F$67:F$82)</f>
        <v>409.94607776263553</v>
      </c>
      <c r="C133" s="114"/>
      <c r="D133" t="s">
        <v>331</v>
      </c>
      <c r="E133" s="4">
        <f t="shared" ca="1" si="3"/>
        <v>565.189031375632</v>
      </c>
    </row>
    <row r="134" spans="1:5" ht="16.5" x14ac:dyDescent="0.45">
      <c r="A134" t="s">
        <v>332</v>
      </c>
      <c r="B134" s="110">
        <f ca="1">SUMPRODUCT($E$99:$E$114,G$67:G$82)</f>
        <v>225.99651239227609</v>
      </c>
      <c r="C134" s="114"/>
      <c r="D134" t="s">
        <v>333</v>
      </c>
      <c r="E134" s="4">
        <f t="shared" ca="1" si="3"/>
        <v>183.2074677637417</v>
      </c>
    </row>
    <row r="135" spans="1:5" ht="16.5" x14ac:dyDescent="0.45">
      <c r="A135" t="s">
        <v>334</v>
      </c>
      <c r="B135" s="110">
        <f ca="1">SUMPRODUCT($E$99:$E$114,H$67:H$82)</f>
        <v>386.26987939931388</v>
      </c>
      <c r="C135" s="114"/>
      <c r="D135" t="s">
        <v>335</v>
      </c>
      <c r="E135" s="4">
        <f t="shared" ca="1" si="3"/>
        <v>163.52086056068754</v>
      </c>
    </row>
    <row r="136" spans="1:5" ht="16.5" x14ac:dyDescent="0.45">
      <c r="A136" t="s">
        <v>336</v>
      </c>
      <c r="B136" s="110">
        <f ca="1">SUMPRODUCT($E$99:$E$114,I$67:I$82)</f>
        <v>381.45579607223505</v>
      </c>
      <c r="D136" t="s">
        <v>337</v>
      </c>
      <c r="E136" s="4">
        <f t="shared" ca="1" si="3"/>
        <v>184.35932362284922</v>
      </c>
    </row>
    <row r="137" spans="1:5" ht="16.5" x14ac:dyDescent="0.45">
      <c r="A137" t="s">
        <v>338</v>
      </c>
      <c r="B137" s="110">
        <f ca="1">SUMPRODUCT($E$99:$E$114,J$67:J$82)</f>
        <v>304.947813625381</v>
      </c>
      <c r="D137" t="s">
        <v>339</v>
      </c>
      <c r="E137" s="4">
        <f t="shared" ca="1" si="3"/>
        <v>210.24788702270982</v>
      </c>
    </row>
    <row r="138" spans="1:5" ht="16.5" x14ac:dyDescent="0.45">
      <c r="A138" t="s">
        <v>340</v>
      </c>
      <c r="B138" s="110">
        <f ca="1">SUMPRODUCT($E$99:$E$114,K$67:K$82)</f>
        <v>409.94607776263553</v>
      </c>
      <c r="D138" t="s">
        <v>341</v>
      </c>
      <c r="E138" s="4">
        <f t="shared" ca="1" si="3"/>
        <v>168.96892768059749</v>
      </c>
    </row>
    <row r="139" spans="1:5" ht="16.5" x14ac:dyDescent="0.45">
      <c r="A139" t="s">
        <v>342</v>
      </c>
      <c r="B139" s="110">
        <f ca="1">SUMPRODUCT($E$99:$E$114,L$67:L$82)</f>
        <v>381.45579607223505</v>
      </c>
      <c r="D139" t="s">
        <v>343</v>
      </c>
      <c r="E139" s="4">
        <f t="shared" ca="1" si="3"/>
        <v>298.74954966021642</v>
      </c>
    </row>
    <row r="140" spans="1:5" ht="16.5" x14ac:dyDescent="0.45">
      <c r="B140" s="110"/>
      <c r="D140" t="s">
        <v>344</v>
      </c>
      <c r="E140" s="4">
        <f t="shared" ca="1" si="3"/>
        <v>280.88826020095178</v>
      </c>
    </row>
    <row r="141" spans="1:5" ht="16.5" x14ac:dyDescent="0.45">
      <c r="B141" s="110"/>
      <c r="D141" t="s">
        <v>345</v>
      </c>
      <c r="E141" s="4">
        <f t="shared" ca="1" si="3"/>
        <v>384.2338546000322</v>
      </c>
    </row>
    <row r="142" spans="1:5" ht="16.5" x14ac:dyDescent="0.45">
      <c r="B142" s="110"/>
      <c r="D142" t="s">
        <v>346</v>
      </c>
      <c r="E142" s="4">
        <f t="shared" ca="1" si="3"/>
        <v>419.5914364536244</v>
      </c>
    </row>
    <row r="143" spans="1:5" ht="16.5" x14ac:dyDescent="0.45">
      <c r="B143" s="110"/>
      <c r="D143" t="s">
        <v>347</v>
      </c>
      <c r="E143" s="4">
        <f t="shared" si="3"/>
        <v>314.25443645362446</v>
      </c>
    </row>
    <row r="144" spans="1:5" ht="16.5" x14ac:dyDescent="0.45">
      <c r="B144" s="110"/>
      <c r="D144" t="s">
        <v>348</v>
      </c>
      <c r="E144" s="4">
        <f t="shared" si="3"/>
        <v>471.42303137563209</v>
      </c>
    </row>
    <row r="145" spans="1:5" ht="16.5" x14ac:dyDescent="0.45">
      <c r="B145" s="110"/>
      <c r="D145" t="s">
        <v>349</v>
      </c>
      <c r="E145" s="4">
        <f t="shared" si="3"/>
        <v>263.78935842550078</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0.20329750493200546</v>
      </c>
      <c r="C162" s="36"/>
      <c r="D162" t="s">
        <v>355</v>
      </c>
      <c r="E162" s="115">
        <f t="shared" ref="E162:E177" ca="1" si="4">($H41*$E130)/SUMPRODUCT($H$41:$H$56,$E$130:$E$145)</f>
        <v>1.4498114847817914E-2</v>
      </c>
    </row>
    <row r="163" spans="1:9" ht="16.5" x14ac:dyDescent="0.45">
      <c r="A163" t="s">
        <v>356</v>
      </c>
      <c r="B163" s="115">
        <f t="shared" ref="B163:B171" ca="1" si="5">($H25*$B131)/SUMPRODUCT($H$24:$H$33,$B$130:$B$139)</f>
        <v>0.2914489492413852</v>
      </c>
      <c r="C163" s="4"/>
      <c r="D163" t="s">
        <v>357</v>
      </c>
      <c r="E163" s="115">
        <f t="shared" ca="1" si="4"/>
        <v>3.2386440404488792E-2</v>
      </c>
    </row>
    <row r="164" spans="1:9" ht="16.5" x14ac:dyDescent="0.45">
      <c r="A164" t="s">
        <v>358</v>
      </c>
      <c r="B164" s="115">
        <f t="shared" ca="1" si="5"/>
        <v>0.22873926262029967</v>
      </c>
      <c r="C164" s="4"/>
      <c r="D164" t="s">
        <v>359</v>
      </c>
      <c r="E164" s="115">
        <f t="shared" ca="1" si="4"/>
        <v>0.10679270946178293</v>
      </c>
      <c r="H164" s="116"/>
      <c r="I164" s="116"/>
    </row>
    <row r="165" spans="1:9" ht="16.5" x14ac:dyDescent="0.45">
      <c r="A165" t="s">
        <v>360</v>
      </c>
      <c r="B165" s="115">
        <f t="shared" ca="1" si="5"/>
        <v>7.674056677537287E-3</v>
      </c>
      <c r="C165" s="4"/>
      <c r="D165" t="s">
        <v>361</v>
      </c>
      <c r="E165" s="115">
        <f t="shared" ca="1" si="4"/>
        <v>1.1695196272055428E-2</v>
      </c>
    </row>
    <row r="166" spans="1:9" ht="16.5" x14ac:dyDescent="0.45">
      <c r="A166" t="s">
        <v>362</v>
      </c>
      <c r="B166" s="115">
        <f t="shared" ca="1" si="5"/>
        <v>0</v>
      </c>
      <c r="C166" s="4"/>
      <c r="D166" t="s">
        <v>363</v>
      </c>
      <c r="E166" s="115">
        <f t="shared" ca="1" si="4"/>
        <v>0.16934085860546541</v>
      </c>
    </row>
    <row r="167" spans="1:9" ht="16.5" x14ac:dyDescent="0.45">
      <c r="A167" t="s">
        <v>364</v>
      </c>
      <c r="B167" s="115">
        <f t="shared" ca="1" si="5"/>
        <v>0</v>
      </c>
      <c r="C167" s="4"/>
      <c r="D167" t="s">
        <v>365</v>
      </c>
      <c r="E167" s="115">
        <f t="shared" ca="1" si="4"/>
        <v>9.3222657233100276E-2</v>
      </c>
    </row>
    <row r="168" spans="1:9" ht="16.5" x14ac:dyDescent="0.45">
      <c r="A168" t="s">
        <v>366</v>
      </c>
      <c r="B168" s="115">
        <f t="shared" ca="1" si="5"/>
        <v>0.14670098715878546</v>
      </c>
      <c r="C168" s="4"/>
      <c r="D168" t="s">
        <v>367</v>
      </c>
      <c r="E168" s="115">
        <f t="shared" ca="1" si="4"/>
        <v>2.7179332262094898E-2</v>
      </c>
    </row>
    <row r="169" spans="1:9" ht="16.5" x14ac:dyDescent="0.45">
      <c r="A169" t="s">
        <v>368</v>
      </c>
      <c r="B169" s="115">
        <f t="shared" ca="1" si="5"/>
        <v>0.11229882231793767</v>
      </c>
      <c r="C169" s="4"/>
      <c r="D169" t="s">
        <v>369</v>
      </c>
      <c r="E169" s="115">
        <f t="shared" ca="1" si="4"/>
        <v>4.0367515972847849E-3</v>
      </c>
    </row>
    <row r="170" spans="1:9" ht="16.5" x14ac:dyDescent="0.45">
      <c r="A170" t="s">
        <v>370</v>
      </c>
      <c r="B170" s="115">
        <f t="shared" ca="1" si="5"/>
        <v>5.1579725209676842E-3</v>
      </c>
      <c r="D170" t="s">
        <v>371</v>
      </c>
      <c r="E170" s="115">
        <f t="shared" ca="1" si="4"/>
        <v>2.4256965008037604E-2</v>
      </c>
    </row>
    <row r="171" spans="1:9" ht="16.5" x14ac:dyDescent="0.45">
      <c r="A171" t="s">
        <v>372</v>
      </c>
      <c r="B171" s="115">
        <f t="shared" ca="1" si="5"/>
        <v>4.6824445310815668E-3</v>
      </c>
      <c r="D171" t="s">
        <v>373</v>
      </c>
      <c r="E171" s="115">
        <f t="shared" ca="1" si="4"/>
        <v>2.1281905419069214E-2</v>
      </c>
    </row>
    <row r="172" spans="1:9" ht="16.5" x14ac:dyDescent="0.45">
      <c r="B172" s="233">
        <f ca="1">SUM(B162:B171)</f>
        <v>1</v>
      </c>
      <c r="D172" t="s">
        <v>374</v>
      </c>
      <c r="E172" s="115">
        <f t="shared" ca="1" si="4"/>
        <v>5.7227249199358662E-2</v>
      </c>
    </row>
    <row r="173" spans="1:9" ht="16.5" x14ac:dyDescent="0.45">
      <c r="B173" s="115"/>
      <c r="D173" t="s">
        <v>375</v>
      </c>
      <c r="E173" s="115">
        <f t="shared" ca="1" si="4"/>
        <v>0.14556433733475863</v>
      </c>
    </row>
    <row r="174" spans="1:9" ht="16.5" x14ac:dyDescent="0.45">
      <c r="B174" s="115"/>
      <c r="D174" t="s">
        <v>376</v>
      </c>
      <c r="E174" s="115">
        <f t="shared" ca="1" si="4"/>
        <v>7.0683376279728649E-2</v>
      </c>
    </row>
    <row r="175" spans="1:9" ht="16.5" x14ac:dyDescent="0.45">
      <c r="B175" s="115"/>
      <c r="D175" t="s">
        <v>377</v>
      </c>
      <c r="E175" s="115">
        <f t="shared" ca="1" si="4"/>
        <v>0</v>
      </c>
    </row>
    <row r="176" spans="1:9" ht="16.5" x14ac:dyDescent="0.45">
      <c r="B176" s="115"/>
      <c r="D176" t="s">
        <v>378</v>
      </c>
      <c r="E176" s="115">
        <f t="shared" ca="1" si="4"/>
        <v>0.2182547803835535</v>
      </c>
    </row>
    <row r="177" spans="1:5" ht="16.5" x14ac:dyDescent="0.45">
      <c r="B177" s="115"/>
      <c r="D177" t="s">
        <v>379</v>
      </c>
      <c r="E177" s="115">
        <f t="shared" ca="1" si="4"/>
        <v>3.5793256914033443E-3</v>
      </c>
    </row>
    <row r="178" spans="1:5" x14ac:dyDescent="0.35">
      <c r="E178" s="233">
        <f ca="1">SUM(E162:E177)</f>
        <v>0.99999999999999989</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7.4578739821371789</v>
      </c>
      <c r="C193" s="47"/>
      <c r="D193" t="s">
        <v>383</v>
      </c>
      <c r="E193" s="6">
        <f t="shared" ref="E193:E208" ca="1" si="7">$E162*$D$8</f>
        <v>0.22793852968564748</v>
      </c>
    </row>
    <row r="194" spans="1:5" ht="16.5" x14ac:dyDescent="0.45">
      <c r="A194" t="s">
        <v>384</v>
      </c>
      <c r="B194" s="7">
        <f t="shared" ca="1" si="6"/>
        <v>10.691668529800801</v>
      </c>
      <c r="D194" t="s">
        <v>385</v>
      </c>
      <c r="E194" s="6">
        <f t="shared" ca="1" si="7"/>
        <v>0.50917775759391859</v>
      </c>
    </row>
    <row r="195" spans="1:5" ht="16.5" x14ac:dyDescent="0.45">
      <c r="A195" t="s">
        <v>386</v>
      </c>
      <c r="B195" s="7">
        <f t="shared" ca="1" si="6"/>
        <v>8.3911929758298385</v>
      </c>
      <c r="D195" t="s">
        <v>387</v>
      </c>
      <c r="E195" s="6">
        <f t="shared" ca="1" si="7"/>
        <v>1.6789888500248038</v>
      </c>
    </row>
    <row r="196" spans="1:5" ht="16.5" x14ac:dyDescent="0.45">
      <c r="A196" t="s">
        <v>388</v>
      </c>
      <c r="B196" s="7">
        <f t="shared" ca="1" si="6"/>
        <v>0.28151918368104506</v>
      </c>
      <c r="D196" t="s">
        <v>389</v>
      </c>
      <c r="E196" s="6">
        <f t="shared" ca="1" si="7"/>
        <v>0.18387120467862778</v>
      </c>
    </row>
    <row r="197" spans="1:5" ht="16.5" x14ac:dyDescent="0.45">
      <c r="A197" t="s">
        <v>390</v>
      </c>
      <c r="B197" s="7">
        <f t="shared" ca="1" si="6"/>
        <v>0</v>
      </c>
      <c r="D197" t="s">
        <v>391</v>
      </c>
      <c r="E197" s="6">
        <f t="shared" ca="1" si="7"/>
        <v>2.662367261633634</v>
      </c>
    </row>
    <row r="198" spans="1:5" ht="16.5" x14ac:dyDescent="0.45">
      <c r="A198" t="s">
        <v>392</v>
      </c>
      <c r="B198" s="7">
        <f t="shared" ca="1" si="6"/>
        <v>0</v>
      </c>
      <c r="D198" t="s">
        <v>393</v>
      </c>
      <c r="E198" s="6">
        <f t="shared" ca="1" si="7"/>
        <v>1.4656412675817727</v>
      </c>
    </row>
    <row r="199" spans="1:5" ht="16.5" x14ac:dyDescent="0.45">
      <c r="A199" t="s">
        <v>394</v>
      </c>
      <c r="B199" s="7">
        <f t="shared" ca="1" si="6"/>
        <v>5.3816571711063039</v>
      </c>
      <c r="D199" t="s">
        <v>395</v>
      </c>
      <c r="E199" s="6">
        <f t="shared" ca="1" si="7"/>
        <v>0.42731190218099463</v>
      </c>
    </row>
    <row r="200" spans="1:5" ht="16.5" x14ac:dyDescent="0.45">
      <c r="A200" t="s">
        <v>396</v>
      </c>
      <c r="B200" s="7">
        <f t="shared" ca="1" si="6"/>
        <v>4.1196298275756291</v>
      </c>
      <c r="D200" t="s">
        <v>397</v>
      </c>
      <c r="E200" s="6">
        <f t="shared" ca="1" si="7"/>
        <v>6.3465576969806536E-2</v>
      </c>
    </row>
    <row r="201" spans="1:5" ht="16.5" x14ac:dyDescent="0.45">
      <c r="A201" t="s">
        <v>398</v>
      </c>
      <c r="B201" s="7">
        <f t="shared" ca="1" si="6"/>
        <v>0.18921781198234175</v>
      </c>
      <c r="D201" t="s">
        <v>399</v>
      </c>
      <c r="E201" s="6">
        <f t="shared" ca="1" si="7"/>
        <v>0.38136661190820031</v>
      </c>
    </row>
    <row r="202" spans="1:5" ht="16.5" x14ac:dyDescent="0.45">
      <c r="A202" t="s">
        <v>400</v>
      </c>
      <c r="B202" s="7">
        <f t="shared" ca="1" si="6"/>
        <v>0.17177328985337711</v>
      </c>
      <c r="D202" t="s">
        <v>401</v>
      </c>
      <c r="E202" s="6">
        <f t="shared" ca="1" si="7"/>
        <v>0.33459289576960138</v>
      </c>
    </row>
    <row r="203" spans="1:5" ht="16.5" x14ac:dyDescent="0.45">
      <c r="B203" s="7">
        <f ca="1">SUM(B193:B202)</f>
        <v>36.684532771966509</v>
      </c>
      <c r="D203" t="s">
        <v>402</v>
      </c>
      <c r="E203" s="6">
        <f t="shared" ca="1" si="7"/>
        <v>0.89972352801572919</v>
      </c>
    </row>
    <row r="204" spans="1:5" ht="16.5" x14ac:dyDescent="0.45">
      <c r="B204" s="7"/>
      <c r="D204" t="s">
        <v>403</v>
      </c>
      <c r="E204" s="6">
        <f t="shared" ca="1" si="7"/>
        <v>2.2885541585942328</v>
      </c>
    </row>
    <row r="205" spans="1:5" ht="16.5" x14ac:dyDescent="0.45">
      <c r="B205" s="7"/>
      <c r="D205" t="s">
        <v>404</v>
      </c>
      <c r="E205" s="6">
        <f t="shared" ca="1" si="7"/>
        <v>1.1112799858144058</v>
      </c>
    </row>
    <row r="206" spans="1:5" ht="16.5" x14ac:dyDescent="0.45">
      <c r="B206" s="7"/>
      <c r="D206" t="s">
        <v>405</v>
      </c>
      <c r="E206" s="6">
        <f t="shared" ca="1" si="7"/>
        <v>0</v>
      </c>
    </row>
    <row r="207" spans="1:5" ht="16.5" x14ac:dyDescent="0.45">
      <c r="B207" s="7"/>
      <c r="D207" t="s">
        <v>406</v>
      </c>
      <c r="E207" s="6">
        <f t="shared" ca="1" si="7"/>
        <v>3.4313891329794965</v>
      </c>
    </row>
    <row r="208" spans="1:5" ht="16.5" x14ac:dyDescent="0.45">
      <c r="B208" s="7"/>
      <c r="D208" t="s">
        <v>407</v>
      </c>
      <c r="E208" s="6">
        <f t="shared" ca="1" si="7"/>
        <v>5.6273953126211883E-2</v>
      </c>
    </row>
    <row r="209" spans="1:5" x14ac:dyDescent="0.35">
      <c r="B209" s="7"/>
      <c r="E209" s="6">
        <f ca="1">SUM(E193:E208)</f>
        <v>15.721942616557083</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5.8105128686902117E-2</v>
      </c>
      <c r="D226" s="121"/>
      <c r="E226" s="8"/>
      <c r="F226" s="8"/>
      <c r="G226" s="122"/>
      <c r="H226" s="48" t="s">
        <v>415</v>
      </c>
      <c r="I226" s="48" t="str">
        <f t="shared" ref="I226:I241" si="8">B41</f>
        <v>NTS MG 1</v>
      </c>
      <c r="J226" s="12">
        <f ca="1">IFERROR($E193/$H41*1000000," ")</f>
        <v>2.6447642529846663E-2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3.9263446979061811E-2</v>
      </c>
      <c r="D227" s="121"/>
      <c r="E227" s="8"/>
      <c r="F227" s="8"/>
      <c r="G227" s="122"/>
      <c r="H227" s="48" t="s">
        <v>417</v>
      </c>
      <c r="I227" s="48" t="str">
        <f t="shared" si="8"/>
        <v>NTS MG 2</v>
      </c>
      <c r="J227" s="12">
        <f t="shared" ref="J227:J241" ca="1" si="11">IFERROR($E194/$H42*1000000," ")</f>
        <v>3.4059637213634676E-2</v>
      </c>
      <c r="L227" s="21"/>
      <c r="M227" s="123"/>
      <c r="Q227" s="8"/>
      <c r="R227" s="124"/>
      <c r="S227" s="125"/>
      <c r="T227" s="125"/>
      <c r="U227" s="125"/>
    </row>
    <row r="228" spans="1:22" ht="16.5" x14ac:dyDescent="0.35">
      <c r="A228" s="48" t="s">
        <v>418</v>
      </c>
      <c r="B228" s="48" t="str">
        <f t="shared" si="9"/>
        <v>PR-ITABORAÍ</v>
      </c>
      <c r="C228" s="12">
        <f t="shared" ca="1" si="10"/>
        <v>4.5436917596209228E-2</v>
      </c>
      <c r="D228" s="121"/>
      <c r="E228" s="8"/>
      <c r="F228" s="8"/>
      <c r="G228" s="122"/>
      <c r="H228" s="48" t="s">
        <v>419</v>
      </c>
      <c r="I228" s="48" t="str">
        <f t="shared" si="8"/>
        <v>NTS MG 3</v>
      </c>
      <c r="J228" s="12">
        <f t="shared" ca="1" si="11"/>
        <v>4.323856026666828E-2</v>
      </c>
      <c r="L228" s="21"/>
      <c r="M228" s="123"/>
      <c r="Q228" s="8"/>
      <c r="R228" s="124"/>
      <c r="S228" s="125"/>
      <c r="T228" s="125"/>
      <c r="U228" s="125"/>
    </row>
    <row r="229" spans="1:22" ht="16.5" x14ac:dyDescent="0.35">
      <c r="A229" s="48" t="s">
        <v>420</v>
      </c>
      <c r="B229" s="48" t="str">
        <f t="shared" si="9"/>
        <v>PR-GASPAJ (INTERCONEXÃO)</v>
      </c>
      <c r="C229" s="12">
        <f t="shared" ca="1" si="10"/>
        <v>6.7792412450598735E-2</v>
      </c>
      <c r="D229" s="121"/>
      <c r="E229" s="8"/>
      <c r="F229" s="8"/>
      <c r="G229" s="122"/>
      <c r="H229" s="48" t="s">
        <v>421</v>
      </c>
      <c r="I229" s="48" t="str">
        <f t="shared" si="8"/>
        <v>NTS MG 4</v>
      </c>
      <c r="J229" s="12">
        <f t="shared" ca="1" si="11"/>
        <v>4.4277879689664928E-2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1.4352787767566837E-2</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1.2810505138491551E-2</v>
      </c>
      <c r="L231" s="21"/>
      <c r="M231" s="123"/>
      <c r="Q231" s="8"/>
      <c r="R231" s="124"/>
      <c r="S231" s="125"/>
      <c r="T231" s="125"/>
      <c r="U231" s="125"/>
    </row>
    <row r="232" spans="1:22" ht="16.5" x14ac:dyDescent="0.35">
      <c r="A232" s="48" t="s">
        <v>426</v>
      </c>
      <c r="B232" s="48" t="str">
        <f t="shared" si="9"/>
        <v>PR-TECAB</v>
      </c>
      <c r="C232" s="12">
        <f t="shared" ca="1" si="10"/>
        <v>6.3081000311396143E-2</v>
      </c>
      <c r="D232" s="121"/>
      <c r="E232" s="8"/>
      <c r="F232" s="8"/>
      <c r="G232" s="122"/>
      <c r="H232" s="48" t="s">
        <v>427</v>
      </c>
      <c r="I232" s="48" t="str">
        <f t="shared" si="8"/>
        <v>NTS RJ 3</v>
      </c>
      <c r="J232" s="12">
        <f t="shared" ca="1" si="11"/>
        <v>1.4443026134410694E-2</v>
      </c>
      <c r="L232" s="21"/>
      <c r="M232" s="123"/>
      <c r="Q232" s="8"/>
      <c r="R232" s="124"/>
      <c r="S232" s="125"/>
      <c r="T232" s="125"/>
      <c r="U232" s="125"/>
    </row>
    <row r="233" spans="1:22" ht="16.5" x14ac:dyDescent="0.35">
      <c r="A233" s="48" t="s">
        <v>428</v>
      </c>
      <c r="B233" s="48" t="str">
        <f t="shared" si="9"/>
        <v>PR-GUARAREMA (INTERCONEXÃO)</v>
      </c>
      <c r="C233" s="12">
        <f t="shared" ca="1" si="10"/>
        <v>5.0428944387096164E-2</v>
      </c>
      <c r="D233" s="121"/>
      <c r="E233" s="8"/>
      <c r="F233" s="8"/>
      <c r="G233" s="122"/>
      <c r="H233" s="48" t="s">
        <v>429</v>
      </c>
      <c r="I233" s="48" t="str">
        <f t="shared" si="8"/>
        <v>NTS RJ 4</v>
      </c>
      <c r="J233" s="12">
        <f t="shared" ca="1" si="11"/>
        <v>1.6471180666651517E-2</v>
      </c>
      <c r="L233" s="21"/>
      <c r="M233" s="123"/>
      <c r="Q233" s="8"/>
      <c r="R233" s="124"/>
      <c r="S233" s="125"/>
      <c r="T233" s="125"/>
      <c r="U233" s="125"/>
    </row>
    <row r="234" spans="1:22" ht="16.5" x14ac:dyDescent="0.35">
      <c r="A234" s="48" t="s">
        <v>430</v>
      </c>
      <c r="B234" s="48" t="str">
        <f t="shared" si="9"/>
        <v>PR-REPLAN (INTERCONEXÃO)</v>
      </c>
      <c r="C234" s="12">
        <f t="shared" ca="1" si="10"/>
        <v>6.7792412450598735E-2</v>
      </c>
      <c r="D234" s="116"/>
      <c r="E234" s="8"/>
      <c r="F234" s="8"/>
      <c r="G234" s="116"/>
      <c r="H234" s="48" t="s">
        <v>431</v>
      </c>
      <c r="I234" s="48" t="str">
        <f t="shared" si="8"/>
        <v>NTS RJ 5</v>
      </c>
      <c r="J234" s="12">
        <f t="shared" ca="1" si="11"/>
        <v>1.3237316076222342E-2</v>
      </c>
      <c r="L234" s="21"/>
      <c r="Q234" s="8"/>
      <c r="R234" s="124"/>
      <c r="S234" s="125"/>
      <c r="T234" s="125"/>
      <c r="U234" s="125"/>
    </row>
    <row r="235" spans="1:22" ht="16.5" x14ac:dyDescent="0.35">
      <c r="A235" s="48" t="s">
        <v>432</v>
      </c>
      <c r="B235" s="48" t="str">
        <f t="shared" si="9"/>
        <v>PR-TECAB (INTERCONEXÃO)</v>
      </c>
      <c r="C235" s="12">
        <f t="shared" ca="1" si="10"/>
        <v>6.3081000311396143E-2</v>
      </c>
      <c r="D235" s="116"/>
      <c r="E235" s="8"/>
      <c r="F235" s="8"/>
      <c r="G235" s="116"/>
      <c r="H235" s="48" t="s">
        <v>433</v>
      </c>
      <c r="I235" s="48" t="str">
        <f t="shared" si="8"/>
        <v>NTS SP 1</v>
      </c>
      <c r="J235" s="12">
        <f t="shared" ca="1" si="11"/>
        <v>2.3404552959919597E-2</v>
      </c>
      <c r="L235" s="21"/>
      <c r="Q235" s="8"/>
      <c r="R235" s="124"/>
      <c r="S235" s="125"/>
      <c r="T235" s="125"/>
      <c r="U235" s="125"/>
    </row>
    <row r="236" spans="1:22" ht="16.5" x14ac:dyDescent="0.35">
      <c r="D236" s="116"/>
      <c r="E236" s="8"/>
      <c r="F236" s="8"/>
      <c r="G236" s="116"/>
      <c r="H236" s="48" t="s">
        <v>434</v>
      </c>
      <c r="I236" s="48" t="str">
        <f t="shared" si="8"/>
        <v>NTS SP 2</v>
      </c>
      <c r="J236" s="12">
        <f t="shared" ca="1" si="11"/>
        <v>2.2005268858714202E-2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3.0101540267453146E-2</v>
      </c>
      <c r="L237" s="21"/>
      <c r="Q237" s="8"/>
      <c r="R237" s="124"/>
      <c r="S237" s="125"/>
      <c r="T237" s="125"/>
      <c r="U237" s="125"/>
    </row>
    <row r="238" spans="1:22" ht="16.5" x14ac:dyDescent="0.35">
      <c r="D238" s="116"/>
      <c r="E238" s="8"/>
      <c r="F238" s="8"/>
      <c r="G238" s="116"/>
      <c r="H238" s="48" t="s">
        <v>436</v>
      </c>
      <c r="I238" s="48" t="str">
        <f t="shared" si="8"/>
        <v>NTS SP 4</v>
      </c>
      <c r="J238" s="12">
        <f t="shared" ca="1" si="11"/>
        <v>3.2871513972746701E-2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3.6932090163502289E-2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2.0665711518409704E-2</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1.1621025737380421E-2</v>
      </c>
      <c r="D245" s="12">
        <f t="shared" ref="D245:D254" si="13">$F$7*$C$11</f>
        <v>3.8513579540422241E-2</v>
      </c>
      <c r="E245" s="12">
        <f ca="1">IFERROR(C245+D245," ")</f>
        <v>5.0134605277802662E-2</v>
      </c>
      <c r="G245" s="123"/>
      <c r="H245" s="48" t="s">
        <v>415</v>
      </c>
      <c r="I245" s="48" t="str">
        <f t="shared" ref="I245:I260" si="14">I226</f>
        <v>NTS MG 1</v>
      </c>
      <c r="J245" s="12">
        <f ca="1">IF(H41=0," ",J226*(1-$C$11))</f>
        <v>5.2895285059693315E-3</v>
      </c>
      <c r="K245" s="12">
        <f t="shared" ref="K245:K260" si="15">$F$10*$C$11</f>
        <v>1.8245367796737844E-2</v>
      </c>
      <c r="L245" s="12">
        <f ca="1">IFERROR(J245+K245," ")</f>
        <v>2.3534896302707175E-2</v>
      </c>
    </row>
    <row r="246" spans="1:22" ht="16.5" x14ac:dyDescent="0.35">
      <c r="A246" s="48" t="s">
        <v>416</v>
      </c>
      <c r="B246" s="48" t="str">
        <f t="shared" si="12"/>
        <v>PR-GNLBGB</v>
      </c>
      <c r="C246" s="12">
        <f t="shared" ref="C246:C254" ca="1" si="16">IF(H25=0," ",C227*(1-$C$11))</f>
        <v>7.8526893958123598E-3</v>
      </c>
      <c r="D246" s="12">
        <f t="shared" si="13"/>
        <v>3.8513579540422241E-2</v>
      </c>
      <c r="E246" s="12">
        <f t="shared" ref="E246:E254" ca="1" si="17">IFERROR(C246+D246," ")</f>
        <v>4.6366268936234599E-2</v>
      </c>
      <c r="G246" s="123"/>
      <c r="H246" s="48" t="s">
        <v>417</v>
      </c>
      <c r="I246" s="48" t="str">
        <f t="shared" si="14"/>
        <v>NTS MG 2</v>
      </c>
      <c r="J246" s="12">
        <f t="shared" ref="J246:J247" ca="1" si="18">IF(H42=0," ",J227*(1-$C$11))</f>
        <v>6.8119274427269338E-3</v>
      </c>
      <c r="K246" s="12">
        <f t="shared" si="15"/>
        <v>1.8245367796737844E-2</v>
      </c>
      <c r="L246" s="12">
        <f t="shared" ref="L246:L260" ca="1" si="19">IFERROR(J246+K246," ")</f>
        <v>2.5057295239464778E-2</v>
      </c>
    </row>
    <row r="247" spans="1:22" ht="16.5" x14ac:dyDescent="0.35">
      <c r="A247" s="48" t="s">
        <v>418</v>
      </c>
      <c r="B247" s="48" t="str">
        <f t="shared" si="12"/>
        <v>PR-ITABORAÍ</v>
      </c>
      <c r="C247" s="12">
        <f t="shared" ca="1" si="16"/>
        <v>9.0873835192418432E-3</v>
      </c>
      <c r="D247" s="12">
        <f t="shared" si="13"/>
        <v>3.8513579540422241E-2</v>
      </c>
      <c r="E247" s="12">
        <f t="shared" ca="1" si="17"/>
        <v>4.7600963059664082E-2</v>
      </c>
      <c r="G247" s="123"/>
      <c r="H247" s="48" t="s">
        <v>419</v>
      </c>
      <c r="I247" s="48" t="str">
        <f t="shared" si="14"/>
        <v>NTS MG 3</v>
      </c>
      <c r="J247" s="12">
        <f t="shared" ca="1" si="18"/>
        <v>8.6477120533336536E-3</v>
      </c>
      <c r="K247" s="12">
        <f t="shared" si="15"/>
        <v>1.8245367796737844E-2</v>
      </c>
      <c r="L247" s="12">
        <f t="shared" ca="1" si="19"/>
        <v>2.68930798500715E-2</v>
      </c>
    </row>
    <row r="248" spans="1:22" ht="16.5" x14ac:dyDescent="0.35">
      <c r="A248" s="48" t="s">
        <v>420</v>
      </c>
      <c r="B248" s="48" t="str">
        <f t="shared" si="12"/>
        <v>PR-GASPAJ (INTERCONEXÃO)</v>
      </c>
      <c r="C248" s="12">
        <f t="shared" ca="1" si="16"/>
        <v>1.3558482490119744E-2</v>
      </c>
      <c r="D248" s="12">
        <f t="shared" si="13"/>
        <v>3.8513579540422241E-2</v>
      </c>
      <c r="E248" s="12">
        <f t="shared" ca="1" si="17"/>
        <v>5.2072062030541988E-2</v>
      </c>
      <c r="G248" s="123"/>
      <c r="H248" s="48" t="s">
        <v>421</v>
      </c>
      <c r="I248" s="48" t="str">
        <f t="shared" si="14"/>
        <v>NTS MG 4</v>
      </c>
      <c r="J248" s="12">
        <f ca="1">IF(H44=0," ",J229*(1-$C$11))</f>
        <v>8.855575937932984E-3</v>
      </c>
      <c r="K248" s="12">
        <f t="shared" si="15"/>
        <v>1.8245367796737844E-2</v>
      </c>
      <c r="L248" s="12">
        <f t="shared" ca="1" si="19"/>
        <v>2.7100943734670827E-2</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2.8705575535133668E-3</v>
      </c>
      <c r="K249" s="12">
        <f t="shared" si="15"/>
        <v>1.8245367796737844E-2</v>
      </c>
      <c r="L249" s="12">
        <f t="shared" ca="1" si="19"/>
        <v>2.1115925350251211E-2</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2.5621010276983096E-3</v>
      </c>
      <c r="K250" s="12">
        <f t="shared" si="15"/>
        <v>1.8245367796737844E-2</v>
      </c>
      <c r="L250" s="12">
        <f t="shared" ca="1" si="19"/>
        <v>2.0807468824436154E-2</v>
      </c>
    </row>
    <row r="251" spans="1:22" ht="16.5" x14ac:dyDescent="0.35">
      <c r="A251" s="48" t="s">
        <v>426</v>
      </c>
      <c r="B251" s="48" t="str">
        <f t="shared" si="12"/>
        <v>PR-TECAB</v>
      </c>
      <c r="C251" s="12">
        <f t="shared" ca="1" si="16"/>
        <v>1.2616200062279226E-2</v>
      </c>
      <c r="D251" s="12">
        <f t="shared" si="13"/>
        <v>3.8513579540422241E-2</v>
      </c>
      <c r="E251" s="12">
        <f t="shared" ca="1" si="17"/>
        <v>5.1129779602701465E-2</v>
      </c>
      <c r="G251" s="123"/>
      <c r="H251" s="48" t="s">
        <v>427</v>
      </c>
      <c r="I251" s="48" t="str">
        <f t="shared" si="14"/>
        <v>NTS RJ 3</v>
      </c>
      <c r="J251" s="12">
        <f t="shared" ca="1" si="20"/>
        <v>2.8886052268821383E-3</v>
      </c>
      <c r="K251" s="12">
        <f t="shared" si="15"/>
        <v>1.8245367796737844E-2</v>
      </c>
      <c r="L251" s="12">
        <f t="shared" ca="1" si="19"/>
        <v>2.1133973023619981E-2</v>
      </c>
    </row>
    <row r="252" spans="1:22" ht="16.5" x14ac:dyDescent="0.35">
      <c r="A252" s="48" t="s">
        <v>428</v>
      </c>
      <c r="B252" s="48" t="str">
        <f t="shared" si="12"/>
        <v>PR-GUARAREMA (INTERCONEXÃO)</v>
      </c>
      <c r="C252" s="12">
        <f t="shared" ca="1" si="16"/>
        <v>1.0085788877419231E-2</v>
      </c>
      <c r="D252" s="12">
        <f t="shared" si="13"/>
        <v>3.8513579540422241E-2</v>
      </c>
      <c r="E252" s="12">
        <f t="shared" ca="1" si="17"/>
        <v>4.8599368417841474E-2</v>
      </c>
      <c r="G252" s="123"/>
      <c r="H252" s="48" t="s">
        <v>429</v>
      </c>
      <c r="I252" s="48" t="str">
        <f t="shared" si="14"/>
        <v>NTS RJ 4</v>
      </c>
      <c r="J252" s="12">
        <f t="shared" ca="1" si="20"/>
        <v>3.2942361333303028E-3</v>
      </c>
      <c r="K252" s="12">
        <f t="shared" si="15"/>
        <v>1.8245367796737844E-2</v>
      </c>
      <c r="L252" s="12">
        <f t="shared" ca="1" si="19"/>
        <v>2.1539603930068148E-2</v>
      </c>
    </row>
    <row r="253" spans="1:22" ht="16.5" x14ac:dyDescent="0.35">
      <c r="A253" s="48" t="s">
        <v>430</v>
      </c>
      <c r="B253" s="48" t="str">
        <f t="shared" si="12"/>
        <v>PR-REPLAN (INTERCONEXÃO)</v>
      </c>
      <c r="C253" s="12">
        <f t="shared" ca="1" si="16"/>
        <v>1.3558482490119744E-2</v>
      </c>
      <c r="D253" s="12">
        <f t="shared" si="13"/>
        <v>3.8513579540422241E-2</v>
      </c>
      <c r="E253" s="12">
        <f t="shared" ca="1" si="17"/>
        <v>5.2072062030541988E-2</v>
      </c>
      <c r="G253" s="123"/>
      <c r="H253" s="48" t="s">
        <v>431</v>
      </c>
      <c r="I253" s="48" t="str">
        <f t="shared" si="14"/>
        <v>NTS RJ 5</v>
      </c>
      <c r="J253" s="12">
        <f t="shared" ca="1" si="20"/>
        <v>2.6474632152444677E-3</v>
      </c>
      <c r="K253" s="12">
        <f t="shared" si="15"/>
        <v>1.8245367796737844E-2</v>
      </c>
      <c r="L253" s="12">
        <f t="shared" ca="1" si="19"/>
        <v>2.0892831011982312E-2</v>
      </c>
    </row>
    <row r="254" spans="1:22" ht="16.5" x14ac:dyDescent="0.35">
      <c r="A254" s="48" t="s">
        <v>432</v>
      </c>
      <c r="B254" s="48" t="str">
        <f t="shared" si="12"/>
        <v>PR-TECAB (INTERCONEXÃO)</v>
      </c>
      <c r="C254" s="12">
        <f t="shared" ca="1" si="16"/>
        <v>1.2616200062279226E-2</v>
      </c>
      <c r="D254" s="12">
        <f t="shared" si="13"/>
        <v>3.8513579540422241E-2</v>
      </c>
      <c r="E254" s="12">
        <f t="shared" ca="1" si="17"/>
        <v>5.1129779602701465E-2</v>
      </c>
      <c r="G254" s="123"/>
      <c r="H254" s="48" t="s">
        <v>433</v>
      </c>
      <c r="I254" s="48" t="str">
        <f t="shared" si="14"/>
        <v>NTS SP 1</v>
      </c>
      <c r="J254" s="12">
        <f t="shared" ca="1" si="20"/>
        <v>4.6809105919839184E-3</v>
      </c>
      <c r="K254" s="12">
        <f t="shared" si="15"/>
        <v>1.8245367796737844E-2</v>
      </c>
      <c r="L254" s="12">
        <f t="shared" ca="1" si="19"/>
        <v>2.2926278388721764E-2</v>
      </c>
    </row>
    <row r="255" spans="1:22" ht="16.5" x14ac:dyDescent="0.35">
      <c r="H255" s="48" t="s">
        <v>434</v>
      </c>
      <c r="I255" s="48" t="str">
        <f t="shared" si="14"/>
        <v>NTS SP 2</v>
      </c>
      <c r="J255" s="12">
        <f t="shared" ca="1" si="20"/>
        <v>4.4010537717428392E-3</v>
      </c>
      <c r="K255" s="12">
        <f t="shared" si="15"/>
        <v>1.8245367796737844E-2</v>
      </c>
      <c r="L255" s="12">
        <f t="shared" ca="1" si="19"/>
        <v>2.2646421568480683E-2</v>
      </c>
    </row>
    <row r="256" spans="1:22" ht="16.5" x14ac:dyDescent="0.35">
      <c r="H256" s="48" t="s">
        <v>435</v>
      </c>
      <c r="I256" s="48" t="str">
        <f t="shared" si="14"/>
        <v>NTS SP 3</v>
      </c>
      <c r="J256" s="12">
        <f t="shared" ca="1" si="20"/>
        <v>6.020308053490628E-3</v>
      </c>
      <c r="K256" s="12">
        <f t="shared" si="15"/>
        <v>1.8245367796737844E-2</v>
      </c>
      <c r="L256" s="12">
        <f t="shared" ca="1" si="19"/>
        <v>2.4265675850228471E-2</v>
      </c>
    </row>
    <row r="257" spans="1:13" ht="16.5" x14ac:dyDescent="0.35">
      <c r="H257" s="48" t="s">
        <v>436</v>
      </c>
      <c r="I257" s="48" t="str">
        <f t="shared" si="14"/>
        <v>NTS SP 4</v>
      </c>
      <c r="J257" s="12">
        <f t="shared" ca="1" si="20"/>
        <v>6.5743027945493384E-3</v>
      </c>
      <c r="K257" s="12">
        <f t="shared" si="15"/>
        <v>1.8245367796737844E-2</v>
      </c>
      <c r="L257" s="12">
        <f t="shared" ca="1" si="19"/>
        <v>2.4819670591287181E-2</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7.3864180327004566E-3</v>
      </c>
      <c r="K259" s="12">
        <f t="shared" si="15"/>
        <v>1.8245367796737844E-2</v>
      </c>
      <c r="L259" s="12">
        <f t="shared" ca="1" si="19"/>
        <v>2.56317858294383E-2</v>
      </c>
    </row>
    <row r="260" spans="1:13" ht="16.5" x14ac:dyDescent="0.35">
      <c r="H260" s="48" t="s">
        <v>439</v>
      </c>
      <c r="I260" s="48" t="str">
        <f t="shared" si="14"/>
        <v>PE-TECAB (INTERCONEXÃO)</v>
      </c>
      <c r="J260" s="12">
        <f t="shared" ca="1" si="20"/>
        <v>4.1331423036819401E-3</v>
      </c>
      <c r="K260" s="12">
        <f t="shared" si="15"/>
        <v>1.8245367796737844E-2</v>
      </c>
      <c r="L260" s="12">
        <f t="shared" ca="1" si="19"/>
        <v>2.2378510100419784E-2</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(GASIG)'!F11</f>
        <v>205</v>
      </c>
      <c r="D267" s="265">
        <f ca="1">E253</f>
        <v>5.2072062030541988E-2</v>
      </c>
      <c r="E267" s="268">
        <f ca="1">D267*(1-$C$262)</f>
        <v>5.2072062030541974E-3</v>
      </c>
      <c r="F267" s="266">
        <f ca="1">C267*E267*'Premissas (GASIG)'!$C$36*'Premissas (GASIG)'!$F$20*1000</f>
        <v>14534.018316589509</v>
      </c>
      <c r="L267" s="128"/>
    </row>
    <row r="268" spans="1:13" ht="18.5" x14ac:dyDescent="0.45">
      <c r="B268" s="247" t="s">
        <v>451</v>
      </c>
      <c r="C268" s="271">
        <f>'Oferta (GASIG)'!F10</f>
        <v>6000</v>
      </c>
      <c r="D268" s="265">
        <f ca="1">E252</f>
        <v>4.8599368417841474E-2</v>
      </c>
      <c r="E268" s="268">
        <f t="shared" ref="E268:E270" ca="1" si="21">D268*(1-$C$262)</f>
        <v>4.8599368417841463E-3</v>
      </c>
      <c r="F268" s="266">
        <f ca="1">C268*E268*'Premissas (GASIG)'!$C$36*'Premissas (GASIG)'!$F$20*1000</f>
        <v>397016.8524620299</v>
      </c>
      <c r="G268" s="129"/>
      <c r="K268" s="129"/>
      <c r="L268" s="128"/>
    </row>
    <row r="269" spans="1:13" ht="18.5" x14ac:dyDescent="0.45">
      <c r="B269" s="248" t="s">
        <v>452</v>
      </c>
      <c r="C269" s="271">
        <f>'Oferta (GASIG)'!F12</f>
        <v>200</v>
      </c>
      <c r="D269" s="265">
        <f ca="1">E254</f>
        <v>5.1129779602701465E-2</v>
      </c>
      <c r="E269" s="268">
        <f t="shared" ca="1" si="21"/>
        <v>5.112977960270145E-3</v>
      </c>
      <c r="F269" s="266">
        <f ca="1">C269*E269*'Premissas (GASIG)'!$C$36*'Premissas (GASIG)'!$F$20*1000</f>
        <v>13922.940994084785</v>
      </c>
      <c r="K269" s="129"/>
      <c r="L269" s="128"/>
    </row>
    <row r="270" spans="1:13" ht="18.5" x14ac:dyDescent="0.45">
      <c r="B270" s="248" t="s">
        <v>243</v>
      </c>
      <c r="C270" s="271">
        <f>'Oferta (GASIG)'!F6</f>
        <v>305</v>
      </c>
      <c r="D270" s="265">
        <f ca="1">E248</f>
        <v>5.2072062030541988E-2</v>
      </c>
      <c r="E270" s="268">
        <f t="shared" ca="1" si="21"/>
        <v>5.2072062030541974E-3</v>
      </c>
      <c r="F270" s="266">
        <f ca="1">C270*E270*'Premissas (GASIG)'!$C$36*'Premissas (GASIG)'!$F$20*1000</f>
        <v>21623.783349072193</v>
      </c>
      <c r="K270" s="129"/>
      <c r="L270" s="128"/>
    </row>
    <row r="271" spans="1:13" ht="18.5" x14ac:dyDescent="0.45">
      <c r="B271" s="246" t="s">
        <v>453</v>
      </c>
      <c r="C271" s="271">
        <f>'Demanda (GASIG)'!F17</f>
        <v>6824</v>
      </c>
      <c r="D271" s="265">
        <f ca="1">L259</f>
        <v>2.56317858294383E-2</v>
      </c>
      <c r="E271" s="268">
        <f ca="1">D271*(1-$C$262)</f>
        <v>2.5631785829438292E-3</v>
      </c>
      <c r="F271" s="266">
        <f ca="1">C271*E271*'Premissas (GASIG)'!$C$36*'Premissas (GASIG)'!$F$20*1000</f>
        <v>238146.90954293887</v>
      </c>
      <c r="K271" s="129"/>
      <c r="L271" s="128"/>
    </row>
    <row r="272" spans="1:13" ht="18.5" x14ac:dyDescent="0.45">
      <c r="B272" s="248" t="s">
        <v>454</v>
      </c>
      <c r="C272" s="271">
        <f>'Demanda (GASIG)'!F18</f>
        <v>200</v>
      </c>
      <c r="D272" s="265">
        <f ca="1">L260</f>
        <v>2.2378510100419784E-2</v>
      </c>
      <c r="E272" s="268">
        <f ca="1">D272*(1-$C$262)</f>
        <v>2.237851010041978E-3</v>
      </c>
      <c r="F272" s="266">
        <f ca="1">C272*E272*'Premissas (GASIG)'!$C$36*'Premissas (GASIG)'!$F$20*1000</f>
        <v>6093.8004834899157</v>
      </c>
      <c r="K272" s="129"/>
      <c r="L272" s="128"/>
    </row>
    <row r="273" spans="2:13" ht="19" thickBot="1" x14ac:dyDescent="0.5">
      <c r="B273" s="248"/>
      <c r="C273" s="248"/>
      <c r="D273" s="248"/>
      <c r="E273" s="248"/>
      <c r="F273" s="267">
        <f ca="1">SUM(F267:F272)</f>
        <v>691338.30514820525</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3E99-DCE3-4BBB-B8D7-665779EFB50D}">
  <sheetPr>
    <tabColor theme="5"/>
  </sheetPr>
  <dimension ref="A2:AA303"/>
  <sheetViews>
    <sheetView showGridLines="0" topLeftCell="B217" zoomScale="70" zoomScaleNormal="70" workbookViewId="0">
      <selection activeCell="D38" sqref="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109</v>
      </c>
    </row>
    <row r="3" spans="1:9" ht="15" thickBot="1" x14ac:dyDescent="0.4">
      <c r="G3" s="205">
        <v>2025</v>
      </c>
    </row>
    <row r="4" spans="1:9" ht="17" thickBot="1" x14ac:dyDescent="0.4">
      <c r="A4" s="220"/>
      <c r="B4" s="221" t="s">
        <v>110</v>
      </c>
      <c r="C4" s="222" t="s">
        <v>270</v>
      </c>
      <c r="D4" s="381">
        <f>'Premissas (GASIG)'!D32/1000</f>
        <v>52.406475388523603</v>
      </c>
      <c r="E4" s="224" t="s">
        <v>111</v>
      </c>
      <c r="F4" s="220"/>
      <c r="G4" s="220"/>
      <c r="H4" s="235"/>
      <c r="I4" s="235"/>
    </row>
    <row r="5" spans="1:9" ht="15" thickBot="1" x14ac:dyDescent="0.4">
      <c r="A5" s="211"/>
      <c r="B5" s="255" t="s">
        <v>460</v>
      </c>
      <c r="C5" s="208"/>
      <c r="D5" s="382">
        <f ca="1">D6+D9</f>
        <v>51.715137083375396</v>
      </c>
      <c r="E5" s="224" t="s">
        <v>111</v>
      </c>
      <c r="F5" s="273" t="s">
        <v>465</v>
      </c>
      <c r="G5" s="211"/>
      <c r="H5" s="235"/>
      <c r="I5" s="235"/>
    </row>
    <row r="6" spans="1:9" ht="16.5" x14ac:dyDescent="0.35">
      <c r="A6" s="206">
        <f>HLOOKUP($G$3,'Premissas (GASIG)'!$B$5:$F$13,9,FALSE)</f>
        <v>0.7</v>
      </c>
      <c r="B6" s="207" t="s">
        <v>112</v>
      </c>
      <c r="C6" s="208" t="s">
        <v>271</v>
      </c>
      <c r="D6" s="382">
        <f ca="1">($A$6*$D$4)-(SUM($F$268:$F$271)/10^6)</f>
        <v>36.237435176844741</v>
      </c>
      <c r="E6" s="210" t="s">
        <v>113</v>
      </c>
      <c r="F6" s="273" t="s">
        <v>458</v>
      </c>
      <c r="G6" s="211"/>
      <c r="H6" s="235"/>
    </row>
    <row r="7" spans="1:9" ht="29" x14ac:dyDescent="0.35">
      <c r="A7" s="92"/>
      <c r="B7" s="212" t="s">
        <v>114</v>
      </c>
      <c r="C7" s="213" t="s">
        <v>272</v>
      </c>
      <c r="D7" s="383">
        <f>$D$35*'Premissas (GASIG)'!$F$20</f>
        <v>17978805</v>
      </c>
      <c r="E7" s="212" t="s">
        <v>115</v>
      </c>
      <c r="F7" s="230">
        <f>H35</f>
        <v>670648602.31609499</v>
      </c>
      <c r="G7" s="82" t="s">
        <v>116</v>
      </c>
    </row>
    <row r="8" spans="1:9" ht="17" thickBot="1" x14ac:dyDescent="0.4">
      <c r="A8" s="215"/>
      <c r="B8" s="216" t="s">
        <v>117</v>
      </c>
      <c r="C8" s="217" t="s">
        <v>273</v>
      </c>
      <c r="D8" s="218">
        <f ca="1">$D$6/$D$7*1000</f>
        <v>2.0155641699681789E-3</v>
      </c>
      <c r="E8" s="219" t="s">
        <v>118</v>
      </c>
      <c r="F8" s="384">
        <f ca="1">$D$6/$F$7*1000000</f>
        <v>5.4033416384822418E-2</v>
      </c>
      <c r="G8" s="228" t="s">
        <v>15</v>
      </c>
      <c r="I8" s="235"/>
    </row>
    <row r="9" spans="1:9" ht="16.5" x14ac:dyDescent="0.35">
      <c r="A9" s="206">
        <f>1-A6</f>
        <v>0.30000000000000004</v>
      </c>
      <c r="B9" s="207" t="s">
        <v>119</v>
      </c>
      <c r="C9" s="208" t="s">
        <v>274</v>
      </c>
      <c r="D9" s="382">
        <f ca="1">($A$9*$D$4)-(SUM($F$272:$F$273)/10^6)</f>
        <v>15.477701906530655</v>
      </c>
      <c r="E9" s="210" t="s">
        <v>113</v>
      </c>
      <c r="F9" s="273" t="s">
        <v>459</v>
      </c>
      <c r="G9" s="229"/>
    </row>
    <row r="10" spans="1:9" ht="29" x14ac:dyDescent="0.35">
      <c r="B10" s="212" t="s">
        <v>120</v>
      </c>
      <c r="C10" s="213" t="s">
        <v>275</v>
      </c>
      <c r="D10" s="383">
        <f>$D$58*'Premissas (GASIG)'!$F$20</f>
        <v>15916555</v>
      </c>
      <c r="E10" s="212" t="s">
        <v>115</v>
      </c>
      <c r="F10" s="230">
        <f>H58</f>
        <v>593722183.67334497</v>
      </c>
      <c r="G10" s="82" t="s">
        <v>116</v>
      </c>
    </row>
    <row r="11" spans="1:9" ht="17" thickBot="1" x14ac:dyDescent="0.4">
      <c r="A11" s="225"/>
      <c r="B11" s="216" t="s">
        <v>121</v>
      </c>
      <c r="C11" s="217" t="s">
        <v>276</v>
      </c>
      <c r="D11" s="218">
        <f ca="1">$D$9/$D$10*1000</f>
        <v>9.724278844593353E-4</v>
      </c>
      <c r="E11" s="219" t="s">
        <v>118</v>
      </c>
      <c r="F11" s="384">
        <f ca="1">$D$9/$F$10*1000000</f>
        <v>2.606892976572053E-2</v>
      </c>
      <c r="G11" s="228" t="s">
        <v>15</v>
      </c>
    </row>
    <row r="12" spans="1:9" ht="15" thickBot="1" x14ac:dyDescent="0.4">
      <c r="A12" s="220"/>
      <c r="B12" s="220" t="s">
        <v>122</v>
      </c>
      <c r="C12" s="226">
        <f>HLOOKUP($G$3,'Premissas (GASIG)'!$B$5:$F$8,4,FALSE)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(GASIG)'!C3</f>
        <v>20000</v>
      </c>
      <c r="D25" s="290">
        <f>'Oferta (GASIG)'!F3</f>
        <v>9427</v>
      </c>
      <c r="F25" s="104"/>
      <c r="G25" s="43">
        <f>IFERROR($C25*$H$20*'Premissas (GASIG)'!$F$20*1000," ")</f>
        <v>272305906.69999999</v>
      </c>
      <c r="H25" s="43">
        <f>IFERROR($D25*$H$20*'Premissas (GASIG)'!$F$20*1000," ")</f>
        <v>128351389.123045</v>
      </c>
      <c r="I25" s="93"/>
    </row>
    <row r="26" spans="1:9" x14ac:dyDescent="0.35">
      <c r="A26" s="2" t="s">
        <v>133</v>
      </c>
      <c r="B26" s="44" t="s">
        <v>26</v>
      </c>
      <c r="C26" s="290">
        <f>'Oferta (GASIG)'!C4</f>
        <v>20000</v>
      </c>
      <c r="D26" s="290">
        <f>'Oferta (GASIG)'!F4</f>
        <v>20000</v>
      </c>
      <c r="F26" s="104"/>
      <c r="G26" s="43">
        <f>IFERROR($C26*$H$20*'Premissas (GASIG)'!$F$20*1000," ")</f>
        <v>272305906.69999999</v>
      </c>
      <c r="H26" s="43">
        <f>IFERROR($D26*$H$20*'Premissas (GASIG)'!$F$20*1000," ")</f>
        <v>272305906.69999999</v>
      </c>
      <c r="I26" s="93"/>
    </row>
    <row r="27" spans="1:9" x14ac:dyDescent="0.35">
      <c r="A27" s="2" t="s">
        <v>134</v>
      </c>
      <c r="B27" s="44" t="s">
        <v>488</v>
      </c>
      <c r="C27" s="290">
        <f>'Oferta (GASIG)'!C5</f>
        <v>18200</v>
      </c>
      <c r="D27" s="290">
        <f>'Oferta (GASIG)'!F5</f>
        <v>13564</v>
      </c>
      <c r="E27" s="46"/>
      <c r="F27" s="104"/>
      <c r="G27" s="43">
        <f>IFERROR($C27*$H$20*'Premissas (GASIG)'!$F$20*1000," ")</f>
        <v>247798375.097</v>
      </c>
      <c r="H27" s="43">
        <f>IFERROR($D27*$H$20*'Premissas (GASIG)'!$F$20*1000," ")</f>
        <v>184677865.92394</v>
      </c>
      <c r="I27" s="93"/>
    </row>
    <row r="28" spans="1:9" x14ac:dyDescent="0.35">
      <c r="A28" s="2" t="s">
        <v>135</v>
      </c>
      <c r="B28" s="44" t="s">
        <v>463</v>
      </c>
      <c r="C28" s="293"/>
      <c r="D28" s="293"/>
      <c r="E28" s="274" t="s">
        <v>461</v>
      </c>
      <c r="F28" s="104"/>
      <c r="G28" s="43">
        <f>IFERROR($C28*$H$20*'Premissas (GASIG)'!$F$20*1000," ")</f>
        <v>0</v>
      </c>
      <c r="H28" s="43">
        <f>IFERROR($D28*$H$20*'Premissas (GASIG)'!$F$20*1000," ")</f>
        <v>0</v>
      </c>
      <c r="I28" s="93"/>
    </row>
    <row r="29" spans="1:9" x14ac:dyDescent="0.35">
      <c r="A29" s="2" t="s">
        <v>136</v>
      </c>
      <c r="B29" s="44" t="s">
        <v>27</v>
      </c>
      <c r="C29" s="290">
        <f>'Oferta (GASIG)'!C7</f>
        <v>5000</v>
      </c>
      <c r="D29" s="290">
        <f>'Oferta (GASIG)'!F7</f>
        <v>0</v>
      </c>
      <c r="E29" s="46"/>
      <c r="F29" s="104"/>
      <c r="G29" s="43">
        <f>IFERROR($C29*$H$20*'Premissas (GASIG)'!$F$20*1000," ")</f>
        <v>68076476.674999997</v>
      </c>
      <c r="H29" s="43">
        <f>IFERROR($D29*$H$20*'Premissas (GASIG)'!$F$20*1000," ")</f>
        <v>0</v>
      </c>
      <c r="I29" s="93"/>
    </row>
    <row r="30" spans="1:9" x14ac:dyDescent="0.35">
      <c r="A30" s="2" t="s">
        <v>239</v>
      </c>
      <c r="B30" s="44" t="s">
        <v>29</v>
      </c>
      <c r="C30" s="290">
        <f>'Oferta (GASIG)'!C8</f>
        <v>2200</v>
      </c>
      <c r="D30" s="290">
        <f>'Oferta (GASIG)'!F8</f>
        <v>0</v>
      </c>
      <c r="E30" s="46"/>
      <c r="F30" s="104"/>
      <c r="G30" s="43">
        <f>IFERROR($C30*$H$20*'Premissas (GASIG)'!$F$20*1000," ")</f>
        <v>29953649.736999996</v>
      </c>
      <c r="H30" s="43">
        <f>IFERROR($D30*$H$20*'Premissas (GASIG)'!$F$20*1000," ")</f>
        <v>0</v>
      </c>
      <c r="I30" s="93"/>
    </row>
    <row r="31" spans="1:9" x14ac:dyDescent="0.35">
      <c r="A31" s="2" t="s">
        <v>137</v>
      </c>
      <c r="B31" s="44" t="s">
        <v>24</v>
      </c>
      <c r="C31" s="290">
        <f>'Oferta (GASIG)'!C9</f>
        <v>25160</v>
      </c>
      <c r="D31" s="290">
        <f>'Oferta (GASIG)'!F9</f>
        <v>6266</v>
      </c>
      <c r="E31" s="46"/>
      <c r="F31" s="104"/>
      <c r="G31" s="43">
        <f>IFERROR($C31*$H$20*'Premissas (GASIG)'!$F$20*1000," ")</f>
        <v>342560830.6286</v>
      </c>
      <c r="H31" s="43">
        <f>IFERROR($D31*$H$20*'Premissas (GASIG)'!$F$20*1000," ")</f>
        <v>85313440.569109991</v>
      </c>
      <c r="I31" s="93"/>
    </row>
    <row r="32" spans="1:9" x14ac:dyDescent="0.35">
      <c r="A32" s="2" t="s">
        <v>240</v>
      </c>
      <c r="B32" s="44" t="s">
        <v>264</v>
      </c>
      <c r="C32" s="249"/>
      <c r="D32" s="249"/>
      <c r="E32" s="274" t="s">
        <v>461</v>
      </c>
      <c r="F32" s="104"/>
      <c r="G32" s="43">
        <f>IFERROR($C32*$H$20*'Premissas (GASIG)'!$F$20*1000," ")</f>
        <v>0</v>
      </c>
      <c r="H32" s="43">
        <f>IFERROR($D32*$H$20*'Premissas (GASIG)'!$F$20*1000," ")</f>
        <v>0</v>
      </c>
      <c r="I32" s="93"/>
    </row>
    <row r="33" spans="1:10" x14ac:dyDescent="0.35">
      <c r="A33" s="2" t="s">
        <v>138</v>
      </c>
      <c r="B33" s="44" t="s">
        <v>266</v>
      </c>
      <c r="C33" s="249"/>
      <c r="D33" s="249"/>
      <c r="E33" s="274" t="s">
        <v>461</v>
      </c>
      <c r="F33" s="104"/>
      <c r="G33" s="43">
        <f>IFERROR($C33*$H$20*'Premissas (GASIG)'!$F$20*1000," ")</f>
        <v>0</v>
      </c>
      <c r="H33" s="43">
        <f>IFERROR($D33*$H$20*'Premissas (GASIG)'!$F$20*1000," ")</f>
        <v>0</v>
      </c>
      <c r="I33" s="93"/>
    </row>
    <row r="34" spans="1:10" x14ac:dyDescent="0.35">
      <c r="A34" s="2" t="s">
        <v>139</v>
      </c>
      <c r="B34" s="44" t="s">
        <v>265</v>
      </c>
      <c r="C34" s="249"/>
      <c r="D34" s="249"/>
      <c r="E34" s="274" t="s">
        <v>461</v>
      </c>
      <c r="F34" s="104"/>
      <c r="G34" s="43">
        <f>IFERROR($C34*$H$20*'Premissas (GASIG)'!$F$20*1000," ")</f>
        <v>0</v>
      </c>
      <c r="H34" s="43">
        <f>IFERROR($D34*$H$20*'Premissas (GASIG)'!$F$20*1000," ")</f>
        <v>0</v>
      </c>
      <c r="I34" s="93"/>
    </row>
    <row r="35" spans="1:10" x14ac:dyDescent="0.35">
      <c r="C35" s="105">
        <f>SUM(C25:C34)</f>
        <v>90560</v>
      </c>
      <c r="D35" s="105">
        <f>SUM(D25:D34)</f>
        <v>49257</v>
      </c>
      <c r="E35" s="105"/>
      <c r="F35" s="104"/>
      <c r="G35" s="105">
        <f>SUM(G25:G34)</f>
        <v>1233001145.5376</v>
      </c>
      <c r="H35" s="105">
        <f>SUM(H25:H34)</f>
        <v>670648602.31609499</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(GASIG)'!C3</f>
        <v>864.5</v>
      </c>
      <c r="D42" s="290">
        <f>'Demanda (GASIG)'!F3</f>
        <v>633</v>
      </c>
      <c r="G42" s="43">
        <f>IFERROR($C42*$H$20*'Premissas (GASIG)'!$F$20*1000," ")</f>
        <v>11770422.817107499</v>
      </c>
      <c r="H42" s="43">
        <f>IFERROR($D42*$H$20*'Premissas (GASIG)'!$F$20*1000," ")</f>
        <v>8618481.9470549989</v>
      </c>
      <c r="I42" s="93"/>
    </row>
    <row r="43" spans="1:10" x14ac:dyDescent="0.35">
      <c r="A43" s="2" t="s">
        <v>42</v>
      </c>
      <c r="B43" s="44" t="s">
        <v>217</v>
      </c>
      <c r="C43" s="290">
        <f>'Demanda (GASIG)'!C4</f>
        <v>1825.9</v>
      </c>
      <c r="D43" s="290">
        <f>'Demanda (GASIG)'!F4</f>
        <v>1098</v>
      </c>
      <c r="E43" s="46"/>
      <c r="G43" s="43">
        <f>IFERROR($C43*$H$20*'Premissas (GASIG)'!$F$20*1000," ")</f>
        <v>24860167.752176501</v>
      </c>
      <c r="H43" s="43">
        <f>IFERROR($D43*$H$20*'Premissas (GASIG)'!$F$20*1000," ")</f>
        <v>14949594.277829999</v>
      </c>
      <c r="I43" s="93"/>
    </row>
    <row r="44" spans="1:10" x14ac:dyDescent="0.35">
      <c r="A44" s="2" t="s">
        <v>43</v>
      </c>
      <c r="B44" s="44" t="s">
        <v>218</v>
      </c>
      <c r="C44" s="290">
        <f>'Demanda (GASIG)'!C5</f>
        <v>3040.95</v>
      </c>
      <c r="D44" s="290">
        <f>'Demanda (GASIG)'!F5</f>
        <v>2852</v>
      </c>
      <c r="E44" s="46"/>
      <c r="G44" s="43">
        <f>IFERROR($C44*$H$20*'Premissas (GASIG)'!$F$20*1000," ")</f>
        <v>41403432.348968253</v>
      </c>
      <c r="H44" s="43">
        <f>IFERROR($D44*$H$20*'Premissas (GASIG)'!$F$20*1000," ")</f>
        <v>38830822.295419998</v>
      </c>
      <c r="I44" s="93"/>
    </row>
    <row r="45" spans="1:10" x14ac:dyDescent="0.35">
      <c r="A45" s="2" t="s">
        <v>44</v>
      </c>
      <c r="B45" s="44" t="s">
        <v>219</v>
      </c>
      <c r="C45" s="290">
        <f>'Demanda (GASIG)'!C6</f>
        <v>1187.5</v>
      </c>
      <c r="D45" s="290">
        <f>'Demanda (GASIG)'!F6</f>
        <v>305</v>
      </c>
      <c r="E45" s="46"/>
      <c r="G45" s="43">
        <f>IFERROR($C45*$H$20*'Premissas (GASIG)'!$F$20*1000," ")</f>
        <v>16168163.210312499</v>
      </c>
      <c r="H45" s="43">
        <f>IFERROR($D45*$H$20*'Premissas (GASIG)'!$F$20*1000," ")</f>
        <v>4152665.0771750002</v>
      </c>
      <c r="I45" s="93"/>
    </row>
    <row r="46" spans="1:10" x14ac:dyDescent="0.35">
      <c r="A46" s="2" t="s">
        <v>45</v>
      </c>
      <c r="B46" s="44" t="s">
        <v>220</v>
      </c>
      <c r="C46" s="290">
        <f>'Demanda (GASIG)'!C7</f>
        <v>21185</v>
      </c>
      <c r="D46" s="290">
        <f>'Demanda (GASIG)'!F7</f>
        <v>13624</v>
      </c>
      <c r="E46" s="46"/>
      <c r="G46" s="43">
        <f>IFERROR($C46*$H$20*'Premissas (GASIG)'!$F$20*1000," ")</f>
        <v>288440031.67197496</v>
      </c>
      <c r="H46" s="43">
        <f>IFERROR($D46*$H$20*'Premissas (GASIG)'!$F$20*1000," ")</f>
        <v>185494783.64403999</v>
      </c>
      <c r="I46" s="93"/>
    </row>
    <row r="47" spans="1:10" x14ac:dyDescent="0.35">
      <c r="A47" s="2" t="s">
        <v>46</v>
      </c>
      <c r="B47" s="44" t="s">
        <v>221</v>
      </c>
      <c r="C47" s="290">
        <f>'Demanda (GASIG)'!C8</f>
        <v>11271.75</v>
      </c>
      <c r="D47" s="290">
        <f>'Demanda (GASIG)'!F8</f>
        <v>8403</v>
      </c>
      <c r="E47" s="46"/>
      <c r="G47" s="43">
        <f>IFERROR($C47*$H$20*'Premissas (GASIG)'!$F$20*1000," ")</f>
        <v>153468205.19228625</v>
      </c>
      <c r="H47" s="43">
        <f>IFERROR($D47*$H$20*'Premissas (GASIG)'!$F$20*1000," ")</f>
        <v>114409326.70000499</v>
      </c>
      <c r="I47" s="93"/>
    </row>
    <row r="48" spans="1:10" x14ac:dyDescent="0.35">
      <c r="A48" s="2" t="s">
        <v>47</v>
      </c>
      <c r="B48" s="44" t="s">
        <v>222</v>
      </c>
      <c r="C48" s="290">
        <f>'Demanda (GASIG)'!C9</f>
        <v>3249</v>
      </c>
      <c r="D48" s="290">
        <f>'Demanda (GASIG)'!F9</f>
        <v>2173</v>
      </c>
      <c r="E48" s="46"/>
      <c r="G48" s="43">
        <f>IFERROR($C48*$H$20*'Premissas (GASIG)'!$F$20*1000," ")</f>
        <v>44236094.543414995</v>
      </c>
      <c r="H48" s="43">
        <f>IFERROR($D48*$H$20*'Premissas (GASIG)'!$F$20*1000," ")</f>
        <v>29586036.762954999</v>
      </c>
      <c r="I48" s="93"/>
    </row>
    <row r="49" spans="1:9" x14ac:dyDescent="0.35">
      <c r="A49" s="2" t="s">
        <v>48</v>
      </c>
      <c r="B49" s="44" t="s">
        <v>223</v>
      </c>
      <c r="C49" s="290">
        <f>'Demanda (GASIG)'!C10</f>
        <v>498.75</v>
      </c>
      <c r="D49" s="290">
        <f>'Demanda (GASIG)'!F10</f>
        <v>283</v>
      </c>
      <c r="E49" s="46"/>
      <c r="G49" s="43">
        <f>IFERROR($C49*$H$20*'Premissas (GASIG)'!$F$20*1000," ")</f>
        <v>6790628.5483312495</v>
      </c>
      <c r="H49" s="43">
        <f>IFERROR($D49*$H$20*'Premissas (GASIG)'!$F$20*1000," ")</f>
        <v>3853128.5798049998</v>
      </c>
      <c r="I49" s="93"/>
    </row>
    <row r="50" spans="1:9" x14ac:dyDescent="0.35">
      <c r="A50" s="2" t="s">
        <v>49</v>
      </c>
      <c r="B50" s="44" t="s">
        <v>224</v>
      </c>
      <c r="C50" s="290">
        <f>'Demanda (GASIG)'!C11</f>
        <v>3321.2</v>
      </c>
      <c r="D50" s="290">
        <f>'Demanda (GASIG)'!F11</f>
        <v>2116</v>
      </c>
      <c r="E50" s="46"/>
      <c r="G50" s="43">
        <f>IFERROR($C50*$H$20*'Premissas (GASIG)'!$F$20*1000," ")</f>
        <v>45219118.866601996</v>
      </c>
      <c r="H50" s="43">
        <f>IFERROR($D50*$H$20*'Premissas (GASIG)'!$F$20*1000," ")</f>
        <v>28809964.928859998</v>
      </c>
      <c r="I50" s="93"/>
    </row>
    <row r="51" spans="1:9" x14ac:dyDescent="0.35">
      <c r="A51" s="2" t="s">
        <v>50</v>
      </c>
      <c r="B51" s="44" t="s">
        <v>225</v>
      </c>
      <c r="C51" s="290">
        <f>'Demanda (GASIG)'!C12</f>
        <v>14292.75</v>
      </c>
      <c r="D51" s="290">
        <f>'Demanda (GASIG)'!F12</f>
        <v>1050</v>
      </c>
      <c r="E51" s="46"/>
      <c r="G51" s="43">
        <f>IFERROR($C51*$H$20*'Premissas (GASIG)'!$F$20*1000," ")</f>
        <v>194600012.39932126</v>
      </c>
      <c r="H51" s="43">
        <f>IFERROR($D51*$H$20*'Premissas (GASIG)'!$F$20*1000," ")</f>
        <v>14296060.101749998</v>
      </c>
      <c r="I51" s="93"/>
    </row>
    <row r="52" spans="1:9" x14ac:dyDescent="0.35">
      <c r="A52" s="2" t="s">
        <v>51</v>
      </c>
      <c r="B52" s="44" t="s">
        <v>226</v>
      </c>
      <c r="C52" s="290">
        <f>'Demanda (GASIG)'!C13</f>
        <v>3971</v>
      </c>
      <c r="D52" s="290">
        <f>'Demanda (GASIG)'!F13</f>
        <v>3003</v>
      </c>
      <c r="E52" s="46"/>
      <c r="G52" s="43">
        <f>IFERROR($C52*$H$20*'Premissas (GASIG)'!$F$20*1000," ")</f>
        <v>54066337.775284998</v>
      </c>
      <c r="H52" s="43">
        <f>IFERROR($D52*$H$20*'Premissas (GASIG)'!$F$20*1000," ")</f>
        <v>40886731.891005002</v>
      </c>
      <c r="I52" s="93"/>
    </row>
    <row r="53" spans="1:9" x14ac:dyDescent="0.35">
      <c r="A53" s="2" t="s">
        <v>52</v>
      </c>
      <c r="B53" s="44" t="s">
        <v>227</v>
      </c>
      <c r="C53" s="290">
        <f>'Demanda (GASIG)'!C14</f>
        <v>9941.75</v>
      </c>
      <c r="D53" s="290">
        <f>'Demanda (GASIG)'!F14</f>
        <v>5584</v>
      </c>
      <c r="E53" s="46"/>
      <c r="G53" s="43">
        <f>IFERROR($C53*$H$20*'Premissas (GASIG)'!$F$20*1000," ")</f>
        <v>135359862.39673626</v>
      </c>
      <c r="H53" s="43">
        <f>IFERROR($D53*$H$20*'Premissas (GASIG)'!$F$20*1000," ")</f>
        <v>76027809.150639996</v>
      </c>
      <c r="I53" s="93"/>
    </row>
    <row r="54" spans="1:9" x14ac:dyDescent="0.35">
      <c r="A54" s="2" t="s">
        <v>53</v>
      </c>
      <c r="B54" s="44" t="s">
        <v>228</v>
      </c>
      <c r="C54" s="290">
        <f>'Demanda (GASIG)'!C15</f>
        <v>3809.5</v>
      </c>
      <c r="D54" s="290">
        <f>'Demanda (GASIG)'!F15</f>
        <v>2483</v>
      </c>
      <c r="E54" s="46"/>
      <c r="G54" s="43">
        <f>IFERROR($C54*$H$20*'Premissas (GASIG)'!$F$20*1000," ")</f>
        <v>51867467.578682497</v>
      </c>
      <c r="H54" s="43">
        <f>IFERROR($D54*$H$20*'Premissas (GASIG)'!$F$20*1000," ")</f>
        <v>33806778.316804998</v>
      </c>
      <c r="I54" s="93"/>
    </row>
    <row r="55" spans="1:9" x14ac:dyDescent="0.35">
      <c r="A55" s="2" t="s">
        <v>54</v>
      </c>
      <c r="B55" s="44" t="s">
        <v>269</v>
      </c>
      <c r="C55" s="249"/>
      <c r="D55" s="249"/>
      <c r="E55" s="274" t="s">
        <v>461</v>
      </c>
      <c r="G55" s="43">
        <f>IFERROR($C55*$H$20*'Premissas (GASIG)'!$F$20*1000," ")</f>
        <v>0</v>
      </c>
      <c r="H55" s="43">
        <f>IFERROR($D55*$H$20*'Premissas (GASIG)'!$F$20*1000," ")</f>
        <v>0</v>
      </c>
      <c r="I55" s="93"/>
    </row>
    <row r="56" spans="1:9" x14ac:dyDescent="0.35">
      <c r="A56" s="2" t="s">
        <v>55</v>
      </c>
      <c r="B56" s="44" t="s">
        <v>268</v>
      </c>
      <c r="C56" s="249"/>
      <c r="D56" s="249"/>
      <c r="E56" s="274" t="s">
        <v>461</v>
      </c>
      <c r="G56" s="43">
        <f>IFERROR($C56*$H$20*'Premissas (GASIG)'!$F$20*1000," ")</f>
        <v>0</v>
      </c>
      <c r="H56" s="43">
        <f>IFERROR($D56*$H$20*'Premissas (GASIG)'!$F$20*1000," ")</f>
        <v>0</v>
      </c>
      <c r="I56" s="93"/>
    </row>
    <row r="57" spans="1:9" x14ac:dyDescent="0.35">
      <c r="A57" s="2" t="s">
        <v>56</v>
      </c>
      <c r="B57" s="44" t="s">
        <v>267</v>
      </c>
      <c r="C57" s="249"/>
      <c r="D57" s="249"/>
      <c r="E57" s="274" t="s">
        <v>461</v>
      </c>
      <c r="G57" s="43">
        <f>IFERROR($C57*$H$20*'Premissas (GASIG)'!$F$20*1000," ")</f>
        <v>0</v>
      </c>
      <c r="H57" s="43">
        <f>IFERROR($D57*$H$20*'Premissas (GASIG)'!$F$20*1000," ")</f>
        <v>0</v>
      </c>
      <c r="I57" s="93"/>
    </row>
    <row r="58" spans="1:9" x14ac:dyDescent="0.35">
      <c r="C58" s="105">
        <f>SUM(C42:C57)</f>
        <v>78459.549999999988</v>
      </c>
      <c r="D58" s="105">
        <f>SUM(D42:D57)</f>
        <v>43607</v>
      </c>
      <c r="E58" s="105"/>
      <c r="G58" s="105">
        <f>SUM(G42:G57)</f>
        <v>1068249945.1011992</v>
      </c>
      <c r="H58" s="105">
        <f>SUM(H42:H57)</f>
        <v>593722183.67334497</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0.19138396573075908</v>
      </c>
      <c r="C100" s="9"/>
      <c r="D100" t="s">
        <v>304</v>
      </c>
      <c r="E100" s="110">
        <f>H42/$H$58</f>
        <v>1.4516018070493268E-2</v>
      </c>
      <c r="G100" s="109" t="s">
        <v>148</v>
      </c>
      <c r="H100" s="111">
        <f>H25/$H$35</f>
        <v>0.19138396573075908</v>
      </c>
      <c r="I100" s="111">
        <f>H26/$H$35</f>
        <v>0.40603366019042975</v>
      </c>
      <c r="J100" s="111">
        <f>$H27/$H$35</f>
        <v>0.27537202834114949</v>
      </c>
      <c r="K100" s="111">
        <f>$H28/$H$35</f>
        <v>0</v>
      </c>
      <c r="L100" s="111">
        <f>$H29/$H$35</f>
        <v>0</v>
      </c>
      <c r="M100" s="111">
        <f>$H30/$H$35</f>
        <v>0</v>
      </c>
      <c r="N100" s="111">
        <f>$H31/$H$35</f>
        <v>0.12721034573766163</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0.40603366019042975</v>
      </c>
      <c r="C101" s="4"/>
      <c r="D101" t="s">
        <v>305</v>
      </c>
      <c r="E101" s="110">
        <f t="shared" ref="E101:E115" si="2">H43/$H$58</f>
        <v>2.517944366730112E-2</v>
      </c>
      <c r="W101" s="113"/>
    </row>
    <row r="102" spans="1:27" ht="16.5" x14ac:dyDescent="0.45">
      <c r="A102" t="s">
        <v>296</v>
      </c>
      <c r="B102" s="110">
        <f t="shared" si="1"/>
        <v>0.27537202834114949</v>
      </c>
      <c r="C102" s="4"/>
      <c r="D102" t="s">
        <v>306</v>
      </c>
      <c r="E102" s="110">
        <f t="shared" si="2"/>
        <v>6.5402343660421497E-2</v>
      </c>
      <c r="G102" s="110"/>
    </row>
    <row r="103" spans="1:27" ht="16.5" x14ac:dyDescent="0.45">
      <c r="A103" t="s">
        <v>297</v>
      </c>
      <c r="B103" s="110">
        <f t="shared" si="1"/>
        <v>0</v>
      </c>
      <c r="C103" s="4"/>
      <c r="D103" t="s">
        <v>307</v>
      </c>
      <c r="E103" s="110">
        <f t="shared" si="2"/>
        <v>6.9942899075836453E-3</v>
      </c>
      <c r="G103" s="110"/>
      <c r="H103" s="112"/>
      <c r="I103" s="112"/>
    </row>
    <row r="104" spans="1:27" ht="16.5" x14ac:dyDescent="0.45">
      <c r="A104" t="s">
        <v>298</v>
      </c>
      <c r="B104" s="110">
        <f t="shared" si="1"/>
        <v>0</v>
      </c>
      <c r="C104" s="4"/>
      <c r="D104" t="s">
        <v>308</v>
      </c>
      <c r="E104" s="110">
        <f t="shared" si="2"/>
        <v>0.31242690393744121</v>
      </c>
      <c r="G104" s="110"/>
      <c r="H104" s="112"/>
      <c r="I104" s="112"/>
    </row>
    <row r="105" spans="1:27" ht="16.5" x14ac:dyDescent="0.45">
      <c r="A105" t="s">
        <v>299</v>
      </c>
      <c r="B105" s="110">
        <f t="shared" si="1"/>
        <v>0</v>
      </c>
      <c r="C105" s="4"/>
      <c r="D105" t="s">
        <v>309</v>
      </c>
      <c r="E105" s="110">
        <f t="shared" si="2"/>
        <v>0.19269841997844384</v>
      </c>
      <c r="G105" s="110"/>
      <c r="H105" s="112"/>
      <c r="I105" s="112"/>
    </row>
    <row r="106" spans="1:27" ht="16.5" x14ac:dyDescent="0.45">
      <c r="A106" t="s">
        <v>300</v>
      </c>
      <c r="B106" s="110">
        <f t="shared" si="1"/>
        <v>0.12721034573766163</v>
      </c>
      <c r="C106" s="4"/>
      <c r="D106" t="s">
        <v>310</v>
      </c>
      <c r="E106" s="110">
        <f t="shared" si="2"/>
        <v>4.9831449079276266E-2</v>
      </c>
      <c r="G106" s="110"/>
      <c r="H106" s="112"/>
      <c r="I106" s="112"/>
    </row>
    <row r="107" spans="1:27" ht="16.5" x14ac:dyDescent="0.45">
      <c r="A107" t="s">
        <v>301</v>
      </c>
      <c r="B107" s="110">
        <f t="shared" si="1"/>
        <v>0</v>
      </c>
      <c r="C107" s="4"/>
      <c r="D107" t="s">
        <v>311</v>
      </c>
      <c r="E107" s="110">
        <f t="shared" si="2"/>
        <v>6.4897837503153167E-3</v>
      </c>
      <c r="G107" s="110"/>
      <c r="H107" s="112"/>
      <c r="I107" s="112"/>
    </row>
    <row r="108" spans="1:27" ht="16.5" x14ac:dyDescent="0.45">
      <c r="A108" t="s">
        <v>302</v>
      </c>
      <c r="B108" s="110">
        <f t="shared" si="1"/>
        <v>0</v>
      </c>
      <c r="C108" s="4"/>
      <c r="D108" t="s">
        <v>312</v>
      </c>
      <c r="E108" s="110">
        <f t="shared" si="2"/>
        <v>4.8524319489990135E-2</v>
      </c>
      <c r="G108" s="110"/>
      <c r="H108" s="112"/>
      <c r="I108" s="112"/>
    </row>
    <row r="109" spans="1:27" ht="16.5" x14ac:dyDescent="0.45">
      <c r="A109" t="s">
        <v>303</v>
      </c>
      <c r="B109" s="110">
        <f t="shared" si="1"/>
        <v>0</v>
      </c>
      <c r="D109" t="s">
        <v>313</v>
      </c>
      <c r="E109" s="110">
        <f t="shared" si="2"/>
        <v>2.4078702960533858E-2</v>
      </c>
      <c r="G109" s="110"/>
    </row>
    <row r="110" spans="1:27" ht="16.5" x14ac:dyDescent="0.45">
      <c r="B110" s="110">
        <f>SUM(B100:B109)</f>
        <v>1</v>
      </c>
      <c r="D110" t="s">
        <v>314</v>
      </c>
      <c r="E110" s="110">
        <f t="shared" si="2"/>
        <v>6.8865090467126841E-2</v>
      </c>
      <c r="G110" s="110"/>
    </row>
    <row r="111" spans="1:27" ht="16.5" x14ac:dyDescent="0.45">
      <c r="B111" s="112"/>
      <c r="D111" t="s">
        <v>315</v>
      </c>
      <c r="E111" s="110">
        <f t="shared" si="2"/>
        <v>0.12805283555392483</v>
      </c>
      <c r="G111" s="110"/>
    </row>
    <row r="112" spans="1:27" ht="16.5" x14ac:dyDescent="0.45">
      <c r="B112" s="112"/>
      <c r="D112" t="s">
        <v>316</v>
      </c>
      <c r="E112" s="110">
        <f t="shared" si="2"/>
        <v>5.6940399477148164E-2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0.99999999999999989</v>
      </c>
    </row>
    <row r="118" spans="1:5" s="95" customFormat="1" x14ac:dyDescent="0.35">
      <c r="A118" s="95" t="s">
        <v>149</v>
      </c>
      <c r="B118" s="95" t="s">
        <v>493</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358.22292237484805</v>
      </c>
      <c r="C131" s="114"/>
      <c r="D131" t="s">
        <v>325</v>
      </c>
      <c r="E131" s="4">
        <f ca="1">SUMPRODUCT($H$100:$Q$100,$C68:$L68)</f>
        <v>325.8316589723288</v>
      </c>
    </row>
    <row r="132" spans="1:5" ht="16.5" x14ac:dyDescent="0.45">
      <c r="A132" t="s">
        <v>326</v>
      </c>
      <c r="B132" s="110">
        <f ca="1">SUMPRODUCT($E$100:$E$115,D$68:D$83)</f>
        <v>196.22408034795637</v>
      </c>
      <c r="C132" s="114"/>
      <c r="D132" t="s">
        <v>327</v>
      </c>
      <c r="E132" s="4">
        <f t="shared" ref="E132:E146" ca="1" si="3">SUMPRODUCT($H$100:$Q$100,$C69:$L69)</f>
        <v>422.99565897232878</v>
      </c>
    </row>
    <row r="133" spans="1:5" ht="16.5" x14ac:dyDescent="0.45">
      <c r="A133" t="s">
        <v>328</v>
      </c>
      <c r="B133" s="110">
        <f ca="1">SUMPRODUCT($E$100:$E$115,E$68:E$83)</f>
        <v>231.96050044564714</v>
      </c>
      <c r="C133" s="114"/>
      <c r="D133" t="s">
        <v>329</v>
      </c>
      <c r="E133" s="4">
        <f t="shared" ca="1" si="3"/>
        <v>540.1608589723287</v>
      </c>
    </row>
    <row r="134" spans="1:5" ht="16.5" x14ac:dyDescent="0.45">
      <c r="A134" t="s">
        <v>330</v>
      </c>
      <c r="B134" s="110">
        <f ca="1">SUMPRODUCT($E$100:$E$115,F$68:F$83)</f>
        <v>472.8469617997111</v>
      </c>
      <c r="C134" s="114"/>
      <c r="D134" t="s">
        <v>331</v>
      </c>
      <c r="E134" s="4">
        <f t="shared" ca="1" si="3"/>
        <v>594.15157762348485</v>
      </c>
    </row>
    <row r="135" spans="1:5" ht="16.5" x14ac:dyDescent="0.45">
      <c r="A135" t="s">
        <v>332</v>
      </c>
      <c r="B135" s="110">
        <f ca="1">SUMPRODUCT($E$100:$E$115,G$68:G$83)</f>
        <v>182.58998516140375</v>
      </c>
      <c r="C135" s="114"/>
      <c r="D135" t="s">
        <v>333</v>
      </c>
      <c r="E135" s="4">
        <f t="shared" ca="1" si="3"/>
        <v>150.19454537764514</v>
      </c>
    </row>
    <row r="136" spans="1:5" ht="16.5" x14ac:dyDescent="0.45">
      <c r="A136" t="s">
        <v>334</v>
      </c>
      <c r="B136" s="110">
        <f ca="1">SUMPRODUCT($E$100:$E$115,H$68:H$83)</f>
        <v>387.1539239082411</v>
      </c>
      <c r="C136" s="114"/>
      <c r="D136" t="s">
        <v>335</v>
      </c>
      <c r="E136" s="4">
        <f t="shared" ca="1" si="3"/>
        <v>141.34124374200618</v>
      </c>
    </row>
    <row r="137" spans="1:5" ht="16.5" x14ac:dyDescent="0.45">
      <c r="A137" t="s">
        <v>336</v>
      </c>
      <c r="B137" s="110">
        <f ca="1">SUMPRODUCT($E$100:$E$115,I$68:I$83)</f>
        <v>336.06213963201623</v>
      </c>
      <c r="D137" t="s">
        <v>337</v>
      </c>
      <c r="E137" s="4">
        <f t="shared" ca="1" si="3"/>
        <v>170.40838043729826</v>
      </c>
    </row>
    <row r="138" spans="1:5" ht="16.5" x14ac:dyDescent="0.45">
      <c r="A138" t="s">
        <v>338</v>
      </c>
      <c r="B138" s="110">
        <f ca="1">SUMPRODUCT($E$100:$E$115,J$68:J$83)</f>
        <v>309.83311302466728</v>
      </c>
      <c r="D138" t="s">
        <v>339</v>
      </c>
      <c r="E138" s="4">
        <f t="shared" ca="1" si="3"/>
        <v>208.27876916986418</v>
      </c>
    </row>
    <row r="139" spans="1:5" ht="16.5" x14ac:dyDescent="0.45">
      <c r="A139" t="s">
        <v>340</v>
      </c>
      <c r="B139" s="110">
        <f ca="1">SUMPRODUCT($E$100:$E$115,K$68:K$83)</f>
        <v>472.8469617997111</v>
      </c>
      <c r="D139" t="s">
        <v>341</v>
      </c>
      <c r="E139" s="4">
        <f t="shared" ca="1" si="3"/>
        <v>142.36020850843533</v>
      </c>
    </row>
    <row r="140" spans="1:5" ht="16.5" x14ac:dyDescent="0.45">
      <c r="A140" t="s">
        <v>342</v>
      </c>
      <c r="B140" s="110">
        <f ca="1">SUMPRODUCT($E$100:$E$115,L$68:L$83)</f>
        <v>336.06213963201623</v>
      </c>
      <c r="D140" t="s">
        <v>343</v>
      </c>
      <c r="E140" s="4">
        <f t="shared" ca="1" si="3"/>
        <v>319.60552545831041</v>
      </c>
    </row>
    <row r="141" spans="1:5" ht="16.5" x14ac:dyDescent="0.45">
      <c r="B141" s="110"/>
      <c r="D141" t="s">
        <v>344</v>
      </c>
      <c r="E141" s="4">
        <f t="shared" ca="1" si="3"/>
        <v>309.28236748753142</v>
      </c>
    </row>
    <row r="142" spans="1:5" ht="16.5" x14ac:dyDescent="0.45">
      <c r="B142" s="110"/>
      <c r="D142" t="s">
        <v>345</v>
      </c>
      <c r="E142" s="4">
        <f t="shared" ca="1" si="3"/>
        <v>422.020528420326</v>
      </c>
    </row>
    <row r="143" spans="1:5" ht="16.5" x14ac:dyDescent="0.45">
      <c r="B143" s="110"/>
      <c r="D143" t="s">
        <v>346</v>
      </c>
      <c r="E143" s="4">
        <f t="shared" ca="1" si="3"/>
        <v>457.42491268246135</v>
      </c>
    </row>
    <row r="144" spans="1:5" ht="16.5" x14ac:dyDescent="0.45">
      <c r="B144" s="110"/>
      <c r="D144" t="s">
        <v>347</v>
      </c>
      <c r="E144" s="4">
        <f t="shared" si="3"/>
        <v>352.08791268246136</v>
      </c>
    </row>
    <row r="145" spans="1:5" ht="16.5" x14ac:dyDescent="0.45">
      <c r="B145" s="110"/>
      <c r="D145" t="s">
        <v>348</v>
      </c>
      <c r="E145" s="4">
        <f t="shared" si="3"/>
        <v>500.38557762348495</v>
      </c>
    </row>
    <row r="146" spans="1:5" ht="16.5" x14ac:dyDescent="0.45">
      <c r="B146" s="110"/>
      <c r="D146" t="s">
        <v>349</v>
      </c>
      <c r="E146" s="4">
        <f t="shared" si="3"/>
        <v>226.22274809671723</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0.26900548127277601</v>
      </c>
      <c r="C163" s="36"/>
      <c r="D163" t="s">
        <v>355</v>
      </c>
      <c r="E163" s="115">
        <f t="shared" ref="E163:E178" ca="1" si="4">($H42*$E131)/SUMPRODUCT($H$42:$H$57,$E$131:$E$146)</f>
        <v>1.8558504950132237E-2</v>
      </c>
    </row>
    <row r="164" spans="1:9" ht="16.5" x14ac:dyDescent="0.45">
      <c r="A164" t="s">
        <v>356</v>
      </c>
      <c r="B164" s="115">
        <f t="shared" ref="B164:B172" ca="1" si="5">($H26*$B132)/SUMPRODUCT($H$25:$H$34,$B$131:$B$140)</f>
        <v>0.31261984807192683</v>
      </c>
      <c r="C164" s="4"/>
      <c r="D164" t="s">
        <v>357</v>
      </c>
      <c r="E164" s="115">
        <f t="shared" ca="1" si="4"/>
        <v>4.1791142862040227E-2</v>
      </c>
    </row>
    <row r="165" spans="1:9" ht="16.5" x14ac:dyDescent="0.45">
      <c r="A165" t="s">
        <v>358</v>
      </c>
      <c r="B165" s="115">
        <f t="shared" ca="1" si="5"/>
        <v>0.25063173922742293</v>
      </c>
      <c r="C165" s="4"/>
      <c r="D165" t="s">
        <v>359</v>
      </c>
      <c r="E165" s="115">
        <f t="shared" ca="1" si="4"/>
        <v>0.13861768124892851</v>
      </c>
      <c r="H165" s="116"/>
      <c r="I165" s="116"/>
    </row>
    <row r="166" spans="1:9" ht="16.5" x14ac:dyDescent="0.45">
      <c r="A166" t="s">
        <v>360</v>
      </c>
      <c r="B166" s="115">
        <f t="shared" ca="1" si="5"/>
        <v>0</v>
      </c>
      <c r="C166" s="4"/>
      <c r="D166" t="s">
        <v>361</v>
      </c>
      <c r="E166" s="115">
        <f t="shared" ca="1" si="4"/>
        <v>1.6305836803841088E-2</v>
      </c>
    </row>
    <row r="167" spans="1:9" ht="16.5" x14ac:dyDescent="0.45">
      <c r="A167" t="s">
        <v>362</v>
      </c>
      <c r="B167" s="115">
        <f t="shared" ca="1" si="5"/>
        <v>0</v>
      </c>
      <c r="C167" s="4"/>
      <c r="D167" t="s">
        <v>363</v>
      </c>
      <c r="E167" s="115">
        <f t="shared" ca="1" si="4"/>
        <v>0.18412162239437954</v>
      </c>
    </row>
    <row r="168" spans="1:9" ht="16.5" x14ac:dyDescent="0.45">
      <c r="A168" t="s">
        <v>364</v>
      </c>
      <c r="B168" s="115">
        <f t="shared" ca="1" si="5"/>
        <v>0</v>
      </c>
      <c r="C168" s="4"/>
      <c r="D168" t="s">
        <v>365</v>
      </c>
      <c r="E168" s="115">
        <f t="shared" ca="1" si="4"/>
        <v>0.1068683907103178</v>
      </c>
    </row>
    <row r="169" spans="1:9" ht="16.5" x14ac:dyDescent="0.45">
      <c r="A169" t="s">
        <v>366</v>
      </c>
      <c r="B169" s="115">
        <f t="shared" ca="1" si="5"/>
        <v>0.16774293142787436</v>
      </c>
      <c r="C169" s="4"/>
      <c r="D169" t="s">
        <v>367</v>
      </c>
      <c r="E169" s="115">
        <f t="shared" ca="1" si="4"/>
        <v>3.3319361673313938E-2</v>
      </c>
    </row>
    <row r="170" spans="1:9" ht="16.5" x14ac:dyDescent="0.45">
      <c r="A170" t="s">
        <v>368</v>
      </c>
      <c r="B170" s="115">
        <f t="shared" ca="1" si="5"/>
        <v>0</v>
      </c>
      <c r="C170" s="4"/>
      <c r="D170" t="s">
        <v>369</v>
      </c>
      <c r="E170" s="115">
        <f t="shared" ca="1" si="4"/>
        <v>5.3036814978852089E-3</v>
      </c>
    </row>
    <row r="171" spans="1:9" ht="16.5" x14ac:dyDescent="0.45">
      <c r="A171" t="s">
        <v>370</v>
      </c>
      <c r="B171" s="115">
        <f t="shared" ca="1" si="5"/>
        <v>0</v>
      </c>
      <c r="D171" t="s">
        <v>371</v>
      </c>
      <c r="E171" s="115">
        <f t="shared" ca="1" si="4"/>
        <v>2.7105053960743693E-2</v>
      </c>
    </row>
    <row r="172" spans="1:9" ht="16.5" x14ac:dyDescent="0.45">
      <c r="A172" t="s">
        <v>372</v>
      </c>
      <c r="B172" s="115">
        <f t="shared" ca="1" si="5"/>
        <v>0</v>
      </c>
      <c r="D172" t="s">
        <v>373</v>
      </c>
      <c r="E172" s="115">
        <f t="shared" ca="1" si="4"/>
        <v>3.0196011037368499E-2</v>
      </c>
    </row>
    <row r="173" spans="1:9" ht="16.5" x14ac:dyDescent="0.45">
      <c r="B173" s="233">
        <f ca="1">SUM(B163:B172)</f>
        <v>1.0000000000000002</v>
      </c>
      <c r="D173" t="s">
        <v>374</v>
      </c>
      <c r="E173" s="115">
        <f t="shared" ca="1" si="4"/>
        <v>8.3571171615775333E-2</v>
      </c>
    </row>
    <row r="174" spans="1:9" ht="16.5" x14ac:dyDescent="0.45">
      <c r="B174" s="115"/>
      <c r="D174" t="s">
        <v>375</v>
      </c>
      <c r="E174" s="115">
        <f t="shared" ca="1" si="4"/>
        <v>0.21204350970674257</v>
      </c>
    </row>
    <row r="175" spans="1:9" ht="16.5" x14ac:dyDescent="0.45">
      <c r="B175" s="115"/>
      <c r="D175" t="s">
        <v>376</v>
      </c>
      <c r="E175" s="115">
        <f t="shared" ca="1" si="4"/>
        <v>0.10219803153853137</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9.7480686898381421</v>
      </c>
      <c r="C194" s="47"/>
      <c r="D194" t="s">
        <v>383</v>
      </c>
      <c r="E194" s="6">
        <f t="shared" ref="E194:E209" ca="1" si="7">$E163*$D$9</f>
        <v>0.28724300744902032</v>
      </c>
    </row>
    <row r="195" spans="1:5" ht="16.5" x14ac:dyDescent="0.45">
      <c r="A195" t="s">
        <v>384</v>
      </c>
      <c r="B195" s="7">
        <f t="shared" ca="1" si="6"/>
        <v>11.328541479501499</v>
      </c>
      <c r="D195" t="s">
        <v>385</v>
      </c>
      <c r="E195" s="6">
        <f t="shared" ca="1" si="7"/>
        <v>0.64683085155189501</v>
      </c>
    </row>
    <row r="196" spans="1:5" ht="16.5" x14ac:dyDescent="0.45">
      <c r="A196" t="s">
        <v>386</v>
      </c>
      <c r="B196" s="7">
        <f t="shared" ca="1" si="6"/>
        <v>9.0822514035135935</v>
      </c>
      <c r="D196" t="s">
        <v>387</v>
      </c>
      <c r="E196" s="6">
        <f t="shared" ca="1" si="7"/>
        <v>2.1454831493453992</v>
      </c>
    </row>
    <row r="197" spans="1:5" ht="16.5" x14ac:dyDescent="0.45">
      <c r="A197" t="s">
        <v>388</v>
      </c>
      <c r="B197" s="7">
        <f t="shared" ca="1" si="6"/>
        <v>0</v>
      </c>
      <c r="D197" t="s">
        <v>389</v>
      </c>
      <c r="E197" s="6">
        <f t="shared" ca="1" si="7"/>
        <v>0.25237688138638892</v>
      </c>
    </row>
    <row r="198" spans="1:5" ht="16.5" x14ac:dyDescent="0.45">
      <c r="A198" t="s">
        <v>390</v>
      </c>
      <c r="B198" s="7">
        <f t="shared" ca="1" si="6"/>
        <v>0</v>
      </c>
      <c r="D198" t="s">
        <v>391</v>
      </c>
      <c r="E198" s="6">
        <f t="shared" ca="1" si="7"/>
        <v>2.8497795859670054</v>
      </c>
    </row>
    <row r="199" spans="1:5" ht="16.5" x14ac:dyDescent="0.45">
      <c r="A199" t="s">
        <v>392</v>
      </c>
      <c r="B199" s="7">
        <f t="shared" ca="1" si="6"/>
        <v>0</v>
      </c>
      <c r="D199" t="s">
        <v>393</v>
      </c>
      <c r="E199" s="6">
        <f t="shared" ca="1" si="7"/>
        <v>1.6540770946449488</v>
      </c>
    </row>
    <row r="200" spans="1:5" ht="16.5" x14ac:dyDescent="0.45">
      <c r="A200" t="s">
        <v>394</v>
      </c>
      <c r="B200" s="7">
        <f t="shared" ca="1" si="6"/>
        <v>6.0785736039915097</v>
      </c>
      <c r="D200" t="s">
        <v>395</v>
      </c>
      <c r="E200" s="6">
        <f t="shared" ca="1" si="7"/>
        <v>0.51570714769543557</v>
      </c>
    </row>
    <row r="201" spans="1:5" ht="16.5" x14ac:dyDescent="0.45">
      <c r="A201" t="s">
        <v>396</v>
      </c>
      <c r="B201" s="7">
        <f t="shared" ca="1" si="6"/>
        <v>0</v>
      </c>
      <c r="D201" t="s">
        <v>397</v>
      </c>
      <c r="E201" s="6">
        <f t="shared" ca="1" si="7"/>
        <v>8.2088801231449252E-2</v>
      </c>
    </row>
    <row r="202" spans="1:5" ht="16.5" x14ac:dyDescent="0.45">
      <c r="A202" t="s">
        <v>398</v>
      </c>
      <c r="B202" s="7">
        <f t="shared" ca="1" si="6"/>
        <v>0</v>
      </c>
      <c r="D202" t="s">
        <v>399</v>
      </c>
      <c r="E202" s="6">
        <f t="shared" ca="1" si="7"/>
        <v>0.41952394536481896</v>
      </c>
    </row>
    <row r="203" spans="1:5" ht="16.5" x14ac:dyDescent="0.45">
      <c r="A203" t="s">
        <v>400</v>
      </c>
      <c r="B203" s="7">
        <f t="shared" ca="1" si="6"/>
        <v>0</v>
      </c>
      <c r="D203" t="s">
        <v>401</v>
      </c>
      <c r="E203" s="6">
        <f t="shared" ca="1" si="7"/>
        <v>0.46736485760269914</v>
      </c>
    </row>
    <row r="204" spans="1:5" ht="16.5" x14ac:dyDescent="0.45">
      <c r="B204" s="7">
        <f ca="1">SUM(B194:B203)</f>
        <v>36.237435176844741</v>
      </c>
      <c r="D204" t="s">
        <v>402</v>
      </c>
      <c r="E204" s="6">
        <f t="shared" ca="1" si="7"/>
        <v>1.2934896822484865</v>
      </c>
    </row>
    <row r="205" spans="1:5" ht="16.5" x14ac:dyDescent="0.45">
      <c r="B205" s="7"/>
      <c r="D205" t="s">
        <v>403</v>
      </c>
      <c r="E205" s="6">
        <f t="shared" ca="1" si="7"/>
        <v>3.2819462344555008</v>
      </c>
    </row>
    <row r="206" spans="1:5" ht="16.5" x14ac:dyDescent="0.45">
      <c r="B206" s="7"/>
      <c r="D206" t="s">
        <v>404</v>
      </c>
      <c r="E206" s="6">
        <f t="shared" ca="1" si="7"/>
        <v>1.581790667587607</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15.477701906530656</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7.5948291299699808E-2</v>
      </c>
      <c r="D227" s="121"/>
      <c r="E227" s="8"/>
      <c r="F227" s="8"/>
      <c r="G227" s="122"/>
      <c r="H227" s="48" t="s">
        <v>415</v>
      </c>
      <c r="I227" s="48" t="str">
        <f t="shared" ref="I227:I242" si="8">B42</f>
        <v>NTS MG 1</v>
      </c>
      <c r="J227" s="12">
        <f ca="1">IFERROR($E194/$H42*1000000," ")</f>
        <v>3.3328724155090146E-2</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4.160226128323459E-2</v>
      </c>
      <c r="D228" s="121"/>
      <c r="E228" s="8"/>
      <c r="F228" s="8"/>
      <c r="G228" s="122"/>
      <c r="H228" s="48" t="s">
        <v>417</v>
      </c>
      <c r="I228" s="48" t="str">
        <f t="shared" si="8"/>
        <v>NTS MG 2</v>
      </c>
      <c r="J228" s="12">
        <f t="shared" ref="J228:J242" ca="1" si="11">IFERROR($E195/$H43*1000000," ")</f>
        <v>4.326745191413886E-2</v>
      </c>
      <c r="L228" s="21"/>
      <c r="M228" s="123"/>
      <c r="Q228" s="8"/>
      <c r="R228" s="124"/>
      <c r="S228" s="125"/>
      <c r="T228" s="125"/>
      <c r="U228" s="125"/>
    </row>
    <row r="229" spans="1:21" ht="16.5" x14ac:dyDescent="0.35">
      <c r="A229" s="48" t="s">
        <v>418</v>
      </c>
      <c r="B229" s="48" t="str">
        <f t="shared" si="9"/>
        <v>PR-ITABORAÍ</v>
      </c>
      <c r="C229" s="12">
        <f t="shared" ca="1" si="10"/>
        <v>4.9178884313370502E-2</v>
      </c>
      <c r="D229" s="121"/>
      <c r="E229" s="8"/>
      <c r="F229" s="8"/>
      <c r="G229" s="122"/>
      <c r="H229" s="48" t="s">
        <v>419</v>
      </c>
      <c r="I229" s="48" t="str">
        <f t="shared" si="8"/>
        <v>NTS MG 3</v>
      </c>
      <c r="J229" s="12">
        <f t="shared" ca="1" si="11"/>
        <v>5.5252065820878937E-2</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6.0774677633785329E-2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1.5363125204834136E-2</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1.4457537181231191E-2</v>
      </c>
      <c r="L232" s="21"/>
      <c r="M232" s="123"/>
      <c r="Q232" s="8"/>
      <c r="R232" s="124"/>
      <c r="S232" s="125"/>
      <c r="T232" s="125"/>
      <c r="U232" s="125"/>
    </row>
    <row r="233" spans="1:21" ht="16.5" x14ac:dyDescent="0.35">
      <c r="A233" s="48" t="s">
        <v>426</v>
      </c>
      <c r="B233" s="48" t="str">
        <f t="shared" si="9"/>
        <v>PR-TECAB</v>
      </c>
      <c r="C233" s="12">
        <f t="shared" ca="1" si="10"/>
        <v>7.1249894078148565E-2</v>
      </c>
      <c r="D233" s="121"/>
      <c r="E233" s="8"/>
      <c r="F233" s="8"/>
      <c r="G233" s="122"/>
      <c r="H233" s="48" t="s">
        <v>427</v>
      </c>
      <c r="I233" s="48" t="str">
        <f t="shared" si="8"/>
        <v>NTS RJ 3</v>
      </c>
      <c r="J233" s="12">
        <f t="shared" ca="1" si="11"/>
        <v>1.7430761403675336E-2</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2.1304454167891701E-2</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1.456176522257986E-2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3.2691864351178018E-2</v>
      </c>
      <c r="L236" s="21"/>
      <c r="Q236" s="8"/>
      <c r="R236" s="124"/>
      <c r="S236" s="125"/>
      <c r="T236" s="125"/>
      <c r="U236" s="125"/>
    </row>
    <row r="237" spans="1:21" ht="16.5" x14ac:dyDescent="0.35">
      <c r="D237" s="116"/>
      <c r="E237" s="8"/>
      <c r="F237" s="8"/>
      <c r="G237" s="116"/>
      <c r="H237" s="48" t="s">
        <v>434</v>
      </c>
      <c r="I237" s="48" t="str">
        <f t="shared" si="8"/>
        <v>NTS SP 2</v>
      </c>
      <c r="J237" s="12">
        <f t="shared" ca="1" si="11"/>
        <v>3.1635927412752E-2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4.3167707594371392E-2</v>
      </c>
      <c r="L238" s="21"/>
      <c r="Q238" s="8"/>
      <c r="R238" s="124"/>
      <c r="S238" s="125"/>
      <c r="T238" s="125"/>
      <c r="U238" s="125"/>
    </row>
    <row r="239" spans="1:21" ht="16.5" x14ac:dyDescent="0.35">
      <c r="D239" s="116"/>
      <c r="E239" s="8"/>
      <c r="F239" s="8"/>
      <c r="G239" s="116"/>
      <c r="H239" s="48" t="s">
        <v>436</v>
      </c>
      <c r="I239" s="48" t="str">
        <f t="shared" si="8"/>
        <v>NTS SP 4</v>
      </c>
      <c r="J239" s="12">
        <f t="shared" ca="1" si="11"/>
        <v>4.6789157273862896E-2</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1.5189658259939958E-2</v>
      </c>
      <c r="D246" s="12">
        <f t="shared" ref="D246:D252" ca="1" si="13">$F$8*$C$12</f>
        <v>4.3226733107857934E-2</v>
      </c>
      <c r="E246" s="12">
        <f ca="1">IFERROR(C246+D246," ")</f>
        <v>5.8416391367797894E-2</v>
      </c>
      <c r="F246" s="256">
        <f ca="1">E246*H25</f>
        <v>7497824.9796123141</v>
      </c>
      <c r="G246" s="123"/>
      <c r="H246" s="48" t="s">
        <v>415</v>
      </c>
      <c r="I246" s="48" t="str">
        <f t="shared" ref="I246:I261" si="14">I227</f>
        <v>NTS MG 1</v>
      </c>
      <c r="J246" s="12">
        <f ca="1">IF(H42=0," ",J227*(1-$C$12))</f>
        <v>6.6657448310180273E-3</v>
      </c>
      <c r="K246" s="12">
        <f t="shared" ref="K246:K258" ca="1" si="15">$F$11*$C$12</f>
        <v>2.0855143812576426E-2</v>
      </c>
      <c r="L246" s="12">
        <f ca="1">IFERROR(J246+K246," ")</f>
        <v>2.7520888643594452E-2</v>
      </c>
      <c r="M246" s="256">
        <f t="shared" ref="M246:M258" ca="1" si="16">L246*H42</f>
        <v>237188.28194172971</v>
      </c>
      <c r="N246" s="131"/>
    </row>
    <row r="247" spans="1:22" ht="16.5" x14ac:dyDescent="0.35">
      <c r="A247" s="48" t="s">
        <v>416</v>
      </c>
      <c r="B247" s="48" t="str">
        <f t="shared" si="12"/>
        <v>PR-GNLBGB</v>
      </c>
      <c r="C247" s="12">
        <f t="shared" ref="C247:C255" ca="1" si="17">IF(H26=0," ",C228*(1-$C$12))</f>
        <v>8.3204522566469163E-3</v>
      </c>
      <c r="D247" s="12">
        <f t="shared" ca="1" si="13"/>
        <v>4.3226733107857934E-2</v>
      </c>
      <c r="E247" s="12">
        <f t="shared" ref="E247:E252" ca="1" si="18">IFERROR(C247+D247," ")</f>
        <v>5.1547185364504852E-2</v>
      </c>
      <c r="F247" s="256">
        <f t="shared" ref="F247:F252" ca="1" si="19">E247*H26</f>
        <v>14036603.048514463</v>
      </c>
      <c r="G247" s="123"/>
      <c r="H247" s="48" t="s">
        <v>417</v>
      </c>
      <c r="I247" s="48" t="str">
        <f t="shared" si="14"/>
        <v>NTS MG 2</v>
      </c>
      <c r="J247" s="12">
        <f t="shared" ref="J247:J248" ca="1" si="20">IF(H43=0," ",J228*(1-$C$12))</f>
        <v>8.6534903828277693E-3</v>
      </c>
      <c r="K247" s="12">
        <f t="shared" ca="1" si="15"/>
        <v>2.0855143812576426E-2</v>
      </c>
      <c r="L247" s="12">
        <f t="shared" ref="L247:L258" ca="1" si="21">IFERROR(J247+K247," ")</f>
        <v>2.9508634195404195E-2</v>
      </c>
      <c r="M247" s="256">
        <f t="shared" ca="1" si="16"/>
        <v>441142.10891419317</v>
      </c>
    </row>
    <row r="248" spans="1:22" ht="16.5" x14ac:dyDescent="0.35">
      <c r="A248" s="48" t="s">
        <v>418</v>
      </c>
      <c r="B248" s="48" t="str">
        <f t="shared" si="12"/>
        <v>PR-ITABORAÍ</v>
      </c>
      <c r="C248" s="12">
        <f t="shared" ca="1" si="17"/>
        <v>9.835776862674098E-3</v>
      </c>
      <c r="D248" s="12">
        <f t="shared" ca="1" si="13"/>
        <v>4.3226733107857934E-2</v>
      </c>
      <c r="E248" s="12">
        <f t="shared" ca="1" si="18"/>
        <v>5.3062509970532031E-2</v>
      </c>
      <c r="F248" s="256">
        <f t="shared" ca="1" si="19"/>
        <v>9799471.1019256432</v>
      </c>
      <c r="G248" s="123"/>
      <c r="H248" s="48" t="s">
        <v>419</v>
      </c>
      <c r="I248" s="48" t="str">
        <f t="shared" si="14"/>
        <v>NTS MG 3</v>
      </c>
      <c r="J248" s="12">
        <f t="shared" ca="1" si="20"/>
        <v>1.1050413164175784E-2</v>
      </c>
      <c r="K248" s="12">
        <f t="shared" ca="1" si="15"/>
        <v>2.0855143812576426E-2</v>
      </c>
      <c r="L248" s="12">
        <f t="shared" ca="1" si="21"/>
        <v>3.1905556976752208E-2</v>
      </c>
      <c r="M248" s="256">
        <f t="shared" ca="1" si="16"/>
        <v>1238919.0132006628</v>
      </c>
    </row>
    <row r="249" spans="1:22" ht="16.5" x14ac:dyDescent="0.35">
      <c r="A249" s="48" t="s">
        <v>420</v>
      </c>
      <c r="B249" s="48" t="str">
        <f t="shared" si="12"/>
        <v>PR-GASPAJ (INTERCONEXÃO)</v>
      </c>
      <c r="C249" s="12" t="str">
        <f t="shared" si="17"/>
        <v xml:space="preserve"> </v>
      </c>
      <c r="D249" s="12">
        <f t="shared" ca="1" si="13"/>
        <v>4.3226733107857934E-2</v>
      </c>
      <c r="E249" s="127">
        <f ca="1">E271</f>
        <v>5.2072062030541974E-3</v>
      </c>
      <c r="F249" s="256">
        <f t="shared" ca="1" si="19"/>
        <v>0</v>
      </c>
      <c r="G249" s="123"/>
      <c r="H249" s="48" t="s">
        <v>421</v>
      </c>
      <c r="I249" s="48" t="str">
        <f t="shared" si="14"/>
        <v>NTS MG 4</v>
      </c>
      <c r="J249" s="12">
        <f ca="1">IF(H45=0," ",J230*(1-$C$12))</f>
        <v>1.2154935526757064E-2</v>
      </c>
      <c r="K249" s="12">
        <f t="shared" ca="1" si="15"/>
        <v>2.0855143812576426E-2</v>
      </c>
      <c r="L249" s="12">
        <f t="shared" ca="1" si="21"/>
        <v>3.301007933933349E-2</v>
      </c>
      <c r="M249" s="256">
        <f t="shared" ca="1" si="16"/>
        <v>137079.8036672262</v>
      </c>
    </row>
    <row r="250" spans="1:22" ht="16.5" x14ac:dyDescent="0.35">
      <c r="A250" s="48" t="s">
        <v>422</v>
      </c>
      <c r="B250" s="48" t="str">
        <f t="shared" si="12"/>
        <v>PR-REDUC</v>
      </c>
      <c r="C250" s="12" t="str">
        <f t="shared" si="17"/>
        <v xml:space="preserve"> </v>
      </c>
      <c r="D250" s="12"/>
      <c r="E250" s="12" t="str">
        <f t="shared" si="18"/>
        <v xml:space="preserve"> </v>
      </c>
      <c r="F250" s="256"/>
      <c r="G250" s="123"/>
      <c r="H250" s="48" t="s">
        <v>423</v>
      </c>
      <c r="I250" s="48" t="str">
        <f t="shared" si="14"/>
        <v>NTS RJ 1</v>
      </c>
      <c r="J250" s="12">
        <f t="shared" ref="J250:J261" ca="1" si="22">IF(H46=0," ",J231*(1-$C$12))</f>
        <v>3.0726250409668266E-3</v>
      </c>
      <c r="K250" s="12">
        <f t="shared" ca="1" si="15"/>
        <v>2.0855143812576426E-2</v>
      </c>
      <c r="L250" s="12">
        <f t="shared" ca="1" si="21"/>
        <v>2.3927768853543252E-2</v>
      </c>
      <c r="M250" s="256">
        <f t="shared" ca="1" si="16"/>
        <v>4438476.306572604</v>
      </c>
    </row>
    <row r="251" spans="1:22" ht="16.5" x14ac:dyDescent="0.35">
      <c r="A251" s="48" t="s">
        <v>424</v>
      </c>
      <c r="B251" s="48" t="str">
        <f t="shared" si="12"/>
        <v>PR-RPBC</v>
      </c>
      <c r="C251" s="12" t="str">
        <f t="shared" si="17"/>
        <v xml:space="preserve"> </v>
      </c>
      <c r="D251" s="12"/>
      <c r="E251" s="12" t="str">
        <f t="shared" si="18"/>
        <v xml:space="preserve"> </v>
      </c>
      <c r="F251" s="256"/>
      <c r="G251" s="123"/>
      <c r="H251" s="48" t="s">
        <v>425</v>
      </c>
      <c r="I251" s="48" t="str">
        <f t="shared" si="14"/>
        <v>NTS RJ 2</v>
      </c>
      <c r="J251" s="12">
        <f t="shared" ca="1" si="22"/>
        <v>2.8915074362462377E-3</v>
      </c>
      <c r="K251" s="12">
        <f t="shared" ca="1" si="15"/>
        <v>2.0855143812576426E-2</v>
      </c>
      <c r="L251" s="12">
        <f t="shared" ca="1" si="21"/>
        <v>2.3746651248822664E-2</v>
      </c>
      <c r="M251" s="256">
        <f t="shared" ca="1" si="16"/>
        <v>2716838.3807576336</v>
      </c>
    </row>
    <row r="252" spans="1:22" ht="16.5" x14ac:dyDescent="0.35">
      <c r="A252" s="48" t="s">
        <v>426</v>
      </c>
      <c r="B252" s="48" t="str">
        <f t="shared" si="12"/>
        <v>PR-TECAB</v>
      </c>
      <c r="C252" s="12">
        <f t="shared" ca="1" si="17"/>
        <v>1.424997881562971E-2</v>
      </c>
      <c r="D252" s="12">
        <f t="shared" ca="1" si="13"/>
        <v>4.3226733107857934E-2</v>
      </c>
      <c r="E252" s="12">
        <f t="shared" ca="1" si="18"/>
        <v>5.7476711923487647E-2</v>
      </c>
      <c r="F252" s="256">
        <f t="shared" ca="1" si="19"/>
        <v>4903536.046792319</v>
      </c>
      <c r="G252" s="123"/>
      <c r="H252" s="48" t="s">
        <v>427</v>
      </c>
      <c r="I252" s="48" t="str">
        <f t="shared" si="14"/>
        <v>NTS RJ 3</v>
      </c>
      <c r="J252" s="12">
        <f t="shared" ca="1" si="22"/>
        <v>3.4861522807350664E-3</v>
      </c>
      <c r="K252" s="12">
        <f t="shared" ca="1" si="15"/>
        <v>2.0855143812576426E-2</v>
      </c>
      <c r="L252" s="12">
        <f t="shared" ca="1" si="21"/>
        <v>2.4341296093311492E-2</v>
      </c>
      <c r="M252" s="256">
        <f t="shared" ca="1" si="16"/>
        <v>720162.48107468674</v>
      </c>
    </row>
    <row r="253" spans="1:22" ht="16.5" x14ac:dyDescent="0.35">
      <c r="A253" s="48" t="s">
        <v>428</v>
      </c>
      <c r="B253" s="48" t="str">
        <f t="shared" si="12"/>
        <v>PR-GUARAREMA (INTERCONEXÃO)</v>
      </c>
      <c r="C253" s="12" t="str">
        <f t="shared" si="17"/>
        <v xml:space="preserve"> </v>
      </c>
      <c r="D253" s="12"/>
      <c r="E253" s="127">
        <f ca="1">E269</f>
        <v>4.8599368417841463E-3</v>
      </c>
      <c r="F253" s="257"/>
      <c r="G253" s="123"/>
      <c r="H253" s="48" t="s">
        <v>429</v>
      </c>
      <c r="I253" s="48" t="str">
        <f t="shared" si="14"/>
        <v>NTS RJ 4</v>
      </c>
      <c r="J253" s="12">
        <f t="shared" ca="1" si="22"/>
        <v>4.260890833578339E-3</v>
      </c>
      <c r="K253" s="12">
        <f t="shared" ca="1" si="15"/>
        <v>2.0855143812576426E-2</v>
      </c>
      <c r="L253" s="12">
        <f t="shared" ca="1" si="21"/>
        <v>2.5116034646154764E-2</v>
      </c>
      <c r="M253" s="256">
        <f t="shared" ca="1" si="16"/>
        <v>96775.310906471481</v>
      </c>
    </row>
    <row r="254" spans="1:22" ht="16.5" x14ac:dyDescent="0.35">
      <c r="A254" s="48" t="s">
        <v>430</v>
      </c>
      <c r="B254" s="48" t="str">
        <f t="shared" si="12"/>
        <v>PR-REPLAN (INTERCONEXÃO)</v>
      </c>
      <c r="C254" s="12" t="str">
        <f t="shared" si="17"/>
        <v xml:space="preserve"> </v>
      </c>
      <c r="D254" s="12"/>
      <c r="E254" s="127">
        <f ca="1">E268</f>
        <v>5.2072062030541974E-3</v>
      </c>
      <c r="F254" s="258">
        <f ca="1">SUM(F246:F252)</f>
        <v>36237435.176844738</v>
      </c>
      <c r="G254" s="123"/>
      <c r="H254" s="48" t="s">
        <v>431</v>
      </c>
      <c r="I254" s="48" t="str">
        <f t="shared" si="14"/>
        <v>NTS RJ 5</v>
      </c>
      <c r="J254" s="12">
        <f t="shared" ca="1" si="22"/>
        <v>2.9123530445159715E-3</v>
      </c>
      <c r="K254" s="12">
        <f t="shared" ca="1" si="15"/>
        <v>2.0855143812576426E-2</v>
      </c>
      <c r="L254" s="12">
        <f t="shared" ca="1" si="21"/>
        <v>2.3767496857092396E-2</v>
      </c>
      <c r="M254" s="256">
        <f t="shared" ca="1" si="16"/>
        <v>684740.7508996221</v>
      </c>
    </row>
    <row r="255" spans="1:22" ht="16.5" x14ac:dyDescent="0.35">
      <c r="A255" s="48" t="s">
        <v>432</v>
      </c>
      <c r="B255" s="48" t="str">
        <f t="shared" si="12"/>
        <v>PR-TECAB (INTERCONEXÃO)</v>
      </c>
      <c r="C255" s="12" t="str">
        <f t="shared" si="17"/>
        <v xml:space="preserve"> </v>
      </c>
      <c r="D255" s="12"/>
      <c r="E255" s="127">
        <f ca="1">E270</f>
        <v>5.112977960270145E-3</v>
      </c>
      <c r="G255" s="123"/>
      <c r="H255" s="48" t="s">
        <v>433</v>
      </c>
      <c r="I255" s="48" t="str">
        <f t="shared" si="14"/>
        <v>NTS SP 1</v>
      </c>
      <c r="J255" s="12">
        <f t="shared" ca="1" si="22"/>
        <v>6.5383728702356021E-3</v>
      </c>
      <c r="K255" s="12">
        <f t="shared" ca="1" si="15"/>
        <v>2.0855143812576426E-2</v>
      </c>
      <c r="L255" s="12">
        <f t="shared" ca="1" si="21"/>
        <v>2.7393516682812029E-2</v>
      </c>
      <c r="M255" s="256">
        <f t="shared" ca="1" si="16"/>
        <v>391619.360895772</v>
      </c>
    </row>
    <row r="256" spans="1:22" ht="16.5" x14ac:dyDescent="0.35">
      <c r="F256" s="131"/>
      <c r="H256" s="48" t="s">
        <v>434</v>
      </c>
      <c r="I256" s="48" t="str">
        <f t="shared" si="14"/>
        <v>NTS SP 2</v>
      </c>
      <c r="J256" s="12">
        <f t="shared" ca="1" si="22"/>
        <v>6.3271854825503989E-3</v>
      </c>
      <c r="K256" s="12">
        <f t="shared" ca="1" si="15"/>
        <v>2.0855143812576426E-2</v>
      </c>
      <c r="L256" s="12">
        <f t="shared" ca="1" si="21"/>
        <v>2.7182329295126824E-2</v>
      </c>
      <c r="M256" s="256">
        <f t="shared" ca="1" si="16"/>
        <v>1111396.6100628613</v>
      </c>
    </row>
    <row r="257" spans="1:13" ht="16.5" x14ac:dyDescent="0.35">
      <c r="H257" s="48" t="s">
        <v>435</v>
      </c>
      <c r="I257" s="48" t="str">
        <f t="shared" si="14"/>
        <v>NTS SP 3</v>
      </c>
      <c r="J257" s="12">
        <f t="shared" ca="1" si="22"/>
        <v>8.6335415188742767E-3</v>
      </c>
      <c r="K257" s="12">
        <f t="shared" ca="1" si="15"/>
        <v>2.0855143812576426E-2</v>
      </c>
      <c r="L257" s="12">
        <f t="shared" ca="1" si="21"/>
        <v>2.9488685331450701E-2</v>
      </c>
      <c r="M257" s="256">
        <f t="shared" ca="1" si="16"/>
        <v>2241960.1404828108</v>
      </c>
    </row>
    <row r="258" spans="1:13" ht="16.5" x14ac:dyDescent="0.35">
      <c r="H258" s="48" t="s">
        <v>436</v>
      </c>
      <c r="I258" s="48" t="str">
        <f t="shared" si="14"/>
        <v>NTS SP 4</v>
      </c>
      <c r="J258" s="12">
        <f t="shared" ca="1" si="22"/>
        <v>9.3578314547725777E-3</v>
      </c>
      <c r="K258" s="12">
        <f t="shared" ca="1" si="15"/>
        <v>2.0855143812576426E-2</v>
      </c>
      <c r="L258" s="12">
        <f t="shared" ca="1" si="21"/>
        <v>3.0212975267349004E-2</v>
      </c>
      <c r="M258" s="256">
        <f t="shared" ca="1" si="16"/>
        <v>1021403.3571543799</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2.5631785829438292E-3</v>
      </c>
      <c r="M260" s="258">
        <f ca="1">SUM(M246:M258)</f>
        <v>15477701.906530656</v>
      </c>
    </row>
    <row r="261" spans="1:13" ht="16.5" x14ac:dyDescent="0.35">
      <c r="H261" s="48" t="s">
        <v>439</v>
      </c>
      <c r="I261" s="48" t="str">
        <f t="shared" si="14"/>
        <v>PE-TECAB (INTERCONEXÃO)</v>
      </c>
      <c r="J261" s="12" t="str">
        <f t="shared" si="22"/>
        <v xml:space="preserve"> </v>
      </c>
      <c r="K261" s="12"/>
      <c r="L261" s="127">
        <f ca="1">E273</f>
        <v>2.237851010041978E-3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(GASIG)'!F11</f>
        <v>205</v>
      </c>
      <c r="D268" s="265">
        <f ca="1">'CWD 2025 GASIG (sem desc.)'!D267</f>
        <v>5.2072062030541988E-2</v>
      </c>
      <c r="E268" s="268">
        <f ca="1">D268*(1-$C$263)</f>
        <v>5.2072062030541974E-3</v>
      </c>
      <c r="F268" s="266">
        <f ca="1">C268*E268*'Premissas (GASIG)'!$C$36*'Premissas (GASIG)'!$F$20*1000</f>
        <v>14534.018316589509</v>
      </c>
      <c r="L268" s="128"/>
    </row>
    <row r="269" spans="1:13" ht="18.5" x14ac:dyDescent="0.45">
      <c r="B269" s="247" t="s">
        <v>451</v>
      </c>
      <c r="C269" s="271">
        <f>'Oferta (GASIG)'!F10</f>
        <v>6000</v>
      </c>
      <c r="D269" s="265">
        <f ca="1">'CWD 2025 GASIG (sem desc.)'!D268</f>
        <v>4.8599368417841474E-2</v>
      </c>
      <c r="E269" s="268">
        <f t="shared" ref="E269:E271" ca="1" si="23">D269*(1-$C$263)</f>
        <v>4.8599368417841463E-3</v>
      </c>
      <c r="F269" s="266">
        <f ca="1">C269*E269*'Premissas (GASIG)'!$C$36*'Premissas (GASIG)'!$F$20*1000</f>
        <v>397016.8524620299</v>
      </c>
      <c r="G269" s="129"/>
      <c r="K269" s="129"/>
      <c r="L269" s="128"/>
    </row>
    <row r="270" spans="1:13" ht="18.5" x14ac:dyDescent="0.45">
      <c r="B270" s="248" t="s">
        <v>452</v>
      </c>
      <c r="C270" s="271">
        <f>'Oferta (GASIG)'!F12</f>
        <v>200</v>
      </c>
      <c r="D270" s="265">
        <f ca="1">'CWD 2025 GASIG (sem desc.)'!D269</f>
        <v>5.1129779602701465E-2</v>
      </c>
      <c r="E270" s="268">
        <f t="shared" ca="1" si="23"/>
        <v>5.112977960270145E-3</v>
      </c>
      <c r="F270" s="266">
        <f ca="1">C270*E270*'Premissas (GASIG)'!$C$36*'Premissas (GASIG)'!$F$20*1000</f>
        <v>13922.940994084785</v>
      </c>
      <c r="K270" s="129"/>
      <c r="L270" s="128"/>
    </row>
    <row r="271" spans="1:13" ht="18.5" x14ac:dyDescent="0.45">
      <c r="B271" s="248" t="s">
        <v>243</v>
      </c>
      <c r="C271" s="271">
        <f>'Oferta (GASIG)'!F6</f>
        <v>305</v>
      </c>
      <c r="D271" s="265">
        <f ca="1">'CWD 2025 GASIG (sem desc.)'!D270</f>
        <v>5.2072062030541988E-2</v>
      </c>
      <c r="E271" s="268">
        <f t="shared" ca="1" si="23"/>
        <v>5.2072062030541974E-3</v>
      </c>
      <c r="F271" s="266">
        <f ca="1">C271*E271*'Premissas (GASIG)'!$C$36*'Premissas (GASIG)'!$F$20*1000</f>
        <v>21623.783349072193</v>
      </c>
      <c r="K271" s="129"/>
      <c r="L271" s="128"/>
    </row>
    <row r="272" spans="1:13" ht="18.5" x14ac:dyDescent="0.45">
      <c r="B272" s="246" t="s">
        <v>453</v>
      </c>
      <c r="C272" s="271">
        <f>'Demanda (GASIG)'!F17</f>
        <v>6824</v>
      </c>
      <c r="D272" s="265">
        <f ca="1">'CWD 2025 GASIG (sem desc.)'!D271</f>
        <v>2.56317858294383E-2</v>
      </c>
      <c r="E272" s="268">
        <f ca="1">D272*(1-$C$263)</f>
        <v>2.5631785829438292E-3</v>
      </c>
      <c r="F272" s="266">
        <f ca="1">C272*E272*'Premissas (GASIG)'!$C$36*'Premissas (GASIG)'!$F$20*1000</f>
        <v>238146.90954293887</v>
      </c>
      <c r="K272" s="129"/>
      <c r="L272" s="128"/>
    </row>
    <row r="273" spans="2:13" ht="18.5" x14ac:dyDescent="0.45">
      <c r="B273" s="248" t="s">
        <v>454</v>
      </c>
      <c r="C273" s="271">
        <f>'Demanda (GASIG)'!F18</f>
        <v>200</v>
      </c>
      <c r="D273" s="265">
        <f ca="1">'CWD 2025 GASIG (sem desc.)'!D272</f>
        <v>2.2378510100419784E-2</v>
      </c>
      <c r="E273" s="268">
        <f ca="1">D273*(1-$C$263)</f>
        <v>2.237851010041978E-3</v>
      </c>
      <c r="F273" s="266">
        <f ca="1">C273*E273*'Premissas (GASIG)'!$C$36*'Premissas (GASIG)'!$F$20*1000</f>
        <v>6093.8004834899157</v>
      </c>
      <c r="K273" s="129"/>
      <c r="L273" s="128"/>
    </row>
    <row r="274" spans="2:13" ht="19" thickBot="1" x14ac:dyDescent="0.5">
      <c r="B274" s="248"/>
      <c r="C274" s="269"/>
      <c r="D274" s="269"/>
      <c r="E274" s="269"/>
      <c r="F274" s="267">
        <f ca="1">SUM(F268:F273)</f>
        <v>691338.30514820525</v>
      </c>
      <c r="K274" s="129"/>
      <c r="L274" s="128"/>
    </row>
    <row r="275" spans="2:13" ht="15" thickTop="1" x14ac:dyDescent="0.35">
      <c r="K275" s="129"/>
      <c r="L275" s="128"/>
    </row>
    <row r="276" spans="2:13" x14ac:dyDescent="0.35">
      <c r="E276" t="s">
        <v>110</v>
      </c>
      <c r="F276" s="235">
        <f ca="1">F254+M260+F274</f>
        <v>52406475.388523601</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60B6-7B1F-4209-8D77-8B54CFA0301F}">
  <sheetPr>
    <tabColor theme="5"/>
  </sheetPr>
  <dimension ref="A1:V39"/>
  <sheetViews>
    <sheetView showGridLines="0" zoomScale="110" zoomScaleNormal="110" workbookViewId="0">
      <selection activeCell="D38" sqref="D3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24.90625" style="59" bestFit="1" customWidth="1"/>
    <col min="8" max="8" width="10.81640625" style="59"/>
    <col min="9" max="9" width="17.1796875" style="59" customWidth="1"/>
    <col min="10"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2025 GASIG (com desc.)'!A246</f>
        <v>TEN1</v>
      </c>
      <c r="B2" s="320" t="str">
        <f>'CWD 2025 GASIG (com desc.)'!B246</f>
        <v>PR-CARAGUATATUBA</v>
      </c>
      <c r="C2" s="321">
        <f>'CWD 2025 GASIG (sem desc.)'!H24</f>
        <v>128351389.123045</v>
      </c>
      <c r="D2" s="322">
        <f ca="1">'CWD 2025 GASIG (com desc.)'!E246</f>
        <v>5.8416391367797894E-2</v>
      </c>
      <c r="E2" s="323">
        <f t="shared" ref="E2:E11" ca="1" si="0">IFERROR(C2*D2," ")</f>
        <v>7497824.9796123141</v>
      </c>
      <c r="F2" s="385"/>
      <c r="G2" s="386"/>
      <c r="L2" s="68" t="s">
        <v>58</v>
      </c>
      <c r="M2" s="67">
        <f ca="1">IFERROR($D$2+$C34," ")</f>
        <v>8.9284624909971202E-2</v>
      </c>
      <c r="N2" s="67">
        <f ca="1">IFERROR($D$3+$C34," ")</f>
        <v>8.2415418906678153E-2</v>
      </c>
      <c r="O2" s="67">
        <f ca="1">IFERROR($D$4+$C34," ")</f>
        <v>8.3930743512705339E-2</v>
      </c>
      <c r="P2" s="67">
        <f ca="1">IFERROR($D$5+$C34," ")</f>
        <v>3.6075439745227506E-2</v>
      </c>
      <c r="Q2" s="67" t="str">
        <f ca="1">IFERROR($D$6+$C34," ")</f>
        <v xml:space="preserve"> </v>
      </c>
      <c r="R2" s="67" t="str">
        <f ca="1">IFERROR($D$7+$C34," ")</f>
        <v xml:space="preserve"> </v>
      </c>
      <c r="S2" s="67">
        <f ca="1">IFERROR($D$8+$C34," ")</f>
        <v>8.8344945465660948E-2</v>
      </c>
      <c r="T2" s="67">
        <f ca="1">IFERROR($D$9+$C34," ")</f>
        <v>3.5728170383957453E-2</v>
      </c>
      <c r="U2" s="67">
        <f ca="1">IFERROR($D$10+$C34," ")</f>
        <v>3.6075439745227506E-2</v>
      </c>
      <c r="V2" s="67">
        <f ca="1">IFERROR($D$11+$C34," ")</f>
        <v>3.5981211502443447E-2</v>
      </c>
    </row>
    <row r="3" spans="1:22" s="62" customFormat="1" x14ac:dyDescent="0.35">
      <c r="A3" s="292" t="str">
        <f>'CWD 2025 GASIG (com desc.)'!A247</f>
        <v>TEN2</v>
      </c>
      <c r="B3" s="295" t="str">
        <f>'CWD 2025 GASIG (com desc.)'!B247</f>
        <v>PR-GNLBGB</v>
      </c>
      <c r="C3" s="296">
        <f>'CWD 2025 GASIG (sem desc.)'!H25</f>
        <v>272305906.69999999</v>
      </c>
      <c r="D3" s="297">
        <f ca="1">'CWD 2025 GASIG (com desc.)'!E247</f>
        <v>5.1547185364504852E-2</v>
      </c>
      <c r="E3" s="298">
        <f t="shared" ca="1" si="0"/>
        <v>14036603.048514463</v>
      </c>
      <c r="F3" s="385"/>
      <c r="G3" s="386"/>
      <c r="L3" s="68" t="s">
        <v>69</v>
      </c>
      <c r="M3" s="67">
        <f t="shared" ref="M3:M7" ca="1" si="1">IFERROR($D$2+$C35," ")</f>
        <v>8.2320618251130545E-2</v>
      </c>
      <c r="N3" s="67">
        <f t="shared" ref="N3:N7" ca="1" si="2">IFERROR($D$3+$C35," ")</f>
        <v>7.5451412247837496E-2</v>
      </c>
      <c r="O3" s="67">
        <f t="shared" ref="O3:O7" ca="1" si="3">IFERROR($D$4+$C35," ")</f>
        <v>7.6966736853864681E-2</v>
      </c>
      <c r="P3" s="67">
        <f t="shared" ref="P3:P7" ca="1" si="4">IFERROR($D$5+$C35," ")</f>
        <v>2.9111433086386848E-2</v>
      </c>
      <c r="Q3" s="67" t="str">
        <f t="shared" ref="Q3:Q7" ca="1" si="5">IFERROR($D$6+$C35," ")</f>
        <v xml:space="preserve"> </v>
      </c>
      <c r="R3" s="67" t="str">
        <f t="shared" ref="R3:R7" ca="1" si="6">IFERROR($D$7+$C35," ")</f>
        <v xml:space="preserve"> </v>
      </c>
      <c r="S3" s="67">
        <f t="shared" ref="S3:S7" ca="1" si="7">IFERROR($D$8+$C35," ")</f>
        <v>8.1380938806820291E-2</v>
      </c>
      <c r="T3" s="67">
        <f t="shared" ref="T3:T7" ca="1" si="8">IFERROR($D$9+$C35," ")</f>
        <v>2.8764163725116795E-2</v>
      </c>
      <c r="U3" s="67">
        <f t="shared" ref="U3:U7" ca="1" si="9">IFERROR($D$10+$C35," ")</f>
        <v>2.9111433086386848E-2</v>
      </c>
      <c r="V3" s="67">
        <f t="shared" ref="V3:V7" ca="1" si="10">IFERROR($D$11+$C35," ")</f>
        <v>2.9017204843602797E-2</v>
      </c>
    </row>
    <row r="4" spans="1:22" x14ac:dyDescent="0.35">
      <c r="A4" s="292" t="str">
        <f>'CWD 2025 GASIG (com desc.)'!A248</f>
        <v>TEN3</v>
      </c>
      <c r="B4" s="295" t="str">
        <f>'CWD 2025 GASIG (com desc.)'!B248</f>
        <v>PR-ITABORAÍ</v>
      </c>
      <c r="C4" s="296">
        <f>'CWD 2025 GASIG (sem desc.)'!H26</f>
        <v>184677865.92394</v>
      </c>
      <c r="D4" s="297">
        <f ca="1">'CWD 2025 GASIG (com desc.)'!E248</f>
        <v>5.3062509970532031E-2</v>
      </c>
      <c r="E4" s="296">
        <f t="shared" ca="1" si="0"/>
        <v>9799471.1019256432</v>
      </c>
      <c r="F4" s="385"/>
      <c r="G4" s="386"/>
      <c r="I4" s="363"/>
      <c r="L4" s="68" t="s">
        <v>258</v>
      </c>
      <c r="M4" s="67">
        <f t="shared" ca="1" si="1"/>
        <v>8.7300497297654892E-2</v>
      </c>
      <c r="N4" s="67">
        <f t="shared" ca="1" si="2"/>
        <v>8.0431291294361842E-2</v>
      </c>
      <c r="O4" s="67">
        <f t="shared" ca="1" si="3"/>
        <v>8.1946615900389028E-2</v>
      </c>
      <c r="P4" s="67">
        <f t="shared" ca="1" si="4"/>
        <v>3.4091312132911195E-2</v>
      </c>
      <c r="Q4" s="67" t="str">
        <f t="shared" ca="1" si="5"/>
        <v xml:space="preserve"> </v>
      </c>
      <c r="R4" s="67" t="str">
        <f t="shared" ca="1" si="6"/>
        <v xml:space="preserve"> </v>
      </c>
      <c r="S4" s="67">
        <f t="shared" ca="1" si="7"/>
        <v>8.6360817853344637E-2</v>
      </c>
      <c r="T4" s="67">
        <f t="shared" ca="1" si="8"/>
        <v>3.3744042771641142E-2</v>
      </c>
      <c r="U4" s="67">
        <f t="shared" ca="1" si="9"/>
        <v>3.4091312132911195E-2</v>
      </c>
      <c r="V4" s="67">
        <f t="shared" ca="1" si="10"/>
        <v>3.3997083890127136E-2</v>
      </c>
    </row>
    <row r="5" spans="1:22" ht="24" x14ac:dyDescent="0.35">
      <c r="A5" s="292" t="str">
        <f>'CWD 2025 GASIG (com desc.)'!A249</f>
        <v>TEN4</v>
      </c>
      <c r="B5" s="295" t="str">
        <f>'CWD 2025 GASIG (com desc.)'!B249</f>
        <v>PR-GASPAJ (INTERCONEXÃO)</v>
      </c>
      <c r="C5" s="296">
        <f>'CWD 2025 GASIG (sem desc.)'!H27</f>
        <v>4152665.0771750002</v>
      </c>
      <c r="D5" s="297">
        <f ca="1">'CWD 2025 GASIG (com desc.)'!E249</f>
        <v>5.2072062030541974E-3</v>
      </c>
      <c r="E5" s="296">
        <f t="shared" ca="1" si="0"/>
        <v>21623.783349072197</v>
      </c>
      <c r="F5" s="385"/>
      <c r="G5" s="386"/>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2025 GASIG (com desc.)'!A250</f>
        <v>TEN5</v>
      </c>
      <c r="B6" s="295" t="str">
        <f>'CWD 2025 GASIG (com desc.)'!B250</f>
        <v>PR-REDUC</v>
      </c>
      <c r="C6" s="296">
        <f>'CWD 2025 GASIG (sem desc.)'!H28</f>
        <v>0</v>
      </c>
      <c r="D6" s="297" t="str">
        <f>'CWD 2025 GASIG (com desc.)'!E250</f>
        <v xml:space="preserve"> </v>
      </c>
      <c r="E6" s="296" t="str">
        <f t="shared" si="0"/>
        <v xml:space="preserve"> </v>
      </c>
      <c r="F6" s="385"/>
      <c r="G6" s="386"/>
      <c r="L6" s="132" t="str">
        <f t="shared" ref="L6:L7" si="11">B29</f>
        <v>PE-REPLAN (INTERCONEXÃO)</v>
      </c>
      <c r="M6" s="67">
        <f t="shared" ca="1" si="1"/>
        <v>6.0979569950741726E-2</v>
      </c>
      <c r="N6" s="67">
        <f t="shared" ca="1" si="2"/>
        <v>5.4110363947448684E-2</v>
      </c>
      <c r="O6" s="67">
        <f t="shared" ca="1" si="3"/>
        <v>5.5625688553475862E-2</v>
      </c>
      <c r="P6" s="67">
        <f t="shared" ca="1" si="4"/>
        <v>7.7703847859980271E-3</v>
      </c>
      <c r="Q6" s="67" t="str">
        <f t="shared" ca="1" si="5"/>
        <v xml:space="preserve"> </v>
      </c>
      <c r="R6" s="67" t="str">
        <f t="shared" ca="1" si="6"/>
        <v xml:space="preserve"> </v>
      </c>
      <c r="S6" s="67">
        <f t="shared" ca="1" si="7"/>
        <v>6.0039890506431479E-2</v>
      </c>
      <c r="T6" s="67">
        <f t="shared" ca="1" si="8"/>
        <v>7.423115424727976E-3</v>
      </c>
      <c r="U6" s="67">
        <f t="shared" ca="1" si="9"/>
        <v>7.7703847859980271E-3</v>
      </c>
      <c r="V6" s="67">
        <f t="shared" ca="1" si="10"/>
        <v>7.6761565432139738E-3</v>
      </c>
    </row>
    <row r="7" spans="1:22" x14ac:dyDescent="0.35">
      <c r="A7" s="292" t="str">
        <f>'CWD 2025 GASIG (com desc.)'!A251</f>
        <v>TEN6</v>
      </c>
      <c r="B7" s="295" t="str">
        <f>'CWD 2025 GASIG (com desc.)'!B251</f>
        <v>PR-RPBC</v>
      </c>
      <c r="C7" s="296">
        <f>'CWD 2025 GASIG (sem desc.)'!H29</f>
        <v>0</v>
      </c>
      <c r="D7" s="297" t="str">
        <f>'CWD 2025 GASIG (com desc.)'!E251</f>
        <v xml:space="preserve"> </v>
      </c>
      <c r="E7" s="296" t="str">
        <f t="shared" si="0"/>
        <v xml:space="preserve"> </v>
      </c>
      <c r="F7" s="385"/>
      <c r="G7" s="386"/>
      <c r="L7" s="132" t="str">
        <f t="shared" si="11"/>
        <v>PE-TECAB (INTERCONEXÃO)</v>
      </c>
      <c r="M7" s="67">
        <f t="shared" ca="1" si="1"/>
        <v>6.0654242377839875E-2</v>
      </c>
      <c r="N7" s="67">
        <f t="shared" ca="1" si="2"/>
        <v>5.3785036374546832E-2</v>
      </c>
      <c r="O7" s="67">
        <f t="shared" ca="1" si="3"/>
        <v>5.5300360980574011E-2</v>
      </c>
      <c r="P7" s="67">
        <f t="shared" ca="1" si="4"/>
        <v>7.4450572130961758E-3</v>
      </c>
      <c r="Q7" s="67" t="str">
        <f t="shared" ca="1" si="5"/>
        <v xml:space="preserve"> </v>
      </c>
      <c r="R7" s="67" t="str">
        <f t="shared" ca="1" si="6"/>
        <v xml:space="preserve"> </v>
      </c>
      <c r="S7" s="67">
        <f t="shared" ca="1" si="7"/>
        <v>5.9714562933529627E-2</v>
      </c>
      <c r="T7" s="67">
        <f t="shared" ca="1" si="8"/>
        <v>7.0977878518261248E-3</v>
      </c>
      <c r="U7" s="67">
        <f t="shared" ca="1" si="9"/>
        <v>7.4450572130961758E-3</v>
      </c>
      <c r="V7" s="67">
        <f t="shared" ca="1" si="10"/>
        <v>7.3508289703121225E-3</v>
      </c>
    </row>
    <row r="8" spans="1:22" x14ac:dyDescent="0.35">
      <c r="A8" s="292" t="str">
        <f>'CWD 2025 GASIG (com desc.)'!A252</f>
        <v>TEN7</v>
      </c>
      <c r="B8" s="295" t="str">
        <f>'CWD 2025 GASIG (com desc.)'!B252</f>
        <v>PR-TECAB</v>
      </c>
      <c r="C8" s="296">
        <f>'CWD 2025 GASIG (sem desc.)'!H30</f>
        <v>85313440.569109991</v>
      </c>
      <c r="D8" s="297">
        <f ca="1">'CWD 2025 GASIG (com desc.)'!E252</f>
        <v>5.7476711923487647E-2</v>
      </c>
      <c r="E8" s="296">
        <f t="shared" ca="1" si="0"/>
        <v>4903536.046792319</v>
      </c>
      <c r="F8" s="385"/>
      <c r="G8" s="386"/>
      <c r="L8" s="61"/>
    </row>
    <row r="9" spans="1:22" x14ac:dyDescent="0.35">
      <c r="A9" s="292" t="str">
        <f>'CWD 2025 GASIG (com desc.)'!A253</f>
        <v>TEN8</v>
      </c>
      <c r="B9" s="295" t="str">
        <f>'CWD 2025 GASIG (com desc.)'!B253</f>
        <v>PR-GUARAREMA (INTERCONEXÃO)</v>
      </c>
      <c r="C9" s="296">
        <f>'CWD 2025 GASIG (sem desc.)'!H31</f>
        <v>81691772.010000005</v>
      </c>
      <c r="D9" s="297">
        <f ca="1">'CWD 2025 GASIG (com desc.)'!E253</f>
        <v>4.8599368417841463E-3</v>
      </c>
      <c r="E9" s="296">
        <f t="shared" ca="1" si="0"/>
        <v>397016.85246202996</v>
      </c>
      <c r="F9" s="385"/>
      <c r="G9" s="386"/>
      <c r="L9" s="61"/>
    </row>
    <row r="10" spans="1:22" x14ac:dyDescent="0.35">
      <c r="A10" s="292" t="str">
        <f>'CWD 2025 GASIG (com desc.)'!A254</f>
        <v>TEN9</v>
      </c>
      <c r="B10" s="295" t="str">
        <f>'CWD 2025 GASIG (com desc.)'!B254</f>
        <v>PR-REPLAN (INTERCONEXÃO)</v>
      </c>
      <c r="C10" s="296">
        <f>'CWD 2025 GASIG (sem desc.)'!H32</f>
        <v>2791135.5436749998</v>
      </c>
      <c r="D10" s="297">
        <f ca="1">'CWD 2025 GASIG (com desc.)'!E254</f>
        <v>5.2072062030541974E-3</v>
      </c>
      <c r="E10" s="296">
        <f t="shared" ca="1" si="0"/>
        <v>14534.018316589509</v>
      </c>
      <c r="F10" s="385"/>
      <c r="G10" s="386"/>
      <c r="L10" s="61"/>
    </row>
    <row r="11" spans="1:22" x14ac:dyDescent="0.35">
      <c r="A11" s="292" t="str">
        <f>'CWD 2025 GASIG (com desc.)'!A255</f>
        <v>TEN10</v>
      </c>
      <c r="B11" s="295" t="str">
        <f>'CWD 2025 GASIG (com desc.)'!B255</f>
        <v>PR-TECAB (INTERCONEXÃO)</v>
      </c>
      <c r="C11" s="296">
        <f>'CWD 2025 GASIG (sem desc.)'!H33</f>
        <v>2723059.0670000003</v>
      </c>
      <c r="D11" s="297">
        <f ca="1">'CWD 2025 GASIG (com desc.)'!E255</f>
        <v>5.112977960270145E-3</v>
      </c>
      <c r="E11" s="296">
        <f t="shared" ca="1" si="0"/>
        <v>13922.940994084785</v>
      </c>
      <c r="F11" s="385"/>
      <c r="G11" s="386"/>
      <c r="L11" s="61"/>
    </row>
    <row r="12" spans="1:22" x14ac:dyDescent="0.35">
      <c r="E12" s="65">
        <f ca="1">SUM(E2:E11)</f>
        <v>36684532.77196651</v>
      </c>
      <c r="F12" s="385"/>
      <c r="G12" s="386"/>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2025 GASIG (com desc.)'!H246</f>
        <v>TEX1</v>
      </c>
      <c r="B15" s="296" t="str">
        <f>'CWD 2025 GASIG (com desc.)'!I246</f>
        <v>NTS MG 1</v>
      </c>
      <c r="C15" s="296">
        <f>'CWD 2025 GASIG (sem desc.)'!H41</f>
        <v>8618481.9470549989</v>
      </c>
      <c r="D15" s="296"/>
      <c r="E15" s="299">
        <f ca="1">'CWD 2025 GASIG (com desc.)'!L246</f>
        <v>2.7520888643594452E-2</v>
      </c>
      <c r="F15" s="305">
        <f ca="1">IFERROR(C15*E15," ")</f>
        <v>237188.28194172971</v>
      </c>
      <c r="G15" s="308"/>
      <c r="H15" s="314" t="str">
        <f>IFERROR(G15/D15," ")</f>
        <v xml:space="preserve"> </v>
      </c>
      <c r="I15" s="385"/>
      <c r="J15" s="66"/>
      <c r="L15" s="59"/>
    </row>
    <row r="16" spans="1:22" x14ac:dyDescent="0.35">
      <c r="A16" s="296" t="str">
        <f>'CWD 2025 GASIG (com desc.)'!H247</f>
        <v>TEX2</v>
      </c>
      <c r="B16" s="296" t="str">
        <f>'CWD 2025 GASIG (com desc.)'!I247</f>
        <v>NTS MG 2</v>
      </c>
      <c r="C16" s="296">
        <f>'CWD 2025 GASIG (sem desc.)'!H42</f>
        <v>14949594.277829999</v>
      </c>
      <c r="D16" s="296"/>
      <c r="E16" s="299">
        <f ca="1">'CWD 2025 GASIG (com desc.)'!L247</f>
        <v>2.9508634195404195E-2</v>
      </c>
      <c r="F16" s="305">
        <f t="shared" ref="F16:F30" ca="1" si="12">IFERROR(C16*E16," ")</f>
        <v>441142.10891419317</v>
      </c>
      <c r="G16" s="317"/>
      <c r="H16" s="315" t="str">
        <f t="shared" ref="H16:H30" si="13">IFERROR(G16/D16," ")</f>
        <v xml:space="preserve"> </v>
      </c>
      <c r="I16" s="66"/>
      <c r="J16" s="66"/>
      <c r="L16" s="59"/>
    </row>
    <row r="17" spans="1:12" x14ac:dyDescent="0.35">
      <c r="A17" s="296" t="str">
        <f>'CWD 2025 GASIG (com desc.)'!H248</f>
        <v>TEX3</v>
      </c>
      <c r="B17" s="296" t="str">
        <f>'CWD 2025 GASIG (com desc.)'!I248</f>
        <v>NTS MG 3</v>
      </c>
      <c r="C17" s="296">
        <f>'CWD 2025 GASIG (sem desc.)'!H43</f>
        <v>38830822.295419998</v>
      </c>
      <c r="D17" s="296"/>
      <c r="E17" s="299">
        <f ca="1">'CWD 2025 GASIG (com desc.)'!L248</f>
        <v>3.1905556976752208E-2</v>
      </c>
      <c r="F17" s="305">
        <f ca="1">IFERROR(C17*E17," ")</f>
        <v>1238919.0132006628</v>
      </c>
      <c r="G17" s="310"/>
      <c r="H17" s="316" t="str">
        <f t="shared" si="13"/>
        <v xml:space="preserve"> </v>
      </c>
      <c r="I17" s="66"/>
      <c r="J17" s="66"/>
      <c r="L17" s="59"/>
    </row>
    <row r="18" spans="1:12" x14ac:dyDescent="0.35">
      <c r="A18" s="301" t="str">
        <f>'CWD 2025 GASIG (com desc.)'!H249</f>
        <v>TEX4</v>
      </c>
      <c r="B18" s="301" t="str">
        <f>'CWD 2025 GASIG (com desc.)'!I249</f>
        <v>NTS MG 4</v>
      </c>
      <c r="C18" s="301">
        <f>'CWD 2025 GASIG (sem desc.)'!H44</f>
        <v>4152665.0771750002</v>
      </c>
      <c r="D18" s="301">
        <f>SUM(C15:C18)</f>
        <v>66551563.597479992</v>
      </c>
      <c r="E18" s="302">
        <f ca="1">'CWD 2025 GASIG (com desc.)'!L249</f>
        <v>3.301007933933349E-2</v>
      </c>
      <c r="F18" s="301">
        <f ca="1">IFERROR(C18*E18," ")</f>
        <v>137079.8036672262</v>
      </c>
      <c r="G18" s="313">
        <f ca="1">SUM(F15:F18)</f>
        <v>2054329.2077238117</v>
      </c>
      <c r="H18" s="311">
        <f t="shared" ca="1" si="13"/>
        <v>3.0868233542173305E-2</v>
      </c>
      <c r="I18" s="363"/>
      <c r="J18" s="11"/>
      <c r="L18" s="363"/>
    </row>
    <row r="19" spans="1:12" x14ac:dyDescent="0.35">
      <c r="A19" s="296" t="str">
        <f>'CWD 2025 GASIG (com desc.)'!H250</f>
        <v>TEX5</v>
      </c>
      <c r="B19" s="296" t="str">
        <f>'CWD 2025 GASIG (com desc.)'!I250</f>
        <v>NTS RJ 1</v>
      </c>
      <c r="C19" s="296">
        <f>'CWD 2025 GASIG (sem desc.)'!H45</f>
        <v>185494783.64403999</v>
      </c>
      <c r="D19" s="296"/>
      <c r="E19" s="299">
        <f ca="1">'CWD 2025 GASIG (com desc.)'!L250</f>
        <v>2.3927768853543252E-2</v>
      </c>
      <c r="F19" s="305">
        <f t="shared" ca="1" si="12"/>
        <v>4438476.306572604</v>
      </c>
      <c r="G19" s="308"/>
      <c r="H19" s="314" t="str">
        <f t="shared" si="13"/>
        <v xml:space="preserve"> </v>
      </c>
      <c r="I19"/>
      <c r="J19"/>
      <c r="L19" s="363"/>
    </row>
    <row r="20" spans="1:12" x14ac:dyDescent="0.35">
      <c r="A20" s="296" t="str">
        <f>'CWD 2025 GASIG (com desc.)'!H251</f>
        <v>TEX6</v>
      </c>
      <c r="B20" s="296" t="str">
        <f>'CWD 2025 GASIG (com desc.)'!I251</f>
        <v>NTS RJ 2</v>
      </c>
      <c r="C20" s="296">
        <f>'CWD 2025 GASIG (sem desc.)'!H46</f>
        <v>114409326.70000499</v>
      </c>
      <c r="D20" s="296"/>
      <c r="E20" s="299">
        <f ca="1">'CWD 2025 GASIG (com desc.)'!L251</f>
        <v>2.3746651248822664E-2</v>
      </c>
      <c r="F20" s="305">
        <f t="shared" ca="1" si="12"/>
        <v>2716838.3807576336</v>
      </c>
      <c r="G20" s="309"/>
      <c r="H20" s="315" t="str">
        <f t="shared" si="13"/>
        <v xml:space="preserve"> </v>
      </c>
      <c r="I20"/>
      <c r="J20"/>
      <c r="L20" s="363"/>
    </row>
    <row r="21" spans="1:12" x14ac:dyDescent="0.35">
      <c r="A21" s="296" t="str">
        <f>'CWD 2025 GASIG (com desc.)'!H252</f>
        <v>TEX7</v>
      </c>
      <c r="B21" s="296" t="str">
        <f>'CWD 2025 GASIG (com desc.)'!I252</f>
        <v>NTS RJ 3</v>
      </c>
      <c r="C21" s="296">
        <f>'CWD 2025 GASIG (sem desc.)'!H47</f>
        <v>29586036.762954999</v>
      </c>
      <c r="D21" s="304"/>
      <c r="E21" s="299">
        <f ca="1">'CWD 2025 GASIG (com desc.)'!L252</f>
        <v>2.4341296093311492E-2</v>
      </c>
      <c r="F21" s="305">
        <f t="shared" ca="1" si="12"/>
        <v>720162.48107468674</v>
      </c>
      <c r="G21" s="312"/>
      <c r="H21" s="315" t="str">
        <f t="shared" si="13"/>
        <v xml:space="preserve"> </v>
      </c>
      <c r="I21" s="332"/>
      <c r="J21"/>
      <c r="L21" s="363"/>
    </row>
    <row r="22" spans="1:12" x14ac:dyDescent="0.35">
      <c r="A22" s="296" t="str">
        <f>'CWD 2025 GASIG (com desc.)'!H253</f>
        <v>TEX8</v>
      </c>
      <c r="B22" s="296" t="str">
        <f>'CWD 2025 GASIG (com desc.)'!I253</f>
        <v>NTS RJ 4</v>
      </c>
      <c r="C22" s="296">
        <f>'CWD 2025 GASIG (sem desc.)'!H48</f>
        <v>3853128.5798049998</v>
      </c>
      <c r="D22" s="296"/>
      <c r="E22" s="299">
        <f ca="1">'CWD 2025 GASIG (com desc.)'!L253</f>
        <v>2.5116034646154764E-2</v>
      </c>
      <c r="F22" s="305">
        <f t="shared" ca="1" si="12"/>
        <v>96775.310906471481</v>
      </c>
      <c r="G22" s="310"/>
      <c r="H22" s="316" t="str">
        <f t="shared" si="13"/>
        <v xml:space="preserve"> </v>
      </c>
      <c r="I22" s="332"/>
      <c r="J22"/>
      <c r="L22" s="363"/>
    </row>
    <row r="23" spans="1:12" x14ac:dyDescent="0.35">
      <c r="A23" s="301" t="str">
        <f>'CWD 2025 GASIG (com desc.)'!H254</f>
        <v>TEX9</v>
      </c>
      <c r="B23" s="301" t="str">
        <f>'CWD 2025 GASIG (com desc.)'!I254</f>
        <v>NTS RJ 5</v>
      </c>
      <c r="C23" s="301">
        <f>'CWD 2025 GASIG (sem desc.)'!H49</f>
        <v>28809964.928859998</v>
      </c>
      <c r="D23" s="301">
        <f>SUM(C19:C23)</f>
        <v>362153240.61566502</v>
      </c>
      <c r="E23" s="302">
        <f ca="1">'CWD 2025 GASIG (com desc.)'!L254</f>
        <v>2.3767496857092396E-2</v>
      </c>
      <c r="F23" s="301">
        <f t="shared" ca="1" si="12"/>
        <v>684740.7508996221</v>
      </c>
      <c r="G23" s="313">
        <f ca="1">SUM(F19:F23)</f>
        <v>8656993.2302110177</v>
      </c>
      <c r="H23" s="311">
        <f t="shared" ca="1" si="13"/>
        <v>2.3904226883332651E-2</v>
      </c>
      <c r="I23" s="363"/>
      <c r="J23" s="11"/>
    </row>
    <row r="24" spans="1:12" x14ac:dyDescent="0.35">
      <c r="A24" s="296" t="str">
        <f>'CWD 2025 GASIG (com desc.)'!H255</f>
        <v>TEX10</v>
      </c>
      <c r="B24" s="296" t="str">
        <f>'CWD 2025 GASIG (com desc.)'!I255</f>
        <v>NTS SP 1</v>
      </c>
      <c r="C24" s="296">
        <f>'CWD 2025 GASIG (sem desc.)'!H50</f>
        <v>14296060.101749998</v>
      </c>
      <c r="D24" s="296"/>
      <c r="E24" s="299">
        <f ca="1">'CWD 2025 GASIG (com desc.)'!L255</f>
        <v>2.7393516682812029E-2</v>
      </c>
      <c r="F24" s="305">
        <f t="shared" ca="1" si="12"/>
        <v>391619.360895772</v>
      </c>
      <c r="G24" s="308"/>
      <c r="H24" s="314" t="str">
        <f t="shared" si="13"/>
        <v xml:space="preserve"> </v>
      </c>
      <c r="I24" s="332"/>
      <c r="J24" s="332"/>
    </row>
    <row r="25" spans="1:12" x14ac:dyDescent="0.35">
      <c r="A25" s="296" t="str">
        <f>'CWD 2025 GASIG (com desc.)'!H256</f>
        <v>TEX11</v>
      </c>
      <c r="B25" s="296" t="str">
        <f>'CWD 2025 GASIG (com desc.)'!I256</f>
        <v>NTS SP 2</v>
      </c>
      <c r="C25" s="296">
        <f>'CWD 2025 GASIG (sem desc.)'!H51</f>
        <v>40886731.891005002</v>
      </c>
      <c r="D25" s="296"/>
      <c r="E25" s="299">
        <f ca="1">'CWD 2025 GASIG (com desc.)'!L256</f>
        <v>2.7182329295126824E-2</v>
      </c>
      <c r="F25" s="305">
        <f t="shared" ca="1" si="12"/>
        <v>1111396.6100628613</v>
      </c>
      <c r="G25" s="309"/>
      <c r="H25" s="315" t="str">
        <f t="shared" si="13"/>
        <v xml:space="preserve"> </v>
      </c>
      <c r="I25" s="332"/>
      <c r="J25" s="332"/>
    </row>
    <row r="26" spans="1:12" x14ac:dyDescent="0.35">
      <c r="A26" s="296" t="str">
        <f>'CWD 2025 GASIG (com desc.)'!H257</f>
        <v>TEX12</v>
      </c>
      <c r="B26" s="296" t="str">
        <f>'CWD 2025 GASIG (com desc.)'!I257</f>
        <v>NTS SP 3</v>
      </c>
      <c r="C26" s="296">
        <f>'CWD 2025 GASIG (sem desc.)'!H52</f>
        <v>76027809.150639996</v>
      </c>
      <c r="D26" s="304"/>
      <c r="E26" s="299">
        <f ca="1">'CWD 2025 GASIG (com desc.)'!L257</f>
        <v>2.9488685331450701E-2</v>
      </c>
      <c r="F26" s="305">
        <f t="shared" ca="1" si="12"/>
        <v>2241960.1404828108</v>
      </c>
      <c r="G26" s="318"/>
      <c r="H26" s="316" t="str">
        <f t="shared" si="13"/>
        <v xml:space="preserve"> </v>
      </c>
      <c r="I26" s="332"/>
      <c r="J26" s="332"/>
    </row>
    <row r="27" spans="1:12" x14ac:dyDescent="0.35">
      <c r="A27" s="301" t="str">
        <f>'CWD 2025 GASIG (com desc.)'!H258</f>
        <v>TEX13</v>
      </c>
      <c r="B27" s="301" t="str">
        <f>'CWD 2025 GASIG (com desc.)'!I258</f>
        <v>NTS SP 4</v>
      </c>
      <c r="C27" s="301">
        <f>'CWD 2025 GASIG (sem desc.)'!H53</f>
        <v>33806778.316804998</v>
      </c>
      <c r="D27" s="301">
        <f>SUM(C24:C27)</f>
        <v>165017379.46019998</v>
      </c>
      <c r="E27" s="302">
        <f ca="1">'CWD 2025 GASIG (com desc.)'!L258</f>
        <v>3.0212975267349004E-2</v>
      </c>
      <c r="F27" s="301">
        <f t="shared" ca="1" si="12"/>
        <v>1021403.3571543799</v>
      </c>
      <c r="G27" s="306">
        <f ca="1">SUM(F24:F27)</f>
        <v>4766379.4685958242</v>
      </c>
      <c r="H27" s="307">
        <f t="shared" ca="1" si="13"/>
        <v>2.8884105929856994E-2</v>
      </c>
      <c r="I27" s="363"/>
      <c r="J27" s="11"/>
    </row>
    <row r="28" spans="1:12" x14ac:dyDescent="0.35">
      <c r="A28" s="296" t="str">
        <f>'CWD 2025 GASIG (com desc.)'!H259</f>
        <v>TEX14</v>
      </c>
      <c r="B28" s="296" t="str">
        <f>'CWD 2025 GASIG (com desc.)'!I259</f>
        <v>PE-GUARAREMA (INTERCONEXÃO)</v>
      </c>
      <c r="C28" s="296">
        <f>'CWD 2025 GASIG (sem desc.)'!H54</f>
        <v>0</v>
      </c>
      <c r="D28" s="296">
        <f>C28</f>
        <v>0</v>
      </c>
      <c r="E28" s="299">
        <f>'CWD 2025 GASIG (com desc.)'!L259</f>
        <v>0</v>
      </c>
      <c r="F28" s="296">
        <f t="shared" si="12"/>
        <v>0</v>
      </c>
      <c r="G28" s="296">
        <f>F28</f>
        <v>0</v>
      </c>
      <c r="H28" s="300" t="str">
        <f t="shared" si="13"/>
        <v xml:space="preserve"> </v>
      </c>
      <c r="I28" s="332"/>
      <c r="J28" s="332"/>
    </row>
    <row r="29" spans="1:12" x14ac:dyDescent="0.35">
      <c r="A29" s="301" t="str">
        <f>'CWD 2025 GASIG (com desc.)'!H260</f>
        <v>TEX15</v>
      </c>
      <c r="B29" s="301" t="str">
        <f>'CWD 2025 GASIG (com desc.)'!I260</f>
        <v>PE-REPLAN (INTERCONEXÃO)</v>
      </c>
      <c r="C29" s="301">
        <f>'CWD 2025 GASIG (sem desc.)'!H55</f>
        <v>92910775.366039991</v>
      </c>
      <c r="D29" s="301">
        <f t="shared" ref="D29:D30" si="14">C29</f>
        <v>92910775.366039991</v>
      </c>
      <c r="E29" s="302">
        <f ca="1">'CWD 2025 GASIG (com desc.)'!L260</f>
        <v>2.5631785829438292E-3</v>
      </c>
      <c r="F29" s="301">
        <f t="shared" ca="1" si="12"/>
        <v>238146.90954293881</v>
      </c>
      <c r="G29" s="301">
        <f t="shared" ref="G29:G30" ca="1" si="15">F29</f>
        <v>238146.90954293881</v>
      </c>
      <c r="H29" s="303">
        <f t="shared" ca="1" si="13"/>
        <v>2.5631785829438292E-3</v>
      </c>
      <c r="I29" s="363"/>
      <c r="J29" s="11"/>
    </row>
    <row r="30" spans="1:12" x14ac:dyDescent="0.35">
      <c r="A30" s="296" t="str">
        <f>'CWD 2025 GASIG (com desc.)'!H261</f>
        <v>TEX16</v>
      </c>
      <c r="B30" s="296" t="str">
        <f>'CWD 2025 GASIG (com desc.)'!I261</f>
        <v>PE-TECAB (INTERCONEXÃO)</v>
      </c>
      <c r="C30" s="296">
        <f>'CWD 2025 GASIG (sem desc.)'!H56</f>
        <v>2723059.0670000003</v>
      </c>
      <c r="D30" s="296">
        <f t="shared" si="14"/>
        <v>2723059.0670000003</v>
      </c>
      <c r="E30" s="299">
        <f ca="1">'CWD 2025 GASIG (com desc.)'!L261</f>
        <v>2.237851010041978E-3</v>
      </c>
      <c r="F30" s="296">
        <f t="shared" ca="1" si="12"/>
        <v>6093.8004834899166</v>
      </c>
      <c r="G30" s="296">
        <f t="shared" ca="1" si="15"/>
        <v>6093.8004834899166</v>
      </c>
      <c r="H30" s="300">
        <f t="shared" ca="1" si="13"/>
        <v>2.237851010041978E-3</v>
      </c>
      <c r="I30" s="363"/>
      <c r="J30" s="11"/>
    </row>
    <row r="31" spans="1:12" x14ac:dyDescent="0.35">
      <c r="A31" s="59" t="s">
        <v>234</v>
      </c>
      <c r="C31" s="65">
        <f>SUM(C15:C30)</f>
        <v>689356018.10638499</v>
      </c>
      <c r="D31" s="65">
        <f>SUM(D15:D30)</f>
        <v>689356018.10638499</v>
      </c>
      <c r="F31" s="65">
        <f ca="1">SUM(F15:F30)</f>
        <v>15721942.616557084</v>
      </c>
      <c r="G31" s="65">
        <f ca="1">SUM(G15:G30)</f>
        <v>15721942.61655708</v>
      </c>
      <c r="I31" s="363"/>
      <c r="J31" s="11"/>
    </row>
    <row r="32" spans="1:12" x14ac:dyDescent="0.35">
      <c r="C32" s="65"/>
      <c r="D32" s="65"/>
      <c r="F32" s="65"/>
      <c r="G32" s="65"/>
    </row>
    <row r="33" spans="2:3" x14ac:dyDescent="0.35">
      <c r="C33" s="63" t="s">
        <v>257</v>
      </c>
    </row>
    <row r="34" spans="2:3" x14ac:dyDescent="0.35">
      <c r="B34" s="68" t="s">
        <v>58</v>
      </c>
      <c r="C34" s="66">
        <f ca="1">H18</f>
        <v>3.0868233542173305E-2</v>
      </c>
    </row>
    <row r="35" spans="2:3" x14ac:dyDescent="0.35">
      <c r="B35" s="68" t="s">
        <v>69</v>
      </c>
      <c r="C35" s="66">
        <f ca="1">H23</f>
        <v>2.3904226883332651E-2</v>
      </c>
    </row>
    <row r="36" spans="2:3" x14ac:dyDescent="0.35">
      <c r="B36" s="68" t="s">
        <v>258</v>
      </c>
      <c r="C36" s="66">
        <f ca="1">H27</f>
        <v>2.8884105929856994E-2</v>
      </c>
    </row>
    <row r="37" spans="2:3" x14ac:dyDescent="0.35">
      <c r="B37" s="132" t="s">
        <v>269</v>
      </c>
      <c r="C37" s="66" t="str">
        <f>H28</f>
        <v xml:space="preserve"> </v>
      </c>
    </row>
    <row r="38" spans="2:3" x14ac:dyDescent="0.35">
      <c r="B38" s="132" t="s">
        <v>268</v>
      </c>
      <c r="C38" s="66">
        <f t="shared" ref="C38:C39" ca="1" si="16">H29</f>
        <v>2.5631785829438292E-3</v>
      </c>
    </row>
    <row r="39" spans="2:3" x14ac:dyDescent="0.35">
      <c r="B39" s="132" t="s">
        <v>267</v>
      </c>
      <c r="C39" s="66">
        <f t="shared" ca="1" si="16"/>
        <v>2.237851010041978E-3</v>
      </c>
    </row>
  </sheetData>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ED5-6623-43C8-9703-DEA26EB1D152}">
  <sheetPr codeName="Planilha11">
    <tabColor theme="1" tint="0.499984740745262"/>
  </sheetPr>
  <dimension ref="A2:AA302"/>
  <sheetViews>
    <sheetView showGridLines="0" zoomScale="70" zoomScaleNormal="70" workbookViewId="0">
      <selection activeCell="D4" sqref="D4"/>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109</v>
      </c>
    </row>
    <row r="3" spans="1:9" ht="15" thickBot="1" x14ac:dyDescent="0.4">
      <c r="G3" s="205">
        <v>2025</v>
      </c>
    </row>
    <row r="4" spans="1:9" ht="17" thickBot="1" x14ac:dyDescent="0.4">
      <c r="A4" s="220"/>
      <c r="B4" s="221" t="s">
        <v>110</v>
      </c>
      <c r="C4" s="222" t="s">
        <v>270</v>
      </c>
      <c r="D4" s="223">
        <f>'Premissas (Legados)'!D38/1000</f>
        <v>7057.9008887691371</v>
      </c>
      <c r="E4" s="224" t="s">
        <v>111</v>
      </c>
      <c r="F4" s="220"/>
      <c r="G4" s="220"/>
      <c r="H4" s="235"/>
      <c r="I4" s="235"/>
    </row>
    <row r="5" spans="1:9" ht="16.5" x14ac:dyDescent="0.35">
      <c r="A5" s="206">
        <f>HLOOKUP($G$3,'Premissas (Legados)'!$B$5:$F$13,9,FALSE)</f>
        <v>0.7</v>
      </c>
      <c r="B5" s="207" t="s">
        <v>112</v>
      </c>
      <c r="C5" s="208" t="s">
        <v>271</v>
      </c>
      <c r="D5" s="209">
        <f>$A$5*$D$4</f>
        <v>4940.5306221383953</v>
      </c>
      <c r="E5" s="210" t="s">
        <v>113</v>
      </c>
      <c r="F5" s="211"/>
      <c r="G5" s="211"/>
      <c r="H5" s="235"/>
    </row>
    <row r="6" spans="1:9" ht="29" x14ac:dyDescent="0.35">
      <c r="A6" s="92"/>
      <c r="B6" s="212" t="s">
        <v>114</v>
      </c>
      <c r="C6" s="213" t="s">
        <v>272</v>
      </c>
      <c r="D6" s="214">
        <f>$D$34*'Premissas (Legados)'!$F$20</f>
        <v>25306180</v>
      </c>
      <c r="E6" s="212" t="s">
        <v>115</v>
      </c>
      <c r="F6" s="230">
        <f>H34</f>
        <v>943975656.16621995</v>
      </c>
      <c r="G6" s="82" t="s">
        <v>116</v>
      </c>
    </row>
    <row r="7" spans="1:9" ht="17" thickBot="1" x14ac:dyDescent="0.4">
      <c r="A7" s="215"/>
      <c r="B7" s="216" t="s">
        <v>117</v>
      </c>
      <c r="C7" s="217" t="s">
        <v>273</v>
      </c>
      <c r="D7" s="218">
        <f>$D$5/$D$6*1000</f>
        <v>0.1952302015609782</v>
      </c>
      <c r="E7" s="219" t="s">
        <v>118</v>
      </c>
      <c r="F7" s="232">
        <f>$D$5/$F$6*1000000</f>
        <v>5.2337479148598316</v>
      </c>
      <c r="G7" s="228" t="s">
        <v>15</v>
      </c>
      <c r="I7" s="235"/>
    </row>
    <row r="8" spans="1:9" ht="16.5" x14ac:dyDescent="0.35">
      <c r="A8" s="206">
        <f>1-A5</f>
        <v>0.30000000000000004</v>
      </c>
      <c r="B8" s="207" t="s">
        <v>119</v>
      </c>
      <c r="C8" s="208" t="s">
        <v>274</v>
      </c>
      <c r="D8" s="209">
        <f>$A$8*$D$4</f>
        <v>2117.3702666307413</v>
      </c>
      <c r="E8" s="210" t="s">
        <v>113</v>
      </c>
      <c r="F8" s="231"/>
      <c r="G8" s="229"/>
    </row>
    <row r="9" spans="1:9" ht="29" x14ac:dyDescent="0.35">
      <c r="B9" s="212" t="s">
        <v>120</v>
      </c>
      <c r="C9" s="213" t="s">
        <v>275</v>
      </c>
      <c r="D9" s="214">
        <f>$D$57*'Premissas (Legados)'!$F$20</f>
        <v>21312715</v>
      </c>
      <c r="E9" s="212" t="s">
        <v>115</v>
      </c>
      <c r="F9" s="230">
        <f>H57</f>
        <v>795010709.905985</v>
      </c>
      <c r="G9" s="82" t="s">
        <v>116</v>
      </c>
    </row>
    <row r="10" spans="1:9" ht="17" thickBot="1" x14ac:dyDescent="0.4">
      <c r="A10" s="225"/>
      <c r="B10" s="216" t="s">
        <v>121</v>
      </c>
      <c r="C10" s="217" t="s">
        <v>276</v>
      </c>
      <c r="D10" s="218">
        <f>$D$8/$D$9*1000</f>
        <v>9.9347749295701712E-2</v>
      </c>
      <c r="E10" s="219" t="s">
        <v>118</v>
      </c>
      <c r="F10" s="232">
        <f>$D$8/$F$9*1000000</f>
        <v>2.6633229467828601</v>
      </c>
      <c r="G10" s="228" t="s">
        <v>15</v>
      </c>
    </row>
    <row r="11" spans="1:9" ht="15" thickBot="1" x14ac:dyDescent="0.4">
      <c r="A11" s="220"/>
      <c r="B11" s="220" t="s">
        <v>122</v>
      </c>
      <c r="C11" s="226">
        <f>HLOOKUP($G$3,'Premissas (Legados)'!$B$5:$F$8,4,FALSE)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(Legados)'!C3</f>
        <v>20000</v>
      </c>
      <c r="D24" s="290">
        <f>'Oferta (Legados)'!F3</f>
        <v>14178</v>
      </c>
      <c r="F24" s="104"/>
      <c r="G24" s="43">
        <f>IFERROR($C24*$H$19*'Premissas (Legados)'!$F$20*1000," ")</f>
        <v>272305906.69999999</v>
      </c>
      <c r="H24" s="43">
        <f>IFERROR($D24*$H$19*'Premissas (Legados)'!$F$20*1000," ")</f>
        <v>193037657.25962999</v>
      </c>
      <c r="I24" s="93"/>
    </row>
    <row r="25" spans="1:9" x14ac:dyDescent="0.35">
      <c r="A25" s="2" t="s">
        <v>133</v>
      </c>
      <c r="B25" s="44" t="s">
        <v>26</v>
      </c>
      <c r="C25" s="290">
        <f>'Oferta (Legados)'!C4</f>
        <v>20000</v>
      </c>
      <c r="D25" s="290">
        <f>'Oferta (Legados)'!F4</f>
        <v>20000</v>
      </c>
      <c r="F25" s="104"/>
      <c r="G25" s="43">
        <f>IFERROR($C25*$H$19*'Premissas (Legados)'!$F$20*1000," ")</f>
        <v>272305906.69999999</v>
      </c>
      <c r="H25" s="43">
        <f>IFERROR($D25*$H$19*'Premissas (Legados)'!$F$20*1000," ")</f>
        <v>272305906.69999999</v>
      </c>
      <c r="I25" s="93"/>
    </row>
    <row r="26" spans="1:9" x14ac:dyDescent="0.35">
      <c r="A26" s="2" t="s">
        <v>134</v>
      </c>
      <c r="B26" s="44" t="s">
        <v>488</v>
      </c>
      <c r="C26" s="290">
        <f>'Oferta (Legados)'!C5</f>
        <v>18200</v>
      </c>
      <c r="D26" s="290">
        <f>'Oferta (Legados)'!F5</f>
        <v>13564</v>
      </c>
      <c r="E26" s="46"/>
      <c r="F26" s="104"/>
      <c r="G26" s="43">
        <f>IFERROR($C26*$H$19*'Premissas (Legados)'!$F$20*1000," ")</f>
        <v>247798375.097</v>
      </c>
      <c r="H26" s="43">
        <f>IFERROR($D26*$H$19*'Premissas (Legados)'!$F$20*1000," ")</f>
        <v>184677865.92394</v>
      </c>
      <c r="I26" s="93"/>
    </row>
    <row r="27" spans="1:9" x14ac:dyDescent="0.35">
      <c r="A27" s="2" t="s">
        <v>135</v>
      </c>
      <c r="B27" s="44" t="s">
        <v>463</v>
      </c>
      <c r="C27" s="290">
        <f>'Oferta (Legados)'!C6</f>
        <v>1250</v>
      </c>
      <c r="D27" s="290">
        <f>'Oferta (Legados)'!F6</f>
        <v>335</v>
      </c>
      <c r="E27" s="46"/>
      <c r="F27" s="104"/>
      <c r="G27" s="43">
        <f>IFERROR($C27*$H$19*'Premissas (Legados)'!$F$20*1000," ")</f>
        <v>17019119.168749999</v>
      </c>
      <c r="H27" s="43">
        <f>IFERROR($D27*$H$19*'Premissas (Legados)'!$F$20*1000," ")</f>
        <v>4561123.937225</v>
      </c>
      <c r="I27" s="93"/>
    </row>
    <row r="28" spans="1:9" x14ac:dyDescent="0.35">
      <c r="A28" s="2" t="s">
        <v>136</v>
      </c>
      <c r="B28" s="44" t="s">
        <v>27</v>
      </c>
      <c r="C28" s="290">
        <f>'Oferta (Legados)'!C7</f>
        <v>5000</v>
      </c>
      <c r="D28" s="290">
        <f>'Oferta (Legados)'!F7</f>
        <v>0</v>
      </c>
      <c r="E28" s="46"/>
      <c r="F28" s="104"/>
      <c r="G28" s="43">
        <f>IFERROR($C28*$H$19*'Premissas (Legados)'!$F$20*1000," ")</f>
        <v>68076476.674999997</v>
      </c>
      <c r="H28" s="43">
        <f>IFERROR($D28*$H$19*'Premissas (Legados)'!$F$20*1000," ")</f>
        <v>0</v>
      </c>
      <c r="I28" s="93"/>
    </row>
    <row r="29" spans="1:9" x14ac:dyDescent="0.35">
      <c r="A29" s="2" t="s">
        <v>239</v>
      </c>
      <c r="B29" s="44" t="s">
        <v>29</v>
      </c>
      <c r="C29" s="290">
        <f>'Oferta (Legados)'!C8</f>
        <v>2200</v>
      </c>
      <c r="D29" s="290">
        <f>'Oferta (Legados)'!F8</f>
        <v>0</v>
      </c>
      <c r="E29" s="46"/>
      <c r="F29" s="104"/>
      <c r="G29" s="43">
        <f>IFERROR($C29*$H$19*'Premissas (Legados)'!$F$20*1000," ")</f>
        <v>29953649.736999996</v>
      </c>
      <c r="H29" s="43">
        <f>IFERROR($D29*$H$19*'Premissas (Legados)'!$F$20*1000," ")</f>
        <v>0</v>
      </c>
      <c r="I29" s="93"/>
    </row>
    <row r="30" spans="1:9" x14ac:dyDescent="0.35">
      <c r="A30" s="2" t="s">
        <v>137</v>
      </c>
      <c r="B30" s="44" t="s">
        <v>24</v>
      </c>
      <c r="C30" s="290">
        <f>'Oferta (Legados)'!C9</f>
        <v>25160</v>
      </c>
      <c r="D30" s="290">
        <f>'Oferta (Legados)'!F9</f>
        <v>14855</v>
      </c>
      <c r="E30" s="46"/>
      <c r="F30" s="104"/>
      <c r="G30" s="43">
        <f>IFERROR($C30*$H$19*'Premissas (Legados)'!$F$20*1000," ")</f>
        <v>342560830.6286</v>
      </c>
      <c r="H30" s="43">
        <f>IFERROR($D30*$H$19*'Premissas (Legados)'!$F$20*1000," ")</f>
        <v>202255212.20142499</v>
      </c>
      <c r="I30" s="93"/>
    </row>
    <row r="31" spans="1:9" x14ac:dyDescent="0.35">
      <c r="A31" s="2" t="s">
        <v>240</v>
      </c>
      <c r="B31" s="44" t="s">
        <v>264</v>
      </c>
      <c r="C31" s="290">
        <f>'Oferta (Legados)'!C10</f>
        <v>0</v>
      </c>
      <c r="D31" s="290">
        <f>'Oferta (Legados)'!F10</f>
        <v>6000</v>
      </c>
      <c r="E31" s="46"/>
      <c r="F31" s="104"/>
      <c r="G31" s="43">
        <f>IFERROR($C31*$H$19*'Premissas (Legados)'!$F$20*1000," ")</f>
        <v>0</v>
      </c>
      <c r="H31" s="43">
        <f>IFERROR($D31*$H$19*'Premissas (Legados)'!$F$20*1000," ")</f>
        <v>81691772.010000005</v>
      </c>
      <c r="I31" s="93"/>
    </row>
    <row r="32" spans="1:9" x14ac:dyDescent="0.35">
      <c r="A32" s="2" t="s">
        <v>138</v>
      </c>
      <c r="B32" s="44" t="s">
        <v>266</v>
      </c>
      <c r="C32" s="290">
        <f>'Oferta (Legados)'!C11</f>
        <v>0</v>
      </c>
      <c r="D32" s="290">
        <f>'Oferta (Legados)'!F11</f>
        <v>200</v>
      </c>
      <c r="E32" s="46"/>
      <c r="F32" s="104"/>
      <c r="G32" s="43">
        <f>IFERROR($C32*$H$19*'Premissas (Legados)'!$F$20*1000," ")</f>
        <v>0</v>
      </c>
      <c r="H32" s="43">
        <f>IFERROR($D32*$H$19*'Premissas (Legados)'!$F$20*1000," ")</f>
        <v>2723059.0670000003</v>
      </c>
      <c r="I32" s="93"/>
    </row>
    <row r="33" spans="1:10" x14ac:dyDescent="0.35">
      <c r="A33" s="2" t="s">
        <v>139</v>
      </c>
      <c r="B33" s="44" t="s">
        <v>265</v>
      </c>
      <c r="C33" s="290">
        <f>'Oferta (Legados)'!C12</f>
        <v>0</v>
      </c>
      <c r="D33" s="290">
        <f>'Oferta (Legados)'!F12</f>
        <v>200</v>
      </c>
      <c r="E33" s="46"/>
      <c r="F33" s="104"/>
      <c r="G33" s="43">
        <f>IFERROR($C33*$H$19*'Premissas (Legados)'!$F$20*1000," ")</f>
        <v>0</v>
      </c>
      <c r="H33" s="43">
        <f>IFERROR($D33*$H$19*'Premissas (Legados)'!$F$20*1000," ")</f>
        <v>2723059.0670000003</v>
      </c>
      <c r="I33" s="93"/>
    </row>
    <row r="34" spans="1:10" x14ac:dyDescent="0.35">
      <c r="C34" s="105">
        <f>SUM(C24:C33)</f>
        <v>91810</v>
      </c>
      <c r="D34" s="105">
        <f>SUM(D24:D33)</f>
        <v>69332</v>
      </c>
      <c r="E34" s="105"/>
      <c r="F34" s="104"/>
      <c r="G34" s="105">
        <f>SUM(G24:G33)</f>
        <v>1250020264.7063498</v>
      </c>
      <c r="H34" s="105">
        <f>SUM(H24:H33)</f>
        <v>943975656.16621995</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(Legados)'!C3</f>
        <v>864.5</v>
      </c>
      <c r="D41" s="290">
        <f>'Demanda (Legados)'!F3</f>
        <v>607</v>
      </c>
      <c r="G41" s="43">
        <f>IFERROR($C41*$H$19*'Premissas (Legados)'!$F$20*1000," ")</f>
        <v>11770422.817107499</v>
      </c>
      <c r="H41" s="43">
        <f>IFERROR($D41*$H$19*'Premissas (Legados)'!$F$20*1000," ")</f>
        <v>8264484.2683449984</v>
      </c>
      <c r="I41" s="93"/>
    </row>
    <row r="42" spans="1:10" x14ac:dyDescent="0.35">
      <c r="A42" s="2" t="s">
        <v>42</v>
      </c>
      <c r="B42" s="44" t="s">
        <v>217</v>
      </c>
      <c r="C42" s="290">
        <f>'Demanda (Legados)'!C4</f>
        <v>1825.9</v>
      </c>
      <c r="D42" s="290">
        <f>'Demanda (Legados)'!F4</f>
        <v>1678</v>
      </c>
      <c r="G42" s="43">
        <f>IFERROR($C42*$H$19*'Premissas (Legados)'!$F$20*1000," ")</f>
        <v>24860167.752176501</v>
      </c>
      <c r="H42" s="43">
        <f>IFERROR($D42*$H$19*'Premissas (Legados)'!$F$20*1000," ")</f>
        <v>22846465.572130002</v>
      </c>
      <c r="I42" s="93"/>
    </row>
    <row r="43" spans="1:10" x14ac:dyDescent="0.35">
      <c r="A43" s="2" t="s">
        <v>43</v>
      </c>
      <c r="B43" s="44" t="s">
        <v>218</v>
      </c>
      <c r="C43" s="290">
        <f>'Demanda (Legados)'!C5</f>
        <v>3040.95</v>
      </c>
      <c r="D43" s="290">
        <f>'Demanda (Legados)'!F5</f>
        <v>2737</v>
      </c>
      <c r="E43" s="46"/>
      <c r="G43" s="43">
        <f>IFERROR($C43*$H$19*'Premissas (Legados)'!$F$20*1000," ")</f>
        <v>41403432.348968253</v>
      </c>
      <c r="H43" s="43">
        <f>IFERROR($D43*$H$19*'Premissas (Legados)'!$F$20*1000," ")</f>
        <v>37265063.331895001</v>
      </c>
      <c r="I43" s="93"/>
    </row>
    <row r="44" spans="1:10" x14ac:dyDescent="0.35">
      <c r="A44" s="2" t="s">
        <v>44</v>
      </c>
      <c r="B44" s="44" t="s">
        <v>219</v>
      </c>
      <c r="C44" s="290">
        <f>'Demanda (Legados)'!C6</f>
        <v>1187.5</v>
      </c>
      <c r="D44" s="290">
        <f>'Demanda (Legados)'!F6</f>
        <v>335</v>
      </c>
      <c r="E44" s="46"/>
      <c r="G44" s="43">
        <f>IFERROR($C44*$H$19*'Premissas (Legados)'!$F$20*1000," ")</f>
        <v>16168163.210312499</v>
      </c>
      <c r="H44" s="43">
        <f>IFERROR($D44*$H$19*'Premissas (Legados)'!$F$20*1000," ")</f>
        <v>4561123.937225</v>
      </c>
      <c r="I44" s="93"/>
    </row>
    <row r="45" spans="1:10" x14ac:dyDescent="0.35">
      <c r="A45" s="2" t="s">
        <v>45</v>
      </c>
      <c r="B45" s="44" t="s">
        <v>220</v>
      </c>
      <c r="C45" s="290">
        <f>'Demanda (Legados)'!C7</f>
        <v>21185</v>
      </c>
      <c r="D45" s="290">
        <f>'Demanda (Legados)'!F7</f>
        <v>17793</v>
      </c>
      <c r="E45" s="46"/>
      <c r="G45" s="43">
        <f>IFERROR($C45*$H$19*'Premissas (Legados)'!$F$20*1000," ")</f>
        <v>288440031.67197496</v>
      </c>
      <c r="H45" s="43">
        <f>IFERROR($D45*$H$19*'Premissas (Legados)'!$F$20*1000," ")</f>
        <v>242256949.89565501</v>
      </c>
      <c r="I45" s="93"/>
    </row>
    <row r="46" spans="1:10" x14ac:dyDescent="0.35">
      <c r="A46" s="2" t="s">
        <v>46</v>
      </c>
      <c r="B46" s="44" t="s">
        <v>221</v>
      </c>
      <c r="C46" s="290">
        <f>'Demanda (Legados)'!C8</f>
        <v>11271.75</v>
      </c>
      <c r="D46" s="290">
        <f>'Demanda (Legados)'!F8</f>
        <v>8406</v>
      </c>
      <c r="E46" s="46"/>
      <c r="G46" s="43">
        <f>IFERROR($C46*$H$19*'Premissas (Legados)'!$F$20*1000," ")</f>
        <v>153468205.19228625</v>
      </c>
      <c r="H46" s="43">
        <f>IFERROR($D46*$H$19*'Premissas (Legados)'!$F$20*1000," ")</f>
        <v>114450172.58600999</v>
      </c>
      <c r="I46" s="93"/>
    </row>
    <row r="47" spans="1:10" x14ac:dyDescent="0.35">
      <c r="A47" s="2" t="s">
        <v>47</v>
      </c>
      <c r="B47" s="44" t="s">
        <v>222</v>
      </c>
      <c r="C47" s="290">
        <f>'Demanda (Legados)'!C9</f>
        <v>3249</v>
      </c>
      <c r="D47" s="290">
        <f>'Demanda (Legados)'!F9</f>
        <v>1714</v>
      </c>
      <c r="E47" s="46"/>
      <c r="G47" s="43">
        <f>IFERROR($C47*$H$19*'Premissas (Legados)'!$F$20*1000," ")</f>
        <v>44236094.543414995</v>
      </c>
      <c r="H47" s="43">
        <f>IFERROR($D47*$H$19*'Premissas (Legados)'!$F$20*1000," ")</f>
        <v>23336616.204189997</v>
      </c>
      <c r="I47" s="93"/>
    </row>
    <row r="48" spans="1:10" x14ac:dyDescent="0.35">
      <c r="A48" s="2" t="s">
        <v>48</v>
      </c>
      <c r="B48" s="44" t="s">
        <v>223</v>
      </c>
      <c r="C48" s="290">
        <f>'Demanda (Legados)'!C10</f>
        <v>498.75</v>
      </c>
      <c r="D48" s="290">
        <f>'Demanda (Legados)'!F10</f>
        <v>323</v>
      </c>
      <c r="E48" s="46"/>
      <c r="G48" s="43">
        <f>IFERROR($C48*$H$19*'Premissas (Legados)'!$F$20*1000," ")</f>
        <v>6790628.5483312495</v>
      </c>
      <c r="H48" s="43">
        <f>IFERROR($D48*$H$19*'Premissas (Legados)'!$F$20*1000," ")</f>
        <v>4397740.3932050001</v>
      </c>
      <c r="I48" s="93"/>
    </row>
    <row r="49" spans="1:9" x14ac:dyDescent="0.35">
      <c r="A49" s="2" t="s">
        <v>49</v>
      </c>
      <c r="B49" s="44" t="s">
        <v>224</v>
      </c>
      <c r="C49" s="290">
        <f>'Demanda (Legados)'!C11</f>
        <v>3321.2</v>
      </c>
      <c r="D49" s="290">
        <f>'Demanda (Legados)'!F11</f>
        <v>2128</v>
      </c>
      <c r="E49" s="46"/>
      <c r="G49" s="43">
        <f>IFERROR($C49*$H$19*'Premissas (Legados)'!$F$20*1000," ")</f>
        <v>45219118.866601996</v>
      </c>
      <c r="H49" s="43">
        <f>IFERROR($D49*$H$19*'Premissas (Legados)'!$F$20*1000," ")</f>
        <v>28973348.472879995</v>
      </c>
      <c r="I49" s="93"/>
    </row>
    <row r="50" spans="1:9" x14ac:dyDescent="0.35">
      <c r="A50" s="2" t="s">
        <v>50</v>
      </c>
      <c r="B50" s="44" t="s">
        <v>225</v>
      </c>
      <c r="C50" s="290">
        <f>'Demanda (Legados)'!C12</f>
        <v>14292.75</v>
      </c>
      <c r="D50" s="290">
        <f>'Demanda (Legados)'!F12</f>
        <v>1237</v>
      </c>
      <c r="E50" s="46"/>
      <c r="G50" s="43">
        <f>IFERROR($C50*$H$19*'Premissas (Legados)'!$F$20*1000," ")</f>
        <v>194600012.39932126</v>
      </c>
      <c r="H50" s="43">
        <f>IFERROR($D50*$H$19*'Premissas (Legados)'!$F$20*1000," ")</f>
        <v>16842120.329395</v>
      </c>
      <c r="I50" s="93"/>
    </row>
    <row r="51" spans="1:9" x14ac:dyDescent="0.35">
      <c r="A51" s="2" t="s">
        <v>51</v>
      </c>
      <c r="B51" s="44" t="s">
        <v>226</v>
      </c>
      <c r="C51" s="290">
        <f>'Demanda (Legados)'!C13</f>
        <v>3971</v>
      </c>
      <c r="D51" s="290">
        <f>'Demanda (Legados)'!F13</f>
        <v>2972</v>
      </c>
      <c r="E51" s="46"/>
      <c r="G51" s="43">
        <f>IFERROR($C51*$H$19*'Premissas (Legados)'!$F$20*1000," ")</f>
        <v>54066337.775284998</v>
      </c>
      <c r="H51" s="43">
        <f>IFERROR($D51*$H$19*'Premissas (Legados)'!$F$20*1000," ")</f>
        <v>40464657.735619992</v>
      </c>
      <c r="I51" s="93"/>
    </row>
    <row r="52" spans="1:9" x14ac:dyDescent="0.35">
      <c r="A52" s="2" t="s">
        <v>52</v>
      </c>
      <c r="B52" s="44" t="s">
        <v>227</v>
      </c>
      <c r="C52" s="290">
        <f>'Demanda (Legados)'!C14</f>
        <v>9941.75</v>
      </c>
      <c r="D52" s="290">
        <f>'Demanda (Legados)'!F14</f>
        <v>7969</v>
      </c>
      <c r="E52" s="46"/>
      <c r="G52" s="43">
        <f>IFERROR($C52*$H$19*'Premissas (Legados)'!$F$20*1000," ")</f>
        <v>135359862.39673626</v>
      </c>
      <c r="H52" s="43">
        <f>IFERROR($D52*$H$19*'Premissas (Legados)'!$F$20*1000," ")</f>
        <v>108500288.52461499</v>
      </c>
      <c r="I52" s="93"/>
    </row>
    <row r="53" spans="1:9" x14ac:dyDescent="0.35">
      <c r="A53" s="2" t="s">
        <v>53</v>
      </c>
      <c r="B53" s="44" t="s">
        <v>228</v>
      </c>
      <c r="C53" s="290">
        <f>'Demanda (Legados)'!C15</f>
        <v>3809.5</v>
      </c>
      <c r="D53" s="290">
        <f>'Demanda (Legados)'!F15</f>
        <v>3281</v>
      </c>
      <c r="E53" s="46"/>
      <c r="G53" s="43">
        <f>IFERROR($C53*$H$19*'Premissas (Legados)'!$F$20*1000," ")</f>
        <v>51867467.578682497</v>
      </c>
      <c r="H53" s="43">
        <f>IFERROR($D53*$H$19*'Premissas (Legados)'!$F$20*1000," ")</f>
        <v>44671783.994134992</v>
      </c>
      <c r="I53" s="93"/>
    </row>
    <row r="54" spans="1:9" x14ac:dyDescent="0.35">
      <c r="A54" s="2" t="s">
        <v>54</v>
      </c>
      <c r="B54" s="44" t="s">
        <v>269</v>
      </c>
      <c r="C54" s="290">
        <f>'Demanda (Legados)'!C16</f>
        <v>0</v>
      </c>
      <c r="D54" s="290">
        <f>'Demanda (Legados)'!F16</f>
        <v>0</v>
      </c>
      <c r="E54" s="46"/>
      <c r="G54" s="43">
        <f>IFERROR($C54*$H$19*'Premissas (Legados)'!$F$20*1000," ")</f>
        <v>0</v>
      </c>
      <c r="H54" s="43">
        <f>IFERROR($D54*$H$19*'Premissas (Legados)'!$F$20*1000," ")</f>
        <v>0</v>
      </c>
      <c r="I54" s="93"/>
    </row>
    <row r="55" spans="1:9" x14ac:dyDescent="0.35">
      <c r="A55" s="2" t="s">
        <v>55</v>
      </c>
      <c r="B55" s="44" t="s">
        <v>268</v>
      </c>
      <c r="C55" s="290">
        <f>'Demanda (Legados)'!C17</f>
        <v>0</v>
      </c>
      <c r="D55" s="290">
        <f>'Demanda (Legados)'!F17</f>
        <v>7011</v>
      </c>
      <c r="E55" s="46"/>
      <c r="G55" s="43">
        <f>IFERROR($C55*$H$19*'Premissas (Legados)'!$F$20*1000," ")</f>
        <v>0</v>
      </c>
      <c r="H55" s="43">
        <f>IFERROR($D55*$H$19*'Premissas (Legados)'!$F$20*1000," ")</f>
        <v>95456835.593685001</v>
      </c>
      <c r="I55" s="93"/>
    </row>
    <row r="56" spans="1:9" x14ac:dyDescent="0.35">
      <c r="A56" s="2" t="s">
        <v>56</v>
      </c>
      <c r="B56" s="44" t="s">
        <v>267</v>
      </c>
      <c r="C56" s="290">
        <f>'Demanda (Legados)'!C18</f>
        <v>0</v>
      </c>
      <c r="D56" s="290">
        <f>'Demanda (Legados)'!F18</f>
        <v>200</v>
      </c>
      <c r="E56" s="46"/>
      <c r="G56" s="43">
        <f>IFERROR($C56*$H$19*'Premissas (Legados)'!$F$20*1000," ")</f>
        <v>0</v>
      </c>
      <c r="H56" s="43">
        <f>IFERROR($D56*$H$19*'Premissas (Legados)'!$F$20*1000," ")</f>
        <v>2723059.0670000003</v>
      </c>
      <c r="I56" s="93"/>
    </row>
    <row r="57" spans="1:9" x14ac:dyDescent="0.35">
      <c r="C57" s="105">
        <f>SUM(C41:C56)</f>
        <v>78459.549999999988</v>
      </c>
      <c r="D57" s="105">
        <f>SUM(D41:D56)</f>
        <v>58391</v>
      </c>
      <c r="E57" s="105"/>
      <c r="G57" s="105">
        <f>SUM(G41:G56)</f>
        <v>1068249945.1011992</v>
      </c>
      <c r="H57" s="105">
        <f>SUM(H41:H56)</f>
        <v>795010709.905985</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0.20449431719840766</v>
      </c>
      <c r="C99" s="9"/>
      <c r="D99" t="s">
        <v>304</v>
      </c>
      <c r="E99" s="110">
        <f>H41/$H$57</f>
        <v>1.039543765306297E-2</v>
      </c>
      <c r="G99" s="109" t="s">
        <v>148</v>
      </c>
      <c r="H99" s="111">
        <f>H24/$H$34</f>
        <v>0.20449431719840766</v>
      </c>
      <c r="I99" s="111">
        <f>H25/$H$34</f>
        <v>0.28846708590549819</v>
      </c>
      <c r="J99" s="111">
        <f>$H26/$H$34</f>
        <v>0.19563837766110889</v>
      </c>
      <c r="K99" s="111">
        <f>$H27/$H$34</f>
        <v>4.8318236889170951E-3</v>
      </c>
      <c r="L99" s="111">
        <f>$H28/$H$34</f>
        <v>0</v>
      </c>
      <c r="M99" s="111">
        <f>$H29/$H$34</f>
        <v>0</v>
      </c>
      <c r="N99" s="111">
        <f>$H30/$H$34</f>
        <v>0.21425892805630878</v>
      </c>
      <c r="O99" s="111">
        <f>$H31/$H$34</f>
        <v>8.6540125771649462E-2</v>
      </c>
      <c r="P99" s="111">
        <f>$H32/$H$34</f>
        <v>2.8846708590549823E-3</v>
      </c>
      <c r="Q99" s="111">
        <f>$H33/$H$34</f>
        <v>2.8846708590549823E-3</v>
      </c>
      <c r="R99" s="111">
        <f>SUM(H99:Q99)</f>
        <v>1</v>
      </c>
      <c r="S99" s="110"/>
      <c r="T99" s="110"/>
      <c r="U99" s="110"/>
      <c r="V99" s="110"/>
      <c r="W99" s="110"/>
    </row>
    <row r="100" spans="1:27" ht="16.5" x14ac:dyDescent="0.45">
      <c r="A100" t="s">
        <v>295</v>
      </c>
      <c r="B100" s="112">
        <f t="shared" ref="B100:B108" si="1">H25/$H$34</f>
        <v>0.28846708590549819</v>
      </c>
      <c r="C100" s="4"/>
      <c r="D100" t="s">
        <v>305</v>
      </c>
      <c r="E100" s="110">
        <f t="shared" ref="E100:E114" si="2">H42/$H$57</f>
        <v>2.8737305406655138E-2</v>
      </c>
      <c r="W100" s="113"/>
    </row>
    <row r="101" spans="1:27" ht="16.5" x14ac:dyDescent="0.45">
      <c r="A101" t="s">
        <v>296</v>
      </c>
      <c r="B101" s="112">
        <f t="shared" si="1"/>
        <v>0.19563837766110889</v>
      </c>
      <c r="C101" s="4"/>
      <c r="D101" t="s">
        <v>306</v>
      </c>
      <c r="E101" s="110">
        <f t="shared" si="2"/>
        <v>4.6873662036957753E-2</v>
      </c>
      <c r="G101" s="110"/>
    </row>
    <row r="102" spans="1:27" ht="16.5" x14ac:dyDescent="0.45">
      <c r="A102" t="s">
        <v>297</v>
      </c>
      <c r="B102" s="112">
        <f t="shared" si="1"/>
        <v>4.8318236889170951E-3</v>
      </c>
      <c r="C102" s="4"/>
      <c r="D102" t="s">
        <v>307</v>
      </c>
      <c r="E102" s="110">
        <f t="shared" si="2"/>
        <v>5.7371855251665497E-3</v>
      </c>
      <c r="G102" s="110"/>
    </row>
    <row r="103" spans="1:27" ht="16.5" x14ac:dyDescent="0.45">
      <c r="A103" t="s">
        <v>298</v>
      </c>
      <c r="B103" s="112">
        <f t="shared" si="1"/>
        <v>0</v>
      </c>
      <c r="C103" s="4"/>
      <c r="D103" t="s">
        <v>308</v>
      </c>
      <c r="E103" s="110">
        <f t="shared" si="2"/>
        <v>0.30472161805757736</v>
      </c>
      <c r="G103" s="110"/>
      <c r="H103" s="112"/>
      <c r="I103" s="112"/>
    </row>
    <row r="104" spans="1:27" ht="16.5" x14ac:dyDescent="0.45">
      <c r="A104" t="s">
        <v>299</v>
      </c>
      <c r="B104" s="112">
        <f t="shared" si="1"/>
        <v>0</v>
      </c>
      <c r="C104" s="4"/>
      <c r="D104" t="s">
        <v>309</v>
      </c>
      <c r="E104" s="110">
        <f t="shared" si="2"/>
        <v>0.14396054186432841</v>
      </c>
      <c r="G104" s="110"/>
      <c r="H104" s="112"/>
      <c r="I104" s="112"/>
    </row>
    <row r="105" spans="1:27" ht="16.5" x14ac:dyDescent="0.45">
      <c r="A105" t="s">
        <v>300</v>
      </c>
      <c r="B105" s="112">
        <f t="shared" si="1"/>
        <v>0.21425892805630878</v>
      </c>
      <c r="C105" s="4"/>
      <c r="D105" t="s">
        <v>310</v>
      </c>
      <c r="E105" s="110">
        <f t="shared" si="2"/>
        <v>2.9353838776523776E-2</v>
      </c>
      <c r="G105" s="110"/>
      <c r="H105" s="112"/>
      <c r="I105" s="112"/>
    </row>
    <row r="106" spans="1:27" ht="16.5" x14ac:dyDescent="0.45">
      <c r="A106" t="s">
        <v>301</v>
      </c>
      <c r="B106" s="112">
        <f t="shared" si="1"/>
        <v>8.6540125771649462E-2</v>
      </c>
      <c r="C106" s="4"/>
      <c r="D106" t="s">
        <v>311</v>
      </c>
      <c r="E106" s="110">
        <f t="shared" si="2"/>
        <v>5.5316744018770016E-3</v>
      </c>
      <c r="G106" s="110"/>
      <c r="H106" s="112"/>
      <c r="I106" s="112"/>
    </row>
    <row r="107" spans="1:27" ht="16.5" x14ac:dyDescent="0.45">
      <c r="A107" t="s">
        <v>302</v>
      </c>
      <c r="B107" s="112">
        <f t="shared" si="1"/>
        <v>2.8846708590549823E-3</v>
      </c>
      <c r="C107" s="4"/>
      <c r="D107" t="s">
        <v>312</v>
      </c>
      <c r="E107" s="110">
        <f t="shared" si="2"/>
        <v>3.6443972530013177E-2</v>
      </c>
      <c r="G107" s="110"/>
      <c r="H107" s="112"/>
      <c r="I107" s="112"/>
    </row>
    <row r="108" spans="1:27" ht="16.5" x14ac:dyDescent="0.45">
      <c r="A108" t="s">
        <v>303</v>
      </c>
      <c r="B108" s="112">
        <f t="shared" si="1"/>
        <v>2.8846708590549823E-3</v>
      </c>
      <c r="D108" t="s">
        <v>313</v>
      </c>
      <c r="E108" s="110">
        <f t="shared" si="2"/>
        <v>2.1184771625764244E-2</v>
      </c>
      <c r="G108" s="110"/>
    </row>
    <row r="109" spans="1:27" ht="16.5" x14ac:dyDescent="0.45">
      <c r="B109" s="112">
        <f>SUM(B99:B108)</f>
        <v>1</v>
      </c>
      <c r="D109" t="s">
        <v>314</v>
      </c>
      <c r="E109" s="110">
        <f t="shared" si="2"/>
        <v>5.0898254868044723E-2</v>
      </c>
      <c r="G109" s="110"/>
    </row>
    <row r="110" spans="1:27" ht="16.5" x14ac:dyDescent="0.45">
      <c r="B110" s="112"/>
      <c r="D110" t="s">
        <v>315</v>
      </c>
      <c r="E110" s="110">
        <f t="shared" si="2"/>
        <v>0.13647651179120068</v>
      </c>
      <c r="G110" s="110"/>
    </row>
    <row r="111" spans="1:27" ht="16.5" x14ac:dyDescent="0.45">
      <c r="B111" s="112"/>
      <c r="D111" t="s">
        <v>316</v>
      </c>
      <c r="E111" s="110">
        <f t="shared" si="2"/>
        <v>5.6190166292750587E-2</v>
      </c>
    </row>
    <row r="112" spans="1:27" ht="16.5" x14ac:dyDescent="0.45">
      <c r="B112" s="112"/>
      <c r="D112" t="s">
        <v>317</v>
      </c>
      <c r="E112" s="110">
        <f t="shared" si="2"/>
        <v>0</v>
      </c>
    </row>
    <row r="113" spans="1:5" ht="16.5" x14ac:dyDescent="0.45">
      <c r="B113" s="112"/>
      <c r="D113" t="s">
        <v>318</v>
      </c>
      <c r="E113" s="110">
        <f t="shared" si="2"/>
        <v>0.12006987378191845</v>
      </c>
    </row>
    <row r="114" spans="1:5" ht="16.5" x14ac:dyDescent="0.45">
      <c r="B114" s="112"/>
      <c r="D114" t="s">
        <v>319</v>
      </c>
      <c r="E114" s="110">
        <f t="shared" si="2"/>
        <v>3.4251853881591345E-3</v>
      </c>
    </row>
    <row r="115" spans="1:5" x14ac:dyDescent="0.35">
      <c r="E115" s="110">
        <f>SUM(E99:E114)</f>
        <v>1</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351.07719645892911</v>
      </c>
      <c r="C130" s="114"/>
      <c r="D130" t="s">
        <v>325</v>
      </c>
      <c r="E130" s="4">
        <f ca="1">SUMPRODUCT($H$99:$Q$99,$C67:$L67)</f>
        <v>356.89817671493682</v>
      </c>
    </row>
    <row r="131" spans="1:5" ht="16.5" x14ac:dyDescent="0.45">
      <c r="A131" t="s">
        <v>326</v>
      </c>
      <c r="B131" s="110">
        <f ca="1">SUMPRODUCT($E$99:$E$114,D$67:D$82)</f>
        <v>239.33429862421721</v>
      </c>
      <c r="C131" s="114"/>
      <c r="D131" t="s">
        <v>327</v>
      </c>
      <c r="E131" s="4">
        <f t="shared" ref="E131:E145" ca="1" si="3">SUMPRODUCT($H$99:$Q$99,$C68:$L68)</f>
        <v>454.06217671493681</v>
      </c>
    </row>
    <row r="132" spans="1:5" ht="16.5" x14ac:dyDescent="0.45">
      <c r="A132" t="s">
        <v>328</v>
      </c>
      <c r="B132" s="110">
        <f ca="1">SUMPRODUCT($E$99:$E$114,E$67:E$82)</f>
        <v>275.28400309122975</v>
      </c>
      <c r="C132" s="114"/>
      <c r="D132" t="s">
        <v>329</v>
      </c>
      <c r="E132" s="4">
        <f t="shared" ca="1" si="3"/>
        <v>571.2273767149369</v>
      </c>
    </row>
    <row r="133" spans="1:5" ht="16.5" x14ac:dyDescent="0.45">
      <c r="A133" t="s">
        <v>330</v>
      </c>
      <c r="B133" s="110">
        <f ca="1">SUMPRODUCT($E$99:$E$114,F$67:F$82)</f>
        <v>416.74052411102173</v>
      </c>
      <c r="C133" s="114"/>
      <c r="D133" t="s">
        <v>331</v>
      </c>
      <c r="E133" s="4">
        <f t="shared" ca="1" si="3"/>
        <v>579.50629709225177</v>
      </c>
    </row>
    <row r="134" spans="1:5" ht="16.5" x14ac:dyDescent="0.45">
      <c r="A134" t="s">
        <v>332</v>
      </c>
      <c r="B134" s="110">
        <f ca="1">SUMPRODUCT($E$99:$E$114,G$67:G$82)</f>
        <v>228.48236613347947</v>
      </c>
      <c r="C134" s="114"/>
      <c r="D134" t="s">
        <v>333</v>
      </c>
      <c r="E134" s="4">
        <f t="shared" ca="1" si="3"/>
        <v>194.57141901767343</v>
      </c>
    </row>
    <row r="135" spans="1:5" ht="16.5" x14ac:dyDescent="0.45">
      <c r="A135" t="s">
        <v>334</v>
      </c>
      <c r="B135" s="110">
        <f ca="1">SUMPRODUCT($E$99:$E$114,H$67:H$82)</f>
        <v>378.57832051686046</v>
      </c>
      <c r="C135" s="114"/>
      <c r="D135" t="s">
        <v>335</v>
      </c>
      <c r="E135" s="4">
        <f t="shared" ca="1" si="3"/>
        <v>184.38603672186002</v>
      </c>
    </row>
    <row r="136" spans="1:5" ht="16.5" x14ac:dyDescent="0.45">
      <c r="A136" t="s">
        <v>336</v>
      </c>
      <c r="B136" s="110">
        <f ca="1">SUMPRODUCT($E$99:$E$114,I$67:I$82)</f>
        <v>379.07406666267065</v>
      </c>
      <c r="D136" t="s">
        <v>337</v>
      </c>
      <c r="E136" s="4">
        <f t="shared" ca="1" si="3"/>
        <v>203.88684538741131</v>
      </c>
    </row>
    <row r="137" spans="1:5" ht="16.5" x14ac:dyDescent="0.45">
      <c r="A137" t="s">
        <v>338</v>
      </c>
      <c r="B137" s="110">
        <f ca="1">SUMPRODUCT($E$99:$E$114,J$67:J$82)</f>
        <v>302.16339752872875</v>
      </c>
      <c r="D137" t="s">
        <v>339</v>
      </c>
      <c r="E137" s="4">
        <f t="shared" ca="1" si="3"/>
        <v>228.07444236427619</v>
      </c>
    </row>
    <row r="138" spans="1:5" ht="16.5" x14ac:dyDescent="0.45">
      <c r="A138" t="s">
        <v>340</v>
      </c>
      <c r="B138" s="110">
        <f ca="1">SUMPRODUCT($E$99:$E$114,K$67:K$82)</f>
        <v>416.74052411102173</v>
      </c>
      <c r="D138" t="s">
        <v>341</v>
      </c>
      <c r="E138" s="4">
        <f t="shared" ca="1" si="3"/>
        <v>190.71736561760804</v>
      </c>
    </row>
    <row r="139" spans="1:5" ht="16.5" x14ac:dyDescent="0.45">
      <c r="A139" t="s">
        <v>342</v>
      </c>
      <c r="B139" s="110">
        <f ca="1">SUMPRODUCT($E$99:$E$114,L$67:L$82)</f>
        <v>379.07406666267065</v>
      </c>
      <c r="D139" t="s">
        <v>343</v>
      </c>
      <c r="E139" s="4">
        <f t="shared" ca="1" si="3"/>
        <v>309.3761903642378</v>
      </c>
    </row>
    <row r="140" spans="1:5" ht="16.5" x14ac:dyDescent="0.45">
      <c r="B140" s="110"/>
      <c r="D140" t="s">
        <v>344</v>
      </c>
      <c r="E140" s="4">
        <f t="shared" ca="1" si="3"/>
        <v>293.91531773687962</v>
      </c>
    </row>
    <row r="141" spans="1:5" ht="16.5" x14ac:dyDescent="0.45">
      <c r="B141" s="110"/>
      <c r="D141" t="s">
        <v>345</v>
      </c>
      <c r="E141" s="4">
        <f t="shared" ca="1" si="3"/>
        <v>398.53740332891022</v>
      </c>
    </row>
    <row r="142" spans="1:5" ht="16.5" x14ac:dyDescent="0.45">
      <c r="B142" s="110"/>
      <c r="D142" t="s">
        <v>346</v>
      </c>
      <c r="E142" s="4">
        <f t="shared" ca="1" si="3"/>
        <v>433.95246861478108</v>
      </c>
    </row>
    <row r="143" spans="1:5" ht="16.5" x14ac:dyDescent="0.45">
      <c r="B143" s="110"/>
      <c r="D143" t="s">
        <v>347</v>
      </c>
      <c r="E143" s="4">
        <f t="shared" si="3"/>
        <v>328.61546861478104</v>
      </c>
    </row>
    <row r="144" spans="1:5" ht="16.5" x14ac:dyDescent="0.45">
      <c r="B144" s="110"/>
      <c r="D144" t="s">
        <v>348</v>
      </c>
      <c r="E144" s="4">
        <f t="shared" si="3"/>
        <v>485.74029709225181</v>
      </c>
    </row>
    <row r="145" spans="1:5" ht="16.5" x14ac:dyDescent="0.45">
      <c r="B145" s="110"/>
      <c r="D145" t="s">
        <v>349</v>
      </c>
      <c r="E145" s="4">
        <f t="shared" si="3"/>
        <v>252.89970186926672</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0.23433677049768156</v>
      </c>
      <c r="C162" s="36"/>
      <c r="D162" t="s">
        <v>355</v>
      </c>
      <c r="E162" s="115">
        <f t="shared" ref="E162:E177" ca="1" si="4">($H41*$E130)/SUMPRODUCT($H$41:$H$56,$E$130:$E$145)</f>
        <v>1.2109987154471064E-2</v>
      </c>
    </row>
    <row r="163" spans="1:9" ht="16.5" x14ac:dyDescent="0.45">
      <c r="A163" t="s">
        <v>356</v>
      </c>
      <c r="B163" s="115">
        <f t="shared" ref="B163:B171" ca="1" si="5">($H25*$B131)/SUMPRODUCT($H$24:$H$33,$B$130:$B$139)</f>
        <v>0.22535011476331918</v>
      </c>
      <c r="C163" s="4"/>
      <c r="D163" t="s">
        <v>357</v>
      </c>
      <c r="E163" s="115">
        <f t="shared" ca="1" si="4"/>
        <v>4.2591010622833957E-2</v>
      </c>
    </row>
    <row r="164" spans="1:9" ht="16.5" x14ac:dyDescent="0.45">
      <c r="A164" t="s">
        <v>358</v>
      </c>
      <c r="B164" s="115">
        <f t="shared" ca="1" si="5"/>
        <v>0.17578896248220546</v>
      </c>
      <c r="C164" s="4"/>
      <c r="D164" t="s">
        <v>359</v>
      </c>
      <c r="E164" s="115">
        <f t="shared" ca="1" si="4"/>
        <v>8.7396586977356056E-2</v>
      </c>
      <c r="H164" s="116"/>
      <c r="I164" s="116"/>
    </row>
    <row r="165" spans="1:9" ht="16.5" x14ac:dyDescent="0.45">
      <c r="A165" t="s">
        <v>360</v>
      </c>
      <c r="B165" s="115">
        <f t="shared" ca="1" si="5"/>
        <v>6.5725422628629144E-3</v>
      </c>
      <c r="C165" s="4"/>
      <c r="D165" t="s">
        <v>361</v>
      </c>
      <c r="E165" s="115">
        <f t="shared" ca="1" si="4"/>
        <v>1.0852096042024799E-2</v>
      </c>
    </row>
    <row r="166" spans="1:9" ht="16.5" x14ac:dyDescent="0.45">
      <c r="A166" t="s">
        <v>362</v>
      </c>
      <c r="B166" s="115">
        <f t="shared" ca="1" si="5"/>
        <v>0</v>
      </c>
      <c r="C166" s="4"/>
      <c r="D166" t="s">
        <v>363</v>
      </c>
      <c r="E166" s="115">
        <f t="shared" ca="1" si="4"/>
        <v>0.19352580698647631</v>
      </c>
    </row>
    <row r="167" spans="1:9" ht="16.5" x14ac:dyDescent="0.45">
      <c r="A167" t="s">
        <v>364</v>
      </c>
      <c r="B167" s="115">
        <f t="shared" ca="1" si="5"/>
        <v>0</v>
      </c>
      <c r="C167" s="4"/>
      <c r="D167" t="s">
        <v>365</v>
      </c>
      <c r="E167" s="115">
        <f t="shared" ca="1" si="4"/>
        <v>8.6641921897334578E-2</v>
      </c>
    </row>
    <row r="168" spans="1:9" ht="16.5" x14ac:dyDescent="0.45">
      <c r="A168" t="s">
        <v>366</v>
      </c>
      <c r="B168" s="115">
        <f t="shared" ca="1" si="5"/>
        <v>0.26510601237395276</v>
      </c>
      <c r="C168" s="4"/>
      <c r="D168" t="s">
        <v>367</v>
      </c>
      <c r="E168" s="115">
        <f t="shared" ca="1" si="4"/>
        <v>1.9534877224600487E-2</v>
      </c>
    </row>
    <row r="169" spans="1:9" ht="16.5" x14ac:dyDescent="0.45">
      <c r="A169" t="s">
        <v>368</v>
      </c>
      <c r="B169" s="115">
        <f t="shared" ca="1" si="5"/>
        <v>8.5352442213834201E-2</v>
      </c>
      <c r="C169" s="4"/>
      <c r="D169" t="s">
        <v>369</v>
      </c>
      <c r="E169" s="115">
        <f t="shared" ca="1" si="4"/>
        <v>4.1180328446227413E-3</v>
      </c>
    </row>
    <row r="170" spans="1:9" ht="16.5" x14ac:dyDescent="0.45">
      <c r="A170" t="s">
        <v>370</v>
      </c>
      <c r="B170" s="115">
        <f t="shared" ca="1" si="5"/>
        <v>3.9239058285748746E-3</v>
      </c>
      <c r="D170" t="s">
        <v>371</v>
      </c>
      <c r="E170" s="115">
        <f t="shared" ca="1" si="4"/>
        <v>2.268676251730899E-2</v>
      </c>
    </row>
    <row r="171" spans="1:9" ht="16.5" x14ac:dyDescent="0.45">
      <c r="A171" t="s">
        <v>372</v>
      </c>
      <c r="B171" s="115">
        <f t="shared" ca="1" si="5"/>
        <v>3.569249577569206E-3</v>
      </c>
      <c r="D171" t="s">
        <v>373</v>
      </c>
      <c r="E171" s="115">
        <f t="shared" ca="1" si="4"/>
        <v>2.1392781184794735E-2</v>
      </c>
    </row>
    <row r="172" spans="1:9" ht="16.5" x14ac:dyDescent="0.45">
      <c r="B172" s="233">
        <f ca="1">SUM(B162:B171)</f>
        <v>1.0000000000000002</v>
      </c>
      <c r="D172" t="s">
        <v>374</v>
      </c>
      <c r="E172" s="115">
        <f t="shared" ca="1" si="4"/>
        <v>4.8829433705210513E-2</v>
      </c>
    </row>
    <row r="173" spans="1:9" ht="16.5" x14ac:dyDescent="0.45">
      <c r="B173" s="115"/>
      <c r="D173" t="s">
        <v>375</v>
      </c>
      <c r="E173" s="115">
        <f t="shared" ca="1" si="4"/>
        <v>0.17753483292231792</v>
      </c>
    </row>
    <row r="174" spans="1:9" ht="16.5" x14ac:dyDescent="0.45">
      <c r="B174" s="115"/>
      <c r="D174" t="s">
        <v>376</v>
      </c>
      <c r="E174" s="115">
        <f t="shared" ca="1" si="4"/>
        <v>7.9590100990375945E-2</v>
      </c>
    </row>
    <row r="175" spans="1:9" ht="16.5" x14ac:dyDescent="0.45">
      <c r="B175" s="115"/>
      <c r="D175" t="s">
        <v>377</v>
      </c>
      <c r="E175" s="115">
        <f t="shared" ca="1" si="4"/>
        <v>0</v>
      </c>
    </row>
    <row r="176" spans="1:9" ht="16.5" x14ac:dyDescent="0.45">
      <c r="B176" s="115"/>
      <c r="D176" t="s">
        <v>378</v>
      </c>
      <c r="E176" s="115">
        <f t="shared" ca="1" si="4"/>
        <v>0.19036835772277305</v>
      </c>
    </row>
    <row r="177" spans="1:5" ht="16.5" x14ac:dyDescent="0.45">
      <c r="B177" s="115"/>
      <c r="D177" t="s">
        <v>379</v>
      </c>
      <c r="E177" s="115">
        <f t="shared" ca="1" si="4"/>
        <v>2.8274112074987948E-3</v>
      </c>
    </row>
    <row r="178" spans="1:5" x14ac:dyDescent="0.35">
      <c r="E178" s="233">
        <f ca="1">SUM(E162:E177)</f>
        <v>0.99999999999999989</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1157.7479905368129</v>
      </c>
      <c r="C193" s="47"/>
      <c r="D193" t="s">
        <v>383</v>
      </c>
      <c r="E193" s="6">
        <f t="shared" ref="E193:E208" ca="1" si="7">$E162*$D$8</f>
        <v>25.64132673015725</v>
      </c>
    </row>
    <row r="194" spans="1:5" ht="16.5" x14ac:dyDescent="0.45">
      <c r="A194" t="s">
        <v>384</v>
      </c>
      <c r="B194" s="7">
        <f t="shared" ca="1" si="6"/>
        <v>1113.34914269058</v>
      </c>
      <c r="D194" t="s">
        <v>385</v>
      </c>
      <c r="E194" s="6">
        <f t="shared" ca="1" si="7"/>
        <v>90.180939518542672</v>
      </c>
    </row>
    <row r="195" spans="1:5" ht="16.5" x14ac:dyDescent="0.45">
      <c r="A195" t="s">
        <v>386</v>
      </c>
      <c r="B195" s="7">
        <f t="shared" ca="1" si="6"/>
        <v>868.49075217727363</v>
      </c>
      <c r="D195" t="s">
        <v>387</v>
      </c>
      <c r="E195" s="6">
        <f t="shared" ca="1" si="7"/>
        <v>185.05093467086115</v>
      </c>
    </row>
    <row r="196" spans="1:5" ht="16.5" x14ac:dyDescent="0.45">
      <c r="A196" t="s">
        <v>388</v>
      </c>
      <c r="B196" s="7">
        <f t="shared" ca="1" si="6"/>
        <v>32.471846314973014</v>
      </c>
      <c r="D196" t="s">
        <v>389</v>
      </c>
      <c r="E196" s="6">
        <f t="shared" ca="1" si="7"/>
        <v>22.97790549000446</v>
      </c>
    </row>
    <row r="197" spans="1:5" ht="16.5" x14ac:dyDescent="0.45">
      <c r="A197" t="s">
        <v>390</v>
      </c>
      <c r="B197" s="7">
        <f t="shared" ca="1" si="6"/>
        <v>0</v>
      </c>
      <c r="D197" t="s">
        <v>391</v>
      </c>
      <c r="E197" s="6">
        <f t="shared" ca="1" si="7"/>
        <v>409.76578953888475</v>
      </c>
    </row>
    <row r="198" spans="1:5" ht="16.5" x14ac:dyDescent="0.45">
      <c r="A198" t="s">
        <v>392</v>
      </c>
      <c r="B198" s="7">
        <f t="shared" ca="1" si="6"/>
        <v>0</v>
      </c>
      <c r="D198" t="s">
        <v>393</v>
      </c>
      <c r="E198" s="6">
        <f t="shared" ca="1" si="7"/>
        <v>183.45302926915917</v>
      </c>
    </row>
    <row r="199" spans="1:5" ht="16.5" x14ac:dyDescent="0.45">
      <c r="A199" t="s">
        <v>394</v>
      </c>
      <c r="B199" s="7">
        <f t="shared" ca="1" si="6"/>
        <v>1309.7643722465139</v>
      </c>
      <c r="D199" t="s">
        <v>395</v>
      </c>
      <c r="E199" s="6">
        <f t="shared" ca="1" si="7"/>
        <v>41.362568197651129</v>
      </c>
    </row>
    <row r="200" spans="1:5" ht="16.5" x14ac:dyDescent="0.45">
      <c r="A200" t="s">
        <v>396</v>
      </c>
      <c r="B200" s="7">
        <f t="shared" ca="1" si="6"/>
        <v>421.68635443174571</v>
      </c>
      <c r="D200" t="s">
        <v>397</v>
      </c>
      <c r="E200" s="6">
        <f t="shared" ca="1" si="7"/>
        <v>8.7194003022130033</v>
      </c>
    </row>
    <row r="201" spans="1:5" ht="16.5" x14ac:dyDescent="0.45">
      <c r="A201" t="s">
        <v>398</v>
      </c>
      <c r="B201" s="7">
        <f t="shared" ca="1" si="6"/>
        <v>19.3861769044615</v>
      </c>
      <c r="D201" t="s">
        <v>399</v>
      </c>
      <c r="E201" s="6">
        <f t="shared" ca="1" si="7"/>
        <v>48.036276400262842</v>
      </c>
    </row>
    <row r="202" spans="1:5" ht="16.5" x14ac:dyDescent="0.45">
      <c r="A202" t="s">
        <v>400</v>
      </c>
      <c r="B202" s="7">
        <f t="shared" ca="1" si="6"/>
        <v>17.633986836035195</v>
      </c>
      <c r="D202" t="s">
        <v>401</v>
      </c>
      <c r="E202" s="6">
        <f t="shared" ca="1" si="7"/>
        <v>45.296438801221932</v>
      </c>
    </row>
    <row r="203" spans="1:5" ht="16.5" x14ac:dyDescent="0.45">
      <c r="B203" s="7">
        <f ca="1">SUM(B193:B202)</f>
        <v>4940.5306221383962</v>
      </c>
      <c r="D203" t="s">
        <v>402</v>
      </c>
      <c r="E203" s="6">
        <f t="shared" ca="1" si="7"/>
        <v>103.3899910638297</v>
      </c>
    </row>
    <row r="204" spans="1:5" ht="16.5" x14ac:dyDescent="0.45">
      <c r="B204" s="7"/>
      <c r="D204" t="s">
        <v>403</v>
      </c>
      <c r="E204" s="6">
        <f t="shared" ca="1" si="7"/>
        <v>375.90697652097242</v>
      </c>
    </row>
    <row r="205" spans="1:5" ht="16.5" x14ac:dyDescent="0.45">
      <c r="B205" s="7"/>
      <c r="D205" t="s">
        <v>404</v>
      </c>
      <c r="E205" s="6">
        <f t="shared" ca="1" si="7"/>
        <v>168.52171335515993</v>
      </c>
    </row>
    <row r="206" spans="1:5" ht="16.5" x14ac:dyDescent="0.45">
      <c r="B206" s="7"/>
      <c r="D206" t="s">
        <v>405</v>
      </c>
      <c r="E206" s="6">
        <f t="shared" ca="1" si="7"/>
        <v>0</v>
      </c>
    </row>
    <row r="207" spans="1:5" ht="16.5" x14ac:dyDescent="0.45">
      <c r="B207" s="7"/>
      <c r="D207" t="s">
        <v>406</v>
      </c>
      <c r="E207" s="6">
        <f t="shared" ca="1" si="7"/>
        <v>403.08030034952429</v>
      </c>
    </row>
    <row r="208" spans="1:5" ht="16.5" x14ac:dyDescent="0.45">
      <c r="B208" s="7"/>
      <c r="D208" t="s">
        <v>407</v>
      </c>
      <c r="E208" s="6">
        <f t="shared" ca="1" si="7"/>
        <v>5.986676422296469</v>
      </c>
    </row>
    <row r="209" spans="1:5" x14ac:dyDescent="0.35">
      <c r="B209" s="7"/>
      <c r="E209" s="6">
        <f ca="1">SUM(E193:E208)</f>
        <v>2117.3702666307413</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5.997524042574117</v>
      </c>
      <c r="D226" s="121"/>
      <c r="E226" s="8"/>
      <c r="F226" s="8"/>
      <c r="G226" s="122"/>
      <c r="H226" s="48" t="s">
        <v>415</v>
      </c>
      <c r="I226" s="48" t="str">
        <f t="shared" ref="I226:I241" si="8">B41</f>
        <v>NTS MG 1</v>
      </c>
      <c r="J226" s="12">
        <f ca="1">IFERROR($E193/$H41*1000000," ")</f>
        <v>3.1025924785615264</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4.0885971082410606</v>
      </c>
      <c r="D227" s="121"/>
      <c r="E227" s="8"/>
      <c r="F227" s="8"/>
      <c r="G227" s="122"/>
      <c r="H227" s="48" t="s">
        <v>417</v>
      </c>
      <c r="I227" s="48" t="str">
        <f t="shared" si="8"/>
        <v>NTS MG 2</v>
      </c>
      <c r="J227" s="12">
        <f t="shared" ref="J227:J241" ca="1" si="11">IFERROR($E194/$H42*1000000," ")</f>
        <v>3.9472599923093923</v>
      </c>
      <c r="L227" s="21"/>
      <c r="M227" s="123"/>
      <c r="Q227" s="8"/>
      <c r="R227" s="124"/>
      <c r="S227" s="125"/>
      <c r="T227" s="125"/>
      <c r="U227" s="125"/>
    </row>
    <row r="228" spans="1:22" ht="16.5" x14ac:dyDescent="0.35">
      <c r="A228" s="48" t="s">
        <v>418</v>
      </c>
      <c r="B228" s="48" t="str">
        <f t="shared" si="9"/>
        <v>PR-ITABORAÍ</v>
      </c>
      <c r="C228" s="12">
        <f t="shared" ca="1" si="10"/>
        <v>4.7027333125831312</v>
      </c>
      <c r="D228" s="121"/>
      <c r="E228" s="8"/>
      <c r="F228" s="8"/>
      <c r="G228" s="122"/>
      <c r="H228" s="48" t="s">
        <v>419</v>
      </c>
      <c r="I228" s="48" t="str">
        <f t="shared" si="8"/>
        <v>NTS MG 3</v>
      </c>
      <c r="J228" s="12">
        <f t="shared" ca="1" si="11"/>
        <v>4.9658022320460375</v>
      </c>
      <c r="L228" s="21"/>
      <c r="M228" s="123"/>
      <c r="Q228" s="8"/>
      <c r="R228" s="124"/>
      <c r="S228" s="125"/>
      <c r="T228" s="125"/>
      <c r="U228" s="125"/>
    </row>
    <row r="229" spans="1:22" ht="16.5" x14ac:dyDescent="0.35">
      <c r="A229" s="48" t="s">
        <v>420</v>
      </c>
      <c r="B229" s="48" t="str">
        <f t="shared" si="9"/>
        <v>PR-GASPAJ (INTERCONEXÃO)</v>
      </c>
      <c r="C229" s="12">
        <f t="shared" ca="1" si="10"/>
        <v>7.1192641905558425</v>
      </c>
      <c r="D229" s="121"/>
      <c r="E229" s="8"/>
      <c r="F229" s="8"/>
      <c r="G229" s="122"/>
      <c r="H229" s="48" t="s">
        <v>421</v>
      </c>
      <c r="I229" s="48" t="str">
        <f t="shared" si="8"/>
        <v>NTS MG 4</v>
      </c>
      <c r="J229" s="12">
        <f t="shared" ca="1" si="11"/>
        <v>5.0377726644245229</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1.6914511212800261</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1.6029074061141597</v>
      </c>
      <c r="L231" s="21"/>
      <c r="M231" s="123"/>
      <c r="Q231" s="8"/>
      <c r="R231" s="124"/>
      <c r="S231" s="125"/>
      <c r="T231" s="125"/>
      <c r="U231" s="125"/>
    </row>
    <row r="232" spans="1:22" ht="16.5" x14ac:dyDescent="0.35">
      <c r="A232" s="48" t="s">
        <v>426</v>
      </c>
      <c r="B232" s="48" t="str">
        <f t="shared" si="9"/>
        <v>PR-TECAB</v>
      </c>
      <c r="C232" s="12">
        <f t="shared" ca="1" si="10"/>
        <v>6.4758003415117225</v>
      </c>
      <c r="D232" s="121"/>
      <c r="E232" s="8"/>
      <c r="F232" s="8"/>
      <c r="G232" s="122"/>
      <c r="H232" s="48" t="s">
        <v>427</v>
      </c>
      <c r="I232" s="48" t="str">
        <f t="shared" si="8"/>
        <v>NTS RJ 3</v>
      </c>
      <c r="J232" s="12">
        <f t="shared" ca="1" si="11"/>
        <v>1.7724321227952766</v>
      </c>
      <c r="L232" s="21"/>
      <c r="M232" s="123"/>
      <c r="Q232" s="8"/>
      <c r="R232" s="124"/>
      <c r="S232" s="125"/>
      <c r="T232" s="125"/>
      <c r="U232" s="125"/>
    </row>
    <row r="233" spans="1:22" ht="16.5" x14ac:dyDescent="0.35">
      <c r="A233" s="48" t="s">
        <v>428</v>
      </c>
      <c r="B233" s="48" t="str">
        <f t="shared" si="9"/>
        <v>PR-GUARAREMA (INTERCONEXÃO)</v>
      </c>
      <c r="C233" s="12">
        <f t="shared" ca="1" si="10"/>
        <v>5.1619195428901516</v>
      </c>
      <c r="D233" s="121"/>
      <c r="E233" s="8"/>
      <c r="F233" s="8"/>
      <c r="G233" s="122"/>
      <c r="H233" s="48" t="s">
        <v>429</v>
      </c>
      <c r="I233" s="48" t="str">
        <f t="shared" si="8"/>
        <v>NTS RJ 4</v>
      </c>
      <c r="J233" s="12">
        <f t="shared" ca="1" si="11"/>
        <v>1.9827000965508221</v>
      </c>
      <c r="L233" s="21"/>
      <c r="M233" s="123"/>
      <c r="Q233" s="8"/>
      <c r="R233" s="124"/>
      <c r="S233" s="125"/>
      <c r="T233" s="125"/>
      <c r="U233" s="125"/>
    </row>
    <row r="234" spans="1:22" ht="16.5" x14ac:dyDescent="0.35">
      <c r="A234" s="48" t="s">
        <v>430</v>
      </c>
      <c r="B234" s="48" t="str">
        <f t="shared" si="9"/>
        <v>PR-REPLAN (INTERCONEXÃO)</v>
      </c>
      <c r="C234" s="12">
        <f t="shared" ca="1" si="10"/>
        <v>7.1192641905558407</v>
      </c>
      <c r="D234" s="116"/>
      <c r="E234" s="8"/>
      <c r="F234" s="8"/>
      <c r="G234" s="116"/>
      <c r="H234" s="48" t="s">
        <v>431</v>
      </c>
      <c r="I234" s="48" t="str">
        <f t="shared" si="8"/>
        <v>NTS RJ 5</v>
      </c>
      <c r="J234" s="12">
        <f t="shared" ca="1" si="11"/>
        <v>1.657947007582723</v>
      </c>
      <c r="L234" s="21"/>
      <c r="Q234" s="8"/>
      <c r="R234" s="124"/>
      <c r="S234" s="125"/>
      <c r="T234" s="125"/>
      <c r="U234" s="125"/>
    </row>
    <row r="235" spans="1:22" ht="16.5" x14ac:dyDescent="0.35">
      <c r="A235" s="48" t="s">
        <v>432</v>
      </c>
      <c r="B235" s="48" t="str">
        <f t="shared" si="9"/>
        <v>PR-TECAB (INTERCONEXÃO)</v>
      </c>
      <c r="C235" s="12">
        <f t="shared" ca="1" si="10"/>
        <v>6.4758003415117225</v>
      </c>
      <c r="D235" s="116"/>
      <c r="E235" s="8"/>
      <c r="F235" s="8"/>
      <c r="G235" s="116"/>
      <c r="H235" s="48" t="s">
        <v>433</v>
      </c>
      <c r="I235" s="48" t="str">
        <f t="shared" si="8"/>
        <v>NTS SP 1</v>
      </c>
      <c r="J235" s="12">
        <f t="shared" ca="1" si="11"/>
        <v>2.6894736479328469</v>
      </c>
      <c r="L235" s="21"/>
      <c r="Q235" s="8"/>
      <c r="R235" s="124"/>
      <c r="S235" s="125"/>
      <c r="T235" s="125"/>
      <c r="U235" s="125"/>
    </row>
    <row r="236" spans="1:22" ht="16.5" x14ac:dyDescent="0.35">
      <c r="D236" s="116"/>
      <c r="E236" s="8"/>
      <c r="F236" s="8"/>
      <c r="G236" s="116"/>
      <c r="H236" s="48" t="s">
        <v>434</v>
      </c>
      <c r="I236" s="48" t="str">
        <f t="shared" si="8"/>
        <v>NTS SP 2</v>
      </c>
      <c r="J236" s="12">
        <f t="shared" ca="1" si="11"/>
        <v>2.5550689626324989</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3.464571215731763</v>
      </c>
      <c r="L237" s="21"/>
      <c r="Q237" s="8"/>
      <c r="R237" s="124"/>
      <c r="S237" s="125"/>
      <c r="T237" s="125"/>
      <c r="U237" s="125"/>
    </row>
    <row r="238" spans="1:22" ht="16.5" x14ac:dyDescent="0.35">
      <c r="D238" s="116"/>
      <c r="E238" s="8"/>
      <c r="F238" s="8"/>
      <c r="G238" s="116"/>
      <c r="H238" s="48" t="s">
        <v>436</v>
      </c>
      <c r="I238" s="48" t="str">
        <f t="shared" si="8"/>
        <v>NTS SP 4</v>
      </c>
      <c r="J238" s="12">
        <f t="shared" ca="1" si="11"/>
        <v>3.7724419821085573</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4.2226446942495368</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2.1985114075736898</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1.1995048085148232</v>
      </c>
      <c r="D245" s="12">
        <f t="shared" ref="D245:D254" si="13">$F$7*$C$11</f>
        <v>4.1869983318878656</v>
      </c>
      <c r="E245" s="12">
        <f ca="1">IFERROR(C245+D245," ")</f>
        <v>5.3865031404026888</v>
      </c>
      <c r="G245" s="123"/>
      <c r="H245" s="48" t="s">
        <v>415</v>
      </c>
      <c r="I245" s="48" t="str">
        <f t="shared" ref="I245:I260" si="14">I226</f>
        <v>NTS MG 1</v>
      </c>
      <c r="J245" s="12">
        <f ca="1">IF(H41=0," ",J226*(1-$C$11))</f>
        <v>0.62051849571230511</v>
      </c>
      <c r="K245" s="12">
        <f t="shared" ref="K245:K260" si="15">$F$10*$C$11</f>
        <v>2.1306583574262881</v>
      </c>
      <c r="L245" s="12">
        <f ca="1">IFERROR(J245+K245," ")</f>
        <v>2.7511768531385932</v>
      </c>
    </row>
    <row r="246" spans="1:22" ht="16.5" x14ac:dyDescent="0.35">
      <c r="A246" s="48" t="s">
        <v>416</v>
      </c>
      <c r="B246" s="48" t="str">
        <f t="shared" si="12"/>
        <v>PR-GNLBGB</v>
      </c>
      <c r="C246" s="12">
        <f t="shared" ref="C246:C254" ca="1" si="16">IF(H25=0," ",C227*(1-$C$11))</f>
        <v>0.81771942164821199</v>
      </c>
      <c r="D246" s="12">
        <f t="shared" si="13"/>
        <v>4.1869983318878656</v>
      </c>
      <c r="E246" s="12">
        <f t="shared" ref="E246:E254" ca="1" si="17">IFERROR(C246+D246," ")</f>
        <v>5.0047177535360774</v>
      </c>
      <c r="G246" s="123"/>
      <c r="H246" s="48" t="s">
        <v>417</v>
      </c>
      <c r="I246" s="48" t="str">
        <f t="shared" si="14"/>
        <v>NTS MG 2</v>
      </c>
      <c r="J246" s="12">
        <f t="shared" ref="J246:J247" ca="1" si="18">IF(H42=0," ",J227*(1-$C$11))</f>
        <v>0.7894519984618783</v>
      </c>
      <c r="K246" s="12">
        <f t="shared" si="15"/>
        <v>2.1306583574262881</v>
      </c>
      <c r="L246" s="12">
        <f t="shared" ref="L246:L260" ca="1" si="19">IFERROR(J246+K246," ")</f>
        <v>2.9201103558881663</v>
      </c>
    </row>
    <row r="247" spans="1:22" ht="16.5" x14ac:dyDescent="0.35">
      <c r="A247" s="48" t="s">
        <v>418</v>
      </c>
      <c r="B247" s="48" t="str">
        <f t="shared" si="12"/>
        <v>PR-ITABORAÍ</v>
      </c>
      <c r="C247" s="12">
        <f t="shared" ca="1" si="16"/>
        <v>0.940546662516626</v>
      </c>
      <c r="D247" s="12">
        <f t="shared" si="13"/>
        <v>4.1869983318878656</v>
      </c>
      <c r="E247" s="12">
        <f t="shared" ca="1" si="17"/>
        <v>5.1275449944044915</v>
      </c>
      <c r="G247" s="123"/>
      <c r="H247" s="48" t="s">
        <v>419</v>
      </c>
      <c r="I247" s="48" t="str">
        <f t="shared" si="14"/>
        <v>NTS MG 3</v>
      </c>
      <c r="J247" s="12">
        <f t="shared" ca="1" si="18"/>
        <v>0.99316044640920731</v>
      </c>
      <c r="K247" s="12">
        <f t="shared" si="15"/>
        <v>2.1306583574262881</v>
      </c>
      <c r="L247" s="12">
        <f t="shared" ca="1" si="19"/>
        <v>3.1238188038354955</v>
      </c>
    </row>
    <row r="248" spans="1:22" ht="16.5" x14ac:dyDescent="0.35">
      <c r="A248" s="48" t="s">
        <v>420</v>
      </c>
      <c r="B248" s="48" t="str">
        <f t="shared" si="12"/>
        <v>PR-GASPAJ (INTERCONEXÃO)</v>
      </c>
      <c r="C248" s="12">
        <f t="shared" ca="1" si="16"/>
        <v>1.4238528381111681</v>
      </c>
      <c r="D248" s="12">
        <f t="shared" si="13"/>
        <v>4.1869983318878656</v>
      </c>
      <c r="E248" s="12">
        <f t="shared" ca="1" si="17"/>
        <v>5.6108511699990338</v>
      </c>
      <c r="G248" s="123"/>
      <c r="H248" s="48" t="s">
        <v>421</v>
      </c>
      <c r="I248" s="48" t="str">
        <f t="shared" si="14"/>
        <v>NTS MG 4</v>
      </c>
      <c r="J248" s="12">
        <f ca="1">IF(H44=0," ",J229*(1-$C$11))</f>
        <v>1.0075545328849043</v>
      </c>
      <c r="K248" s="12">
        <f t="shared" si="15"/>
        <v>2.1306583574262881</v>
      </c>
      <c r="L248" s="12">
        <f t="shared" ca="1" si="19"/>
        <v>3.1382128903111921</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0.33829022425600513</v>
      </c>
      <c r="K249" s="12">
        <f t="shared" si="15"/>
        <v>2.1306583574262881</v>
      </c>
      <c r="L249" s="12">
        <f t="shared" ca="1" si="19"/>
        <v>2.4689485816822931</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0.32058148122283187</v>
      </c>
      <c r="K250" s="12">
        <f t="shared" si="15"/>
        <v>2.1306583574262881</v>
      </c>
      <c r="L250" s="12">
        <f t="shared" ca="1" si="19"/>
        <v>2.4512398386491201</v>
      </c>
    </row>
    <row r="251" spans="1:22" ht="16.5" x14ac:dyDescent="0.35">
      <c r="A251" s="48" t="s">
        <v>426</v>
      </c>
      <c r="B251" s="48" t="str">
        <f t="shared" si="12"/>
        <v>PR-TECAB</v>
      </c>
      <c r="C251" s="12">
        <f t="shared" ca="1" si="16"/>
        <v>1.2951600683023443</v>
      </c>
      <c r="D251" s="12">
        <f t="shared" si="13"/>
        <v>4.1869983318878656</v>
      </c>
      <c r="E251" s="12">
        <f t="shared" ca="1" si="17"/>
        <v>5.4821584001902099</v>
      </c>
      <c r="G251" s="123"/>
      <c r="H251" s="48" t="s">
        <v>427</v>
      </c>
      <c r="I251" s="48" t="str">
        <f t="shared" si="14"/>
        <v>NTS RJ 3</v>
      </c>
      <c r="J251" s="12">
        <f t="shared" ca="1" si="20"/>
        <v>0.35448642455905527</v>
      </c>
      <c r="K251" s="12">
        <f t="shared" si="15"/>
        <v>2.1306583574262881</v>
      </c>
      <c r="L251" s="12">
        <f t="shared" ca="1" si="19"/>
        <v>2.4851447819853432</v>
      </c>
    </row>
    <row r="252" spans="1:22" ht="16.5" x14ac:dyDescent="0.35">
      <c r="A252" s="48" t="s">
        <v>428</v>
      </c>
      <c r="B252" s="48" t="str">
        <f t="shared" si="12"/>
        <v>PR-GUARAREMA (INTERCONEXÃO)</v>
      </c>
      <c r="C252" s="12">
        <f t="shared" ca="1" si="16"/>
        <v>1.0323839085780302</v>
      </c>
      <c r="D252" s="12">
        <f t="shared" si="13"/>
        <v>4.1869983318878656</v>
      </c>
      <c r="E252" s="12">
        <f t="shared" ca="1" si="17"/>
        <v>5.2193822404658956</v>
      </c>
      <c r="G252" s="123"/>
      <c r="H252" s="48" t="s">
        <v>429</v>
      </c>
      <c r="I252" s="48" t="str">
        <f t="shared" si="14"/>
        <v>NTS RJ 4</v>
      </c>
      <c r="J252" s="12">
        <f t="shared" ca="1" si="20"/>
        <v>0.39654001931016436</v>
      </c>
      <c r="K252" s="12">
        <f t="shared" si="15"/>
        <v>2.1306583574262881</v>
      </c>
      <c r="L252" s="12">
        <f t="shared" ca="1" si="19"/>
        <v>2.5271983767364525</v>
      </c>
    </row>
    <row r="253" spans="1:22" ht="16.5" x14ac:dyDescent="0.35">
      <c r="A253" s="48" t="s">
        <v>430</v>
      </c>
      <c r="B253" s="48" t="str">
        <f t="shared" si="12"/>
        <v>PR-REPLAN (INTERCONEXÃO)</v>
      </c>
      <c r="C253" s="12">
        <f t="shared" ca="1" si="16"/>
        <v>1.4238528381111679</v>
      </c>
      <c r="D253" s="12">
        <f t="shared" si="13"/>
        <v>4.1869983318878656</v>
      </c>
      <c r="E253" s="12">
        <f t="shared" ca="1" si="17"/>
        <v>5.6108511699990338</v>
      </c>
      <c r="G253" s="123"/>
      <c r="H253" s="48" t="s">
        <v>431</v>
      </c>
      <c r="I253" s="48" t="str">
        <f t="shared" si="14"/>
        <v>NTS RJ 5</v>
      </c>
      <c r="J253" s="12">
        <f t="shared" ca="1" si="20"/>
        <v>0.33158940151654454</v>
      </c>
      <c r="K253" s="12">
        <f t="shared" si="15"/>
        <v>2.1306583574262881</v>
      </c>
      <c r="L253" s="12">
        <f t="shared" ca="1" si="19"/>
        <v>2.4622477589428327</v>
      </c>
    </row>
    <row r="254" spans="1:22" ht="16.5" x14ac:dyDescent="0.35">
      <c r="A254" s="48" t="s">
        <v>432</v>
      </c>
      <c r="B254" s="48" t="str">
        <f t="shared" si="12"/>
        <v>PR-TECAB (INTERCONEXÃO)</v>
      </c>
      <c r="C254" s="12">
        <f t="shared" ca="1" si="16"/>
        <v>1.2951600683023443</v>
      </c>
      <c r="D254" s="12">
        <f t="shared" si="13"/>
        <v>4.1869983318878656</v>
      </c>
      <c r="E254" s="12">
        <f t="shared" ca="1" si="17"/>
        <v>5.4821584001902099</v>
      </c>
      <c r="G254" s="123"/>
      <c r="H254" s="48" t="s">
        <v>433</v>
      </c>
      <c r="I254" s="48" t="str">
        <f t="shared" si="14"/>
        <v>NTS SP 1</v>
      </c>
      <c r="J254" s="12">
        <f t="shared" ca="1" si="20"/>
        <v>0.53789472958656925</v>
      </c>
      <c r="K254" s="12">
        <f t="shared" si="15"/>
        <v>2.1306583574262881</v>
      </c>
      <c r="L254" s="12">
        <f t="shared" ca="1" si="19"/>
        <v>2.6685530870128575</v>
      </c>
    </row>
    <row r="255" spans="1:22" ht="16.5" x14ac:dyDescent="0.35">
      <c r="H255" s="48" t="s">
        <v>434</v>
      </c>
      <c r="I255" s="48" t="str">
        <f t="shared" si="14"/>
        <v>NTS SP 2</v>
      </c>
      <c r="J255" s="12">
        <f t="shared" ca="1" si="20"/>
        <v>0.5110137925264997</v>
      </c>
      <c r="K255" s="12">
        <f t="shared" si="15"/>
        <v>2.1306583574262881</v>
      </c>
      <c r="L255" s="12">
        <f t="shared" ca="1" si="19"/>
        <v>2.6416721499527878</v>
      </c>
    </row>
    <row r="256" spans="1:22" ht="16.5" x14ac:dyDescent="0.35">
      <c r="H256" s="48" t="s">
        <v>435</v>
      </c>
      <c r="I256" s="48" t="str">
        <f t="shared" si="14"/>
        <v>NTS SP 3</v>
      </c>
      <c r="J256" s="12">
        <f t="shared" ca="1" si="20"/>
        <v>0.69291424314635242</v>
      </c>
      <c r="K256" s="12">
        <f t="shared" si="15"/>
        <v>2.1306583574262881</v>
      </c>
      <c r="L256" s="12">
        <f t="shared" ca="1" si="19"/>
        <v>2.8235726005726405</v>
      </c>
    </row>
    <row r="257" spans="1:13" ht="16.5" x14ac:dyDescent="0.35">
      <c r="H257" s="48" t="s">
        <v>436</v>
      </c>
      <c r="I257" s="48" t="str">
        <f t="shared" si="14"/>
        <v>NTS SP 4</v>
      </c>
      <c r="J257" s="12">
        <f t="shared" ca="1" si="20"/>
        <v>0.75448839642171128</v>
      </c>
      <c r="K257" s="12">
        <f t="shared" si="15"/>
        <v>2.1306583574262881</v>
      </c>
      <c r="L257" s="12">
        <f t="shared" ca="1" si="19"/>
        <v>2.8851467538479993</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0.84452893884990721</v>
      </c>
      <c r="K259" s="12">
        <f t="shared" si="15"/>
        <v>2.1306583574262881</v>
      </c>
      <c r="L259" s="12">
        <f t="shared" ca="1" si="19"/>
        <v>2.9751872962761952</v>
      </c>
    </row>
    <row r="260" spans="1:13" ht="16.5" x14ac:dyDescent="0.35">
      <c r="H260" s="48" t="s">
        <v>439</v>
      </c>
      <c r="I260" s="48" t="str">
        <f t="shared" si="14"/>
        <v>PE-TECAB (INTERCONEXÃO)</v>
      </c>
      <c r="J260" s="12">
        <f t="shared" ca="1" si="20"/>
        <v>0.43970228151473784</v>
      </c>
      <c r="K260" s="12">
        <f t="shared" si="15"/>
        <v>2.1306583574262881</v>
      </c>
      <c r="L260" s="12">
        <f t="shared" ca="1" si="19"/>
        <v>2.5703606389410258</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(Legados)'!F11</f>
        <v>200</v>
      </c>
      <c r="D267" s="265">
        <f ca="1">E253</f>
        <v>5.6108511699990338</v>
      </c>
      <c r="E267" s="268">
        <f ca="1">D267*(1-$C$262)</f>
        <v>0.56108511699990327</v>
      </c>
      <c r="F267" s="266">
        <f ca="1">C267*E267*'Premissas (Legados)'!$C$44*'Premissas (Legados)'!$F$20*1000</f>
        <v>1527867.9152053422</v>
      </c>
      <c r="L267" s="128"/>
    </row>
    <row r="268" spans="1:13" ht="18.5" x14ac:dyDescent="0.45">
      <c r="B268" s="247" t="s">
        <v>451</v>
      </c>
      <c r="C268" s="271">
        <f>'Oferta (Legados)'!F10</f>
        <v>6000</v>
      </c>
      <c r="D268" s="265">
        <f ca="1">E252</f>
        <v>5.2193822404658956</v>
      </c>
      <c r="E268" s="268">
        <f t="shared" ref="E268:E270" ca="1" si="21">D268*(1-$C$262)</f>
        <v>0.52193822404658941</v>
      </c>
      <c r="F268" s="266">
        <f ca="1">C268*E268*'Premissas (Legados)'!$C$44*'Premissas (Legados)'!$F$20*1000</f>
        <v>42638058.402118273</v>
      </c>
      <c r="G268" s="129"/>
      <c r="K268" s="129"/>
      <c r="L268" s="128"/>
    </row>
    <row r="269" spans="1:13" ht="18.5" x14ac:dyDescent="0.45">
      <c r="B269" s="248" t="s">
        <v>452</v>
      </c>
      <c r="C269" s="271">
        <f>'Oferta (Legados)'!F12</f>
        <v>200</v>
      </c>
      <c r="D269" s="265">
        <f ca="1">E254</f>
        <v>5.4821584001902099</v>
      </c>
      <c r="E269" s="268">
        <f t="shared" ca="1" si="21"/>
        <v>0.54821584001902091</v>
      </c>
      <c r="F269" s="266">
        <f ca="1">C269*E269*'Premissas (Legados)'!$C$44*'Premissas (Legados)'!$F$20*1000</f>
        <v>1492824.1138368163</v>
      </c>
      <c r="K269" s="129"/>
      <c r="L269" s="128"/>
    </row>
    <row r="270" spans="1:13" ht="18.5" x14ac:dyDescent="0.45">
      <c r="B270" s="248" t="s">
        <v>243</v>
      </c>
      <c r="C270" s="271">
        <f>'Oferta (Legados)'!F6</f>
        <v>335</v>
      </c>
      <c r="D270" s="265">
        <f ca="1">E248</f>
        <v>5.6108511699990338</v>
      </c>
      <c r="E270" s="268">
        <f t="shared" ca="1" si="21"/>
        <v>0.56108511699990327</v>
      </c>
      <c r="F270" s="266">
        <f ca="1">C270*E270*'Premissas (Legados)'!$C$44*'Premissas (Legados)'!$F$20*1000</f>
        <v>2559178.7579689487</v>
      </c>
      <c r="K270" s="129"/>
      <c r="L270" s="128"/>
    </row>
    <row r="271" spans="1:13" ht="18.5" x14ac:dyDescent="0.45">
      <c r="B271" s="246" t="s">
        <v>453</v>
      </c>
      <c r="C271" s="271">
        <f>'Demanda (Legados)'!F17</f>
        <v>7011</v>
      </c>
      <c r="D271" s="265">
        <f ca="1">L259</f>
        <v>2.9751872962761952</v>
      </c>
      <c r="E271" s="268">
        <f ca="1">D271*(1-$C$262)</f>
        <v>0.29751872962761944</v>
      </c>
      <c r="F271" s="266">
        <f ca="1">C271*E271*'Premissas (Legados)'!$C$44*'Premissas (Legados)'!$F$20*1000</f>
        <v>28400196.460105684</v>
      </c>
      <c r="K271" s="129"/>
      <c r="L271" s="128"/>
    </row>
    <row r="272" spans="1:13" ht="18.5" x14ac:dyDescent="0.45">
      <c r="B272" s="248" t="s">
        <v>454</v>
      </c>
      <c r="C272" s="271">
        <f>'Demanda (Legados)'!F18</f>
        <v>200</v>
      </c>
      <c r="D272" s="265">
        <f ca="1">L260</f>
        <v>2.5703606389410258</v>
      </c>
      <c r="E272" s="268">
        <f ca="1">D272*(1-$C$262)</f>
        <v>0.25703606389410255</v>
      </c>
      <c r="F272" s="266">
        <f ca="1">C272*E272*'Premissas (Legados)'!$C$44*'Premissas (Legados)'!$F$20*1000</f>
        <v>699924.38433282718</v>
      </c>
      <c r="K272" s="129"/>
      <c r="L272" s="128"/>
    </row>
    <row r="273" spans="2:13" ht="19" thickBot="1" x14ac:dyDescent="0.5">
      <c r="B273" s="248"/>
      <c r="C273" s="248"/>
      <c r="D273" s="248"/>
      <c r="E273" s="248"/>
      <c r="F273" s="267">
        <f ca="1">SUM(F267:F272)</f>
        <v>77318050.033567891</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909-5FE2-482B-ABC9-F2B6B608D554}">
  <sheetPr codeName="Planilha12">
    <tabColor theme="1" tint="0.499984740745262"/>
  </sheetPr>
  <dimension ref="A2:AA303"/>
  <sheetViews>
    <sheetView showGridLines="0" topLeftCell="A166" zoomScale="70" zoomScaleNormal="70" workbookViewId="0">
      <selection activeCell="C38" sqref="C38: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109</v>
      </c>
    </row>
    <row r="3" spans="1:9" ht="15" thickBot="1" x14ac:dyDescent="0.4">
      <c r="G3" s="205">
        <v>2025</v>
      </c>
    </row>
    <row r="4" spans="1:9" ht="17" thickBot="1" x14ac:dyDescent="0.4">
      <c r="A4" s="220"/>
      <c r="B4" s="221" t="s">
        <v>110</v>
      </c>
      <c r="C4" s="222" t="s">
        <v>270</v>
      </c>
      <c r="D4" s="223">
        <f>'Premissas (Legados)'!D38/1000</f>
        <v>7057.9008887691371</v>
      </c>
      <c r="E4" s="224" t="s">
        <v>111</v>
      </c>
      <c r="F4" s="220"/>
      <c r="G4" s="220"/>
      <c r="H4" s="235"/>
      <c r="I4" s="235"/>
    </row>
    <row r="5" spans="1:9" ht="15" thickBot="1" x14ac:dyDescent="0.4">
      <c r="A5" s="211"/>
      <c r="B5" s="255" t="s">
        <v>460</v>
      </c>
      <c r="C5" s="208"/>
      <c r="D5" s="209">
        <f ca="1">D6+D9</f>
        <v>6980.5828387355687</v>
      </c>
      <c r="E5" s="224" t="s">
        <v>111</v>
      </c>
      <c r="F5" s="273" t="s">
        <v>465</v>
      </c>
      <c r="G5" s="211"/>
      <c r="H5" s="235"/>
      <c r="I5" s="235"/>
    </row>
    <row r="6" spans="1:9" ht="16.5" x14ac:dyDescent="0.35">
      <c r="A6" s="206">
        <f>HLOOKUP($G$3,'Premissas (Legados)'!$B$5:$F$13,9,FALSE)</f>
        <v>0.7</v>
      </c>
      <c r="B6" s="207" t="s">
        <v>112</v>
      </c>
      <c r="C6" s="208" t="s">
        <v>271</v>
      </c>
      <c r="D6" s="209">
        <f ca="1">($A$6*$D$4)-(SUM($F$268:$F$271)/10^6)</f>
        <v>4892.3126929492655</v>
      </c>
      <c r="E6" s="210" t="s">
        <v>113</v>
      </c>
      <c r="F6" s="273" t="s">
        <v>458</v>
      </c>
      <c r="G6" s="211"/>
      <c r="H6" s="235"/>
    </row>
    <row r="7" spans="1:9" ht="29" x14ac:dyDescent="0.35">
      <c r="A7" s="92"/>
      <c r="B7" s="212" t="s">
        <v>114</v>
      </c>
      <c r="C7" s="213" t="s">
        <v>272</v>
      </c>
      <c r="D7" s="214">
        <f>$D$35*'Premissas (Legados)'!$F$20</f>
        <v>22847905</v>
      </c>
      <c r="E7" s="212" t="s">
        <v>115</v>
      </c>
      <c r="F7" s="230">
        <f>H35</f>
        <v>852276642.08499491</v>
      </c>
      <c r="G7" s="82" t="s">
        <v>116</v>
      </c>
    </row>
    <row r="8" spans="1:9" ht="17" thickBot="1" x14ac:dyDescent="0.4">
      <c r="A8" s="215"/>
      <c r="B8" s="216" t="s">
        <v>117</v>
      </c>
      <c r="C8" s="217" t="s">
        <v>273</v>
      </c>
      <c r="D8" s="218">
        <f ca="1">$D$6/$D$7*1000</f>
        <v>0.21412522036262255</v>
      </c>
      <c r="E8" s="219" t="s">
        <v>118</v>
      </c>
      <c r="F8" s="232">
        <f ca="1">$D$6/$F$7*1000000</f>
        <v>5.740287192408319</v>
      </c>
      <c r="G8" s="228" t="s">
        <v>15</v>
      </c>
      <c r="I8" s="235"/>
    </row>
    <row r="9" spans="1:9" ht="16.5" x14ac:dyDescent="0.35">
      <c r="A9" s="206">
        <f>1-A6</f>
        <v>0.30000000000000004</v>
      </c>
      <c r="B9" s="207" t="s">
        <v>119</v>
      </c>
      <c r="C9" s="208" t="s">
        <v>274</v>
      </c>
      <c r="D9" s="209">
        <f ca="1">($A$9*$D$4)-(SUM($F$272:$F$273)/10^6)</f>
        <v>2088.2701457863027</v>
      </c>
      <c r="E9" s="210" t="s">
        <v>113</v>
      </c>
      <c r="F9" s="273" t="s">
        <v>459</v>
      </c>
      <c r="G9" s="229"/>
    </row>
    <row r="10" spans="1:9" ht="29" x14ac:dyDescent="0.35">
      <c r="B10" s="212" t="s">
        <v>120</v>
      </c>
      <c r="C10" s="213" t="s">
        <v>275</v>
      </c>
      <c r="D10" s="214">
        <f>$D$58*'Premissas (Legados)'!$F$20</f>
        <v>18680700</v>
      </c>
      <c r="E10" s="212" t="s">
        <v>115</v>
      </c>
      <c r="F10" s="230">
        <f>H58</f>
        <v>696830815.24529994</v>
      </c>
      <c r="G10" s="82" t="s">
        <v>116</v>
      </c>
    </row>
    <row r="11" spans="1:9" ht="17" thickBot="1" x14ac:dyDescent="0.4">
      <c r="A11" s="225"/>
      <c r="B11" s="216" t="s">
        <v>121</v>
      </c>
      <c r="C11" s="217" t="s">
        <v>276</v>
      </c>
      <c r="D11" s="218">
        <f ca="1">$D$9/$D$10*1000</f>
        <v>0.11178757465118025</v>
      </c>
      <c r="E11" s="219" t="s">
        <v>118</v>
      </c>
      <c r="F11" s="232">
        <f ca="1">$D$9/$F$10*1000000</f>
        <v>2.9968108471942148</v>
      </c>
      <c r="G11" s="228" t="s">
        <v>15</v>
      </c>
    </row>
    <row r="12" spans="1:9" ht="15" thickBot="1" x14ac:dyDescent="0.4">
      <c r="A12" s="220"/>
      <c r="B12" s="220" t="s">
        <v>122</v>
      </c>
      <c r="C12" s="226">
        <f>HLOOKUP($G$3,'Premissas (Legados)'!$B$5:$F$8,4,FALSE)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(Legados)'!C3</f>
        <v>20000</v>
      </c>
      <c r="D25" s="290">
        <f>'Oferta (Legados)'!F3</f>
        <v>14178</v>
      </c>
      <c r="F25" s="104"/>
      <c r="G25" s="43">
        <f>IFERROR($C25*$H$20*'Premissas (Legados)'!$F$20*1000," ")</f>
        <v>272305906.69999999</v>
      </c>
      <c r="H25" s="43">
        <f>IFERROR($D25*$H$20*'Premissas (Legados)'!$F$20*1000," ")</f>
        <v>193037657.25962999</v>
      </c>
      <c r="I25" s="93"/>
    </row>
    <row r="26" spans="1:9" x14ac:dyDescent="0.35">
      <c r="A26" s="2" t="s">
        <v>133</v>
      </c>
      <c r="B26" s="44" t="s">
        <v>26</v>
      </c>
      <c r="C26" s="290">
        <f>'Oferta (Legados)'!C4</f>
        <v>20000</v>
      </c>
      <c r="D26" s="290">
        <f>'Oferta (Legados)'!F4</f>
        <v>20000</v>
      </c>
      <c r="F26" s="104"/>
      <c r="G26" s="43">
        <f>IFERROR($C26*$H$20*'Premissas (Legados)'!$F$20*1000," ")</f>
        <v>272305906.69999999</v>
      </c>
      <c r="H26" s="43">
        <f>IFERROR($D26*$H$20*'Premissas (Legados)'!$F$20*1000," ")</f>
        <v>272305906.69999999</v>
      </c>
      <c r="I26" s="93"/>
    </row>
    <row r="27" spans="1:9" x14ac:dyDescent="0.35">
      <c r="A27" s="2" t="s">
        <v>134</v>
      </c>
      <c r="B27" s="44" t="s">
        <v>488</v>
      </c>
      <c r="C27" s="290">
        <f>'Oferta (Legados)'!C5</f>
        <v>18200</v>
      </c>
      <c r="D27" s="290">
        <f>'Oferta (Legados)'!F5</f>
        <v>13564</v>
      </c>
      <c r="E27" s="46"/>
      <c r="F27" s="104"/>
      <c r="G27" s="43">
        <f>IFERROR($C27*$H$20*'Premissas (Legados)'!$F$20*1000," ")</f>
        <v>247798375.097</v>
      </c>
      <c r="H27" s="43">
        <f>IFERROR($D27*$H$20*'Premissas (Legados)'!$F$20*1000," ")</f>
        <v>184677865.92394</v>
      </c>
      <c r="I27" s="93"/>
    </row>
    <row r="28" spans="1:9" x14ac:dyDescent="0.35">
      <c r="A28" s="2" t="s">
        <v>135</v>
      </c>
      <c r="B28" s="44" t="s">
        <v>463</v>
      </c>
      <c r="C28" s="293"/>
      <c r="D28" s="293"/>
      <c r="E28" s="274" t="s">
        <v>461</v>
      </c>
      <c r="F28" s="104"/>
      <c r="G28" s="43">
        <f>IFERROR($C28*$H$20*'Premissas (Legados)'!$F$20*1000," ")</f>
        <v>0</v>
      </c>
      <c r="H28" s="43">
        <f>IFERROR($D28*$H$20*'Premissas (Legados)'!$F$20*1000," ")</f>
        <v>0</v>
      </c>
      <c r="I28" s="93"/>
    </row>
    <row r="29" spans="1:9" x14ac:dyDescent="0.35">
      <c r="A29" s="2" t="s">
        <v>136</v>
      </c>
      <c r="B29" s="44" t="s">
        <v>27</v>
      </c>
      <c r="C29" s="290">
        <f>'Oferta (Legados)'!C7</f>
        <v>5000</v>
      </c>
      <c r="D29" s="290">
        <f>'Oferta (Legados)'!F7</f>
        <v>0</v>
      </c>
      <c r="E29" s="46"/>
      <c r="F29" s="104"/>
      <c r="G29" s="43">
        <f>IFERROR($C29*$H$20*'Premissas (Legados)'!$F$20*1000," ")</f>
        <v>68076476.674999997</v>
      </c>
      <c r="H29" s="43">
        <f>IFERROR($D29*$H$20*'Premissas (Legados)'!$F$20*1000," ")</f>
        <v>0</v>
      </c>
      <c r="I29" s="93"/>
    </row>
    <row r="30" spans="1:9" x14ac:dyDescent="0.35">
      <c r="A30" s="2" t="s">
        <v>239</v>
      </c>
      <c r="B30" s="44" t="s">
        <v>29</v>
      </c>
      <c r="C30" s="290">
        <f>'Oferta (Legados)'!C8</f>
        <v>2200</v>
      </c>
      <c r="D30" s="290">
        <f>'Oferta (Legados)'!F8</f>
        <v>0</v>
      </c>
      <c r="E30" s="46"/>
      <c r="F30" s="104"/>
      <c r="G30" s="43">
        <f>IFERROR($C30*$H$20*'Premissas (Legados)'!$F$20*1000," ")</f>
        <v>29953649.736999996</v>
      </c>
      <c r="H30" s="43">
        <f>IFERROR($D30*$H$20*'Premissas (Legados)'!$F$20*1000," ")</f>
        <v>0</v>
      </c>
      <c r="I30" s="93"/>
    </row>
    <row r="31" spans="1:9" x14ac:dyDescent="0.35">
      <c r="A31" s="2" t="s">
        <v>137</v>
      </c>
      <c r="B31" s="44" t="s">
        <v>24</v>
      </c>
      <c r="C31" s="290">
        <f>'Oferta (Legados)'!C9</f>
        <v>25160</v>
      </c>
      <c r="D31" s="290">
        <f>'Oferta (Legados)'!F9</f>
        <v>14855</v>
      </c>
      <c r="E31" s="46"/>
      <c r="F31" s="104"/>
      <c r="G31" s="43">
        <f>IFERROR($C31*$H$20*'Premissas (Legados)'!$F$20*1000," ")</f>
        <v>342560830.6286</v>
      </c>
      <c r="H31" s="43">
        <f>IFERROR($D31*$H$20*'Premissas (Legados)'!$F$20*1000," ")</f>
        <v>202255212.20142499</v>
      </c>
      <c r="I31" s="93"/>
    </row>
    <row r="32" spans="1:9" x14ac:dyDescent="0.35">
      <c r="A32" s="2" t="s">
        <v>240</v>
      </c>
      <c r="B32" s="44" t="s">
        <v>264</v>
      </c>
      <c r="C32" s="249"/>
      <c r="D32" s="249"/>
      <c r="E32" s="274" t="s">
        <v>461</v>
      </c>
      <c r="F32" s="104"/>
      <c r="G32" s="43">
        <f>IFERROR($C32*$H$20*'Premissas (Legados)'!$F$20*1000," ")</f>
        <v>0</v>
      </c>
      <c r="H32" s="43">
        <f>IFERROR($D32*$H$20*'Premissas (Legados)'!$F$20*1000," ")</f>
        <v>0</v>
      </c>
      <c r="I32" s="93"/>
    </row>
    <row r="33" spans="1:10" x14ac:dyDescent="0.35">
      <c r="A33" s="2" t="s">
        <v>138</v>
      </c>
      <c r="B33" s="44" t="s">
        <v>266</v>
      </c>
      <c r="C33" s="249"/>
      <c r="D33" s="249"/>
      <c r="E33" s="274" t="s">
        <v>461</v>
      </c>
      <c r="F33" s="104"/>
      <c r="G33" s="43">
        <f>IFERROR($C33*$H$20*'Premissas (Legados)'!$F$20*1000," ")</f>
        <v>0</v>
      </c>
      <c r="H33" s="43">
        <f>IFERROR($D33*$H$20*'Premissas (Legados)'!$F$20*1000," ")</f>
        <v>0</v>
      </c>
      <c r="I33" s="93"/>
    </row>
    <row r="34" spans="1:10" x14ac:dyDescent="0.35">
      <c r="A34" s="2" t="s">
        <v>139</v>
      </c>
      <c r="B34" s="44" t="s">
        <v>265</v>
      </c>
      <c r="C34" s="249"/>
      <c r="D34" s="249"/>
      <c r="E34" s="274" t="s">
        <v>461</v>
      </c>
      <c r="F34" s="104"/>
      <c r="G34" s="43">
        <f>IFERROR($C34*$H$20*'Premissas (Legados)'!$F$20*1000," ")</f>
        <v>0</v>
      </c>
      <c r="H34" s="43">
        <f>IFERROR($D34*$H$20*'Premissas (Legados)'!$F$20*1000," ")</f>
        <v>0</v>
      </c>
      <c r="I34" s="93"/>
    </row>
    <row r="35" spans="1:10" x14ac:dyDescent="0.35">
      <c r="C35" s="105">
        <f>SUM(C25:C34)</f>
        <v>90560</v>
      </c>
      <c r="D35" s="105">
        <f>SUM(D25:D34)</f>
        <v>62597</v>
      </c>
      <c r="E35" s="105"/>
      <c r="F35" s="104"/>
      <c r="G35" s="105">
        <f>SUM(G25:G34)</f>
        <v>1233001145.5376</v>
      </c>
      <c r="H35" s="105">
        <f>SUM(H25:H34)</f>
        <v>852276642.08499491</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(Legados)'!C3</f>
        <v>864.5</v>
      </c>
      <c r="D42" s="290">
        <f>'Demanda (Legados)'!F3</f>
        <v>607</v>
      </c>
      <c r="G42" s="43">
        <f>IFERROR($C42*$H$20*'Premissas (Legados)'!$F$20*1000," ")</f>
        <v>11770422.817107499</v>
      </c>
      <c r="H42" s="43">
        <f>IFERROR($D42*$H$20*'Premissas (Legados)'!$F$20*1000," ")</f>
        <v>8264484.2683449984</v>
      </c>
      <c r="I42" s="93"/>
    </row>
    <row r="43" spans="1:10" x14ac:dyDescent="0.35">
      <c r="A43" s="2" t="s">
        <v>42</v>
      </c>
      <c r="B43" s="44" t="s">
        <v>217</v>
      </c>
      <c r="C43" s="290">
        <f>'Demanda (Legados)'!C4</f>
        <v>1825.9</v>
      </c>
      <c r="D43" s="290">
        <f>'Demanda (Legados)'!F4</f>
        <v>1678</v>
      </c>
      <c r="E43" s="46"/>
      <c r="G43" s="43">
        <f>IFERROR($C43*$H$20*'Premissas (Legados)'!$F$20*1000," ")</f>
        <v>24860167.752176501</v>
      </c>
      <c r="H43" s="43">
        <f>IFERROR($D43*$H$20*'Premissas (Legados)'!$F$20*1000," ")</f>
        <v>22846465.572130002</v>
      </c>
      <c r="I43" s="93"/>
    </row>
    <row r="44" spans="1:10" x14ac:dyDescent="0.35">
      <c r="A44" s="2" t="s">
        <v>43</v>
      </c>
      <c r="B44" s="44" t="s">
        <v>218</v>
      </c>
      <c r="C44" s="290">
        <f>'Demanda (Legados)'!C5</f>
        <v>3040.95</v>
      </c>
      <c r="D44" s="290">
        <f>'Demanda (Legados)'!F5</f>
        <v>2737</v>
      </c>
      <c r="E44" s="46"/>
      <c r="G44" s="43">
        <f>IFERROR($C44*$H$20*'Premissas (Legados)'!$F$20*1000," ")</f>
        <v>41403432.348968253</v>
      </c>
      <c r="H44" s="43">
        <f>IFERROR($D44*$H$20*'Premissas (Legados)'!$F$20*1000," ")</f>
        <v>37265063.331895001</v>
      </c>
      <c r="I44" s="93"/>
    </row>
    <row r="45" spans="1:10" x14ac:dyDescent="0.35">
      <c r="A45" s="2" t="s">
        <v>44</v>
      </c>
      <c r="B45" s="44" t="s">
        <v>219</v>
      </c>
      <c r="C45" s="290">
        <f>'Demanda (Legados)'!C6</f>
        <v>1187.5</v>
      </c>
      <c r="D45" s="290">
        <f>'Demanda (Legados)'!F6</f>
        <v>335</v>
      </c>
      <c r="E45" s="46"/>
      <c r="G45" s="43">
        <f>IFERROR($C45*$H$20*'Premissas (Legados)'!$F$20*1000," ")</f>
        <v>16168163.210312499</v>
      </c>
      <c r="H45" s="43">
        <f>IFERROR($D45*$H$20*'Premissas (Legados)'!$F$20*1000," ")</f>
        <v>4561123.937225</v>
      </c>
      <c r="I45" s="93"/>
    </row>
    <row r="46" spans="1:10" x14ac:dyDescent="0.35">
      <c r="A46" s="2" t="s">
        <v>45</v>
      </c>
      <c r="B46" s="44" t="s">
        <v>220</v>
      </c>
      <c r="C46" s="290">
        <f>'Demanda (Legados)'!C7</f>
        <v>21185</v>
      </c>
      <c r="D46" s="290">
        <f>'Demanda (Legados)'!F7</f>
        <v>17793</v>
      </c>
      <c r="E46" s="46"/>
      <c r="G46" s="43">
        <f>IFERROR($C46*$H$20*'Premissas (Legados)'!$F$20*1000," ")</f>
        <v>288440031.67197496</v>
      </c>
      <c r="H46" s="43">
        <f>IFERROR($D46*$H$20*'Premissas (Legados)'!$F$20*1000," ")</f>
        <v>242256949.89565501</v>
      </c>
      <c r="I46" s="93"/>
    </row>
    <row r="47" spans="1:10" x14ac:dyDescent="0.35">
      <c r="A47" s="2" t="s">
        <v>46</v>
      </c>
      <c r="B47" s="44" t="s">
        <v>221</v>
      </c>
      <c r="C47" s="290">
        <f>'Demanda (Legados)'!C8</f>
        <v>11271.75</v>
      </c>
      <c r="D47" s="290">
        <f>'Demanda (Legados)'!F8</f>
        <v>8406</v>
      </c>
      <c r="E47" s="46"/>
      <c r="G47" s="43">
        <f>IFERROR($C47*$H$20*'Premissas (Legados)'!$F$20*1000," ")</f>
        <v>153468205.19228625</v>
      </c>
      <c r="H47" s="43">
        <f>IFERROR($D47*$H$20*'Premissas (Legados)'!$F$20*1000," ")</f>
        <v>114450172.58600999</v>
      </c>
      <c r="I47" s="93"/>
    </row>
    <row r="48" spans="1:10" x14ac:dyDescent="0.35">
      <c r="A48" s="2" t="s">
        <v>47</v>
      </c>
      <c r="B48" s="44" t="s">
        <v>222</v>
      </c>
      <c r="C48" s="290">
        <f>'Demanda (Legados)'!C9</f>
        <v>3249</v>
      </c>
      <c r="D48" s="290">
        <f>'Demanda (Legados)'!F9</f>
        <v>1714</v>
      </c>
      <c r="E48" s="46"/>
      <c r="G48" s="43">
        <f>IFERROR($C48*$H$20*'Premissas (Legados)'!$F$20*1000," ")</f>
        <v>44236094.543414995</v>
      </c>
      <c r="H48" s="43">
        <f>IFERROR($D48*$H$20*'Premissas (Legados)'!$F$20*1000," ")</f>
        <v>23336616.204189997</v>
      </c>
      <c r="I48" s="93"/>
    </row>
    <row r="49" spans="1:9" x14ac:dyDescent="0.35">
      <c r="A49" s="2" t="s">
        <v>48</v>
      </c>
      <c r="B49" s="44" t="s">
        <v>223</v>
      </c>
      <c r="C49" s="290">
        <f>'Demanda (Legados)'!C10</f>
        <v>498.75</v>
      </c>
      <c r="D49" s="290">
        <f>'Demanda (Legados)'!F10</f>
        <v>323</v>
      </c>
      <c r="E49" s="46"/>
      <c r="G49" s="43">
        <f>IFERROR($C49*$H$20*'Premissas (Legados)'!$F$20*1000," ")</f>
        <v>6790628.5483312495</v>
      </c>
      <c r="H49" s="43">
        <f>IFERROR($D49*$H$20*'Premissas (Legados)'!$F$20*1000," ")</f>
        <v>4397740.3932050001</v>
      </c>
      <c r="I49" s="93"/>
    </row>
    <row r="50" spans="1:9" x14ac:dyDescent="0.35">
      <c r="A50" s="2" t="s">
        <v>49</v>
      </c>
      <c r="B50" s="44" t="s">
        <v>224</v>
      </c>
      <c r="C50" s="290">
        <f>'Demanda (Legados)'!C11</f>
        <v>3321.2</v>
      </c>
      <c r="D50" s="290">
        <f>'Demanda (Legados)'!F11</f>
        <v>2128</v>
      </c>
      <c r="E50" s="46"/>
      <c r="G50" s="43">
        <f>IFERROR($C50*$H$20*'Premissas (Legados)'!$F$20*1000," ")</f>
        <v>45219118.866601996</v>
      </c>
      <c r="H50" s="43">
        <f>IFERROR($D50*$H$20*'Premissas (Legados)'!$F$20*1000," ")</f>
        <v>28973348.472879995</v>
      </c>
      <c r="I50" s="93"/>
    </row>
    <row r="51" spans="1:9" x14ac:dyDescent="0.35">
      <c r="A51" s="2" t="s">
        <v>50</v>
      </c>
      <c r="B51" s="44" t="s">
        <v>225</v>
      </c>
      <c r="C51" s="290">
        <f>'Demanda (Legados)'!C12</f>
        <v>14292.75</v>
      </c>
      <c r="D51" s="290">
        <f>'Demanda (Legados)'!F12</f>
        <v>1237</v>
      </c>
      <c r="E51" s="46"/>
      <c r="G51" s="43">
        <f>IFERROR($C51*$H$20*'Premissas (Legados)'!$F$20*1000," ")</f>
        <v>194600012.39932126</v>
      </c>
      <c r="H51" s="43">
        <f>IFERROR($D51*$H$20*'Premissas (Legados)'!$F$20*1000," ")</f>
        <v>16842120.329395</v>
      </c>
      <c r="I51" s="93"/>
    </row>
    <row r="52" spans="1:9" x14ac:dyDescent="0.35">
      <c r="A52" s="2" t="s">
        <v>51</v>
      </c>
      <c r="B52" s="44" t="s">
        <v>226</v>
      </c>
      <c r="C52" s="290">
        <f>'Demanda (Legados)'!C13</f>
        <v>3971</v>
      </c>
      <c r="D52" s="290">
        <f>'Demanda (Legados)'!F13</f>
        <v>2972</v>
      </c>
      <c r="E52" s="46"/>
      <c r="G52" s="43">
        <f>IFERROR($C52*$H$20*'Premissas (Legados)'!$F$20*1000," ")</f>
        <v>54066337.775284998</v>
      </c>
      <c r="H52" s="43">
        <f>IFERROR($D52*$H$20*'Premissas (Legados)'!$F$20*1000," ")</f>
        <v>40464657.735619992</v>
      </c>
      <c r="I52" s="93"/>
    </row>
    <row r="53" spans="1:9" x14ac:dyDescent="0.35">
      <c r="A53" s="2" t="s">
        <v>52</v>
      </c>
      <c r="B53" s="44" t="s">
        <v>227</v>
      </c>
      <c r="C53" s="290">
        <f>'Demanda (Legados)'!C14</f>
        <v>9941.75</v>
      </c>
      <c r="D53" s="290">
        <f>'Demanda (Legados)'!F14</f>
        <v>7969</v>
      </c>
      <c r="E53" s="46"/>
      <c r="G53" s="43">
        <f>IFERROR($C53*$H$20*'Premissas (Legados)'!$F$20*1000," ")</f>
        <v>135359862.39673626</v>
      </c>
      <c r="H53" s="43">
        <f>IFERROR($D53*$H$20*'Premissas (Legados)'!$F$20*1000," ")</f>
        <v>108500288.52461499</v>
      </c>
      <c r="I53" s="93"/>
    </row>
    <row r="54" spans="1:9" x14ac:dyDescent="0.35">
      <c r="A54" s="2" t="s">
        <v>53</v>
      </c>
      <c r="B54" s="44" t="s">
        <v>228</v>
      </c>
      <c r="C54" s="290">
        <f>'Demanda (Legados)'!C15</f>
        <v>3809.5</v>
      </c>
      <c r="D54" s="290">
        <f>'Demanda (Legados)'!F15</f>
        <v>3281</v>
      </c>
      <c r="E54" s="46"/>
      <c r="G54" s="43">
        <f>IFERROR($C54*$H$20*'Premissas (Legados)'!$F$20*1000," ")</f>
        <v>51867467.578682497</v>
      </c>
      <c r="H54" s="43">
        <f>IFERROR($D54*$H$20*'Premissas (Legados)'!$F$20*1000," ")</f>
        <v>44671783.994134992</v>
      </c>
      <c r="I54" s="93"/>
    </row>
    <row r="55" spans="1:9" x14ac:dyDescent="0.35">
      <c r="A55" s="2" t="s">
        <v>54</v>
      </c>
      <c r="B55" s="44" t="s">
        <v>269</v>
      </c>
      <c r="C55" s="249"/>
      <c r="D55" s="249"/>
      <c r="E55" s="274" t="s">
        <v>461</v>
      </c>
      <c r="G55" s="43">
        <f>IFERROR($C55*$H$20*'Premissas (Legados)'!$F$20*1000," ")</f>
        <v>0</v>
      </c>
      <c r="H55" s="43">
        <f>IFERROR($D55*$H$20*'Premissas (Legados)'!$F$20*1000," ")</f>
        <v>0</v>
      </c>
      <c r="I55" s="93"/>
    </row>
    <row r="56" spans="1:9" x14ac:dyDescent="0.35">
      <c r="A56" s="2" t="s">
        <v>55</v>
      </c>
      <c r="B56" s="44" t="s">
        <v>268</v>
      </c>
      <c r="C56" s="249"/>
      <c r="D56" s="249"/>
      <c r="E56" s="274" t="s">
        <v>461</v>
      </c>
      <c r="G56" s="43">
        <f>IFERROR($C56*$H$20*'Premissas (Legados)'!$F$20*1000," ")</f>
        <v>0</v>
      </c>
      <c r="H56" s="43">
        <f>IFERROR($D56*$H$20*'Premissas (Legados)'!$F$20*1000," ")</f>
        <v>0</v>
      </c>
      <c r="I56" s="93"/>
    </row>
    <row r="57" spans="1:9" x14ac:dyDescent="0.35">
      <c r="A57" s="2" t="s">
        <v>56</v>
      </c>
      <c r="B57" s="44" t="s">
        <v>267</v>
      </c>
      <c r="C57" s="249"/>
      <c r="D57" s="249"/>
      <c r="E57" s="274" t="s">
        <v>461</v>
      </c>
      <c r="G57" s="43">
        <f>IFERROR($C57*$H$20*'Premissas (Legados)'!$F$20*1000," ")</f>
        <v>0</v>
      </c>
      <c r="H57" s="43">
        <f>IFERROR($D57*$H$20*'Premissas (Legados)'!$F$20*1000," ")</f>
        <v>0</v>
      </c>
      <c r="I57" s="93"/>
    </row>
    <row r="58" spans="1:9" x14ac:dyDescent="0.35">
      <c r="C58" s="105">
        <f>SUM(C42:C57)</f>
        <v>78459.549999999988</v>
      </c>
      <c r="D58" s="105">
        <f>SUM(D42:D57)</f>
        <v>51180</v>
      </c>
      <c r="E58" s="105"/>
      <c r="G58" s="105">
        <f>SUM(G42:G57)</f>
        <v>1068249945.1011992</v>
      </c>
      <c r="H58" s="105">
        <f>SUM(H42:H57)</f>
        <v>696830815.24529994</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0.22649647746697127</v>
      </c>
      <c r="C100" s="9"/>
      <c r="D100" t="s">
        <v>304</v>
      </c>
      <c r="E100" s="110">
        <f>H42/$H$58</f>
        <v>1.1860101602188354E-2</v>
      </c>
      <c r="G100" s="109" t="s">
        <v>148</v>
      </c>
      <c r="H100" s="111">
        <f>H25/$H$35</f>
        <v>0.22649647746697127</v>
      </c>
      <c r="I100" s="111">
        <f>H26/$H$35</f>
        <v>0.31950412959087499</v>
      </c>
      <c r="J100" s="111">
        <f>$H27/$H$35</f>
        <v>0.21668770068853144</v>
      </c>
      <c r="K100" s="111">
        <f>$H28/$H$35</f>
        <v>0</v>
      </c>
      <c r="L100" s="111">
        <f>$H29/$H$35</f>
        <v>0</v>
      </c>
      <c r="M100" s="111">
        <f>$H30/$H$35</f>
        <v>0</v>
      </c>
      <c r="N100" s="111">
        <f>$H31/$H$35</f>
        <v>0.23731169225362239</v>
      </c>
      <c r="O100" s="111">
        <f>$H32/$H$35</f>
        <v>0</v>
      </c>
      <c r="P100" s="111">
        <f>$H33/$H$35</f>
        <v>0</v>
      </c>
      <c r="Q100" s="111">
        <f>$H34/$H$35</f>
        <v>0</v>
      </c>
      <c r="R100" s="111">
        <f>SUM(H100:Q100)</f>
        <v>1.0000000000000002</v>
      </c>
      <c r="S100" s="110"/>
      <c r="T100" s="110"/>
      <c r="U100" s="110"/>
      <c r="V100" s="110"/>
      <c r="W100" s="110"/>
    </row>
    <row r="101" spans="1:27" ht="16.5" x14ac:dyDescent="0.45">
      <c r="A101" t="s">
        <v>295</v>
      </c>
      <c r="B101" s="110">
        <f t="shared" ref="B101:B109" si="1">H26/$H$35</f>
        <v>0.31950412959087499</v>
      </c>
      <c r="C101" s="4"/>
      <c r="D101" t="s">
        <v>305</v>
      </c>
      <c r="E101" s="110">
        <f t="shared" ref="E101:E115" si="2">H43/$H$58</f>
        <v>3.2786244626807355E-2</v>
      </c>
      <c r="W101" s="113"/>
    </row>
    <row r="102" spans="1:27" ht="16.5" x14ac:dyDescent="0.45">
      <c r="A102" t="s">
        <v>296</v>
      </c>
      <c r="B102" s="110">
        <f t="shared" si="1"/>
        <v>0.21668770068853144</v>
      </c>
      <c r="C102" s="4"/>
      <c r="D102" t="s">
        <v>306</v>
      </c>
      <c r="E102" s="110">
        <f t="shared" si="2"/>
        <v>5.3477921062915205E-2</v>
      </c>
      <c r="G102" s="110"/>
    </row>
    <row r="103" spans="1:27" ht="16.5" x14ac:dyDescent="0.45">
      <c r="A103" t="s">
        <v>297</v>
      </c>
      <c r="B103" s="110">
        <f t="shared" si="1"/>
        <v>0</v>
      </c>
      <c r="C103" s="4"/>
      <c r="D103" t="s">
        <v>307</v>
      </c>
      <c r="E103" s="110">
        <f t="shared" si="2"/>
        <v>6.5455255959359134E-3</v>
      </c>
      <c r="G103" s="110"/>
      <c r="H103" s="112"/>
      <c r="I103" s="112"/>
    </row>
    <row r="104" spans="1:27" ht="16.5" x14ac:dyDescent="0.45">
      <c r="A104" t="s">
        <v>298</v>
      </c>
      <c r="B104" s="110">
        <f t="shared" si="1"/>
        <v>0</v>
      </c>
      <c r="C104" s="4"/>
      <c r="D104" t="s">
        <v>308</v>
      </c>
      <c r="E104" s="110">
        <f t="shared" si="2"/>
        <v>0.34765533411488869</v>
      </c>
      <c r="G104" s="110"/>
      <c r="H104" s="112"/>
      <c r="I104" s="112"/>
    </row>
    <row r="105" spans="1:27" ht="16.5" x14ac:dyDescent="0.45">
      <c r="A105" t="s">
        <v>299</v>
      </c>
      <c r="B105" s="110">
        <f t="shared" si="1"/>
        <v>0</v>
      </c>
      <c r="C105" s="4"/>
      <c r="D105" t="s">
        <v>309</v>
      </c>
      <c r="E105" s="110">
        <f t="shared" si="2"/>
        <v>0.1642438452520516</v>
      </c>
      <c r="G105" s="110"/>
      <c r="H105" s="112"/>
      <c r="I105" s="112"/>
    </row>
    <row r="106" spans="1:27" ht="16.5" x14ac:dyDescent="0.45">
      <c r="A106" t="s">
        <v>300</v>
      </c>
      <c r="B106" s="110">
        <f t="shared" si="1"/>
        <v>0.23731169225362239</v>
      </c>
      <c r="C106" s="4"/>
      <c r="D106" t="s">
        <v>310</v>
      </c>
      <c r="E106" s="110">
        <f t="shared" si="2"/>
        <v>3.3489644392340756E-2</v>
      </c>
      <c r="G106" s="110"/>
      <c r="H106" s="112"/>
      <c r="I106" s="112"/>
    </row>
    <row r="107" spans="1:27" ht="16.5" x14ac:dyDescent="0.45">
      <c r="A107" t="s">
        <v>301</v>
      </c>
      <c r="B107" s="110">
        <f t="shared" si="1"/>
        <v>0</v>
      </c>
      <c r="C107" s="4"/>
      <c r="D107" t="s">
        <v>311</v>
      </c>
      <c r="E107" s="110">
        <f t="shared" si="2"/>
        <v>6.311059007424776E-3</v>
      </c>
      <c r="G107" s="110"/>
      <c r="H107" s="112"/>
      <c r="I107" s="112"/>
    </row>
    <row r="108" spans="1:27" ht="16.5" x14ac:dyDescent="0.45">
      <c r="A108" t="s">
        <v>302</v>
      </c>
      <c r="B108" s="110">
        <f t="shared" si="1"/>
        <v>0</v>
      </c>
      <c r="C108" s="4"/>
      <c r="D108" t="s">
        <v>312</v>
      </c>
      <c r="E108" s="110">
        <f t="shared" si="2"/>
        <v>4.1578741695974988E-2</v>
      </c>
      <c r="G108" s="110"/>
      <c r="H108" s="112"/>
      <c r="I108" s="112"/>
    </row>
    <row r="109" spans="1:27" ht="16.5" x14ac:dyDescent="0.45">
      <c r="A109" t="s">
        <v>303</v>
      </c>
      <c r="B109" s="110">
        <f t="shared" si="1"/>
        <v>0</v>
      </c>
      <c r="D109" t="s">
        <v>313</v>
      </c>
      <c r="E109" s="110">
        <f t="shared" si="2"/>
        <v>2.4169597499023057E-2</v>
      </c>
      <c r="G109" s="110"/>
    </row>
    <row r="110" spans="1:27" ht="16.5" x14ac:dyDescent="0.45">
      <c r="B110" s="110">
        <f>SUM(B100:B109)</f>
        <v>1.0000000000000002</v>
      </c>
      <c r="D110" t="s">
        <v>314</v>
      </c>
      <c r="E110" s="110">
        <f t="shared" si="2"/>
        <v>5.8069558421258299E-2</v>
      </c>
      <c r="G110" s="110"/>
    </row>
    <row r="111" spans="1:27" ht="16.5" x14ac:dyDescent="0.45">
      <c r="B111" s="112"/>
      <c r="D111" t="s">
        <v>315</v>
      </c>
      <c r="E111" s="110">
        <f t="shared" si="2"/>
        <v>0.155705353653771</v>
      </c>
      <c r="G111" s="110"/>
    </row>
    <row r="112" spans="1:27" ht="16.5" x14ac:dyDescent="0.45">
      <c r="B112" s="112"/>
      <c r="D112" t="s">
        <v>316</v>
      </c>
      <c r="E112" s="110">
        <f t="shared" si="2"/>
        <v>6.4107073075420087E-2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1</v>
      </c>
    </row>
    <row r="118" spans="1:5" s="95" customFormat="1" x14ac:dyDescent="0.35">
      <c r="A118" s="95" t="s">
        <v>149</v>
      </c>
      <c r="B118" s="95" t="s">
        <v>493</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357.06304582714608</v>
      </c>
      <c r="C131" s="114"/>
      <c r="D131" t="s">
        <v>325</v>
      </c>
      <c r="E131" s="4">
        <f ca="1">SUMPRODUCT($H$100:$Q$100,$C68:$L68)</f>
        <v>349.63514805821364</v>
      </c>
    </row>
    <row r="132" spans="1:5" ht="16.5" x14ac:dyDescent="0.45">
      <c r="A132" t="s">
        <v>326</v>
      </c>
      <c r="B132" s="110">
        <f ca="1">SUMPRODUCT($E$100:$E$115,D$68:D$83)</f>
        <v>203.52647278168561</v>
      </c>
      <c r="C132" s="114"/>
      <c r="D132" t="s">
        <v>327</v>
      </c>
      <c r="E132" s="4">
        <f t="shared" ref="E132:E146" ca="1" si="3">SUMPRODUCT($H$100:$Q$100,$C69:$L69)</f>
        <v>446.79914805821375</v>
      </c>
    </row>
    <row r="133" spans="1:5" ht="16.5" x14ac:dyDescent="0.45">
      <c r="A133" t="s">
        <v>328</v>
      </c>
      <c r="B133" s="110">
        <f ca="1">SUMPRODUCT($E$100:$E$115,E$68:E$83)</f>
        <v>237.87828895076203</v>
      </c>
      <c r="C133" s="114"/>
      <c r="D133" t="s">
        <v>329</v>
      </c>
      <c r="E133" s="4">
        <f t="shared" ca="1" si="3"/>
        <v>563.96434805821355</v>
      </c>
    </row>
    <row r="134" spans="1:5" ht="16.5" x14ac:dyDescent="0.45">
      <c r="A134" t="s">
        <v>330</v>
      </c>
      <c r="B134" s="110">
        <f ca="1">SUMPRODUCT($E$100:$E$115,F$68:F$83)</f>
        <v>472.7892446925884</v>
      </c>
      <c r="C134" s="114"/>
      <c r="D134" t="s">
        <v>331</v>
      </c>
      <c r="E134" s="4">
        <f t="shared" ca="1" si="3"/>
        <v>604.02537150342675</v>
      </c>
    </row>
    <row r="135" spans="1:5" ht="16.5" x14ac:dyDescent="0.45">
      <c r="A135" t="s">
        <v>332</v>
      </c>
      <c r="B135" s="110">
        <f ca="1">SUMPRODUCT($E$100:$E$115,G$68:G$83)</f>
        <v>190.83048821610006</v>
      </c>
      <c r="C135" s="114"/>
      <c r="D135" t="s">
        <v>333</v>
      </c>
      <c r="E135" s="4">
        <f t="shared" ca="1" si="3"/>
        <v>169.66446629497688</v>
      </c>
    </row>
    <row r="136" spans="1:5" ht="16.5" x14ac:dyDescent="0.45">
      <c r="A136" t="s">
        <v>334</v>
      </c>
      <c r="B136" s="110">
        <f ca="1">SUMPRODUCT($E$100:$E$115,H$68:H$83)</f>
        <v>378.29690127588907</v>
      </c>
      <c r="C136" s="114"/>
      <c r="D136" t="s">
        <v>335</v>
      </c>
      <c r="E136" s="4">
        <f t="shared" ca="1" si="3"/>
        <v>169.06111216192471</v>
      </c>
    </row>
    <row r="137" spans="1:5" ht="16.5" x14ac:dyDescent="0.45">
      <c r="A137" t="s">
        <v>336</v>
      </c>
      <c r="B137" s="110">
        <f ca="1">SUMPRODUCT($E$100:$E$115,I$68:I$83)</f>
        <v>338.96092212778433</v>
      </c>
      <c r="D137" t="s">
        <v>337</v>
      </c>
      <c r="E137" s="4">
        <f t="shared" ca="1" si="3"/>
        <v>194.90433038963531</v>
      </c>
    </row>
    <row r="138" spans="1:5" ht="16.5" x14ac:dyDescent="0.45">
      <c r="A138" t="s">
        <v>338</v>
      </c>
      <c r="B138" s="110">
        <f ca="1">SUMPRODUCT($E$100:$E$115,J$68:J$83)</f>
        <v>306.07333005275507</v>
      </c>
      <c r="D138" t="s">
        <v>339</v>
      </c>
      <c r="E138" s="4">
        <f t="shared" ca="1" si="3"/>
        <v>228.38800067095866</v>
      </c>
    </row>
    <row r="139" spans="1:5" ht="16.5" x14ac:dyDescent="0.45">
      <c r="A139" t="s">
        <v>340</v>
      </c>
      <c r="B139" s="110">
        <f ca="1">SUMPRODUCT($E$100:$E$115,K$68:K$83)</f>
        <v>472.7892446925884</v>
      </c>
      <c r="D139" t="s">
        <v>341</v>
      </c>
      <c r="E139" s="4">
        <f t="shared" ca="1" si="3"/>
        <v>171.9873535552822</v>
      </c>
    </row>
    <row r="140" spans="1:5" ht="16.5" x14ac:dyDescent="0.45">
      <c r="A140" t="s">
        <v>342</v>
      </c>
      <c r="B140" s="110">
        <f ca="1">SUMPRODUCT($E$100:$E$115,L$68:L$83)</f>
        <v>338.96092212778433</v>
      </c>
      <c r="D140" t="s">
        <v>343</v>
      </c>
      <c r="E140" s="4">
        <f t="shared" ca="1" si="3"/>
        <v>326.96147229366693</v>
      </c>
    </row>
    <row r="141" spans="1:5" ht="16.5" x14ac:dyDescent="0.45">
      <c r="B141" s="110"/>
      <c r="D141" t="s">
        <v>344</v>
      </c>
      <c r="E141" s="4">
        <f t="shared" ca="1" si="3"/>
        <v>317.68388795522685</v>
      </c>
    </row>
    <row r="142" spans="1:5" ht="16.5" x14ac:dyDescent="0.45">
      <c r="B142" s="110"/>
      <c r="D142" t="s">
        <v>345</v>
      </c>
      <c r="E142" s="4">
        <f t="shared" ca="1" si="3"/>
        <v>429.8291986133521</v>
      </c>
    </row>
    <row r="143" spans="1:5" ht="16.5" x14ac:dyDescent="0.45">
      <c r="B143" s="110"/>
      <c r="D143" t="s">
        <v>346</v>
      </c>
      <c r="E143" s="4">
        <f t="shared" ca="1" si="3"/>
        <v>465.28742677764114</v>
      </c>
    </row>
    <row r="144" spans="1:5" ht="16.5" x14ac:dyDescent="0.45">
      <c r="B144" s="110"/>
      <c r="D144" t="s">
        <v>347</v>
      </c>
      <c r="E144" s="4">
        <f t="shared" si="3"/>
        <v>359.95042677764116</v>
      </c>
    </row>
    <row r="145" spans="1:5" ht="16.5" x14ac:dyDescent="0.45">
      <c r="B145" s="110"/>
      <c r="D145" t="s">
        <v>348</v>
      </c>
      <c r="E145" s="4">
        <f t="shared" si="3"/>
        <v>510.25937150342668</v>
      </c>
    </row>
    <row r="146" spans="1:5" ht="16.5" x14ac:dyDescent="0.45">
      <c r="B146" s="110"/>
      <c r="D146" t="s">
        <v>349</v>
      </c>
      <c r="E146" s="4">
        <f t="shared" si="3"/>
        <v>221.99992347876096</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0.29103154499932754</v>
      </c>
      <c r="C163" s="36"/>
      <c r="D163" t="s">
        <v>355</v>
      </c>
      <c r="E163" s="115">
        <f t="shared" ref="E163:E178" ca="1" si="4">($H42*$E131)/SUMPRODUCT($H$42:$H$57,$E$131:$E$146)</f>
        <v>1.4922349303678032E-2</v>
      </c>
    </row>
    <row r="164" spans="1:9" ht="16.5" x14ac:dyDescent="0.45">
      <c r="A164" t="s">
        <v>356</v>
      </c>
      <c r="B164" s="115">
        <f t="shared" ref="B164:B172" ca="1" si="5">($H26*$B132)/SUMPRODUCT($H$25:$H$34,$B$131:$B$140)</f>
        <v>0.23400820717380283</v>
      </c>
      <c r="C164" s="4"/>
      <c r="D164" t="s">
        <v>357</v>
      </c>
      <c r="E164" s="115">
        <f t="shared" ca="1" si="4"/>
        <v>5.2715425787584536E-2</v>
      </c>
    </row>
    <row r="165" spans="1:9" ht="16.5" x14ac:dyDescent="0.45">
      <c r="A165" t="s">
        <v>358</v>
      </c>
      <c r="B165" s="115">
        <f t="shared" ca="1" si="5"/>
        <v>0.1854909709884916</v>
      </c>
      <c r="C165" s="4"/>
      <c r="D165" t="s">
        <v>359</v>
      </c>
      <c r="E165" s="115">
        <f t="shared" ca="1" si="4"/>
        <v>0.10853251663594575</v>
      </c>
      <c r="H165" s="116"/>
      <c r="I165" s="116"/>
    </row>
    <row r="166" spans="1:9" ht="16.5" x14ac:dyDescent="0.45">
      <c r="A166" t="s">
        <v>360</v>
      </c>
      <c r="B166" s="115">
        <f t="shared" ca="1" si="5"/>
        <v>0</v>
      </c>
      <c r="C166" s="4"/>
      <c r="D166" t="s">
        <v>361</v>
      </c>
      <c r="E166" s="115">
        <f t="shared" ca="1" si="4"/>
        <v>1.4227657896017756E-2</v>
      </c>
    </row>
    <row r="167" spans="1:9" ht="16.5" x14ac:dyDescent="0.45">
      <c r="A167" t="s">
        <v>362</v>
      </c>
      <c r="B167" s="115">
        <f t="shared" ca="1" si="5"/>
        <v>0</v>
      </c>
      <c r="C167" s="4"/>
      <c r="D167" t="s">
        <v>363</v>
      </c>
      <c r="E167" s="115">
        <f t="shared" ca="1" si="4"/>
        <v>0.2122626099396375</v>
      </c>
    </row>
    <row r="168" spans="1:9" ht="16.5" x14ac:dyDescent="0.45">
      <c r="A168" t="s">
        <v>364</v>
      </c>
      <c r="B168" s="115">
        <f t="shared" ca="1" si="5"/>
        <v>0</v>
      </c>
      <c r="C168" s="4"/>
      <c r="D168" t="s">
        <v>365</v>
      </c>
      <c r="E168" s="115">
        <f t="shared" ca="1" si="4"/>
        <v>9.992324589716603E-2</v>
      </c>
    </row>
    <row r="169" spans="1:9" ht="16.5" x14ac:dyDescent="0.45">
      <c r="A169" t="s">
        <v>366</v>
      </c>
      <c r="B169" s="115">
        <f t="shared" ca="1" si="5"/>
        <v>0.28946927683837803</v>
      </c>
      <c r="C169" s="4"/>
      <c r="D169" t="s">
        <v>367</v>
      </c>
      <c r="E169" s="115">
        <f t="shared" ca="1" si="4"/>
        <v>2.3489065116015471E-2</v>
      </c>
    </row>
    <row r="170" spans="1:9" ht="16.5" x14ac:dyDescent="0.45">
      <c r="A170" t="s">
        <v>368</v>
      </c>
      <c r="B170" s="115">
        <f t="shared" ca="1" si="5"/>
        <v>0</v>
      </c>
      <c r="C170" s="4"/>
      <c r="D170" t="s">
        <v>369</v>
      </c>
      <c r="E170" s="115">
        <f t="shared" ca="1" si="4"/>
        <v>5.1869161916682721E-3</v>
      </c>
    </row>
    <row r="171" spans="1:9" ht="16.5" x14ac:dyDescent="0.45">
      <c r="A171" t="s">
        <v>370</v>
      </c>
      <c r="B171" s="115">
        <f t="shared" ca="1" si="5"/>
        <v>0</v>
      </c>
      <c r="D171" t="s">
        <v>371</v>
      </c>
      <c r="E171" s="115">
        <f t="shared" ca="1" si="4"/>
        <v>2.5733660279178658E-2</v>
      </c>
    </row>
    <row r="172" spans="1:9" ht="16.5" x14ac:dyDescent="0.45">
      <c r="A172" t="s">
        <v>372</v>
      </c>
      <c r="B172" s="115">
        <f t="shared" ca="1" si="5"/>
        <v>0</v>
      </c>
      <c r="D172" t="s">
        <v>373</v>
      </c>
      <c r="E172" s="115">
        <f t="shared" ca="1" si="4"/>
        <v>2.8438042951167246E-2</v>
      </c>
    </row>
    <row r="173" spans="1:9" ht="16.5" x14ac:dyDescent="0.45">
      <c r="B173" s="233">
        <f ca="1">SUM(B163:B172)</f>
        <v>1</v>
      </c>
      <c r="D173" t="s">
        <v>374</v>
      </c>
      <c r="E173" s="115">
        <f t="shared" ca="1" si="4"/>
        <v>6.6386140406419145E-2</v>
      </c>
    </row>
    <row r="174" spans="1:9" ht="16.5" x14ac:dyDescent="0.45">
      <c r="B174" s="115"/>
      <c r="D174" t="s">
        <v>375</v>
      </c>
      <c r="E174" s="115">
        <f t="shared" ca="1" si="4"/>
        <v>0.2408425222710692</v>
      </c>
    </row>
    <row r="175" spans="1:9" ht="16.5" x14ac:dyDescent="0.45">
      <c r="B175" s="115"/>
      <c r="D175" t="s">
        <v>376</v>
      </c>
      <c r="E175" s="115">
        <f t="shared" ca="1" si="4"/>
        <v>0.10733984732445218</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0.99999999999999978</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1423.8173216488456</v>
      </c>
      <c r="C194" s="47"/>
      <c r="D194" t="s">
        <v>383</v>
      </c>
      <c r="E194" s="6">
        <f t="shared" ref="E194:E209" ca="1" si="7">$E163*$D$9</f>
        <v>31.161896555865855</v>
      </c>
    </row>
    <row r="195" spans="1:5" ht="16.5" x14ac:dyDescent="0.45">
      <c r="A195" t="s">
        <v>384</v>
      </c>
      <c r="B195" s="7">
        <f t="shared" ca="1" si="6"/>
        <v>1144.8413222106969</v>
      </c>
      <c r="D195" t="s">
        <v>385</v>
      </c>
      <c r="E195" s="6">
        <f t="shared" ca="1" si="7"/>
        <v>110.08404989462618</v>
      </c>
    </row>
    <row r="196" spans="1:5" ht="16.5" x14ac:dyDescent="0.45">
      <c r="A196" t="s">
        <v>386</v>
      </c>
      <c r="B196" s="7">
        <f t="shared" ca="1" si="6"/>
        <v>907.47983179448147</v>
      </c>
      <c r="D196" t="s">
        <v>387</v>
      </c>
      <c r="E196" s="6">
        <f t="shared" ca="1" si="7"/>
        <v>226.64521433790074</v>
      </c>
    </row>
    <row r="197" spans="1:5" ht="16.5" x14ac:dyDescent="0.45">
      <c r="A197" t="s">
        <v>388</v>
      </c>
      <c r="B197" s="7">
        <f t="shared" ca="1" si="6"/>
        <v>0</v>
      </c>
      <c r="D197" t="s">
        <v>389</v>
      </c>
      <c r="E197" s="6">
        <f t="shared" ca="1" si="7"/>
        <v>29.711193228714642</v>
      </c>
    </row>
    <row r="198" spans="1:5" ht="16.5" x14ac:dyDescent="0.45">
      <c r="A198" t="s">
        <v>390</v>
      </c>
      <c r="B198" s="7">
        <f t="shared" ca="1" si="6"/>
        <v>0</v>
      </c>
      <c r="D198" t="s">
        <v>391</v>
      </c>
      <c r="E198" s="6">
        <f t="shared" ca="1" si="7"/>
        <v>443.26167140362787</v>
      </c>
    </row>
    <row r="199" spans="1:5" ht="16.5" x14ac:dyDescent="0.45">
      <c r="A199" t="s">
        <v>392</v>
      </c>
      <c r="B199" s="7">
        <f t="shared" ca="1" si="6"/>
        <v>0</v>
      </c>
      <c r="D199" t="s">
        <v>393</v>
      </c>
      <c r="E199" s="6">
        <f t="shared" ca="1" si="7"/>
        <v>208.66673127711547</v>
      </c>
    </row>
    <row r="200" spans="1:5" ht="16.5" x14ac:dyDescent="0.45">
      <c r="A200" t="s">
        <v>394</v>
      </c>
      <c r="B200" s="7">
        <f t="shared" ca="1" si="6"/>
        <v>1416.1742172952418</v>
      </c>
      <c r="D200" t="s">
        <v>395</v>
      </c>
      <c r="E200" s="6">
        <f t="shared" ca="1" si="7"/>
        <v>49.051513434205589</v>
      </c>
    </row>
    <row r="201" spans="1:5" ht="16.5" x14ac:dyDescent="0.45">
      <c r="A201" t="s">
        <v>396</v>
      </c>
      <c r="B201" s="7">
        <f t="shared" ca="1" si="6"/>
        <v>0</v>
      </c>
      <c r="D201" t="s">
        <v>397</v>
      </c>
      <c r="E201" s="6">
        <f t="shared" ca="1" si="7"/>
        <v>10.831682231756437</v>
      </c>
    </row>
    <row r="202" spans="1:5" ht="16.5" x14ac:dyDescent="0.45">
      <c r="A202" t="s">
        <v>398</v>
      </c>
      <c r="B202" s="7">
        <f t="shared" ca="1" si="6"/>
        <v>0</v>
      </c>
      <c r="D202" t="s">
        <v>399</v>
      </c>
      <c r="E202" s="6">
        <f t="shared" ca="1" si="7"/>
        <v>53.7388345028156</v>
      </c>
    </row>
    <row r="203" spans="1:5" ht="16.5" x14ac:dyDescent="0.45">
      <c r="A203" t="s">
        <v>400</v>
      </c>
      <c r="B203" s="7">
        <f t="shared" ca="1" si="6"/>
        <v>0</v>
      </c>
      <c r="D203" t="s">
        <v>401</v>
      </c>
      <c r="E203" s="6">
        <f t="shared" ca="1" si="7"/>
        <v>59.386316099511163</v>
      </c>
    </row>
    <row r="204" spans="1:5" ht="16.5" x14ac:dyDescent="0.45">
      <c r="B204" s="7">
        <f ca="1">SUM(B194:B203)</f>
        <v>4892.3126929492655</v>
      </c>
      <c r="D204" t="s">
        <v>402</v>
      </c>
      <c r="E204" s="6">
        <f t="shared" ca="1" si="7"/>
        <v>138.63219510470287</v>
      </c>
    </row>
    <row r="205" spans="1:5" ht="16.5" x14ac:dyDescent="0.45">
      <c r="B205" s="7"/>
      <c r="D205" t="s">
        <v>403</v>
      </c>
      <c r="E205" s="6">
        <f t="shared" ca="1" si="7"/>
        <v>502.94424909454654</v>
      </c>
    </row>
    <row r="206" spans="1:5" ht="16.5" x14ac:dyDescent="0.45">
      <c r="B206" s="7"/>
      <c r="D206" t="s">
        <v>404</v>
      </c>
      <c r="E206" s="6">
        <f t="shared" ca="1" si="7"/>
        <v>224.15459862091322</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2088.2701457863022</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7.3758526800491211</v>
      </c>
      <c r="D227" s="121"/>
      <c r="E227" s="8"/>
      <c r="F227" s="8"/>
      <c r="G227" s="122"/>
      <c r="H227" s="48" t="s">
        <v>415</v>
      </c>
      <c r="I227" s="48" t="str">
        <f t="shared" ref="I227:I242" si="8">B42</f>
        <v>NTS MG 1</v>
      </c>
      <c r="J227" s="12">
        <f ca="1">IFERROR($E194/$H42*1000000," ")</f>
        <v>3.770579693063675</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4.2042471134200232</v>
      </c>
      <c r="D228" s="121"/>
      <c r="E228" s="8"/>
      <c r="F228" s="8"/>
      <c r="G228" s="122"/>
      <c r="H228" s="48" t="s">
        <v>417</v>
      </c>
      <c r="I228" s="48" t="str">
        <f t="shared" si="8"/>
        <v>NTS MG 2</v>
      </c>
      <c r="J228" s="12">
        <f t="shared" ref="J228:J242" ca="1" si="11">IFERROR($E195/$H43*1000000," ")</f>
        <v>4.8184280210465351</v>
      </c>
      <c r="L228" s="21"/>
      <c r="M228" s="123"/>
      <c r="Q228" s="8"/>
      <c r="R228" s="124"/>
      <c r="S228" s="125"/>
      <c r="T228" s="125"/>
      <c r="U228" s="125"/>
    </row>
    <row r="229" spans="1:21" ht="16.5" x14ac:dyDescent="0.35">
      <c r="A229" s="48" t="s">
        <v>418</v>
      </c>
      <c r="B229" s="48" t="str">
        <f t="shared" si="9"/>
        <v>PR-ITABORAÍ</v>
      </c>
      <c r="C229" s="12">
        <f t="shared" ca="1" si="10"/>
        <v>4.9138527091721382</v>
      </c>
      <c r="D229" s="121"/>
      <c r="E229" s="8"/>
      <c r="F229" s="8"/>
      <c r="G229" s="122"/>
      <c r="H229" s="48" t="s">
        <v>419</v>
      </c>
      <c r="I229" s="48" t="str">
        <f t="shared" si="8"/>
        <v>NTS MG 3</v>
      </c>
      <c r="J229" s="12">
        <f t="shared" ca="1" si="11"/>
        <v>6.0819758259719938</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6.5140069942477847</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1.8297170487556691</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1.823210280616232</v>
      </c>
      <c r="L232" s="21"/>
      <c r="M232" s="123"/>
      <c r="Q232" s="8"/>
      <c r="R232" s="124"/>
      <c r="S232" s="125"/>
      <c r="T232" s="125"/>
      <c r="U232" s="125"/>
    </row>
    <row r="233" spans="1:21" ht="16.5" x14ac:dyDescent="0.35">
      <c r="A233" s="48" t="s">
        <v>426</v>
      </c>
      <c r="B233" s="48" t="str">
        <f t="shared" si="9"/>
        <v>PR-TECAB</v>
      </c>
      <c r="C233" s="12">
        <f t="shared" ca="1" si="10"/>
        <v>7.0019170427354949</v>
      </c>
      <c r="D233" s="121"/>
      <c r="E233" s="8"/>
      <c r="F233" s="8"/>
      <c r="G233" s="122"/>
      <c r="H233" s="48" t="s">
        <v>427</v>
      </c>
      <c r="I233" s="48" t="str">
        <f t="shared" si="8"/>
        <v>NTS RJ 3</v>
      </c>
      <c r="J233" s="12">
        <f t="shared" ca="1" si="11"/>
        <v>2.1019119912251281</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2.4630108335845824</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1.8547678240613754</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3.5260593641444689</v>
      </c>
      <c r="L236" s="21"/>
      <c r="Q236" s="8"/>
      <c r="R236" s="124"/>
      <c r="S236" s="125"/>
      <c r="T236" s="125"/>
      <c r="U236" s="125"/>
    </row>
    <row r="237" spans="1:21" ht="16.5" x14ac:dyDescent="0.35">
      <c r="D237" s="116"/>
      <c r="E237" s="8"/>
      <c r="F237" s="8"/>
      <c r="G237" s="116"/>
      <c r="H237" s="48" t="s">
        <v>434</v>
      </c>
      <c r="I237" s="48" t="str">
        <f t="shared" si="8"/>
        <v>NTS SP 2</v>
      </c>
      <c r="J237" s="12">
        <f t="shared" ca="1" si="11"/>
        <v>3.4260068628399281</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4.635418540665408</v>
      </c>
      <c r="L238" s="21"/>
      <c r="Q238" s="8"/>
      <c r="R238" s="124"/>
      <c r="S238" s="125"/>
      <c r="T238" s="125"/>
      <c r="U238" s="125"/>
    </row>
    <row r="239" spans="1:21" ht="16.5" x14ac:dyDescent="0.35">
      <c r="D239" s="116"/>
      <c r="E239" s="8"/>
      <c r="F239" s="8"/>
      <c r="G239" s="116"/>
      <c r="H239" s="48" t="s">
        <v>436</v>
      </c>
      <c r="I239" s="48" t="str">
        <f t="shared" si="8"/>
        <v>NTS SP 4</v>
      </c>
      <c r="J239" s="12">
        <f t="shared" ca="1" si="11"/>
        <v>5.017811660495644</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1.475170536009824</v>
      </c>
      <c r="D246" s="12">
        <f t="shared" ref="D246:D252" ca="1" si="13">$F$8*$C$12</f>
        <v>4.592229753926655</v>
      </c>
      <c r="E246" s="12">
        <f ca="1">IFERROR(C246+D246," ")</f>
        <v>6.0674002899364794</v>
      </c>
      <c r="F246" s="256">
        <f ca="1">E246*H25</f>
        <v>1171236737.6257377</v>
      </c>
      <c r="G246" s="123"/>
      <c r="H246" s="48" t="s">
        <v>415</v>
      </c>
      <c r="I246" s="48" t="str">
        <f t="shared" ref="I246:I261" si="14">I227</f>
        <v>NTS MG 1</v>
      </c>
      <c r="J246" s="12">
        <f ca="1">IF(H42=0," ",J227*(1-$C$12))</f>
        <v>0.75411593861273485</v>
      </c>
      <c r="K246" s="12">
        <f t="shared" ref="K246:K258" ca="1" si="15">$F$11*$C$12</f>
        <v>2.3974486777553721</v>
      </c>
      <c r="L246" s="12">
        <f ca="1">IFERROR(J246+K246," ")</f>
        <v>3.1515646163681068</v>
      </c>
      <c r="M246" s="256">
        <f ca="1">L246*H42</f>
        <v>26046056.192646958</v>
      </c>
      <c r="N246" s="131"/>
    </row>
    <row r="247" spans="1:22" ht="16.5" x14ac:dyDescent="0.35">
      <c r="A247" s="48" t="s">
        <v>416</v>
      </c>
      <c r="B247" s="48" t="str">
        <f t="shared" si="12"/>
        <v>PR-GNLBGB</v>
      </c>
      <c r="C247" s="12">
        <f t="shared" ref="C247:C255" ca="1" si="16">IF(H26=0," ",C228*(1-$C$12))</f>
        <v>0.84084942268400442</v>
      </c>
      <c r="D247" s="12">
        <f t="shared" ca="1" si="13"/>
        <v>4.592229753926655</v>
      </c>
      <c r="E247" s="12">
        <f t="shared" ref="E247:E252" ca="1" si="17">IFERROR(C247+D247," ")</f>
        <v>5.4330791766106596</v>
      </c>
      <c r="F247" s="256">
        <f t="shared" ref="F247:F252" ca="1" si="18">E247*H26</f>
        <v>1479459551.3598549</v>
      </c>
      <c r="G247" s="123"/>
      <c r="H247" s="48" t="s">
        <v>417</v>
      </c>
      <c r="I247" s="48" t="str">
        <f t="shared" si="14"/>
        <v>NTS MG 2</v>
      </c>
      <c r="J247" s="12">
        <f t="shared" ref="J247:J248" ca="1" si="19">IF(H43=0," ",J228*(1-$C$12))</f>
        <v>0.96368560420930682</v>
      </c>
      <c r="K247" s="12">
        <f t="shared" ca="1" si="15"/>
        <v>2.3974486777553721</v>
      </c>
      <c r="L247" s="12">
        <f t="shared" ref="L247:L258" ca="1" si="20">IFERROR(J247+K247," ")</f>
        <v>3.361134281964679</v>
      </c>
      <c r="M247" s="256">
        <f t="shared" ref="M247:M258" ca="1" si="21">L247*H43</f>
        <v>76790038.656211928</v>
      </c>
    </row>
    <row r="248" spans="1:22" ht="16.5" x14ac:dyDescent="0.35">
      <c r="A248" s="48" t="s">
        <v>418</v>
      </c>
      <c r="B248" s="48" t="str">
        <f t="shared" si="12"/>
        <v>PR-ITABORAÍ</v>
      </c>
      <c r="C248" s="12">
        <f t="shared" ca="1" si="16"/>
        <v>0.98277054183442747</v>
      </c>
      <c r="D248" s="12">
        <f t="shared" ca="1" si="13"/>
        <v>4.592229753926655</v>
      </c>
      <c r="E248" s="12">
        <f t="shared" ca="1" si="17"/>
        <v>5.5750002957610825</v>
      </c>
      <c r="F248" s="256">
        <f t="shared" ca="1" si="18"/>
        <v>1029579157.1464911</v>
      </c>
      <c r="G248" s="123"/>
      <c r="H248" s="48" t="s">
        <v>419</v>
      </c>
      <c r="I248" s="48" t="str">
        <f t="shared" si="14"/>
        <v>NTS MG 3</v>
      </c>
      <c r="J248" s="12">
        <f t="shared" ca="1" si="19"/>
        <v>1.2163951651943985</v>
      </c>
      <c r="K248" s="12">
        <f t="shared" ca="1" si="15"/>
        <v>2.3974486777553721</v>
      </c>
      <c r="L248" s="12">
        <f t="shared" ca="1" si="20"/>
        <v>3.6138438429497706</v>
      </c>
      <c r="M248" s="256">
        <f t="shared" ca="1" si="21"/>
        <v>134670119.679102</v>
      </c>
    </row>
    <row r="249" spans="1:22" ht="16.5" x14ac:dyDescent="0.35">
      <c r="A249" s="48" t="s">
        <v>420</v>
      </c>
      <c r="B249" s="48" t="str">
        <f t="shared" si="12"/>
        <v>PR-GASPAJ (INTERCONEXÃO)</v>
      </c>
      <c r="C249" s="12" t="str">
        <f t="shared" si="16"/>
        <v xml:space="preserve"> </v>
      </c>
      <c r="D249" s="12">
        <f t="shared" ca="1" si="13"/>
        <v>4.592229753926655</v>
      </c>
      <c r="E249" s="127">
        <f ca="1">E271</f>
        <v>0.56108511699990327</v>
      </c>
      <c r="F249" s="256">
        <f t="shared" ca="1" si="18"/>
        <v>0</v>
      </c>
      <c r="G249" s="123"/>
      <c r="H249" s="48" t="s">
        <v>421</v>
      </c>
      <c r="I249" s="48" t="str">
        <f t="shared" si="14"/>
        <v>NTS MG 4</v>
      </c>
      <c r="J249" s="12">
        <f ca="1">IF(H45=0," ",J230*(1-$C$12))</f>
        <v>1.3028013988495566</v>
      </c>
      <c r="K249" s="12">
        <f t="shared" ca="1" si="15"/>
        <v>2.3974486777553721</v>
      </c>
      <c r="L249" s="12">
        <f t="shared" ca="1" si="20"/>
        <v>3.7002500766049287</v>
      </c>
      <c r="M249" s="256">
        <f t="shared" ca="1" si="21"/>
        <v>16877299.19812138</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0.36594340975113376</v>
      </c>
      <c r="K250" s="12">
        <f t="shared" ca="1" si="15"/>
        <v>2.3974486777553721</v>
      </c>
      <c r="L250" s="12">
        <f t="shared" ca="1" si="20"/>
        <v>2.7633920875065057</v>
      </c>
      <c r="M250" s="256">
        <f t="shared" ca="1" si="21"/>
        <v>669450938.48511302</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0.36464205612324635</v>
      </c>
      <c r="K251" s="12">
        <f t="shared" ca="1" si="15"/>
        <v>2.3974486777553721</v>
      </c>
      <c r="L251" s="12">
        <f t="shared" ca="1" si="20"/>
        <v>2.7620907338786185</v>
      </c>
      <c r="M251" s="256">
        <f t="shared" ca="1" si="21"/>
        <v>316121761.19062686</v>
      </c>
    </row>
    <row r="252" spans="1:22" ht="16.5" x14ac:dyDescent="0.35">
      <c r="A252" s="48" t="s">
        <v>426</v>
      </c>
      <c r="B252" s="48" t="str">
        <f t="shared" si="12"/>
        <v>PR-TECAB</v>
      </c>
      <c r="C252" s="12">
        <f t="shared" ca="1" si="16"/>
        <v>1.4003834085470988</v>
      </c>
      <c r="D252" s="12">
        <f t="shared" ca="1" si="13"/>
        <v>4.592229753926655</v>
      </c>
      <c r="E252" s="12">
        <f t="shared" ca="1" si="17"/>
        <v>5.992613162473754</v>
      </c>
      <c r="F252" s="256">
        <f t="shared" ca="1" si="18"/>
        <v>1212037246.8171816</v>
      </c>
      <c r="G252" s="123"/>
      <c r="H252" s="48" t="s">
        <v>427</v>
      </c>
      <c r="I252" s="48" t="str">
        <f t="shared" si="14"/>
        <v>NTS RJ 3</v>
      </c>
      <c r="J252" s="12">
        <f t="shared" ca="1" si="22"/>
        <v>0.42038239824502555</v>
      </c>
      <c r="K252" s="12">
        <f t="shared" ca="1" si="15"/>
        <v>2.3974486777553721</v>
      </c>
      <c r="L252" s="12">
        <f t="shared" ca="1" si="20"/>
        <v>2.8178310760003975</v>
      </c>
      <c r="M252" s="256">
        <f t="shared" ca="1" si="21"/>
        <v>65758642.348861009</v>
      </c>
    </row>
    <row r="253" spans="1:22" ht="16.5" x14ac:dyDescent="0.35">
      <c r="A253" s="48" t="s">
        <v>428</v>
      </c>
      <c r="B253" s="48" t="str">
        <f t="shared" si="12"/>
        <v>PR-GUARAREMA (INTERCONEXÃO)</v>
      </c>
      <c r="C253" s="12" t="str">
        <f t="shared" si="16"/>
        <v xml:space="preserve"> </v>
      </c>
      <c r="D253" s="12"/>
      <c r="E253" s="127">
        <f ca="1">E269</f>
        <v>0.52193822404658941</v>
      </c>
      <c r="F253" s="257"/>
      <c r="G253" s="123"/>
      <c r="H253" s="48" t="s">
        <v>429</v>
      </c>
      <c r="I253" s="48" t="str">
        <f t="shared" si="14"/>
        <v>NTS RJ 4</v>
      </c>
      <c r="J253" s="12">
        <f t="shared" ca="1" si="22"/>
        <v>0.49260216671691637</v>
      </c>
      <c r="K253" s="12">
        <f t="shared" ca="1" si="15"/>
        <v>2.3974486777553721</v>
      </c>
      <c r="L253" s="12">
        <f t="shared" ca="1" si="20"/>
        <v>2.8900508444722885</v>
      </c>
      <c r="M253" s="256">
        <f t="shared" ca="1" si="21"/>
        <v>12709693.337152004</v>
      </c>
    </row>
    <row r="254" spans="1:22" ht="16.5" x14ac:dyDescent="0.35">
      <c r="A254" s="48" t="s">
        <v>430</v>
      </c>
      <c r="B254" s="48" t="str">
        <f t="shared" si="12"/>
        <v>PR-REPLAN (INTERCONEXÃO)</v>
      </c>
      <c r="C254" s="12" t="str">
        <f t="shared" si="16"/>
        <v xml:space="preserve"> </v>
      </c>
      <c r="D254" s="12"/>
      <c r="E254" s="127">
        <f ca="1">E268</f>
        <v>0.56108511699990327</v>
      </c>
      <c r="F254" s="258">
        <f ca="1">SUM(F246:F252)</f>
        <v>4892312692.9492655</v>
      </c>
      <c r="G254" s="123"/>
      <c r="H254" s="48" t="s">
        <v>431</v>
      </c>
      <c r="I254" s="48" t="str">
        <f t="shared" si="14"/>
        <v>NTS RJ 5</v>
      </c>
      <c r="J254" s="12">
        <f t="shared" ca="1" si="22"/>
        <v>0.37095356481227498</v>
      </c>
      <c r="K254" s="12">
        <f t="shared" ca="1" si="15"/>
        <v>2.3974486777553721</v>
      </c>
      <c r="L254" s="12">
        <f t="shared" ca="1" si="20"/>
        <v>2.7684022425676469</v>
      </c>
      <c r="M254" s="256">
        <f t="shared" ca="1" si="21"/>
        <v>80209882.887014881</v>
      </c>
    </row>
    <row r="255" spans="1:22" ht="16.5" x14ac:dyDescent="0.35">
      <c r="A255" s="48" t="s">
        <v>432</v>
      </c>
      <c r="B255" s="48" t="str">
        <f t="shared" si="12"/>
        <v>PR-TECAB (INTERCONEXÃO)</v>
      </c>
      <c r="C255" s="12" t="str">
        <f t="shared" si="16"/>
        <v xml:space="preserve"> </v>
      </c>
      <c r="D255" s="12"/>
      <c r="E255" s="127">
        <f ca="1">E270</f>
        <v>0.54821584001902091</v>
      </c>
      <c r="G255" s="123"/>
      <c r="H255" s="48" t="s">
        <v>433</v>
      </c>
      <c r="I255" s="48" t="str">
        <f t="shared" si="14"/>
        <v>NTS SP 1</v>
      </c>
      <c r="J255" s="12">
        <f t="shared" ca="1" si="22"/>
        <v>0.70521187282889364</v>
      </c>
      <c r="K255" s="12">
        <f t="shared" ca="1" si="15"/>
        <v>2.3974486777553721</v>
      </c>
      <c r="L255" s="12">
        <f t="shared" ca="1" si="20"/>
        <v>3.1026605505842655</v>
      </c>
      <c r="M255" s="256">
        <f t="shared" ca="1" si="21"/>
        <v>52255382.33420714</v>
      </c>
    </row>
    <row r="256" spans="1:22" ht="16.5" x14ac:dyDescent="0.35">
      <c r="F256" s="131"/>
      <c r="H256" s="48" t="s">
        <v>434</v>
      </c>
      <c r="I256" s="48" t="str">
        <f t="shared" si="14"/>
        <v>NTS SP 2</v>
      </c>
      <c r="J256" s="12">
        <f t="shared" ca="1" si="22"/>
        <v>0.68520137256798541</v>
      </c>
      <c r="K256" s="12">
        <f t="shared" ca="1" si="15"/>
        <v>2.3974486777553721</v>
      </c>
      <c r="L256" s="12">
        <f t="shared" ca="1" si="20"/>
        <v>3.0826500503233576</v>
      </c>
      <c r="M256" s="256">
        <f t="shared" ca="1" si="21"/>
        <v>124738379.2050264</v>
      </c>
    </row>
    <row r="257" spans="1:13" ht="16.5" x14ac:dyDescent="0.35">
      <c r="H257" s="48" t="s">
        <v>435</v>
      </c>
      <c r="I257" s="48" t="str">
        <f t="shared" si="14"/>
        <v>NTS SP 3</v>
      </c>
      <c r="J257" s="12">
        <f t="shared" ca="1" si="22"/>
        <v>0.92708370813308139</v>
      </c>
      <c r="K257" s="12">
        <f t="shared" ca="1" si="15"/>
        <v>2.3974486777553721</v>
      </c>
      <c r="L257" s="12">
        <f t="shared" ca="1" si="20"/>
        <v>3.3245323858884532</v>
      </c>
      <c r="M257" s="256">
        <f t="shared" ca="1" si="21"/>
        <v>360712723.07832384</v>
      </c>
    </row>
    <row r="258" spans="1:13" ht="16.5" x14ac:dyDescent="0.35">
      <c r="H258" s="48" t="s">
        <v>436</v>
      </c>
      <c r="I258" s="48" t="str">
        <f t="shared" si="14"/>
        <v>NTS SP 4</v>
      </c>
      <c r="J258" s="12">
        <f t="shared" ca="1" si="22"/>
        <v>1.0035623320991285</v>
      </c>
      <c r="K258" s="12">
        <f t="shared" ca="1" si="15"/>
        <v>2.3974486777553721</v>
      </c>
      <c r="L258" s="12">
        <f t="shared" ca="1" si="20"/>
        <v>3.4010110098545008</v>
      </c>
      <c r="M258" s="256">
        <f t="shared" ca="1" si="21"/>
        <v>151929229.19389516</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0.29751872962761944</v>
      </c>
      <c r="M260" s="258">
        <f ca="1">SUM(M246:M258)</f>
        <v>2088270145.7863023</v>
      </c>
    </row>
    <row r="261" spans="1:13" ht="16.5" x14ac:dyDescent="0.35">
      <c r="H261" s="48" t="s">
        <v>439</v>
      </c>
      <c r="I261" s="48" t="str">
        <f t="shared" si="14"/>
        <v>PE-TECAB (INTERCONEXÃO)</v>
      </c>
      <c r="J261" s="12" t="str">
        <f t="shared" si="22"/>
        <v xml:space="preserve"> </v>
      </c>
      <c r="K261" s="12"/>
      <c r="L261" s="127">
        <f ca="1">E273</f>
        <v>0.25703606389410255</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(Legados)'!F11</f>
        <v>200</v>
      </c>
      <c r="D268" s="265">
        <f ca="1">'CWD 2025 Legados (sem desc.)'!D267</f>
        <v>5.6108511699990338</v>
      </c>
      <c r="E268" s="268">
        <f ca="1">D268*(1-$C$263)</f>
        <v>0.56108511699990327</v>
      </c>
      <c r="F268" s="266">
        <f ca="1">C268*E268*'Premissas (Legados)'!$C$44*'Premissas (Legados)'!$F$20*1000</f>
        <v>1527867.9152053422</v>
      </c>
      <c r="L268" s="128"/>
    </row>
    <row r="269" spans="1:13" ht="18.5" x14ac:dyDescent="0.45">
      <c r="B269" s="247" t="s">
        <v>451</v>
      </c>
      <c r="C269" s="271">
        <f>'Oferta (Legados)'!F10</f>
        <v>6000</v>
      </c>
      <c r="D269" s="265">
        <f ca="1">'CWD 2025 Legados (sem desc.)'!D268</f>
        <v>5.2193822404658956</v>
      </c>
      <c r="E269" s="268">
        <f t="shared" ref="E269:E271" ca="1" si="23">D269*(1-$C$263)</f>
        <v>0.52193822404658941</v>
      </c>
      <c r="F269" s="266">
        <f ca="1">C269*E269*'Premissas (Legados)'!$C$44*'Premissas (Legados)'!$F$20*1000</f>
        <v>42638058.402118273</v>
      </c>
      <c r="G269" s="129"/>
      <c r="K269" s="129"/>
      <c r="L269" s="128"/>
    </row>
    <row r="270" spans="1:13" ht="18.5" x14ac:dyDescent="0.45">
      <c r="B270" s="248" t="s">
        <v>452</v>
      </c>
      <c r="C270" s="271">
        <f>'Oferta (Legados)'!F12</f>
        <v>200</v>
      </c>
      <c r="D270" s="265">
        <f ca="1">'CWD 2025 Legados (sem desc.)'!D269</f>
        <v>5.4821584001902099</v>
      </c>
      <c r="E270" s="268">
        <f t="shared" ca="1" si="23"/>
        <v>0.54821584001902091</v>
      </c>
      <c r="F270" s="266">
        <f ca="1">C270*E270*'Premissas (Legados)'!$C$44*'Premissas (Legados)'!$F$20*1000</f>
        <v>1492824.1138368163</v>
      </c>
      <c r="K270" s="129"/>
      <c r="L270" s="128"/>
    </row>
    <row r="271" spans="1:13" ht="18.5" x14ac:dyDescent="0.45">
      <c r="B271" s="248" t="s">
        <v>243</v>
      </c>
      <c r="C271" s="271">
        <f>'Oferta (Legados)'!F6</f>
        <v>335</v>
      </c>
      <c r="D271" s="265">
        <f ca="1">'CWD 2025 Legados (sem desc.)'!D270</f>
        <v>5.6108511699990338</v>
      </c>
      <c r="E271" s="268">
        <f t="shared" ca="1" si="23"/>
        <v>0.56108511699990327</v>
      </c>
      <c r="F271" s="266">
        <f ca="1">C271*E271*'Premissas (Legados)'!$C$44*'Premissas (Legados)'!$F$20*1000</f>
        <v>2559178.7579689487</v>
      </c>
      <c r="K271" s="129"/>
      <c r="L271" s="128"/>
    </row>
    <row r="272" spans="1:13" ht="18.5" x14ac:dyDescent="0.45">
      <c r="B272" s="246" t="s">
        <v>453</v>
      </c>
      <c r="C272" s="271">
        <f>'Demanda (Legados)'!F17</f>
        <v>7011</v>
      </c>
      <c r="D272" s="265">
        <f ca="1">'CWD 2025 Legados (sem desc.)'!D271</f>
        <v>2.9751872962761952</v>
      </c>
      <c r="E272" s="268">
        <f ca="1">D272*(1-$C$263)</f>
        <v>0.29751872962761944</v>
      </c>
      <c r="F272" s="266">
        <f ca="1">C272*E272*'Premissas (Legados)'!$C$44*'Premissas (Legados)'!$F$20*1000</f>
        <v>28400196.460105684</v>
      </c>
      <c r="K272" s="129"/>
      <c r="L272" s="128"/>
    </row>
    <row r="273" spans="2:13" ht="18.5" x14ac:dyDescent="0.45">
      <c r="B273" s="248" t="s">
        <v>454</v>
      </c>
      <c r="C273" s="271">
        <f>'Demanda (Legados)'!F18</f>
        <v>200</v>
      </c>
      <c r="D273" s="265">
        <f ca="1">'CWD 2025 Legados (sem desc.)'!D272</f>
        <v>2.5703606389410258</v>
      </c>
      <c r="E273" s="268">
        <f ca="1">D273*(1-$C$263)</f>
        <v>0.25703606389410255</v>
      </c>
      <c r="F273" s="266">
        <f ca="1">C273*E273*'Premissas (Legados)'!$C$44*'Premissas (Legados)'!$F$20*1000</f>
        <v>699924.38433282718</v>
      </c>
      <c r="K273" s="129"/>
      <c r="L273" s="128"/>
    </row>
    <row r="274" spans="2:13" ht="19" thickBot="1" x14ac:dyDescent="0.5">
      <c r="B274" s="248"/>
      <c r="C274" s="269"/>
      <c r="D274" s="269"/>
      <c r="E274" s="269"/>
      <c r="F274" s="267">
        <f ca="1">SUM(F268:F273)</f>
        <v>77318050.033567891</v>
      </c>
      <c r="K274" s="129"/>
      <c r="L274" s="128"/>
    </row>
    <row r="275" spans="2:13" ht="15" thickTop="1" x14ac:dyDescent="0.35">
      <c r="K275" s="129"/>
      <c r="L275" s="128"/>
    </row>
    <row r="276" spans="2:13" x14ac:dyDescent="0.35">
      <c r="E276" t="s">
        <v>110</v>
      </c>
      <c r="F276" s="235">
        <f ca="1">F254+M260+F274</f>
        <v>7057900888.7691355</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F671-8F03-4BD3-8382-6A8C2328A96C}">
  <sheetPr codeName="Planilha13">
    <tabColor theme="1" tint="0.499984740745262"/>
  </sheetPr>
  <dimension ref="A1:V39"/>
  <sheetViews>
    <sheetView showGridLines="0" zoomScale="110" zoomScaleNormal="110" workbookViewId="0">
      <selection activeCell="C38" sqref="C38:D3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2025 Legados (com desc.)'!A246</f>
        <v>TEN1</v>
      </c>
      <c r="B2" s="320" t="str">
        <f>'CWD 2025 Legados (com desc.)'!B246</f>
        <v>PR-CARAGUATATUBA</v>
      </c>
      <c r="C2" s="321">
        <f>'CWD 2025 Legados (sem desc.)'!H24</f>
        <v>193037657.25962999</v>
      </c>
      <c r="D2" s="322">
        <f ca="1">'CWD 2025 Legados (com desc.)'!E246</f>
        <v>6.0674002899364794</v>
      </c>
      <c r="E2" s="323">
        <f t="shared" ref="E2:E11" ca="1" si="0">IFERROR(C2*D2," ")</f>
        <v>1171236737.6257377</v>
      </c>
      <c r="F2" s="374">
        <f ca="1">D2</f>
        <v>6.0674002899364794</v>
      </c>
      <c r="G2" s="363"/>
      <c r="L2" s="68" t="s">
        <v>58</v>
      </c>
      <c r="M2" s="67">
        <f ca="1">IFERROR($D$2+$C34," ")</f>
        <v>9.5551093474478375</v>
      </c>
      <c r="N2" s="67">
        <f ca="1">IFERROR($D$3+$C34," ")</f>
        <v>8.9207882341220177</v>
      </c>
      <c r="O2" s="67">
        <f ca="1">IFERROR($D$4+$C34," ")</f>
        <v>9.0627093532724405</v>
      </c>
      <c r="P2" s="67">
        <f ca="1">IFERROR($D$5+$C34," ")</f>
        <v>4.0487941745112614</v>
      </c>
      <c r="Q2" s="67" t="str">
        <f ca="1">IFERROR($D$6+$C34," ")</f>
        <v xml:space="preserve"> </v>
      </c>
      <c r="R2" s="67" t="str">
        <f ca="1">IFERROR($D$7+$C34," ")</f>
        <v xml:space="preserve"> </v>
      </c>
      <c r="S2" s="67">
        <f ca="1">IFERROR($D$8+$C34," ")</f>
        <v>9.480322219985112</v>
      </c>
      <c r="T2" s="67">
        <f ca="1">IFERROR($D$9+$C34," ")</f>
        <v>4.0096472815579478</v>
      </c>
      <c r="U2" s="67">
        <f ca="1">IFERROR($D$10+$C34," ")</f>
        <v>4.0487941745112614</v>
      </c>
      <c r="V2" s="67">
        <f ca="1">IFERROR($D$11+$C34," ")</f>
        <v>4.0359248975303785</v>
      </c>
    </row>
    <row r="3" spans="1:22" s="62" customFormat="1" x14ac:dyDescent="0.35">
      <c r="A3" s="292" t="str">
        <f>'CWD 2025 Legados (com desc.)'!A247</f>
        <v>TEN2</v>
      </c>
      <c r="B3" s="295" t="str">
        <f>'CWD 2025 Legados (com desc.)'!B247</f>
        <v>PR-GNLBGB</v>
      </c>
      <c r="C3" s="296">
        <f>'CWD 2025 Legados (sem desc.)'!H25</f>
        <v>272305906.69999999</v>
      </c>
      <c r="D3" s="297">
        <f ca="1">'CWD 2025 Legados (com desc.)'!E247</f>
        <v>5.4330791766106596</v>
      </c>
      <c r="E3" s="298">
        <f t="shared" ca="1" si="0"/>
        <v>1479459551.3598549</v>
      </c>
      <c r="F3" s="374">
        <f t="shared" ref="F3:F5" ca="1" si="1">D3</f>
        <v>5.4330791766106596</v>
      </c>
      <c r="G3" s="363"/>
      <c r="L3" s="68" t="s">
        <v>69</v>
      </c>
      <c r="M3" s="67">
        <f t="shared" ref="M3:M7" ca="1" si="2">IFERROR($D$2+$C35," ")</f>
        <v>8.8352035761043126</v>
      </c>
      <c r="N3" s="67">
        <f t="shared" ref="N3:N7" ca="1" si="3">IFERROR($D$3+$C35," ")</f>
        <v>8.2008824627784929</v>
      </c>
      <c r="O3" s="67">
        <f t="shared" ref="O3:O7" ca="1" si="4">IFERROR($D$4+$C35," ")</f>
        <v>8.3428035819289157</v>
      </c>
      <c r="P3" s="67">
        <f t="shared" ref="P3:P7" ca="1" si="5">IFERROR($D$5+$C35," ")</f>
        <v>3.328888403167737</v>
      </c>
      <c r="Q3" s="67" t="str">
        <f t="shared" ref="Q3:Q7" ca="1" si="6">IFERROR($D$6+$C35," ")</f>
        <v xml:space="preserve"> </v>
      </c>
      <c r="R3" s="67" t="str">
        <f t="shared" ref="R3:R7" ca="1" si="7">IFERROR($D$7+$C35," ")</f>
        <v xml:space="preserve"> </v>
      </c>
      <c r="S3" s="67">
        <f t="shared" ref="S3:S7" ca="1" si="8">IFERROR($D$8+$C35," ")</f>
        <v>8.7604164486415872</v>
      </c>
      <c r="T3" s="67">
        <f t="shared" ref="T3:T7" ca="1" si="9">IFERROR($D$9+$C35," ")</f>
        <v>3.289741510214423</v>
      </c>
      <c r="U3" s="67">
        <f t="shared" ref="U3:U7" ca="1" si="10">IFERROR($D$10+$C35," ")</f>
        <v>3.328888403167737</v>
      </c>
      <c r="V3" s="67">
        <f t="shared" ref="V3:V7" ca="1" si="11">IFERROR($D$11+$C35," ")</f>
        <v>3.3160191261868546</v>
      </c>
    </row>
    <row r="4" spans="1:22" x14ac:dyDescent="0.35">
      <c r="A4" s="292" t="str">
        <f>'CWD 2025 Legados (com desc.)'!A248</f>
        <v>TEN3</v>
      </c>
      <c r="B4" s="295" t="str">
        <f>'CWD 2025 Legados (com desc.)'!B248</f>
        <v>PR-ITABORAÍ</v>
      </c>
      <c r="C4" s="296">
        <f>'CWD 2025 Legados (sem desc.)'!H26</f>
        <v>184677865.92394</v>
      </c>
      <c r="D4" s="297">
        <f ca="1">'CWD 2025 Legados (com desc.)'!E248</f>
        <v>5.5750002957610825</v>
      </c>
      <c r="E4" s="296">
        <f t="shared" ca="1" si="0"/>
        <v>1029579157.1464911</v>
      </c>
      <c r="F4" s="374">
        <f t="shared" ca="1" si="1"/>
        <v>5.5750002957610825</v>
      </c>
      <c r="G4" s="363"/>
      <c r="L4" s="68" t="s">
        <v>258</v>
      </c>
      <c r="M4" s="67">
        <f t="shared" ca="1" si="2"/>
        <v>9.3439086512219092</v>
      </c>
      <c r="N4" s="67">
        <f t="shared" ca="1" si="3"/>
        <v>8.7095875378960894</v>
      </c>
      <c r="O4" s="67">
        <f t="shared" ca="1" si="4"/>
        <v>8.8515086570465122</v>
      </c>
      <c r="P4" s="67">
        <f t="shared" ca="1" si="5"/>
        <v>3.8375934782853331</v>
      </c>
      <c r="Q4" s="67" t="str">
        <f t="shared" ca="1" si="6"/>
        <v xml:space="preserve"> </v>
      </c>
      <c r="R4" s="67" t="str">
        <f t="shared" ca="1" si="7"/>
        <v xml:space="preserve"> </v>
      </c>
      <c r="S4" s="67">
        <f t="shared" ca="1" si="8"/>
        <v>9.2691215237591837</v>
      </c>
      <c r="T4" s="67">
        <f t="shared" ca="1" si="9"/>
        <v>3.7984465853320191</v>
      </c>
      <c r="U4" s="67">
        <f t="shared" ca="1" si="10"/>
        <v>3.8375934782853331</v>
      </c>
      <c r="V4" s="67">
        <f t="shared" ca="1" si="11"/>
        <v>3.8247242013044507</v>
      </c>
    </row>
    <row r="5" spans="1:22" ht="24" x14ac:dyDescent="0.35">
      <c r="A5" s="292" t="str">
        <f>'CWD 2025 Legados (com desc.)'!A249</f>
        <v>TEN4</v>
      </c>
      <c r="B5" s="295" t="str">
        <f>'CWD 2025 Legados (com desc.)'!B249</f>
        <v>PR-GASPAJ (INTERCONEXÃO)</v>
      </c>
      <c r="C5" s="296">
        <f>'CWD 2025 Legados (sem desc.)'!H27</f>
        <v>4561123.937225</v>
      </c>
      <c r="D5" s="297">
        <f ca="1">'CWD 2025 Legados (com desc.)'!E249</f>
        <v>0.56108511699990327</v>
      </c>
      <c r="E5" s="296">
        <f t="shared" ca="1" si="0"/>
        <v>2559178.7579689487</v>
      </c>
      <c r="F5" s="374">
        <f t="shared" ca="1" si="1"/>
        <v>0.56108511699990327</v>
      </c>
      <c r="G5" s="363"/>
      <c r="L5" s="132" t="str">
        <f>B28</f>
        <v>PE-GUARAREMA (INTERCONEXÃO)</v>
      </c>
      <c r="M5" s="67" t="str">
        <f t="shared" ca="1" si="2"/>
        <v xml:space="preserve"> </v>
      </c>
      <c r="N5" s="67" t="str">
        <f t="shared" ca="1" si="3"/>
        <v xml:space="preserve"> </v>
      </c>
      <c r="O5" s="67" t="str">
        <f t="shared" ca="1" si="4"/>
        <v xml:space="preserve"> </v>
      </c>
      <c r="P5" s="67" t="str">
        <f t="shared" ca="1" si="5"/>
        <v xml:space="preserve"> </v>
      </c>
      <c r="Q5" s="67" t="str">
        <f t="shared" si="6"/>
        <v xml:space="preserve"> </v>
      </c>
      <c r="R5" s="67" t="str">
        <f t="shared" si="7"/>
        <v xml:space="preserve"> </v>
      </c>
      <c r="S5" s="67" t="str">
        <f t="shared" ca="1" si="8"/>
        <v xml:space="preserve"> </v>
      </c>
      <c r="T5" s="67" t="str">
        <f t="shared" ca="1" si="9"/>
        <v xml:space="preserve"> </v>
      </c>
      <c r="U5" s="67" t="str">
        <f t="shared" ca="1" si="10"/>
        <v xml:space="preserve"> </v>
      </c>
      <c r="V5" s="67" t="str">
        <f t="shared" ca="1" si="11"/>
        <v xml:space="preserve"> </v>
      </c>
    </row>
    <row r="6" spans="1:22" x14ac:dyDescent="0.35">
      <c r="A6" s="292" t="str">
        <f>'CWD 2025 Legados (com desc.)'!A250</f>
        <v>TEN5</v>
      </c>
      <c r="B6" s="295" t="str">
        <f>'CWD 2025 Legados (com desc.)'!B250</f>
        <v>PR-REDUC</v>
      </c>
      <c r="C6" s="296">
        <f>'CWD 2025 Legados (sem desc.)'!H28</f>
        <v>0</v>
      </c>
      <c r="D6" s="297" t="str">
        <f>'CWD 2025 Legados (com desc.)'!E250</f>
        <v xml:space="preserve"> </v>
      </c>
      <c r="E6" s="296" t="str">
        <f t="shared" si="0"/>
        <v xml:space="preserve"> </v>
      </c>
      <c r="F6" s="374">
        <f ca="1">D8</f>
        <v>5.992613162473754</v>
      </c>
      <c r="G6" s="363"/>
      <c r="L6" s="132" t="str">
        <f t="shared" ref="L6:L7" si="12">B29</f>
        <v>PE-REPLAN (INTERCONEXÃO)</v>
      </c>
      <c r="M6" s="67">
        <f t="shared" ca="1" si="2"/>
        <v>6.3649190195640992</v>
      </c>
      <c r="N6" s="67">
        <f t="shared" ca="1" si="3"/>
        <v>5.7305979062382795</v>
      </c>
      <c r="O6" s="67">
        <f t="shared" ca="1" si="4"/>
        <v>5.8725190253887023</v>
      </c>
      <c r="P6" s="67">
        <f t="shared" ca="1" si="5"/>
        <v>0.85860384662752276</v>
      </c>
      <c r="Q6" s="67" t="str">
        <f t="shared" ca="1" si="6"/>
        <v xml:space="preserve"> </v>
      </c>
      <c r="R6" s="67" t="str">
        <f t="shared" ca="1" si="7"/>
        <v xml:space="preserve"> </v>
      </c>
      <c r="S6" s="67">
        <f t="shared" ca="1" si="8"/>
        <v>6.2901318921013738</v>
      </c>
      <c r="T6" s="67">
        <f t="shared" ca="1" si="9"/>
        <v>0.8194569536742089</v>
      </c>
      <c r="U6" s="67">
        <f t="shared" ca="1" si="10"/>
        <v>0.85860384662752276</v>
      </c>
      <c r="V6" s="67">
        <f t="shared" ca="1" si="11"/>
        <v>0.84573456964664029</v>
      </c>
    </row>
    <row r="7" spans="1:22" x14ac:dyDescent="0.35">
      <c r="A7" s="292" t="str">
        <f>'CWD 2025 Legados (com desc.)'!A251</f>
        <v>TEN6</v>
      </c>
      <c r="B7" s="295" t="str">
        <f>'CWD 2025 Legados (com desc.)'!B251</f>
        <v>PR-RPBC</v>
      </c>
      <c r="C7" s="296">
        <f>'CWD 2025 Legados (sem desc.)'!H29</f>
        <v>0</v>
      </c>
      <c r="D7" s="297" t="str">
        <f>'CWD 2025 Legados (com desc.)'!E251</f>
        <v xml:space="preserve"> </v>
      </c>
      <c r="E7" s="296" t="str">
        <f t="shared" si="0"/>
        <v xml:space="preserve"> </v>
      </c>
      <c r="F7" s="374">
        <f t="shared" ref="F7:F9" ca="1" si="13">D9</f>
        <v>0.52193822404658941</v>
      </c>
      <c r="G7" s="363"/>
      <c r="L7" s="132" t="str">
        <f t="shared" si="12"/>
        <v>PE-TECAB (INTERCONEXÃO)</v>
      </c>
      <c r="M7" s="67">
        <f t="shared" ca="1" si="2"/>
        <v>6.3244363538305821</v>
      </c>
      <c r="N7" s="67">
        <f t="shared" ca="1" si="3"/>
        <v>5.6901152405047624</v>
      </c>
      <c r="O7" s="67">
        <f t="shared" ca="1" si="4"/>
        <v>5.8320363596551852</v>
      </c>
      <c r="P7" s="67">
        <f t="shared" ca="1" si="5"/>
        <v>0.81812118089400587</v>
      </c>
      <c r="Q7" s="67" t="str">
        <f t="shared" ca="1" si="6"/>
        <v xml:space="preserve"> </v>
      </c>
      <c r="R7" s="67" t="str">
        <f t="shared" ca="1" si="7"/>
        <v xml:space="preserve"> </v>
      </c>
      <c r="S7" s="67">
        <f t="shared" ca="1" si="8"/>
        <v>6.2496492263678567</v>
      </c>
      <c r="T7" s="67">
        <f t="shared" ca="1" si="9"/>
        <v>0.77897428794069201</v>
      </c>
      <c r="U7" s="67">
        <f t="shared" ca="1" si="10"/>
        <v>0.81812118089400587</v>
      </c>
      <c r="V7" s="67">
        <f t="shared" ca="1" si="11"/>
        <v>0.8052519039131234</v>
      </c>
    </row>
    <row r="8" spans="1:22" x14ac:dyDescent="0.35">
      <c r="A8" s="292" t="str">
        <f>'CWD 2025 Legados (com desc.)'!A252</f>
        <v>TEN7</v>
      </c>
      <c r="B8" s="295" t="str">
        <f>'CWD 2025 Legados (com desc.)'!B252</f>
        <v>PR-TECAB</v>
      </c>
      <c r="C8" s="296">
        <f>'CWD 2025 Legados (sem desc.)'!H30</f>
        <v>202255212.20142499</v>
      </c>
      <c r="D8" s="297">
        <f ca="1">'CWD 2025 Legados (com desc.)'!E252</f>
        <v>5.992613162473754</v>
      </c>
      <c r="E8" s="296">
        <f t="shared" ca="1" si="0"/>
        <v>1212037246.8171816</v>
      </c>
      <c r="F8" s="374">
        <f t="shared" ca="1" si="13"/>
        <v>0.56108511699990327</v>
      </c>
      <c r="G8" s="363"/>
      <c r="L8" s="61"/>
    </row>
    <row r="9" spans="1:22" x14ac:dyDescent="0.35">
      <c r="A9" s="292" t="str">
        <f>'CWD 2025 Legados (com desc.)'!A253</f>
        <v>TEN8</v>
      </c>
      <c r="B9" s="295" t="str">
        <f>'CWD 2025 Legados (com desc.)'!B253</f>
        <v>PR-GUARAREMA (INTERCONEXÃO)</v>
      </c>
      <c r="C9" s="296">
        <f>'CWD 2025 Legados (sem desc.)'!H31</f>
        <v>81691772.010000005</v>
      </c>
      <c r="D9" s="297">
        <f ca="1">'CWD 2025 Legados (com desc.)'!E253</f>
        <v>0.52193822404658941</v>
      </c>
      <c r="E9" s="296">
        <f t="shared" ca="1" si="0"/>
        <v>42638058.402118281</v>
      </c>
      <c r="F9" s="374">
        <f t="shared" ca="1" si="13"/>
        <v>0.54821584001902091</v>
      </c>
      <c r="G9" s="363"/>
      <c r="L9" s="61"/>
    </row>
    <row r="10" spans="1:22" x14ac:dyDescent="0.35">
      <c r="A10" s="292" t="str">
        <f>'CWD 2025 Legados (com desc.)'!A254</f>
        <v>TEN9</v>
      </c>
      <c r="B10" s="295" t="str">
        <f>'CWD 2025 Legados (com desc.)'!B254</f>
        <v>PR-REPLAN (INTERCONEXÃO)</v>
      </c>
      <c r="C10" s="296">
        <f>'CWD 2025 Legados (sem desc.)'!H32</f>
        <v>2723059.0670000003</v>
      </c>
      <c r="D10" s="297">
        <f ca="1">'CWD 2025 Legados (com desc.)'!E254</f>
        <v>0.56108511699990327</v>
      </c>
      <c r="E10" s="296">
        <f t="shared" ca="1" si="0"/>
        <v>1527867.9152053427</v>
      </c>
      <c r="F10" s="374"/>
      <c r="G10" s="363"/>
      <c r="L10" s="61"/>
    </row>
    <row r="11" spans="1:22" x14ac:dyDescent="0.35">
      <c r="A11" s="292" t="str">
        <f>'CWD 2025 Legados (com desc.)'!A255</f>
        <v>TEN10</v>
      </c>
      <c r="B11" s="295" t="str">
        <f>'CWD 2025 Legados (com desc.)'!B255</f>
        <v>PR-TECAB (INTERCONEXÃO)</v>
      </c>
      <c r="C11" s="296">
        <f>'CWD 2025 Legados (sem desc.)'!H33</f>
        <v>2723059.0670000003</v>
      </c>
      <c r="D11" s="297">
        <f ca="1">'CWD 2025 Legados (com desc.)'!E255</f>
        <v>0.54821584001902091</v>
      </c>
      <c r="E11" s="296">
        <f t="shared" ca="1" si="0"/>
        <v>1492824.1138368165</v>
      </c>
      <c r="F11" s="359"/>
      <c r="G11" s="363"/>
      <c r="L11" s="61"/>
    </row>
    <row r="12" spans="1:22" x14ac:dyDescent="0.35">
      <c r="E12" s="65">
        <f ca="1">SUM(E2:E11)</f>
        <v>4940530622.1383953</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2025 Legados (com desc.)'!H246</f>
        <v>TEX1</v>
      </c>
      <c r="B15" s="296" t="str">
        <f>'CWD 2025 Legados (com desc.)'!I246</f>
        <v>NTS MG 1</v>
      </c>
      <c r="C15" s="296">
        <f>'CWD 2025 Legados (sem desc.)'!H41</f>
        <v>8264484.2683449984</v>
      </c>
      <c r="D15" s="296"/>
      <c r="E15" s="299">
        <f ca="1">'CWD 2025 Legados (com desc.)'!L246</f>
        <v>3.1515646163681068</v>
      </c>
      <c r="F15" s="305">
        <f ca="1">IFERROR(C15*E15," ")</f>
        <v>26046056.192646958</v>
      </c>
      <c r="G15" s="308"/>
      <c r="H15" s="314" t="str">
        <f>IFERROR(G15/D15," ")</f>
        <v xml:space="preserve"> </v>
      </c>
      <c r="I15" s="66"/>
      <c r="J15" s="66"/>
      <c r="L15" s="59"/>
    </row>
    <row r="16" spans="1:22" x14ac:dyDescent="0.35">
      <c r="A16" s="296" t="str">
        <f>'CWD 2025 Legados (com desc.)'!H247</f>
        <v>TEX2</v>
      </c>
      <c r="B16" s="296" t="str">
        <f>'CWD 2025 Legados (com desc.)'!I247</f>
        <v>NTS MG 2</v>
      </c>
      <c r="C16" s="296">
        <f>'CWD 2025 Legados (sem desc.)'!H42</f>
        <v>22846465.572130002</v>
      </c>
      <c r="D16" s="296"/>
      <c r="E16" s="299">
        <f ca="1">'CWD 2025 Legados (com desc.)'!L247</f>
        <v>3.361134281964679</v>
      </c>
      <c r="F16" s="305">
        <f t="shared" ref="F16:F30" ca="1" si="14">IFERROR(C16*E16," ")</f>
        <v>76790038.656211928</v>
      </c>
      <c r="G16" s="317"/>
      <c r="H16" s="315" t="str">
        <f t="shared" ref="H16:H30" si="15">IFERROR(G16/D16," ")</f>
        <v xml:space="preserve"> </v>
      </c>
      <c r="I16" s="66"/>
      <c r="J16" s="66"/>
      <c r="L16" s="59"/>
    </row>
    <row r="17" spans="1:12" x14ac:dyDescent="0.35">
      <c r="A17" s="296" t="str">
        <f>'CWD 2025 Legados (com desc.)'!H248</f>
        <v>TEX3</v>
      </c>
      <c r="B17" s="296" t="str">
        <f>'CWD 2025 Legados (com desc.)'!I248</f>
        <v>NTS MG 3</v>
      </c>
      <c r="C17" s="296">
        <f>'CWD 2025 Legados (sem desc.)'!H43</f>
        <v>37265063.331895001</v>
      </c>
      <c r="D17" s="296"/>
      <c r="E17" s="299">
        <f ca="1">'CWD 2025 Legados (com desc.)'!L248</f>
        <v>3.6138438429497706</v>
      </c>
      <c r="F17" s="305">
        <f ca="1">IFERROR(C17*E17," ")</f>
        <v>134670119.679102</v>
      </c>
      <c r="G17" s="310"/>
      <c r="H17" s="316" t="str">
        <f t="shared" si="15"/>
        <v xml:space="preserve"> </v>
      </c>
      <c r="I17" s="66"/>
      <c r="J17" s="66"/>
      <c r="L17" s="59"/>
    </row>
    <row r="18" spans="1:12" x14ac:dyDescent="0.35">
      <c r="A18" s="301" t="str">
        <f>'CWD 2025 Legados (com desc.)'!H249</f>
        <v>TEX4</v>
      </c>
      <c r="B18" s="301" t="str">
        <f>'CWD 2025 Legados (com desc.)'!I249</f>
        <v>NTS MG 4</v>
      </c>
      <c r="C18" s="301">
        <f>'CWD 2025 Legados (sem desc.)'!H44</f>
        <v>4561123.937225</v>
      </c>
      <c r="D18" s="301">
        <f>SUM(C15:C18)</f>
        <v>72937137.109595001</v>
      </c>
      <c r="E18" s="302">
        <f ca="1">'CWD 2025 Legados (com desc.)'!L249</f>
        <v>3.7002500766049287</v>
      </c>
      <c r="F18" s="301">
        <f ca="1">IFERROR(C18*E18," ")</f>
        <v>16877299.19812138</v>
      </c>
      <c r="G18" s="313">
        <f ca="1">SUM(F15:F18)</f>
        <v>254383513.72608227</v>
      </c>
      <c r="H18" s="311">
        <f t="shared" ca="1" si="15"/>
        <v>3.4877090575113581</v>
      </c>
      <c r="I18" s="363"/>
      <c r="J18"/>
      <c r="L18" s="59"/>
    </row>
    <row r="19" spans="1:12" x14ac:dyDescent="0.35">
      <c r="A19" s="296" t="str">
        <f>'CWD 2025 Legados (com desc.)'!H250</f>
        <v>TEX5</v>
      </c>
      <c r="B19" s="296" t="str">
        <f>'CWD 2025 Legados (com desc.)'!I250</f>
        <v>NTS RJ 1</v>
      </c>
      <c r="C19" s="296">
        <f>'CWD 2025 Legados (sem desc.)'!H45</f>
        <v>242256949.89565501</v>
      </c>
      <c r="D19" s="296"/>
      <c r="E19" s="299">
        <f ca="1">'CWD 2025 Legados (com desc.)'!L250</f>
        <v>2.7633920875065057</v>
      </c>
      <c r="F19" s="305">
        <f t="shared" ca="1" si="14"/>
        <v>669450938.48511302</v>
      </c>
      <c r="G19" s="308"/>
      <c r="H19" s="314" t="str">
        <f t="shared" si="15"/>
        <v xml:space="preserve"> </v>
      </c>
      <c r="I19"/>
      <c r="J19"/>
      <c r="L19" s="59"/>
    </row>
    <row r="20" spans="1:12" x14ac:dyDescent="0.35">
      <c r="A20" s="296" t="str">
        <f>'CWD 2025 Legados (com desc.)'!H251</f>
        <v>TEX6</v>
      </c>
      <c r="B20" s="296" t="str">
        <f>'CWD 2025 Legados (com desc.)'!I251</f>
        <v>NTS RJ 2</v>
      </c>
      <c r="C20" s="296">
        <f>'CWD 2025 Legados (sem desc.)'!H46</f>
        <v>114450172.58600999</v>
      </c>
      <c r="D20" s="296"/>
      <c r="E20" s="299">
        <f ca="1">'CWD 2025 Legados (com desc.)'!L251</f>
        <v>2.7620907338786185</v>
      </c>
      <c r="F20" s="305">
        <f t="shared" ca="1" si="14"/>
        <v>316121761.19062686</v>
      </c>
      <c r="G20" s="309"/>
      <c r="H20" s="315" t="str">
        <f t="shared" si="15"/>
        <v xml:space="preserve"> </v>
      </c>
      <c r="I20"/>
      <c r="J20" s="332">
        <f ca="1">H18</f>
        <v>3.4877090575113581</v>
      </c>
      <c r="L20" s="59"/>
    </row>
    <row r="21" spans="1:12" x14ac:dyDescent="0.35">
      <c r="A21" s="296" t="str">
        <f>'CWD 2025 Legados (com desc.)'!H252</f>
        <v>TEX7</v>
      </c>
      <c r="B21" s="296" t="str">
        <f>'CWD 2025 Legados (com desc.)'!I252</f>
        <v>NTS RJ 3</v>
      </c>
      <c r="C21" s="296">
        <f>'CWD 2025 Legados (sem desc.)'!H47</f>
        <v>23336616.204189997</v>
      </c>
      <c r="D21" s="304"/>
      <c r="E21" s="299">
        <f ca="1">'CWD 2025 Legados (com desc.)'!L252</f>
        <v>2.8178310760003975</v>
      </c>
      <c r="F21" s="305">
        <f t="shared" ca="1" si="14"/>
        <v>65758642.348861009</v>
      </c>
      <c r="G21" s="312"/>
      <c r="H21" s="315" t="str">
        <f t="shared" si="15"/>
        <v xml:space="preserve"> </v>
      </c>
      <c r="I21" s="332"/>
      <c r="J21" s="332">
        <f ca="1">H23</f>
        <v>2.7678032861678337</v>
      </c>
      <c r="L21" s="59"/>
    </row>
    <row r="22" spans="1:12" x14ac:dyDescent="0.35">
      <c r="A22" s="296" t="str">
        <f>'CWD 2025 Legados (com desc.)'!H253</f>
        <v>TEX8</v>
      </c>
      <c r="B22" s="296" t="str">
        <f>'CWD 2025 Legados (com desc.)'!I253</f>
        <v>NTS RJ 4</v>
      </c>
      <c r="C22" s="296">
        <f>'CWD 2025 Legados (sem desc.)'!H48</f>
        <v>4397740.3932050001</v>
      </c>
      <c r="D22" s="296"/>
      <c r="E22" s="299">
        <f ca="1">'CWD 2025 Legados (com desc.)'!L253</f>
        <v>2.8900508444722885</v>
      </c>
      <c r="F22" s="305">
        <f t="shared" ca="1" si="14"/>
        <v>12709693.337152004</v>
      </c>
      <c r="G22" s="310"/>
      <c r="H22" s="316" t="str">
        <f t="shared" si="15"/>
        <v xml:space="preserve"> </v>
      </c>
      <c r="I22" s="332"/>
      <c r="J22" s="332">
        <f ca="1">H27</f>
        <v>3.2765083612854298</v>
      </c>
      <c r="L22" s="59"/>
    </row>
    <row r="23" spans="1:12" x14ac:dyDescent="0.35">
      <c r="A23" s="301" t="str">
        <f>'CWD 2025 Legados (com desc.)'!H254</f>
        <v>TEX9</v>
      </c>
      <c r="B23" s="301" t="str">
        <f>'CWD 2025 Legados (com desc.)'!I254</f>
        <v>NTS RJ 5</v>
      </c>
      <c r="C23" s="301">
        <f>'CWD 2025 Legados (sem desc.)'!H49</f>
        <v>28973348.472879995</v>
      </c>
      <c r="D23" s="301">
        <f>SUM(C19:C23)</f>
        <v>413414827.55194002</v>
      </c>
      <c r="E23" s="302">
        <f ca="1">'CWD 2025 Legados (com desc.)'!L254</f>
        <v>2.7684022425676469</v>
      </c>
      <c r="F23" s="301">
        <f t="shared" ca="1" si="14"/>
        <v>80209882.887014881</v>
      </c>
      <c r="G23" s="313">
        <f ca="1">SUM(F19:F23)</f>
        <v>1144250918.2487679</v>
      </c>
      <c r="H23" s="311">
        <f t="shared" ca="1" si="15"/>
        <v>2.7678032861678337</v>
      </c>
      <c r="I23" s="363"/>
      <c r="J23" s="332">
        <f ca="1">H29</f>
        <v>0.29751872962761944</v>
      </c>
    </row>
    <row r="24" spans="1:12" x14ac:dyDescent="0.35">
      <c r="A24" s="296" t="str">
        <f>'CWD 2025 Legados (com desc.)'!H255</f>
        <v>TEX10</v>
      </c>
      <c r="B24" s="296" t="str">
        <f>'CWD 2025 Legados (com desc.)'!I255</f>
        <v>NTS SP 1</v>
      </c>
      <c r="C24" s="296">
        <f>'CWD 2025 Legados (sem desc.)'!H50</f>
        <v>16842120.329395</v>
      </c>
      <c r="D24" s="296"/>
      <c r="E24" s="299">
        <f ca="1">'CWD 2025 Legados (com desc.)'!L255</f>
        <v>3.1026605505842655</v>
      </c>
      <c r="F24" s="305">
        <f t="shared" ca="1" si="14"/>
        <v>52255382.33420714</v>
      </c>
      <c r="G24" s="308"/>
      <c r="H24" s="314" t="str">
        <f t="shared" si="15"/>
        <v xml:space="preserve"> </v>
      </c>
      <c r="I24" s="332"/>
      <c r="J24" s="332">
        <f ca="1">H30</f>
        <v>0.25703606389410255</v>
      </c>
    </row>
    <row r="25" spans="1:12" x14ac:dyDescent="0.35">
      <c r="A25" s="296" t="str">
        <f>'CWD 2025 Legados (com desc.)'!H256</f>
        <v>TEX11</v>
      </c>
      <c r="B25" s="296" t="str">
        <f>'CWD 2025 Legados (com desc.)'!I256</f>
        <v>NTS SP 2</v>
      </c>
      <c r="C25" s="296">
        <f>'CWD 2025 Legados (sem desc.)'!H51</f>
        <v>40464657.735619992</v>
      </c>
      <c r="D25" s="296"/>
      <c r="E25" s="299">
        <f ca="1">'CWD 2025 Legados (com desc.)'!L256</f>
        <v>3.0826500503233576</v>
      </c>
      <c r="F25" s="305">
        <f t="shared" ca="1" si="14"/>
        <v>124738379.2050264</v>
      </c>
      <c r="G25" s="309"/>
      <c r="H25" s="315" t="str">
        <f t="shared" si="15"/>
        <v xml:space="preserve"> </v>
      </c>
      <c r="I25" s="332"/>
      <c r="J25" s="332"/>
    </row>
    <row r="26" spans="1:12" x14ac:dyDescent="0.35">
      <c r="A26" s="296" t="str">
        <f>'CWD 2025 Legados (com desc.)'!H257</f>
        <v>TEX12</v>
      </c>
      <c r="B26" s="296" t="str">
        <f>'CWD 2025 Legados (com desc.)'!I257</f>
        <v>NTS SP 3</v>
      </c>
      <c r="C26" s="296">
        <f>'CWD 2025 Legados (sem desc.)'!H52</f>
        <v>108500288.52461499</v>
      </c>
      <c r="D26" s="304"/>
      <c r="E26" s="299">
        <f ca="1">'CWD 2025 Legados (com desc.)'!L257</f>
        <v>3.3245323858884532</v>
      </c>
      <c r="F26" s="305">
        <f t="shared" ca="1" si="14"/>
        <v>360712723.07832384</v>
      </c>
      <c r="G26" s="318"/>
      <c r="H26" s="316" t="str">
        <f t="shared" si="15"/>
        <v xml:space="preserve"> </v>
      </c>
      <c r="I26" s="332"/>
      <c r="J26" s="332"/>
    </row>
    <row r="27" spans="1:12" x14ac:dyDescent="0.35">
      <c r="A27" s="301" t="str">
        <f>'CWD 2025 Legados (com desc.)'!H258</f>
        <v>TEX13</v>
      </c>
      <c r="B27" s="301" t="str">
        <f>'CWD 2025 Legados (com desc.)'!I258</f>
        <v>NTS SP 4</v>
      </c>
      <c r="C27" s="301">
        <f>'CWD 2025 Legados (sem desc.)'!H53</f>
        <v>44671783.994134992</v>
      </c>
      <c r="D27" s="301">
        <f>SUM(C24:C27)</f>
        <v>210478850.58376497</v>
      </c>
      <c r="E27" s="302">
        <f ca="1">'CWD 2025 Legados (com desc.)'!L258</f>
        <v>3.4010110098545008</v>
      </c>
      <c r="F27" s="301">
        <f t="shared" ca="1" si="14"/>
        <v>151929229.19389516</v>
      </c>
      <c r="G27" s="306">
        <f ca="1">SUM(F24:F27)</f>
        <v>689635713.81145263</v>
      </c>
      <c r="H27" s="307">
        <f t="shared" ca="1" si="15"/>
        <v>3.2765083612854298</v>
      </c>
      <c r="I27" s="363"/>
      <c r="J27" s="332"/>
    </row>
    <row r="28" spans="1:12" x14ac:dyDescent="0.35">
      <c r="A28" s="296" t="str">
        <f>'CWD 2025 Legados (com desc.)'!H259</f>
        <v>TEX14</v>
      </c>
      <c r="B28" s="296" t="str">
        <f>'CWD 2025 Legados (com desc.)'!I259</f>
        <v>PE-GUARAREMA (INTERCONEXÃO)</v>
      </c>
      <c r="C28" s="296">
        <f>'CWD 2025 Legados (sem desc.)'!H54</f>
        <v>0</v>
      </c>
      <c r="D28" s="296">
        <f>C28</f>
        <v>0</v>
      </c>
      <c r="E28" s="299">
        <f>'CWD 2025 Legados (com desc.)'!L259</f>
        <v>0</v>
      </c>
      <c r="F28" s="296">
        <f t="shared" si="14"/>
        <v>0</v>
      </c>
      <c r="G28" s="296">
        <f>F28</f>
        <v>0</v>
      </c>
      <c r="H28" s="300" t="str">
        <f t="shared" si="15"/>
        <v xml:space="preserve"> </v>
      </c>
      <c r="I28" s="332"/>
      <c r="J28" s="332"/>
    </row>
    <row r="29" spans="1:12" x14ac:dyDescent="0.35">
      <c r="A29" s="301" t="str">
        <f>'CWD 2025 Legados (com desc.)'!H260</f>
        <v>TEX15</v>
      </c>
      <c r="B29" s="301" t="str">
        <f>'CWD 2025 Legados (com desc.)'!I260</f>
        <v>PE-REPLAN (INTERCONEXÃO)</v>
      </c>
      <c r="C29" s="301">
        <f>'CWD 2025 Legados (sem desc.)'!H55</f>
        <v>95456835.593685001</v>
      </c>
      <c r="D29" s="301">
        <f t="shared" ref="D29:D30" si="16">C29</f>
        <v>95456835.593685001</v>
      </c>
      <c r="E29" s="302">
        <f ca="1">'CWD 2025 Legados (com desc.)'!L260</f>
        <v>0.29751872962761944</v>
      </c>
      <c r="F29" s="301">
        <f t="shared" ca="1" si="14"/>
        <v>28400196.460105687</v>
      </c>
      <c r="G29" s="301">
        <f t="shared" ref="G29:G30" ca="1" si="17">F29</f>
        <v>28400196.460105687</v>
      </c>
      <c r="H29" s="303">
        <f t="shared" ca="1" si="15"/>
        <v>0.29751872962761944</v>
      </c>
      <c r="I29" s="363"/>
      <c r="J29"/>
    </row>
    <row r="30" spans="1:12" x14ac:dyDescent="0.35">
      <c r="A30" s="296" t="str">
        <f>'CWD 2025 Legados (com desc.)'!H261</f>
        <v>TEX16</v>
      </c>
      <c r="B30" s="296" t="str">
        <f>'CWD 2025 Legados (com desc.)'!I261</f>
        <v>PE-TECAB (INTERCONEXÃO)</v>
      </c>
      <c r="C30" s="296">
        <f>'CWD 2025 Legados (sem desc.)'!H56</f>
        <v>2723059.0670000003</v>
      </c>
      <c r="D30" s="296">
        <f t="shared" si="16"/>
        <v>2723059.0670000003</v>
      </c>
      <c r="E30" s="299">
        <f ca="1">'CWD 2025 Legados (com desc.)'!L261</f>
        <v>0.25703606389410255</v>
      </c>
      <c r="F30" s="296">
        <f t="shared" ca="1" si="14"/>
        <v>699924.38433282729</v>
      </c>
      <c r="G30" s="296">
        <f t="shared" ca="1" si="17"/>
        <v>699924.38433282729</v>
      </c>
      <c r="H30" s="300">
        <f t="shared" ca="1" si="15"/>
        <v>0.25703606389410255</v>
      </c>
      <c r="I30" s="363"/>
      <c r="J30" s="66"/>
    </row>
    <row r="31" spans="1:12" x14ac:dyDescent="0.35">
      <c r="A31" s="59" t="s">
        <v>234</v>
      </c>
      <c r="C31" s="65">
        <f>SUM(C15:C30)</f>
        <v>795010709.905985</v>
      </c>
      <c r="D31" s="65">
        <f>SUM(D15:D30)</f>
        <v>795010709.90598512</v>
      </c>
      <c r="F31" s="65">
        <f ca="1">SUM(F15:F30)</f>
        <v>2117370266.6307409</v>
      </c>
      <c r="G31" s="65">
        <f ca="1">SUM(G15:G30)</f>
        <v>2117370266.6307414</v>
      </c>
    </row>
    <row r="32" spans="1:12" x14ac:dyDescent="0.35">
      <c r="C32" s="65"/>
      <c r="D32" s="65"/>
      <c r="F32" s="65"/>
      <c r="G32" s="65"/>
    </row>
    <row r="33" spans="2:3" x14ac:dyDescent="0.35">
      <c r="C33" s="63" t="s">
        <v>257</v>
      </c>
    </row>
    <row r="34" spans="2:3" x14ac:dyDescent="0.35">
      <c r="B34" s="68" t="s">
        <v>58</v>
      </c>
      <c r="C34" s="66">
        <f ca="1">H18</f>
        <v>3.4877090575113581</v>
      </c>
    </row>
    <row r="35" spans="2:3" x14ac:dyDescent="0.35">
      <c r="B35" s="68" t="s">
        <v>69</v>
      </c>
      <c r="C35" s="66">
        <f ca="1">H23</f>
        <v>2.7678032861678337</v>
      </c>
    </row>
    <row r="36" spans="2:3" x14ac:dyDescent="0.35">
      <c r="B36" s="68" t="s">
        <v>258</v>
      </c>
      <c r="C36" s="66">
        <f ca="1">H27</f>
        <v>3.2765083612854298</v>
      </c>
    </row>
    <row r="37" spans="2:3" x14ac:dyDescent="0.35">
      <c r="B37" s="132" t="s">
        <v>269</v>
      </c>
      <c r="C37" s="66" t="str">
        <f>H28</f>
        <v xml:space="preserve"> </v>
      </c>
    </row>
    <row r="38" spans="2:3" x14ac:dyDescent="0.35">
      <c r="B38" s="132" t="s">
        <v>268</v>
      </c>
      <c r="C38" s="66">
        <f t="shared" ref="C38:C39" ca="1" si="18">H29</f>
        <v>0.29751872962761944</v>
      </c>
    </row>
    <row r="39" spans="2:3" x14ac:dyDescent="0.35">
      <c r="B39" s="132" t="s">
        <v>267</v>
      </c>
      <c r="C39" s="66">
        <f t="shared" ca="1" si="18"/>
        <v>0.25703606389410255</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9FA3-82D7-4ABA-889B-BD329CFCF182}">
  <sheetPr codeName="Planilha15">
    <tabColor theme="4" tint="0.79998168889431442"/>
  </sheetPr>
  <dimension ref="B1:X95"/>
  <sheetViews>
    <sheetView showGridLines="0" workbookViewId="0">
      <selection activeCell="E4" sqref="E4"/>
    </sheetView>
  </sheetViews>
  <sheetFormatPr defaultRowHeight="14.5" x14ac:dyDescent="0.35"/>
  <cols>
    <col min="1" max="1" width="1.1796875" customWidth="1"/>
    <col min="2" max="2" width="25.1796875" customWidth="1"/>
    <col min="3" max="3" width="15.26953125" customWidth="1"/>
    <col min="4" max="4" width="15.7265625" bestFit="1" customWidth="1"/>
    <col min="5" max="5" width="14.7265625" bestFit="1" customWidth="1"/>
    <col min="6" max="6" width="16.7265625" customWidth="1"/>
    <col min="7" max="7" width="14.7265625" bestFit="1" customWidth="1"/>
    <col min="8" max="8" width="15.7265625" customWidth="1"/>
    <col min="9" max="9" width="16.453125" customWidth="1"/>
    <col min="10" max="10" width="16.26953125" customWidth="1"/>
    <col min="11" max="11" width="14.81640625" bestFit="1" customWidth="1"/>
  </cols>
  <sheetData>
    <row r="1" spans="2:10" ht="6.75" customHeight="1" x14ac:dyDescent="0.35"/>
    <row r="2" spans="2:10" ht="7.5" customHeight="1" x14ac:dyDescent="0.35"/>
    <row r="3" spans="2:10" ht="29" x14ac:dyDescent="0.35">
      <c r="B3" s="236" t="s">
        <v>471</v>
      </c>
      <c r="C3" s="236" t="s">
        <v>479</v>
      </c>
      <c r="D3" s="236" t="s">
        <v>483</v>
      </c>
      <c r="E3" s="236" t="s">
        <v>489</v>
      </c>
      <c r="F3" s="236" t="s">
        <v>495</v>
      </c>
      <c r="G3" s="236" t="s">
        <v>25</v>
      </c>
      <c r="H3" s="236" t="s">
        <v>480</v>
      </c>
      <c r="I3" s="236" t="s">
        <v>481</v>
      </c>
      <c r="J3" s="236" t="s">
        <v>482</v>
      </c>
    </row>
    <row r="4" spans="2:10" x14ac:dyDescent="0.35">
      <c r="B4" s="237" t="s">
        <v>448</v>
      </c>
      <c r="C4" s="238">
        <f ca="1">'Tarifa Ponderada Legados 2025'!$D2+'Tarifa Ponderada GASIG 2025'!$D2</f>
        <v>6.1258166813042774</v>
      </c>
      <c r="D4" s="238">
        <f ca="1">'Tarifa Ponderada Legados 2025'!$D3+'Tarifa Ponderada GASIG 2025'!$D3</f>
        <v>5.4846263619751641</v>
      </c>
      <c r="E4" s="238">
        <f ca="1">'Tarifa Ponderada Legados 2025'!$D4+'Tarifa Ponderada GASIG 2025'!$D4</f>
        <v>5.6280628057316147</v>
      </c>
      <c r="F4" s="238">
        <f ca="1">'Tarifa Ponderada Legados 2025'!$D5+'Tarifa Ponderada GASIG 2025'!$D5</f>
        <v>0.56629232320295741</v>
      </c>
      <c r="G4" s="238">
        <f ca="1">'Tarifa Ponderada Legados 2025'!$D8+'Tarifa Ponderada GASIG 2025'!$D8</f>
        <v>6.0500898743972416</v>
      </c>
      <c r="H4" s="238">
        <f ca="1">'Tarifa Ponderada Legados 2025'!$D9+'Tarifa Ponderada GASIG 2025'!$D9</f>
        <v>0.5267981608883735</v>
      </c>
      <c r="I4" s="238">
        <f ca="1">'Tarifa Ponderada Legados 2025'!$D10+'Tarifa Ponderada GASIG 2025'!$D10</f>
        <v>0.56629232320295741</v>
      </c>
      <c r="J4" s="238">
        <f ca="1">'Tarifa Ponderada Legados 2025'!$D11+'Tarifa Ponderada GASIG 2025'!$D11</f>
        <v>0.55332881797929101</v>
      </c>
    </row>
    <row r="5" spans="2:10" ht="5.25" customHeight="1" x14ac:dyDescent="0.35"/>
    <row r="6" spans="2:10" x14ac:dyDescent="0.35">
      <c r="B6" s="239" t="s">
        <v>473</v>
      </c>
      <c r="C6" s="240">
        <f ca="1">'Tarifa Ponderada Legados 2025'!$H$18+'Tarifa Ponderada GASIG 2025'!$H$18</f>
        <v>3.5185772910535316</v>
      </c>
      <c r="D6" s="240">
        <f ca="1">'Tarifa Ponderada Legados 2025'!$H$18+'Tarifa Ponderada GASIG 2025'!$H$18</f>
        <v>3.5185772910535316</v>
      </c>
      <c r="E6" s="240">
        <f ca="1">'Tarifa Ponderada Legados 2025'!$H$18+'Tarifa Ponderada GASIG 2025'!$H$18</f>
        <v>3.5185772910535316</v>
      </c>
      <c r="F6" s="240">
        <f ca="1">'Tarifa Ponderada Legados 2025'!$H$18+'Tarifa Ponderada GASIG 2025'!$H$18</f>
        <v>3.5185772910535316</v>
      </c>
      <c r="G6" s="240">
        <f ca="1">'Tarifa Ponderada Legados 2025'!$H$18+'Tarifa Ponderada GASIG 2025'!$H$18</f>
        <v>3.5185772910535316</v>
      </c>
      <c r="H6" s="240">
        <f ca="1">'Tarifa Ponderada Legados 2025'!$H$18+'Tarifa Ponderada GASIG 2025'!$H$18</f>
        <v>3.5185772910535316</v>
      </c>
      <c r="I6" s="240">
        <f ca="1">'Tarifa Ponderada Legados 2025'!$H$18+'Tarifa Ponderada GASIG 2025'!$H$18</f>
        <v>3.5185772910535316</v>
      </c>
      <c r="J6" s="240">
        <f ca="1">'Tarifa Ponderada Legados 2025'!$H$18+'Tarifa Ponderada GASIG 2025'!$H$18</f>
        <v>3.5185772910535316</v>
      </c>
    </row>
    <row r="7" spans="2:10" x14ac:dyDescent="0.35">
      <c r="B7" s="241" t="s">
        <v>478</v>
      </c>
      <c r="C7" s="242">
        <f ca="1">C4+C6</f>
        <v>9.6443939723578094</v>
      </c>
      <c r="D7" s="242">
        <f t="shared" ref="D7:J7" ca="1" si="0">D4+D6</f>
        <v>9.0032036530286952</v>
      </c>
      <c r="E7" s="242">
        <f t="shared" ca="1" si="0"/>
        <v>9.1466400967851467</v>
      </c>
      <c r="F7" s="242">
        <f t="shared" ca="1" si="0"/>
        <v>4.0848696142564886</v>
      </c>
      <c r="G7" s="242">
        <f t="shared" ca="1" si="0"/>
        <v>9.5686671654507727</v>
      </c>
      <c r="H7" s="242">
        <f t="shared" ca="1" si="0"/>
        <v>4.0453754519419052</v>
      </c>
      <c r="I7" s="242">
        <f t="shared" ca="1" si="0"/>
        <v>4.0848696142564886</v>
      </c>
      <c r="J7" s="242">
        <f t="shared" ca="1" si="0"/>
        <v>4.0719061090328221</v>
      </c>
    </row>
    <row r="8" spans="2:10" ht="5.25" customHeight="1" x14ac:dyDescent="0.35"/>
    <row r="9" spans="2:10" x14ac:dyDescent="0.35">
      <c r="B9" s="239" t="s">
        <v>474</v>
      </c>
      <c r="C9" s="240">
        <f ca="1">'Tarifa Ponderada Legados 2025'!$H$27+'Tarifa Ponderada GASIG 2025'!$H$27</f>
        <v>3.3053924672152868</v>
      </c>
      <c r="D9" s="240">
        <f ca="1">C9</f>
        <v>3.3053924672152868</v>
      </c>
      <c r="E9" s="240">
        <f t="shared" ref="E9" ca="1" si="1">D9</f>
        <v>3.3053924672152868</v>
      </c>
      <c r="F9" s="240" t="s">
        <v>494</v>
      </c>
      <c r="G9" s="240">
        <f ca="1">E9</f>
        <v>3.3053924672152868</v>
      </c>
      <c r="H9" s="240">
        <f t="shared" ref="H9" ca="1" si="2">G9</f>
        <v>3.3053924672152868</v>
      </c>
      <c r="I9" s="240">
        <f t="shared" ref="I9" ca="1" si="3">H9</f>
        <v>3.3053924672152868</v>
      </c>
      <c r="J9" s="240">
        <f t="shared" ref="J9" ca="1" si="4">I9</f>
        <v>3.3053924672152868</v>
      </c>
    </row>
    <row r="10" spans="2:10" x14ac:dyDescent="0.35">
      <c r="B10" s="241" t="s">
        <v>478</v>
      </c>
      <c r="C10" s="242">
        <f ca="1">C4+C9</f>
        <v>9.4312091485195637</v>
      </c>
      <c r="D10" s="242">
        <f t="shared" ref="D10:J10" ca="1" si="5">D4+D9</f>
        <v>8.7900188291904513</v>
      </c>
      <c r="E10" s="242">
        <f t="shared" ca="1" si="5"/>
        <v>8.933455272946901</v>
      </c>
      <c r="F10" s="242" t="s">
        <v>494</v>
      </c>
      <c r="G10" s="242">
        <f t="shared" ca="1" si="5"/>
        <v>9.3554823416125288</v>
      </c>
      <c r="H10" s="242">
        <f t="shared" ca="1" si="5"/>
        <v>3.8321906281036604</v>
      </c>
      <c r="I10" s="242">
        <f t="shared" ca="1" si="5"/>
        <v>3.8716847904182443</v>
      </c>
      <c r="J10" s="242">
        <f t="shared" ca="1" si="5"/>
        <v>3.8587212851945778</v>
      </c>
    </row>
    <row r="11" spans="2:10" ht="5.25" customHeight="1" x14ac:dyDescent="0.35"/>
    <row r="12" spans="2:10" x14ac:dyDescent="0.35">
      <c r="B12" s="239" t="s">
        <v>475</v>
      </c>
      <c r="C12" s="240">
        <f ca="1">'Tarifa Ponderada Legados 2025'!$H$23+'Tarifa Ponderada GASIG 2025'!$H$23</f>
        <v>2.7917075130511662</v>
      </c>
      <c r="D12" s="240">
        <f ca="1">C12</f>
        <v>2.7917075130511662</v>
      </c>
      <c r="E12" s="240">
        <f t="shared" ref="E12" ca="1" si="6">D12</f>
        <v>2.7917075130511662</v>
      </c>
      <c r="F12" s="240" t="s">
        <v>494</v>
      </c>
      <c r="G12" s="240">
        <f ca="1">E12</f>
        <v>2.7917075130511662</v>
      </c>
      <c r="H12" s="240">
        <f t="shared" ref="H12" ca="1" si="7">G12</f>
        <v>2.7917075130511662</v>
      </c>
      <c r="I12" s="240">
        <f t="shared" ref="I12" ca="1" si="8">H12</f>
        <v>2.7917075130511662</v>
      </c>
      <c r="J12" s="240">
        <f t="shared" ref="J12" ca="1" si="9">I12</f>
        <v>2.7917075130511662</v>
      </c>
    </row>
    <row r="13" spans="2:10" x14ac:dyDescent="0.35">
      <c r="B13" s="241" t="s">
        <v>478</v>
      </c>
      <c r="C13" s="243">
        <f ca="1">C4+C12</f>
        <v>8.917524194355444</v>
      </c>
      <c r="D13" s="243">
        <f t="shared" ref="D13:J13" ca="1" si="10">D4+D12</f>
        <v>8.2763338750263298</v>
      </c>
      <c r="E13" s="243">
        <f t="shared" ca="1" si="10"/>
        <v>8.4197703187827813</v>
      </c>
      <c r="F13" s="243" t="s">
        <v>494</v>
      </c>
      <c r="G13" s="243">
        <f t="shared" ca="1" si="10"/>
        <v>8.8417973874484073</v>
      </c>
      <c r="H13" s="243">
        <f t="shared" ca="1" si="10"/>
        <v>3.3185056739395398</v>
      </c>
      <c r="I13" s="243">
        <f t="shared" ca="1" si="10"/>
        <v>3.3579998362541237</v>
      </c>
      <c r="J13" s="243">
        <f t="shared" ca="1" si="10"/>
        <v>3.3450363310304572</v>
      </c>
    </row>
    <row r="14" spans="2:10" ht="5.25" customHeight="1" x14ac:dyDescent="0.35"/>
    <row r="15" spans="2:10" x14ac:dyDescent="0.35">
      <c r="B15" s="239" t="s">
        <v>476</v>
      </c>
      <c r="C15" s="240">
        <f ca="1">'Tarifa Ponderada Legados 2025'!$H$29+'Tarifa Ponderada GASIG 2025'!$H$29</f>
        <v>0.30008190821056324</v>
      </c>
      <c r="D15" s="240">
        <f ca="1">C15</f>
        <v>0.30008190821056324</v>
      </c>
      <c r="E15" s="240">
        <f t="shared" ref="E15" ca="1" si="11">D15</f>
        <v>0.30008190821056324</v>
      </c>
      <c r="F15" s="240" t="s">
        <v>494</v>
      </c>
      <c r="G15" s="240">
        <f ca="1">E15</f>
        <v>0.30008190821056324</v>
      </c>
      <c r="H15" s="240">
        <f t="shared" ref="H15" ca="1" si="12">G15</f>
        <v>0.30008190821056324</v>
      </c>
      <c r="I15" s="240">
        <f t="shared" ref="I15" ca="1" si="13">H15</f>
        <v>0.30008190821056324</v>
      </c>
      <c r="J15" s="240">
        <f t="shared" ref="J15" ca="1" si="14">I15</f>
        <v>0.30008190821056324</v>
      </c>
    </row>
    <row r="16" spans="2:10" x14ac:dyDescent="0.35">
      <c r="B16" s="241" t="s">
        <v>478</v>
      </c>
      <c r="C16" s="243">
        <f ca="1">C4+C15</f>
        <v>6.4258985895148406</v>
      </c>
      <c r="D16" s="243">
        <f t="shared" ref="D16:J16" ca="1" si="15">D4+D15</f>
        <v>5.7847082701857273</v>
      </c>
      <c r="E16" s="243">
        <f t="shared" ca="1" si="15"/>
        <v>5.9281447139421779</v>
      </c>
      <c r="F16" s="243" t="s">
        <v>494</v>
      </c>
      <c r="G16" s="243">
        <f t="shared" ca="1" si="15"/>
        <v>6.3501717826078048</v>
      </c>
      <c r="H16" s="243">
        <f t="shared" ca="1" si="15"/>
        <v>0.82688006909893674</v>
      </c>
      <c r="I16" s="243">
        <f t="shared" ca="1" si="15"/>
        <v>0.86637423141352066</v>
      </c>
      <c r="J16" s="243">
        <f t="shared" ca="1" si="15"/>
        <v>0.85341072618985425</v>
      </c>
    </row>
    <row r="17" spans="2:10" ht="5.25" customHeight="1" x14ac:dyDescent="0.35"/>
    <row r="18" spans="2:10" x14ac:dyDescent="0.35">
      <c r="B18" s="239" t="s">
        <v>477</v>
      </c>
      <c r="C18" s="240">
        <f ca="1">'Tarifa Ponderada Legados 2025'!$H$30+'Tarifa Ponderada GASIG 2025'!$H$30</f>
        <v>0.25927391490414453</v>
      </c>
      <c r="D18" s="240">
        <f ca="1">C18</f>
        <v>0.25927391490414453</v>
      </c>
      <c r="E18" s="240">
        <f t="shared" ref="E18" ca="1" si="16">D18</f>
        <v>0.25927391490414453</v>
      </c>
      <c r="F18" s="240" t="s">
        <v>494</v>
      </c>
      <c r="G18" s="240">
        <f ca="1">E18</f>
        <v>0.25927391490414453</v>
      </c>
      <c r="H18" s="240">
        <f t="shared" ref="H18" ca="1" si="17">G18</f>
        <v>0.25927391490414453</v>
      </c>
      <c r="I18" s="240">
        <f t="shared" ref="I18" ca="1" si="18">H18</f>
        <v>0.25927391490414453</v>
      </c>
      <c r="J18" s="240">
        <f t="shared" ref="J18" ca="1" si="19">I18</f>
        <v>0.25927391490414453</v>
      </c>
    </row>
    <row r="19" spans="2:10" x14ac:dyDescent="0.35">
      <c r="B19" s="241" t="s">
        <v>478</v>
      </c>
      <c r="C19" s="243">
        <f ca="1">C4+C18</f>
        <v>6.3850905962084221</v>
      </c>
      <c r="D19" s="243">
        <f t="shared" ref="D19:J19" ca="1" si="20">D4+D18</f>
        <v>5.7439002768793088</v>
      </c>
      <c r="E19" s="243">
        <f t="shared" ca="1" si="20"/>
        <v>5.8873367206357594</v>
      </c>
      <c r="F19" s="243" t="s">
        <v>494</v>
      </c>
      <c r="G19" s="243">
        <f t="shared" ca="1" si="20"/>
        <v>6.3093637893013863</v>
      </c>
      <c r="H19" s="243">
        <f t="shared" ca="1" si="20"/>
        <v>0.78607207579251803</v>
      </c>
      <c r="I19" s="243">
        <f t="shared" ca="1" si="20"/>
        <v>0.82556623810710195</v>
      </c>
      <c r="J19" s="243">
        <f t="shared" ca="1" si="20"/>
        <v>0.81260273288343554</v>
      </c>
    </row>
    <row r="22" spans="2:10" ht="29" x14ac:dyDescent="0.35">
      <c r="B22" s="236" t="s">
        <v>520</v>
      </c>
      <c r="C22" s="236" t="s">
        <v>479</v>
      </c>
      <c r="D22" s="236" t="s">
        <v>483</v>
      </c>
      <c r="E22" s="236" t="s">
        <v>489</v>
      </c>
      <c r="F22" s="236" t="s">
        <v>495</v>
      </c>
      <c r="G22" s="236" t="s">
        <v>25</v>
      </c>
      <c r="H22" s="236" t="s">
        <v>480</v>
      </c>
      <c r="I22" s="236" t="s">
        <v>481</v>
      </c>
      <c r="J22" s="236" t="s">
        <v>482</v>
      </c>
    </row>
    <row r="23" spans="2:10" x14ac:dyDescent="0.35">
      <c r="B23" s="237" t="s">
        <v>448</v>
      </c>
      <c r="C23" s="238">
        <f ca="1">'Tarifa Ponderada Legados 2026'!D2+'Tarifa Ponderada GASIG 2026'!D2</f>
        <v>6.2737938322003926</v>
      </c>
      <c r="D23" s="238">
        <f ca="1">'Tarifa Ponderada Legados 2026'!D3+'Tarifa Ponderada GASIG 2026'!D3</f>
        <v>5.617274059071371</v>
      </c>
      <c r="E23" s="238">
        <f ca="1">'Tarifa Ponderada Legados 2026'!D4+'Tarifa Ponderada GASIG 2026'!D4</f>
        <v>5.7641402198761069</v>
      </c>
      <c r="F23" s="238">
        <f ca="1">'Tarifa Ponderada Legados 2026'!D5+'Tarifa Ponderada GASIG 2026'!D5</f>
        <v>0.579886619843764</v>
      </c>
      <c r="G23" s="238">
        <f ca="1">'Tarifa Ponderada Legados 2026'!D8+'Tarifa Ponderada GASIG 2026'!D8</f>
        <v>6.1962593696135713</v>
      </c>
      <c r="H23" s="238">
        <f ca="1">'Tarifa Ponderada Legados 2026'!D9+'Tarifa Ponderada GASIG 2026'!D9</f>
        <v>0.53944953376480842</v>
      </c>
      <c r="I23" s="238">
        <f ca="1">'Tarifa Ponderada Legados 2026'!D10+'Tarifa Ponderada GASIG 2026'!D10</f>
        <v>0.579886619843764</v>
      </c>
      <c r="J23" s="238">
        <f ca="1">'Tarifa Ponderada Legados 2026'!D11+'Tarifa Ponderada GASIG 2026'!D11</f>
        <v>0.56661317690269908</v>
      </c>
    </row>
    <row r="24" spans="2:10" ht="5.25" customHeight="1" x14ac:dyDescent="0.35"/>
    <row r="25" spans="2:10" x14ac:dyDescent="0.35">
      <c r="B25" s="239" t="s">
        <v>473</v>
      </c>
      <c r="C25" s="240">
        <f ca="1">'Tarifa Ponderada Legados 2026'!$H$18+'Tarifa Ponderada GASIG 2026'!$H$18</f>
        <v>3.596605417654799</v>
      </c>
      <c r="D25" s="240">
        <f ca="1">$C$25</f>
        <v>3.596605417654799</v>
      </c>
      <c r="E25" s="240">
        <f t="shared" ref="E25:J25" ca="1" si="21">$C$25</f>
        <v>3.596605417654799</v>
      </c>
      <c r="F25" s="240">
        <f t="shared" ca="1" si="21"/>
        <v>3.596605417654799</v>
      </c>
      <c r="G25" s="240">
        <f t="shared" ca="1" si="21"/>
        <v>3.596605417654799</v>
      </c>
      <c r="H25" s="240">
        <f t="shared" ca="1" si="21"/>
        <v>3.596605417654799</v>
      </c>
      <c r="I25" s="240">
        <f t="shared" ca="1" si="21"/>
        <v>3.596605417654799</v>
      </c>
      <c r="J25" s="240">
        <f t="shared" ca="1" si="21"/>
        <v>3.596605417654799</v>
      </c>
    </row>
    <row r="26" spans="2:10" x14ac:dyDescent="0.35">
      <c r="B26" s="241" t="s">
        <v>478</v>
      </c>
      <c r="C26" s="242">
        <f ca="1">C23+C25</f>
        <v>9.8703992498551916</v>
      </c>
      <c r="D26" s="242">
        <f t="shared" ref="D26:J26" ca="1" si="22">D23+D25</f>
        <v>9.21387947672617</v>
      </c>
      <c r="E26" s="242">
        <f t="shared" ca="1" si="22"/>
        <v>9.3607456375309059</v>
      </c>
      <c r="F26" s="242">
        <f t="shared" ca="1" si="22"/>
        <v>4.176492037498563</v>
      </c>
      <c r="G26" s="242">
        <f t="shared" ca="1" si="22"/>
        <v>9.7928647872683712</v>
      </c>
      <c r="H26" s="242">
        <f t="shared" ca="1" si="22"/>
        <v>4.1360549514196077</v>
      </c>
      <c r="I26" s="242">
        <f t="shared" ca="1" si="22"/>
        <v>4.176492037498563</v>
      </c>
      <c r="J26" s="242">
        <f t="shared" ca="1" si="22"/>
        <v>4.163218594557498</v>
      </c>
    </row>
    <row r="27" spans="2:10" ht="5.25" customHeight="1" x14ac:dyDescent="0.35"/>
    <row r="28" spans="2:10" x14ac:dyDescent="0.35">
      <c r="B28" s="239" t="s">
        <v>474</v>
      </c>
      <c r="C28" s="240">
        <f ca="1">'Tarifa Ponderada Legados 2026'!$H$27+'Tarifa Ponderada GASIG 2026'!$H$27</f>
        <v>3.3783408593756366</v>
      </c>
      <c r="D28" s="240">
        <f ca="1">C28</f>
        <v>3.3783408593756366</v>
      </c>
      <c r="E28" s="240">
        <f t="shared" ref="E28" ca="1" si="23">D28</f>
        <v>3.3783408593756366</v>
      </c>
      <c r="F28" s="240" t="s">
        <v>494</v>
      </c>
      <c r="G28" s="240">
        <f ca="1">E28</f>
        <v>3.3783408593756366</v>
      </c>
      <c r="H28" s="240">
        <f t="shared" ref="H28" ca="1" si="24">G28</f>
        <v>3.3783408593756366</v>
      </c>
      <c r="I28" s="240">
        <f t="shared" ref="I28" ca="1" si="25">H28</f>
        <v>3.3783408593756366</v>
      </c>
      <c r="J28" s="240">
        <f t="shared" ref="J28" ca="1" si="26">I28</f>
        <v>3.3783408593756366</v>
      </c>
    </row>
    <row r="29" spans="2:10" x14ac:dyDescent="0.35">
      <c r="B29" s="241" t="s">
        <v>478</v>
      </c>
      <c r="C29" s="242">
        <f ca="1">C23+C28</f>
        <v>9.6521346915760287</v>
      </c>
      <c r="D29" s="242">
        <f t="shared" ref="D29:J29" ca="1" si="27">D23+D28</f>
        <v>8.9956149184470071</v>
      </c>
      <c r="E29" s="242">
        <f t="shared" ca="1" si="27"/>
        <v>9.142481079251743</v>
      </c>
      <c r="F29" s="242" t="s">
        <v>494</v>
      </c>
      <c r="G29" s="242">
        <f t="shared" ca="1" si="27"/>
        <v>9.5746002289892083</v>
      </c>
      <c r="H29" s="242">
        <f t="shared" ca="1" si="27"/>
        <v>3.9177903931404447</v>
      </c>
      <c r="I29" s="242">
        <f t="shared" ca="1" si="27"/>
        <v>3.9582274792194005</v>
      </c>
      <c r="J29" s="242">
        <f t="shared" ca="1" si="27"/>
        <v>3.9449540362783355</v>
      </c>
    </row>
    <row r="30" spans="2:10" ht="5.25" customHeight="1" x14ac:dyDescent="0.35"/>
    <row r="31" spans="2:10" x14ac:dyDescent="0.35">
      <c r="B31" s="239" t="s">
        <v>475</v>
      </c>
      <c r="C31" s="240">
        <f ca="1">'Tarifa Ponderada Legados 2026'!$H$23+'Tarifa Ponderada GASIG 2026'!$H$23</f>
        <v>2.8540042378304626</v>
      </c>
      <c r="D31" s="240">
        <f ca="1">C31</f>
        <v>2.8540042378304626</v>
      </c>
      <c r="E31" s="240">
        <f t="shared" ref="E31" ca="1" si="28">D31</f>
        <v>2.8540042378304626</v>
      </c>
      <c r="F31" s="240" t="s">
        <v>494</v>
      </c>
      <c r="G31" s="240">
        <f ca="1">E31</f>
        <v>2.8540042378304626</v>
      </c>
      <c r="H31" s="240">
        <f t="shared" ref="H31" ca="1" si="29">G31</f>
        <v>2.8540042378304626</v>
      </c>
      <c r="I31" s="240">
        <f t="shared" ref="I31" ca="1" si="30">H31</f>
        <v>2.8540042378304626</v>
      </c>
      <c r="J31" s="240">
        <f t="shared" ref="J31" ca="1" si="31">I31</f>
        <v>2.8540042378304626</v>
      </c>
    </row>
    <row r="32" spans="2:10" x14ac:dyDescent="0.35">
      <c r="B32" s="241" t="s">
        <v>478</v>
      </c>
      <c r="C32" s="243">
        <f ca="1">C23+C31</f>
        <v>9.1277980700308561</v>
      </c>
      <c r="D32" s="243">
        <f t="shared" ref="D32:J32" ca="1" si="32">D23+D31</f>
        <v>8.4712782969018328</v>
      </c>
      <c r="E32" s="243">
        <f t="shared" ca="1" si="32"/>
        <v>8.6181444577065704</v>
      </c>
      <c r="F32" s="243" t="s">
        <v>494</v>
      </c>
      <c r="G32" s="243">
        <f t="shared" ca="1" si="32"/>
        <v>9.0502636074440339</v>
      </c>
      <c r="H32" s="243">
        <f t="shared" ca="1" si="32"/>
        <v>3.3934537715952713</v>
      </c>
      <c r="I32" s="243">
        <f t="shared" ca="1" si="32"/>
        <v>3.4338908576742266</v>
      </c>
      <c r="J32" s="243">
        <f t="shared" ca="1" si="32"/>
        <v>3.4206174147331616</v>
      </c>
    </row>
    <row r="33" spans="2:10" ht="5.25" customHeight="1" x14ac:dyDescent="0.35"/>
    <row r="34" spans="2:10" x14ac:dyDescent="0.35">
      <c r="B34" s="239" t="s">
        <v>476</v>
      </c>
      <c r="C34" s="240">
        <f ca="1">'Tarifa Ponderada Legados 2026'!$H$29+'Tarifa Ponderada GASIG 2026'!$H$29</f>
        <v>0.30671161831997923</v>
      </c>
      <c r="D34" s="240">
        <f ca="1">C34</f>
        <v>0.30671161831997923</v>
      </c>
      <c r="E34" s="240">
        <f t="shared" ref="E34" ca="1" si="33">D34</f>
        <v>0.30671161831997923</v>
      </c>
      <c r="F34" s="240" t="s">
        <v>494</v>
      </c>
      <c r="G34" s="240">
        <f ca="1">E34</f>
        <v>0.30671161831997923</v>
      </c>
      <c r="H34" s="240">
        <f t="shared" ref="H34" ca="1" si="34">G34</f>
        <v>0.30671161831997923</v>
      </c>
      <c r="I34" s="240">
        <f t="shared" ref="I34" ca="1" si="35">H34</f>
        <v>0.30671161831997923</v>
      </c>
      <c r="J34" s="240">
        <f t="shared" ref="J34" ca="1" si="36">I34</f>
        <v>0.30671161831997923</v>
      </c>
    </row>
    <row r="35" spans="2:10" x14ac:dyDescent="0.35">
      <c r="B35" s="241" t="s">
        <v>478</v>
      </c>
      <c r="C35" s="243">
        <f ca="1">C23+C34</f>
        <v>6.5805054505203717</v>
      </c>
      <c r="D35" s="243">
        <f t="shared" ref="D35:J35" ca="1" si="37">D23+D34</f>
        <v>5.9239856773913502</v>
      </c>
      <c r="E35" s="243">
        <f t="shared" ca="1" si="37"/>
        <v>6.0708518381960861</v>
      </c>
      <c r="F35" s="243" t="s">
        <v>494</v>
      </c>
      <c r="G35" s="243">
        <f t="shared" ca="1" si="37"/>
        <v>6.5029709879335504</v>
      </c>
      <c r="H35" s="243">
        <f t="shared" ca="1" si="37"/>
        <v>0.84616115208478759</v>
      </c>
      <c r="I35" s="243">
        <f t="shared" ca="1" si="37"/>
        <v>0.88659823816374317</v>
      </c>
      <c r="J35" s="243">
        <f t="shared" ca="1" si="37"/>
        <v>0.87332479522267836</v>
      </c>
    </row>
    <row r="36" spans="2:10" ht="5.25" customHeight="1" x14ac:dyDescent="0.35"/>
    <row r="37" spans="2:10" x14ac:dyDescent="0.35">
      <c r="B37" s="239" t="s">
        <v>477</v>
      </c>
      <c r="C37" s="240">
        <f ca="1">'Tarifa Ponderada Legados 2026'!$H$30+'Tarifa Ponderada GASIG 2026'!$H$30</f>
        <v>0.26505806646984537</v>
      </c>
      <c r="D37" s="240">
        <f ca="1">C37</f>
        <v>0.26505806646984537</v>
      </c>
      <c r="E37" s="240">
        <f t="shared" ref="E37" ca="1" si="38">D37</f>
        <v>0.26505806646984537</v>
      </c>
      <c r="F37" s="240" t="s">
        <v>494</v>
      </c>
      <c r="G37" s="240">
        <f ca="1">E37</f>
        <v>0.26505806646984537</v>
      </c>
      <c r="H37" s="240">
        <f t="shared" ref="H37" ca="1" si="39">G37</f>
        <v>0.26505806646984537</v>
      </c>
      <c r="I37" s="240">
        <f t="shared" ref="I37" ca="1" si="40">H37</f>
        <v>0.26505806646984537</v>
      </c>
      <c r="J37" s="240">
        <f t="shared" ref="J37" ca="1" si="41">I37</f>
        <v>0.26505806646984537</v>
      </c>
    </row>
    <row r="38" spans="2:10" x14ac:dyDescent="0.35">
      <c r="B38" s="241" t="s">
        <v>478</v>
      </c>
      <c r="C38" s="243">
        <f ca="1">C23+C37</f>
        <v>6.538851898670238</v>
      </c>
      <c r="D38" s="243">
        <f t="shared" ref="D38:J38" ca="1" si="42">D23+D37</f>
        <v>5.8823321255412164</v>
      </c>
      <c r="E38" s="243">
        <f t="shared" ca="1" si="42"/>
        <v>6.0291982863459523</v>
      </c>
      <c r="F38" s="243" t="s">
        <v>494</v>
      </c>
      <c r="G38" s="243">
        <f t="shared" ca="1" si="42"/>
        <v>6.4613174360834167</v>
      </c>
      <c r="H38" s="243">
        <f t="shared" ca="1" si="42"/>
        <v>0.80450760023465384</v>
      </c>
      <c r="I38" s="243">
        <f t="shared" ca="1" si="42"/>
        <v>0.84494468631360942</v>
      </c>
      <c r="J38" s="243">
        <f t="shared" ca="1" si="42"/>
        <v>0.83167124337254439</v>
      </c>
    </row>
    <row r="41" spans="2:10" ht="29" x14ac:dyDescent="0.35">
      <c r="B41" s="236" t="s">
        <v>521</v>
      </c>
      <c r="C41" s="236" t="s">
        <v>479</v>
      </c>
      <c r="D41" s="236" t="s">
        <v>483</v>
      </c>
      <c r="E41" s="236" t="s">
        <v>489</v>
      </c>
      <c r="F41" s="236" t="s">
        <v>495</v>
      </c>
      <c r="G41" s="236" t="s">
        <v>25</v>
      </c>
      <c r="H41" s="236" t="s">
        <v>480</v>
      </c>
      <c r="I41" s="236" t="s">
        <v>481</v>
      </c>
      <c r="J41" s="236" t="s">
        <v>482</v>
      </c>
    </row>
    <row r="42" spans="2:10" x14ac:dyDescent="0.35">
      <c r="B42" s="237" t="s">
        <v>448</v>
      </c>
      <c r="C42" s="238">
        <f ca="1">'Tarifa Ponderada Legados 2027'!D2+'Tarifa Ponderada GASIG 2027'!D2</f>
        <v>6.2744678893581529</v>
      </c>
      <c r="D42" s="238">
        <f ca="1">'Tarifa Ponderada Legados 2027'!D3+'Tarifa Ponderada GASIG 2027'!D3</f>
        <v>5.6178855696808299</v>
      </c>
      <c r="E42" s="238">
        <f ca="1">'Tarifa Ponderada Legados 2027'!D4+'Tarifa Ponderada GASIG 2027'!D4</f>
        <v>5.7647657216940473</v>
      </c>
      <c r="F42" s="238">
        <f ca="1">'Tarifa Ponderada Legados 2027'!D5+'Tarifa Ponderada GASIG 2027'!D5</f>
        <v>0.5799438965898962</v>
      </c>
      <c r="G42" s="238">
        <f ca="1">'Tarifa Ponderada Legados 2027'!D8+'Tarifa Ponderada GASIG 2027'!D8</f>
        <v>6.1969260357992093</v>
      </c>
      <c r="H42" s="238">
        <f ca="1">'Tarifa Ponderada Legados 2027'!D9+'Tarifa Ponderada GASIG 2027'!D9</f>
        <v>0.5395031262349077</v>
      </c>
      <c r="I42" s="238">
        <f ca="1">'Tarifa Ponderada Legados 2027'!D10+'Tarifa Ponderada GASIG 2027'!D10</f>
        <v>0.5799438965898962</v>
      </c>
      <c r="J42" s="238">
        <f ca="1">'Tarifa Ponderada Legados 2027'!D11+'Tarifa Ponderada GASIG 2027'!D11</f>
        <v>0.56666924483132364</v>
      </c>
    </row>
    <row r="43" spans="2:10" ht="5.15" customHeight="1" x14ac:dyDescent="0.35"/>
    <row r="44" spans="2:10" x14ac:dyDescent="0.35">
      <c r="B44" s="239" t="s">
        <v>473</v>
      </c>
      <c r="C44" s="240">
        <f ca="1">'Tarifa Ponderada Legados 2027'!$H$18+'Tarifa Ponderada GASIG 2027'!$H$18</f>
        <v>3.5965982230358637</v>
      </c>
      <c r="D44" s="240">
        <f ca="1">$C$44</f>
        <v>3.5965982230358637</v>
      </c>
      <c r="E44" s="240">
        <f t="shared" ref="E44:J44" ca="1" si="43">$C$44</f>
        <v>3.5965982230358637</v>
      </c>
      <c r="F44" s="240">
        <f t="shared" ca="1" si="43"/>
        <v>3.5965982230358637</v>
      </c>
      <c r="G44" s="240">
        <f t="shared" ca="1" si="43"/>
        <v>3.5965982230358637</v>
      </c>
      <c r="H44" s="240">
        <f t="shared" ca="1" si="43"/>
        <v>3.5965982230358637</v>
      </c>
      <c r="I44" s="240">
        <f t="shared" ca="1" si="43"/>
        <v>3.5965982230358637</v>
      </c>
      <c r="J44" s="240">
        <f t="shared" ca="1" si="43"/>
        <v>3.5965982230358637</v>
      </c>
    </row>
    <row r="45" spans="2:10" x14ac:dyDescent="0.35">
      <c r="B45" s="241" t="s">
        <v>478</v>
      </c>
      <c r="C45" s="242">
        <f ca="1">C42+C44</f>
        <v>9.8710661123940167</v>
      </c>
      <c r="D45" s="242">
        <f t="shared" ref="D45:J45" ca="1" si="44">D42+D44</f>
        <v>9.2144837927166936</v>
      </c>
      <c r="E45" s="242">
        <f t="shared" ca="1" si="44"/>
        <v>9.3613639447299111</v>
      </c>
      <c r="F45" s="242">
        <f t="shared" ca="1" si="44"/>
        <v>4.1765421196257595</v>
      </c>
      <c r="G45" s="242">
        <f t="shared" ca="1" si="44"/>
        <v>9.7935242588350739</v>
      </c>
      <c r="H45" s="242">
        <f t="shared" ca="1" si="44"/>
        <v>4.1361013492707714</v>
      </c>
      <c r="I45" s="242">
        <f t="shared" ca="1" si="44"/>
        <v>4.1765421196257595</v>
      </c>
      <c r="J45" s="242">
        <f t="shared" ca="1" si="44"/>
        <v>4.163267467867187</v>
      </c>
    </row>
    <row r="46" spans="2:10" ht="5.15" customHeight="1" x14ac:dyDescent="0.35"/>
    <row r="47" spans="2:10" x14ac:dyDescent="0.35">
      <c r="B47" s="239" t="s">
        <v>474</v>
      </c>
      <c r="C47" s="240">
        <f ca="1">'Tarifa Ponderada Legados 2027'!$H$27+'Tarifa Ponderada GASIG 2027'!$H$27</f>
        <v>3.3783142019411669</v>
      </c>
      <c r="D47" s="240">
        <f ca="1">$C$47</f>
        <v>3.3783142019411669</v>
      </c>
      <c r="E47" s="240">
        <f ca="1">$C$47</f>
        <v>3.3783142019411669</v>
      </c>
      <c r="F47" s="240" t="s">
        <v>494</v>
      </c>
      <c r="G47" s="240">
        <f ca="1">$C$47</f>
        <v>3.3783142019411669</v>
      </c>
      <c r="H47" s="240">
        <f t="shared" ref="H47:J47" ca="1" si="45">$C$47</f>
        <v>3.3783142019411669</v>
      </c>
      <c r="I47" s="240">
        <f t="shared" ca="1" si="45"/>
        <v>3.3783142019411669</v>
      </c>
      <c r="J47" s="240">
        <f t="shared" ca="1" si="45"/>
        <v>3.3783142019411669</v>
      </c>
    </row>
    <row r="48" spans="2:10" x14ac:dyDescent="0.35">
      <c r="B48" s="241" t="s">
        <v>478</v>
      </c>
      <c r="C48" s="242">
        <f ca="1">C42+C47</f>
        <v>9.6527820912993203</v>
      </c>
      <c r="D48" s="242">
        <f t="shared" ref="D48:E48" ca="1" si="46">D42+D47</f>
        <v>8.9961997716219972</v>
      </c>
      <c r="E48" s="242">
        <f t="shared" ca="1" si="46"/>
        <v>9.1430799236352147</v>
      </c>
      <c r="F48" s="242" t="s">
        <v>494</v>
      </c>
      <c r="G48" s="242">
        <f t="shared" ref="G48:J48" ca="1" si="47">G42+G47</f>
        <v>9.5752402377403758</v>
      </c>
      <c r="H48" s="242">
        <f t="shared" ca="1" si="47"/>
        <v>3.9178173281760746</v>
      </c>
      <c r="I48" s="242">
        <f t="shared" ca="1" si="47"/>
        <v>3.9582580985310631</v>
      </c>
      <c r="J48" s="242">
        <f t="shared" ca="1" si="47"/>
        <v>3.9449834467724907</v>
      </c>
    </row>
    <row r="49" spans="2:10" ht="5.15" customHeight="1" x14ac:dyDescent="0.35"/>
    <row r="50" spans="2:10" x14ac:dyDescent="0.35">
      <c r="B50" s="239" t="s">
        <v>475</v>
      </c>
      <c r="C50" s="240">
        <f ca="1">'Tarifa Ponderada Legados 2027'!$H$23+'Tarifa Ponderada GASIG 2027'!$H$23</f>
        <v>2.8540195415532637</v>
      </c>
      <c r="D50" s="240">
        <f ca="1">$C$50</f>
        <v>2.8540195415532637</v>
      </c>
      <c r="E50" s="240">
        <f ca="1">$C$50</f>
        <v>2.8540195415532637</v>
      </c>
      <c r="F50" s="240" t="s">
        <v>494</v>
      </c>
      <c r="G50" s="240">
        <f ca="1">$C$50</f>
        <v>2.8540195415532637</v>
      </c>
      <c r="H50" s="240">
        <f t="shared" ref="H50:J50" ca="1" si="48">$C$50</f>
        <v>2.8540195415532637</v>
      </c>
      <c r="I50" s="240">
        <f t="shared" ca="1" si="48"/>
        <v>2.8540195415532637</v>
      </c>
      <c r="J50" s="240">
        <f t="shared" ca="1" si="48"/>
        <v>2.8540195415532637</v>
      </c>
    </row>
    <row r="51" spans="2:10" x14ac:dyDescent="0.35">
      <c r="B51" s="241" t="s">
        <v>478</v>
      </c>
      <c r="C51" s="243">
        <f ca="1">C42+C50</f>
        <v>9.1284874309114166</v>
      </c>
      <c r="D51" s="243">
        <f t="shared" ref="D51:E51" ca="1" si="49">D42+D50</f>
        <v>8.4719051112340935</v>
      </c>
      <c r="E51" s="243">
        <f t="shared" ca="1" si="49"/>
        <v>8.618785263247311</v>
      </c>
      <c r="F51" s="243" t="s">
        <v>494</v>
      </c>
      <c r="G51" s="243">
        <f t="shared" ref="G51:J51" ca="1" si="50">G42+G50</f>
        <v>9.0509455773524721</v>
      </c>
      <c r="H51" s="243">
        <f t="shared" ca="1" si="50"/>
        <v>3.3935226677881714</v>
      </c>
      <c r="I51" s="243">
        <f t="shared" ca="1" si="50"/>
        <v>3.4339634381431599</v>
      </c>
      <c r="J51" s="243">
        <f t="shared" ca="1" si="50"/>
        <v>3.4206887863845874</v>
      </c>
    </row>
    <row r="52" spans="2:10" ht="5.15" customHeight="1" x14ac:dyDescent="0.35"/>
    <row r="53" spans="2:10" x14ac:dyDescent="0.35">
      <c r="B53" s="239" t="s">
        <v>476</v>
      </c>
      <c r="C53" s="240">
        <f ca="1">'Tarifa Ponderada Legados 2027'!$H$29+'Tarifa Ponderada GASIG 2027'!$H$29</f>
        <v>0.30670951962612969</v>
      </c>
      <c r="D53" s="240">
        <f ca="1">$C$53</f>
        <v>0.30670951962612969</v>
      </c>
      <c r="E53" s="240">
        <f ca="1">$C$53</f>
        <v>0.30670951962612969</v>
      </c>
      <c r="F53" s="240" t="s">
        <v>494</v>
      </c>
      <c r="G53" s="240">
        <f t="shared" ref="G53:J53" ca="1" si="51">$C$53</f>
        <v>0.30670951962612969</v>
      </c>
      <c r="H53" s="240">
        <f t="shared" ca="1" si="51"/>
        <v>0.30670951962612969</v>
      </c>
      <c r="I53" s="240">
        <f t="shared" ca="1" si="51"/>
        <v>0.30670951962612969</v>
      </c>
      <c r="J53" s="240">
        <f t="shared" ca="1" si="51"/>
        <v>0.30670951962612969</v>
      </c>
    </row>
    <row r="54" spans="2:10" x14ac:dyDescent="0.35">
      <c r="B54" s="241" t="s">
        <v>478</v>
      </c>
      <c r="C54" s="243">
        <f ca="1">C42+C53</f>
        <v>6.5811774089842823</v>
      </c>
      <c r="D54" s="243">
        <f t="shared" ref="D54:E54" ca="1" si="52">D42+D53</f>
        <v>5.9245950893069592</v>
      </c>
      <c r="E54" s="243">
        <f t="shared" ca="1" si="52"/>
        <v>6.0714752413201767</v>
      </c>
      <c r="F54" s="243" t="s">
        <v>494</v>
      </c>
      <c r="G54" s="243">
        <f t="shared" ref="G54:J54" ca="1" si="53">G42+G53</f>
        <v>6.5036355554253387</v>
      </c>
      <c r="H54" s="243">
        <f t="shared" ca="1" si="53"/>
        <v>0.84621264586103739</v>
      </c>
      <c r="I54" s="243">
        <f t="shared" ca="1" si="53"/>
        <v>0.88665341621602589</v>
      </c>
      <c r="J54" s="243">
        <f t="shared" ca="1" si="53"/>
        <v>0.87337876445745333</v>
      </c>
    </row>
    <row r="55" spans="2:10" ht="5.15" customHeight="1" x14ac:dyDescent="0.35"/>
    <row r="56" spans="2:10" x14ac:dyDescent="0.35">
      <c r="B56" s="239" t="s">
        <v>477</v>
      </c>
      <c r="C56" s="240">
        <f ca="1">'Tarifa Ponderada Legados 2027'!$H$30+'Tarifa Ponderada GASIG 2027'!$H$30</f>
        <v>0.26505942448327074</v>
      </c>
      <c r="D56" s="240">
        <f ca="1">$C$56</f>
        <v>0.26505942448327074</v>
      </c>
      <c r="E56" s="240">
        <f ca="1">$C$56</f>
        <v>0.26505942448327074</v>
      </c>
      <c r="F56" s="240" t="s">
        <v>494</v>
      </c>
      <c r="G56" s="240">
        <f t="shared" ref="G56:J56" ca="1" si="54">$C$56</f>
        <v>0.26505942448327074</v>
      </c>
      <c r="H56" s="240">
        <f t="shared" ca="1" si="54"/>
        <v>0.26505942448327074</v>
      </c>
      <c r="I56" s="240">
        <f t="shared" ca="1" si="54"/>
        <v>0.26505942448327074</v>
      </c>
      <c r="J56" s="240">
        <f t="shared" ca="1" si="54"/>
        <v>0.26505942448327074</v>
      </c>
    </row>
    <row r="57" spans="2:10" x14ac:dyDescent="0.35">
      <c r="B57" s="241" t="s">
        <v>478</v>
      </c>
      <c r="C57" s="243">
        <f ca="1">C42+C56</f>
        <v>6.5395273138414236</v>
      </c>
      <c r="D57" s="243">
        <f t="shared" ref="D57:E57" ca="1" si="55">D42+D56</f>
        <v>5.8829449941641005</v>
      </c>
      <c r="E57" s="243">
        <f t="shared" ca="1" si="55"/>
        <v>6.029825146177318</v>
      </c>
      <c r="F57" s="243" t="s">
        <v>494</v>
      </c>
      <c r="G57" s="243">
        <f t="shared" ref="G57:J57" ca="1" si="56">G42+G56</f>
        <v>6.46198546028248</v>
      </c>
      <c r="H57" s="243">
        <f t="shared" ca="1" si="56"/>
        <v>0.80456255071817839</v>
      </c>
      <c r="I57" s="243">
        <f t="shared" ca="1" si="56"/>
        <v>0.84500332107316689</v>
      </c>
      <c r="J57" s="243">
        <f t="shared" ca="1" si="56"/>
        <v>0.83172866931459444</v>
      </c>
    </row>
    <row r="60" spans="2:10" ht="29" x14ac:dyDescent="0.35">
      <c r="B60" s="236" t="s">
        <v>522</v>
      </c>
      <c r="C60" s="236" t="s">
        <v>479</v>
      </c>
      <c r="D60" s="236" t="s">
        <v>483</v>
      </c>
      <c r="E60" s="236" t="s">
        <v>489</v>
      </c>
      <c r="F60" s="236" t="s">
        <v>495</v>
      </c>
      <c r="G60" s="236" t="s">
        <v>25</v>
      </c>
      <c r="H60" s="236" t="s">
        <v>480</v>
      </c>
      <c r="I60" s="236" t="s">
        <v>481</v>
      </c>
      <c r="J60" s="236" t="s">
        <v>482</v>
      </c>
    </row>
    <row r="61" spans="2:10" x14ac:dyDescent="0.35">
      <c r="B61" s="237" t="s">
        <v>448</v>
      </c>
      <c r="C61" s="238">
        <f ca="1">'Tarifa Ponderada Legados 2028'!D2+'Tarifa Ponderada GASIG 2028'!D2</f>
        <v>6.272927401245366</v>
      </c>
      <c r="D61" s="238">
        <f ca="1">'Tarifa Ponderada Legados 2028'!D3+'Tarifa Ponderada GASIG 2028'!D3</f>
        <v>5.6164880275851097</v>
      </c>
      <c r="E61" s="238">
        <f ca="1">'Tarifa Ponderada Legados 2028'!D4+'Tarifa Ponderada GASIG 2028'!D4</f>
        <v>5.7633362036124822</v>
      </c>
      <c r="F61" s="238">
        <f ca="1">'Tarifa Ponderada Legados 2028'!D5+'Tarifa Ponderada GASIG 2028'!D5</f>
        <v>0.57981299497837624</v>
      </c>
      <c r="G61" s="238">
        <f ca="1">'Tarifa Ponderada Legados 2028'!D8+'Tarifa Ponderada GASIG 2028'!D8</f>
        <v>6.1954024392648561</v>
      </c>
      <c r="H61" s="238">
        <f ca="1">'Tarifa Ponderada Legados 2028'!D9+'Tarifa Ponderada GASIG 2028'!D9</f>
        <v>0.53938064483870563</v>
      </c>
      <c r="I61" s="238">
        <f ca="1">'Tarifa Ponderada Legados 2028'!D10+'Tarifa Ponderada GASIG 2028'!D10</f>
        <v>0.57981299497837624</v>
      </c>
      <c r="J61" s="238">
        <f ca="1">'Tarifa Ponderada Legados 2028'!D11+'Tarifa Ponderada GASIG 2028'!D11</f>
        <v>0.56654110590758755</v>
      </c>
    </row>
    <row r="62" spans="2:10" ht="5.15" customHeight="1" x14ac:dyDescent="0.35"/>
    <row r="63" spans="2:10" x14ac:dyDescent="0.35">
      <c r="B63" s="239" t="s">
        <v>473</v>
      </c>
      <c r="C63" s="240">
        <f ca="1">'Tarifa Ponderada Legados 2028'!$H$18+'Tarifa Ponderada GASIG 2028'!$H$18</f>
        <v>3.5966146658383522</v>
      </c>
      <c r="D63" s="240">
        <f ca="1">$C$63</f>
        <v>3.5966146658383522</v>
      </c>
      <c r="E63" s="240">
        <f t="shared" ref="E63:J63" ca="1" si="57">$C$63</f>
        <v>3.5966146658383522</v>
      </c>
      <c r="F63" s="240">
        <f t="shared" ca="1" si="57"/>
        <v>3.5966146658383522</v>
      </c>
      <c r="G63" s="240">
        <f t="shared" ca="1" si="57"/>
        <v>3.5966146658383522</v>
      </c>
      <c r="H63" s="240">
        <f t="shared" ca="1" si="57"/>
        <v>3.5966146658383522</v>
      </c>
      <c r="I63" s="240">
        <f t="shared" ca="1" si="57"/>
        <v>3.5966146658383522</v>
      </c>
      <c r="J63" s="240">
        <f t="shared" ca="1" si="57"/>
        <v>3.5966146658383522</v>
      </c>
    </row>
    <row r="64" spans="2:10" x14ac:dyDescent="0.35">
      <c r="B64" s="241" t="s">
        <v>478</v>
      </c>
      <c r="C64" s="242">
        <f ca="1">C61+C63</f>
        <v>9.8695420670837173</v>
      </c>
      <c r="D64" s="242">
        <f t="shared" ref="D64:J64" ca="1" si="58">D61+D63</f>
        <v>9.2131026934234619</v>
      </c>
      <c r="E64" s="242">
        <f t="shared" ca="1" si="58"/>
        <v>9.3599508694508344</v>
      </c>
      <c r="F64" s="242">
        <f t="shared" ca="1" si="58"/>
        <v>4.1764276608167288</v>
      </c>
      <c r="G64" s="242">
        <f t="shared" ca="1" si="58"/>
        <v>9.7920171051032092</v>
      </c>
      <c r="H64" s="242">
        <f t="shared" ca="1" si="58"/>
        <v>4.1359953106770577</v>
      </c>
      <c r="I64" s="242">
        <f t="shared" ca="1" si="58"/>
        <v>4.1764276608167288</v>
      </c>
      <c r="J64" s="242">
        <f t="shared" ca="1" si="58"/>
        <v>4.1631557717459398</v>
      </c>
    </row>
    <row r="65" spans="2:10" ht="5.15" customHeight="1" x14ac:dyDescent="0.35"/>
    <row r="66" spans="2:10" x14ac:dyDescent="0.35">
      <c r="B66" s="239" t="s">
        <v>474</v>
      </c>
      <c r="C66" s="240">
        <f ca="1">'Tarifa Ponderada Legados 2028'!$H$27+'Tarifa Ponderada GASIG 2028'!$H$27</f>
        <v>3.3783751256706647</v>
      </c>
      <c r="D66" s="240">
        <f ca="1">$C$66</f>
        <v>3.3783751256706647</v>
      </c>
      <c r="E66" s="240">
        <f t="shared" ref="E66" ca="1" si="59">$C$66</f>
        <v>3.3783751256706647</v>
      </c>
      <c r="F66" s="240" t="s">
        <v>494</v>
      </c>
      <c r="G66" s="240">
        <f t="shared" ref="G66:J66" ca="1" si="60">$C$66</f>
        <v>3.3783751256706647</v>
      </c>
      <c r="H66" s="240">
        <f t="shared" ca="1" si="60"/>
        <v>3.3783751256706647</v>
      </c>
      <c r="I66" s="240">
        <f t="shared" ca="1" si="60"/>
        <v>3.3783751256706647</v>
      </c>
      <c r="J66" s="240">
        <f t="shared" ca="1" si="60"/>
        <v>3.3783751256706647</v>
      </c>
    </row>
    <row r="67" spans="2:10" x14ac:dyDescent="0.35">
      <c r="B67" s="241" t="s">
        <v>478</v>
      </c>
      <c r="C67" s="242">
        <f ca="1">C61+C66</f>
        <v>9.6513025269160302</v>
      </c>
      <c r="D67" s="242">
        <f t="shared" ref="D67:E67" ca="1" si="61">D61+D66</f>
        <v>8.9948631532557748</v>
      </c>
      <c r="E67" s="242">
        <f t="shared" ca="1" si="61"/>
        <v>9.1417113292831473</v>
      </c>
      <c r="F67" s="242" t="s">
        <v>494</v>
      </c>
      <c r="G67" s="242">
        <f t="shared" ref="G67:J67" ca="1" si="62">G61+G66</f>
        <v>9.5737775649355203</v>
      </c>
      <c r="H67" s="242">
        <f t="shared" ca="1" si="62"/>
        <v>3.9177557705093702</v>
      </c>
      <c r="I67" s="242">
        <f t="shared" ca="1" si="62"/>
        <v>3.9581881206490408</v>
      </c>
      <c r="J67" s="242">
        <f t="shared" ca="1" si="62"/>
        <v>3.9449162315782522</v>
      </c>
    </row>
    <row r="68" spans="2:10" ht="5.15" customHeight="1" x14ac:dyDescent="0.35"/>
    <row r="69" spans="2:10" x14ac:dyDescent="0.35">
      <c r="B69" s="239" t="s">
        <v>475</v>
      </c>
      <c r="C69" s="240">
        <f ca="1">'Tarifa Ponderada Legados 2028'!$H$23+'Tarifa Ponderada GASIG 2028'!$H$23</f>
        <v>2.8539845659413423</v>
      </c>
      <c r="D69" s="240">
        <f ca="1">$C$69</f>
        <v>2.8539845659413423</v>
      </c>
      <c r="E69" s="240">
        <f ca="1">$C$69</f>
        <v>2.8539845659413423</v>
      </c>
      <c r="F69" s="240" t="s">
        <v>494</v>
      </c>
      <c r="G69" s="240">
        <f t="shared" ref="G69:J69" ca="1" si="63">$C$69</f>
        <v>2.8539845659413423</v>
      </c>
      <c r="H69" s="240">
        <f t="shared" ca="1" si="63"/>
        <v>2.8539845659413423</v>
      </c>
      <c r="I69" s="240">
        <f t="shared" ca="1" si="63"/>
        <v>2.8539845659413423</v>
      </c>
      <c r="J69" s="240">
        <f t="shared" ca="1" si="63"/>
        <v>2.8539845659413423</v>
      </c>
    </row>
    <row r="70" spans="2:10" x14ac:dyDescent="0.35">
      <c r="B70" s="241" t="s">
        <v>478</v>
      </c>
      <c r="C70" s="243">
        <f ca="1">C61+C69</f>
        <v>9.1269119671867074</v>
      </c>
      <c r="D70" s="243">
        <f t="shared" ref="D70:E70" ca="1" si="64">D61+D69</f>
        <v>8.470472593526452</v>
      </c>
      <c r="E70" s="243">
        <f t="shared" ca="1" si="64"/>
        <v>8.6173207695538245</v>
      </c>
      <c r="F70" s="243" t="s">
        <v>494</v>
      </c>
      <c r="G70" s="243">
        <f t="shared" ref="G70:J70" ca="1" si="65">G61+G69</f>
        <v>9.0493870052061993</v>
      </c>
      <c r="H70" s="243">
        <f t="shared" ca="1" si="65"/>
        <v>3.3933652107800478</v>
      </c>
      <c r="I70" s="243">
        <f t="shared" ca="1" si="65"/>
        <v>3.4337975609197184</v>
      </c>
      <c r="J70" s="243">
        <f t="shared" ca="1" si="65"/>
        <v>3.4205256718489299</v>
      </c>
    </row>
    <row r="71" spans="2:10" ht="5.15" customHeight="1" x14ac:dyDescent="0.35"/>
    <row r="72" spans="2:10" x14ac:dyDescent="0.35">
      <c r="B72" s="239" t="s">
        <v>476</v>
      </c>
      <c r="C72" s="240">
        <f ca="1">'Tarifa Ponderada Legados 2028'!$H$29+'Tarifa Ponderada GASIG 2028'!$H$29</f>
        <v>0.30671431607858263</v>
      </c>
      <c r="D72" s="240">
        <f ca="1">$C$72</f>
        <v>0.30671431607858263</v>
      </c>
      <c r="E72" s="240">
        <f ca="1">$C$72</f>
        <v>0.30671431607858263</v>
      </c>
      <c r="F72" s="240" t="s">
        <v>494</v>
      </c>
      <c r="G72" s="240">
        <f t="shared" ref="G72:J72" ca="1" si="66">$C$72</f>
        <v>0.30671431607858263</v>
      </c>
      <c r="H72" s="240">
        <f t="shared" ca="1" si="66"/>
        <v>0.30671431607858263</v>
      </c>
      <c r="I72" s="240">
        <f t="shared" ca="1" si="66"/>
        <v>0.30671431607858263</v>
      </c>
      <c r="J72" s="240">
        <f t="shared" ca="1" si="66"/>
        <v>0.30671431607858263</v>
      </c>
    </row>
    <row r="73" spans="2:10" x14ac:dyDescent="0.35">
      <c r="B73" s="241" t="s">
        <v>478</v>
      </c>
      <c r="C73" s="243">
        <f ca="1">C61+C72</f>
        <v>6.5796417173239483</v>
      </c>
      <c r="D73" s="243">
        <f t="shared" ref="D73:E73" ca="1" si="67">D61+D72</f>
        <v>5.923202343663692</v>
      </c>
      <c r="E73" s="243">
        <f t="shared" ca="1" si="67"/>
        <v>6.0700505196910646</v>
      </c>
      <c r="F73" s="243" t="s">
        <v>494</v>
      </c>
      <c r="G73" s="243">
        <f t="shared" ref="G73:J73" ca="1" si="68">G61+G72</f>
        <v>6.5021167553434385</v>
      </c>
      <c r="H73" s="243">
        <f t="shared" ca="1" si="68"/>
        <v>0.84609496091728831</v>
      </c>
      <c r="I73" s="243">
        <f t="shared" ca="1" si="68"/>
        <v>0.88652731105695892</v>
      </c>
      <c r="J73" s="243">
        <f t="shared" ca="1" si="68"/>
        <v>0.87325542198617012</v>
      </c>
    </row>
    <row r="74" spans="2:10" ht="5.15" customHeight="1" x14ac:dyDescent="0.35"/>
    <row r="75" spans="2:10" x14ac:dyDescent="0.35">
      <c r="B75" s="239" t="s">
        <v>477</v>
      </c>
      <c r="C75" s="240">
        <f ca="1">'Tarifa Ponderada Legados 2028'!$H$30+'Tarifa Ponderada GASIG 2028'!$H$30</f>
        <v>0.2650563208167066</v>
      </c>
      <c r="D75" s="240">
        <f ca="1">$C$75</f>
        <v>0.2650563208167066</v>
      </c>
      <c r="E75" s="240">
        <f ca="1">$C$75</f>
        <v>0.2650563208167066</v>
      </c>
      <c r="F75" s="240" t="s">
        <v>494</v>
      </c>
      <c r="G75" s="240">
        <f t="shared" ref="G75:J75" ca="1" si="69">$C$75</f>
        <v>0.2650563208167066</v>
      </c>
      <c r="H75" s="240">
        <f t="shared" ca="1" si="69"/>
        <v>0.2650563208167066</v>
      </c>
      <c r="I75" s="240">
        <f t="shared" ca="1" si="69"/>
        <v>0.2650563208167066</v>
      </c>
      <c r="J75" s="240">
        <f t="shared" ca="1" si="69"/>
        <v>0.2650563208167066</v>
      </c>
    </row>
    <row r="76" spans="2:10" x14ac:dyDescent="0.35">
      <c r="B76" s="241" t="s">
        <v>478</v>
      </c>
      <c r="C76" s="243">
        <f ca="1">C61+C75</f>
        <v>6.5379837220620729</v>
      </c>
      <c r="D76" s="243">
        <f t="shared" ref="D76:E76" ca="1" si="70">D61+D75</f>
        <v>5.8815443484018166</v>
      </c>
      <c r="E76" s="243">
        <f t="shared" ca="1" si="70"/>
        <v>6.0283925244291892</v>
      </c>
      <c r="F76" s="243" t="s">
        <v>494</v>
      </c>
      <c r="G76" s="243">
        <f t="shared" ref="G76:J76" ca="1" si="71">G61+G75</f>
        <v>6.4604587600815631</v>
      </c>
      <c r="H76" s="243">
        <f t="shared" ca="1" si="71"/>
        <v>0.80443696565541223</v>
      </c>
      <c r="I76" s="243">
        <f t="shared" ca="1" si="71"/>
        <v>0.84486931579508284</v>
      </c>
      <c r="J76" s="243">
        <f t="shared" ca="1" si="71"/>
        <v>0.83159742672429415</v>
      </c>
    </row>
    <row r="79" spans="2:10" ht="29" x14ac:dyDescent="0.35">
      <c r="B79" s="236" t="s">
        <v>525</v>
      </c>
      <c r="C79" s="236" t="s">
        <v>479</v>
      </c>
      <c r="D79" s="236" t="s">
        <v>483</v>
      </c>
      <c r="E79" s="236" t="s">
        <v>489</v>
      </c>
      <c r="F79" s="236" t="s">
        <v>495</v>
      </c>
      <c r="G79" s="236" t="s">
        <v>25</v>
      </c>
      <c r="H79" s="236" t="s">
        <v>480</v>
      </c>
      <c r="I79" s="236" t="s">
        <v>481</v>
      </c>
      <c r="J79" s="236" t="s">
        <v>482</v>
      </c>
    </row>
    <row r="80" spans="2:10" x14ac:dyDescent="0.35">
      <c r="B80" s="237" t="s">
        <v>448</v>
      </c>
      <c r="C80" s="238">
        <f ca="1">'Tarifa Ponderada Legado 2029'!D2+'Tarifa Ponderada GASIG 2029'!D2</f>
        <v>6.272927401245366</v>
      </c>
      <c r="D80" s="238">
        <f ca="1">'Tarifa Ponderada Legado 2029'!D3+'Tarifa Ponderada GASIG 2029'!D3</f>
        <v>5.6164880275851097</v>
      </c>
      <c r="E80" s="238">
        <f ca="1">'Tarifa Ponderada Legado 2029'!D4+'Tarifa Ponderada GASIG 2029'!D4</f>
        <v>5.7633362036124822</v>
      </c>
      <c r="F80" s="238">
        <f ca="1">'Tarifa Ponderada Legado 2029'!D5+'Tarifa Ponderada GASIG 2029'!D5</f>
        <v>0.57981299497837624</v>
      </c>
      <c r="G80" s="238">
        <f ca="1">'Tarifa Ponderada Legado 2029'!D8+'Tarifa Ponderada GASIG 2029'!D8</f>
        <v>6.1954024392648561</v>
      </c>
      <c r="H80" s="238">
        <f ca="1">'Tarifa Ponderada Legado 2029'!D9+'Tarifa Ponderada GASIG 2029'!D9</f>
        <v>0.53938064483870563</v>
      </c>
      <c r="I80" s="238">
        <f ca="1">'Tarifa Ponderada Legado 2029'!D10+'Tarifa Ponderada GASIG 2029'!D10</f>
        <v>0.57981299497837624</v>
      </c>
      <c r="J80" s="238">
        <f ca="1">'Tarifa Ponderada Legado 2029'!D11+'Tarifa Ponderada GASIG 2029'!D11</f>
        <v>0.56654110590758755</v>
      </c>
    </row>
    <row r="81" spans="2:24" ht="5.25" customHeight="1" x14ac:dyDescent="0.35"/>
    <row r="82" spans="2:24" x14ac:dyDescent="0.35">
      <c r="B82" s="239" t="s">
        <v>473</v>
      </c>
      <c r="C82" s="240">
        <f ca="1">'Tarifa Ponderada Legado 2029'!$H$18+'Tarifa Ponderada GASIG 2029'!$H$18</f>
        <v>3.5966146658383522</v>
      </c>
      <c r="D82" s="240">
        <f ca="1">$C$82</f>
        <v>3.5966146658383522</v>
      </c>
      <c r="E82" s="240">
        <f t="shared" ref="E82:J82" ca="1" si="72">$C$82</f>
        <v>3.5966146658383522</v>
      </c>
      <c r="F82" s="240">
        <f t="shared" ca="1" si="72"/>
        <v>3.5966146658383522</v>
      </c>
      <c r="G82" s="240">
        <f t="shared" ca="1" si="72"/>
        <v>3.5966146658383522</v>
      </c>
      <c r="H82" s="240">
        <f t="shared" ca="1" si="72"/>
        <v>3.5966146658383522</v>
      </c>
      <c r="I82" s="240">
        <f t="shared" ca="1" si="72"/>
        <v>3.5966146658383522</v>
      </c>
      <c r="J82" s="240">
        <f t="shared" ca="1" si="72"/>
        <v>3.5966146658383522</v>
      </c>
    </row>
    <row r="83" spans="2:24" x14ac:dyDescent="0.35">
      <c r="B83" s="241" t="s">
        <v>478</v>
      </c>
      <c r="C83" s="242">
        <f ca="1">C80+C82</f>
        <v>9.8695420670837173</v>
      </c>
      <c r="D83" s="242">
        <f t="shared" ref="D83:J83" ca="1" si="73">D80+D82</f>
        <v>9.2131026934234619</v>
      </c>
      <c r="E83" s="242">
        <f t="shared" ca="1" si="73"/>
        <v>9.3599508694508344</v>
      </c>
      <c r="F83" s="242">
        <f t="shared" ca="1" si="73"/>
        <v>4.1764276608167288</v>
      </c>
      <c r="G83" s="242">
        <f t="shared" ca="1" si="73"/>
        <v>9.7920171051032092</v>
      </c>
      <c r="H83" s="242">
        <f t="shared" ca="1" si="73"/>
        <v>4.1359953106770577</v>
      </c>
      <c r="I83" s="242">
        <f t="shared" ca="1" si="73"/>
        <v>4.1764276608167288</v>
      </c>
      <c r="J83" s="242">
        <f t="shared" ca="1" si="73"/>
        <v>4.1631557717459398</v>
      </c>
    </row>
    <row r="84" spans="2:24" ht="6" customHeight="1" x14ac:dyDescent="0.35"/>
    <row r="85" spans="2:24" x14ac:dyDescent="0.35">
      <c r="B85" s="239" t="s">
        <v>474</v>
      </c>
      <c r="C85" s="240">
        <f ca="1">'Tarifa Ponderada Legado 2029'!$H$27+'Tarifa Ponderada GASIG 2029'!$H$27</f>
        <v>3.3783751256706647</v>
      </c>
      <c r="D85" s="240">
        <f ca="1">$C$85</f>
        <v>3.3783751256706647</v>
      </c>
      <c r="E85" s="240">
        <f ca="1">$C$85</f>
        <v>3.3783751256706647</v>
      </c>
      <c r="F85" s="240" t="s">
        <v>494</v>
      </c>
      <c r="G85" s="240">
        <f t="shared" ref="G85:J85" ca="1" si="74">$C$85</f>
        <v>3.3783751256706647</v>
      </c>
      <c r="H85" s="240">
        <f t="shared" ca="1" si="74"/>
        <v>3.3783751256706647</v>
      </c>
      <c r="I85" s="240">
        <f t="shared" ca="1" si="74"/>
        <v>3.3783751256706647</v>
      </c>
      <c r="J85" s="240">
        <f t="shared" ca="1" si="74"/>
        <v>3.3783751256706647</v>
      </c>
    </row>
    <row r="86" spans="2:24" x14ac:dyDescent="0.35">
      <c r="B86" s="241" t="s">
        <v>478</v>
      </c>
      <c r="C86" s="242">
        <f ca="1">C80+C85</f>
        <v>9.6513025269160302</v>
      </c>
      <c r="D86" s="242">
        <f t="shared" ref="D86:E86" ca="1" si="75">D80+D85</f>
        <v>8.9948631532557748</v>
      </c>
      <c r="E86" s="242">
        <f t="shared" ca="1" si="75"/>
        <v>9.1417113292831473</v>
      </c>
      <c r="F86" s="242" t="s">
        <v>494</v>
      </c>
      <c r="G86" s="242">
        <f t="shared" ref="G86:J86" ca="1" si="76">G80+G85</f>
        <v>9.5737775649355203</v>
      </c>
      <c r="H86" s="242">
        <f t="shared" ca="1" si="76"/>
        <v>3.9177557705093702</v>
      </c>
      <c r="I86" s="242">
        <f t="shared" ca="1" si="76"/>
        <v>3.9581881206490408</v>
      </c>
      <c r="J86" s="242">
        <f t="shared" ca="1" si="76"/>
        <v>3.9449162315782522</v>
      </c>
    </row>
    <row r="87" spans="2:24" ht="6.75" customHeight="1" x14ac:dyDescent="0.35"/>
    <row r="88" spans="2:24" x14ac:dyDescent="0.35">
      <c r="B88" s="239" t="s">
        <v>475</v>
      </c>
      <c r="C88" s="240">
        <f ca="1">'Tarifa Ponderada Legado 2029'!$H$23+'Tarifa Ponderada GASIG 2029'!$H$23</f>
        <v>2.8539845659413423</v>
      </c>
      <c r="D88" s="240">
        <f ca="1">$C$88</f>
        <v>2.8539845659413423</v>
      </c>
      <c r="E88" s="240">
        <f ca="1">$C$88</f>
        <v>2.8539845659413423</v>
      </c>
      <c r="F88" s="240" t="s">
        <v>494</v>
      </c>
      <c r="G88" s="240">
        <f t="shared" ref="G88:J88" ca="1" si="77">$C$88</f>
        <v>2.8539845659413423</v>
      </c>
      <c r="H88" s="240">
        <f t="shared" ca="1" si="77"/>
        <v>2.8539845659413423</v>
      </c>
      <c r="I88" s="240">
        <f t="shared" ca="1" si="77"/>
        <v>2.8539845659413423</v>
      </c>
      <c r="J88" s="240">
        <f t="shared" ca="1" si="77"/>
        <v>2.8539845659413423</v>
      </c>
    </row>
    <row r="89" spans="2:24" x14ac:dyDescent="0.35">
      <c r="B89" s="241" t="s">
        <v>478</v>
      </c>
      <c r="C89" s="243">
        <f ca="1">C80+C88</f>
        <v>9.1269119671867074</v>
      </c>
      <c r="D89" s="243">
        <f t="shared" ref="D89:E89" ca="1" si="78">D80+D88</f>
        <v>8.470472593526452</v>
      </c>
      <c r="E89" s="243">
        <f t="shared" ca="1" si="78"/>
        <v>8.6173207695538245</v>
      </c>
      <c r="F89" s="243" t="s">
        <v>494</v>
      </c>
      <c r="G89" s="243">
        <f t="shared" ref="G89:J89" ca="1" si="79">G80+G88</f>
        <v>9.0493870052061993</v>
      </c>
      <c r="H89" s="243">
        <f t="shared" ca="1" si="79"/>
        <v>3.3933652107800478</v>
      </c>
      <c r="I89" s="243">
        <f t="shared" ca="1" si="79"/>
        <v>3.4337975609197184</v>
      </c>
      <c r="J89" s="243">
        <f t="shared" ca="1" si="79"/>
        <v>3.4205256718489299</v>
      </c>
    </row>
    <row r="90" spans="2:24" ht="4.5" customHeight="1" x14ac:dyDescent="0.35"/>
    <row r="91" spans="2:24" x14ac:dyDescent="0.35">
      <c r="B91" s="239" t="s">
        <v>476</v>
      </c>
      <c r="C91" s="240">
        <f ca="1">'Tarifa Ponderada Legado 2029'!$H$29+'Tarifa Ponderada GASIG 2029'!$H$29</f>
        <v>0.30671431607858263</v>
      </c>
      <c r="D91" s="240">
        <f ca="1">$C$91</f>
        <v>0.30671431607858263</v>
      </c>
      <c r="E91" s="240">
        <f ca="1">$C$91</f>
        <v>0.30671431607858263</v>
      </c>
      <c r="F91" s="240" t="s">
        <v>494</v>
      </c>
      <c r="G91" s="240">
        <f t="shared" ref="G91:J91" ca="1" si="80">$C$91</f>
        <v>0.30671431607858263</v>
      </c>
      <c r="H91" s="240">
        <f t="shared" ca="1" si="80"/>
        <v>0.30671431607858263</v>
      </c>
      <c r="I91" s="240">
        <f t="shared" ca="1" si="80"/>
        <v>0.30671431607858263</v>
      </c>
      <c r="J91" s="240">
        <f t="shared" ca="1" si="80"/>
        <v>0.30671431607858263</v>
      </c>
    </row>
    <row r="92" spans="2:24" x14ac:dyDescent="0.35">
      <c r="B92" s="241" t="s">
        <v>478</v>
      </c>
      <c r="C92" s="243">
        <f ca="1">C80+C91</f>
        <v>6.5796417173239483</v>
      </c>
      <c r="D92" s="243">
        <f t="shared" ref="D92:E92" ca="1" si="81">D80+D91</f>
        <v>5.923202343663692</v>
      </c>
      <c r="E92" s="243">
        <f t="shared" ca="1" si="81"/>
        <v>6.0700505196910646</v>
      </c>
      <c r="F92" s="243" t="s">
        <v>494</v>
      </c>
      <c r="G92" s="243">
        <f t="shared" ref="G92:J92" ca="1" si="82">G80+G91</f>
        <v>6.5021167553434385</v>
      </c>
      <c r="H92" s="243">
        <f t="shared" ca="1" si="82"/>
        <v>0.84609496091728831</v>
      </c>
      <c r="I92" s="243">
        <f t="shared" ca="1" si="82"/>
        <v>0.88652731105695892</v>
      </c>
      <c r="J92" s="243">
        <f t="shared" ca="1" si="82"/>
        <v>0.87325542198617012</v>
      </c>
    </row>
    <row r="93" spans="2:24" ht="3" customHeight="1" x14ac:dyDescent="0.35"/>
    <row r="94" spans="2:24" x14ac:dyDescent="0.35">
      <c r="B94" s="239" t="s">
        <v>477</v>
      </c>
      <c r="C94" s="240">
        <f ca="1">'Tarifa Ponderada Legado 2029'!$H$30+'Tarifa Ponderada GASIG 2029'!$H$30</f>
        <v>0.2650563208167066</v>
      </c>
      <c r="D94" s="240">
        <f ca="1">$C$94</f>
        <v>0.2650563208167066</v>
      </c>
      <c r="E94" s="240">
        <f ca="1">$C$94</f>
        <v>0.2650563208167066</v>
      </c>
      <c r="F94" s="240" t="s">
        <v>494</v>
      </c>
      <c r="G94" s="240">
        <f t="shared" ref="G94:J94" ca="1" si="83">$C$94</f>
        <v>0.2650563208167066</v>
      </c>
      <c r="H94" s="240">
        <f t="shared" ca="1" si="83"/>
        <v>0.2650563208167066</v>
      </c>
      <c r="I94" s="240">
        <f t="shared" ca="1" si="83"/>
        <v>0.2650563208167066</v>
      </c>
      <c r="J94" s="240">
        <f t="shared" ca="1" si="83"/>
        <v>0.2650563208167066</v>
      </c>
      <c r="X94" s="369" t="s">
        <v>526</v>
      </c>
    </row>
    <row r="95" spans="2:24" x14ac:dyDescent="0.35">
      <c r="B95" s="241" t="s">
        <v>478</v>
      </c>
      <c r="C95" s="243">
        <f ca="1">C80+C94</f>
        <v>6.5379837220620729</v>
      </c>
      <c r="D95" s="243">
        <f t="shared" ref="D95:E95" ca="1" si="84">D80+D94</f>
        <v>5.8815443484018166</v>
      </c>
      <c r="E95" s="243">
        <f t="shared" ca="1" si="84"/>
        <v>6.0283925244291892</v>
      </c>
      <c r="F95" s="243" t="s">
        <v>494</v>
      </c>
      <c r="G95" s="243">
        <f t="shared" ref="G95:J95" ca="1" si="85">G80+G94</f>
        <v>6.4604587600815631</v>
      </c>
      <c r="H95" s="243">
        <f t="shared" ca="1" si="85"/>
        <v>0.80443696565541223</v>
      </c>
      <c r="I95" s="243">
        <f t="shared" ca="1" si="85"/>
        <v>0.84486931579508284</v>
      </c>
      <c r="J95" s="243">
        <f t="shared" ca="1" si="85"/>
        <v>0.83159742672429415</v>
      </c>
    </row>
  </sheetData>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6E0-6FC3-4EC6-99EC-FB5808513212}">
  <sheetPr>
    <tabColor theme="5"/>
  </sheetPr>
  <dimension ref="A2:AA302"/>
  <sheetViews>
    <sheetView showGridLines="0" topLeftCell="A230" zoomScale="70" zoomScaleNormal="70" workbookViewId="0">
      <selection activeCell="C38" sqref="C38:D3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6.5" x14ac:dyDescent="0.35">
      <c r="A5" s="206">
        <f>HLOOKUP($G$3,'Premissas (GASIG)'!$B$5:$F$13,9,FALSE)</f>
        <v>0.7</v>
      </c>
      <c r="B5" s="207" t="s">
        <v>112</v>
      </c>
      <c r="C5" s="208" t="s">
        <v>271</v>
      </c>
      <c r="D5" s="382">
        <f>$A$5*$D$4</f>
        <v>36.684532771966516</v>
      </c>
      <c r="E5" s="210" t="s">
        <v>113</v>
      </c>
      <c r="F5" s="211"/>
      <c r="G5" s="211"/>
      <c r="H5" s="235"/>
    </row>
    <row r="6" spans="1:9" ht="29" x14ac:dyDescent="0.35">
      <c r="A6" s="92"/>
      <c r="B6" s="212" t="s">
        <v>114</v>
      </c>
      <c r="C6" s="213" t="s">
        <v>272</v>
      </c>
      <c r="D6" s="383">
        <f>$D$34*'Premissas (GASIG)'!$F$20</f>
        <v>20382330</v>
      </c>
      <c r="E6" s="212" t="s">
        <v>115</v>
      </c>
      <c r="F6" s="230">
        <f>H34</f>
        <v>760305322.09706998</v>
      </c>
      <c r="G6" s="82" t="s">
        <v>116</v>
      </c>
    </row>
    <row r="7" spans="1:9" ht="17" thickBot="1" x14ac:dyDescent="0.4">
      <c r="A7" s="215"/>
      <c r="B7" s="216" t="s">
        <v>117</v>
      </c>
      <c r="C7" s="217" t="s">
        <v>273</v>
      </c>
      <c r="D7" s="218">
        <f>$D$5/$D$6*1000</f>
        <v>1.7998203724484158E-3</v>
      </c>
      <c r="E7" s="219" t="s">
        <v>118</v>
      </c>
      <c r="F7" s="384">
        <f>$D$5/$F$6*1000000</f>
        <v>4.8249738237769325E-2</v>
      </c>
      <c r="G7" s="228" t="s">
        <v>15</v>
      </c>
      <c r="I7" s="235"/>
    </row>
    <row r="8" spans="1:9" ht="16.5" x14ac:dyDescent="0.35">
      <c r="A8" s="206">
        <f>1-A5</f>
        <v>0.30000000000000004</v>
      </c>
      <c r="B8" s="207" t="s">
        <v>119</v>
      </c>
      <c r="C8" s="208" t="s">
        <v>274</v>
      </c>
      <c r="D8" s="382">
        <f>$A$8*$D$4</f>
        <v>15.721942616557083</v>
      </c>
      <c r="E8" s="210" t="s">
        <v>113</v>
      </c>
      <c r="F8" s="231"/>
      <c r="G8" s="229"/>
    </row>
    <row r="9" spans="1:9" ht="29" x14ac:dyDescent="0.35">
      <c r="B9" s="212" t="s">
        <v>120</v>
      </c>
      <c r="C9" s="213" t="s">
        <v>275</v>
      </c>
      <c r="D9" s="383">
        <f>$D$57*'Premissas (GASIG)'!$F$20</f>
        <v>18480315</v>
      </c>
      <c r="E9" s="212" t="s">
        <v>115</v>
      </c>
      <c r="F9" s="230">
        <f>H57</f>
        <v>689356018.10638499</v>
      </c>
      <c r="G9" s="82" t="s">
        <v>116</v>
      </c>
    </row>
    <row r="10" spans="1:9" ht="17" thickBot="1" x14ac:dyDescent="0.4">
      <c r="A10" s="225"/>
      <c r="B10" s="216" t="s">
        <v>121</v>
      </c>
      <c r="C10" s="217" t="s">
        <v>276</v>
      </c>
      <c r="D10" s="218">
        <f>$D$8/$D$9*1000</f>
        <v>8.507399693434383E-4</v>
      </c>
      <c r="E10" s="219" t="s">
        <v>118</v>
      </c>
      <c r="F10" s="384">
        <f>$D$8/$F$9*1000000</f>
        <v>2.2806709745922304E-2</v>
      </c>
      <c r="G10" s="228" t="s">
        <v>15</v>
      </c>
    </row>
    <row r="11" spans="1:9" ht="15" thickBot="1" x14ac:dyDescent="0.4">
      <c r="A11" s="220"/>
      <c r="B11" s="220" t="s">
        <v>122</v>
      </c>
      <c r="C11" s="226">
        <f>HLOOKUP($G$3,'Premissas (GASIG)'!$B$5:$F$8,4,FALSE)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(GASIG)'!C3</f>
        <v>20000</v>
      </c>
      <c r="D24" s="290">
        <f>'Oferta (GASIG)'!G3</f>
        <v>9427</v>
      </c>
      <c r="F24" s="104"/>
      <c r="G24" s="43">
        <f>IFERROR($C24*$H$19*'Premissas (GASIG)'!$F$20*1000," ")</f>
        <v>272305906.69999999</v>
      </c>
      <c r="H24" s="43">
        <f>IFERROR($D24*$H$19*'Premissas (GASIG)'!$F$20*1000," ")</f>
        <v>128351389.123045</v>
      </c>
      <c r="I24" s="93"/>
    </row>
    <row r="25" spans="1:9" x14ac:dyDescent="0.35">
      <c r="A25" s="2" t="s">
        <v>133</v>
      </c>
      <c r="B25" s="44" t="s">
        <v>26</v>
      </c>
      <c r="C25" s="290">
        <f>'Oferta (GASIG)'!C4</f>
        <v>20000</v>
      </c>
      <c r="D25" s="290">
        <f>'Oferta (GASIG)'!G4</f>
        <v>20000</v>
      </c>
      <c r="F25" s="104"/>
      <c r="G25" s="43">
        <f>IFERROR($C25*$H$19*'Premissas (GASIG)'!$F$20*1000," ")</f>
        <v>272305906.69999999</v>
      </c>
      <c r="H25" s="43">
        <f>IFERROR($D25*$H$19*'Premissas (GASIG)'!$F$20*1000," ")</f>
        <v>272305906.69999999</v>
      </c>
      <c r="I25" s="93"/>
    </row>
    <row r="26" spans="1:9" x14ac:dyDescent="0.35">
      <c r="A26" s="2" t="s">
        <v>134</v>
      </c>
      <c r="B26" s="44" t="s">
        <v>488</v>
      </c>
      <c r="C26" s="290">
        <f>'Oferta (GASIG)'!C5</f>
        <v>18200</v>
      </c>
      <c r="D26" s="290">
        <f>'Oferta (GASIG)'!G5</f>
        <v>13439</v>
      </c>
      <c r="E26" s="46"/>
      <c r="F26" s="104"/>
      <c r="G26" s="43">
        <f>IFERROR($C26*$H$19*'Premissas (GASIG)'!$F$20*1000," ")</f>
        <v>247798375.097</v>
      </c>
      <c r="H26" s="43">
        <f>IFERROR($D26*$H$19*'Premissas (GASIG)'!$F$20*1000," ")</f>
        <v>182975954.00706497</v>
      </c>
      <c r="I26" s="93"/>
    </row>
    <row r="27" spans="1:9" x14ac:dyDescent="0.35">
      <c r="A27" s="2" t="s">
        <v>135</v>
      </c>
      <c r="B27" s="44" t="s">
        <v>463</v>
      </c>
      <c r="C27" s="290">
        <f>'Oferta (GASIG)'!C6</f>
        <v>1250</v>
      </c>
      <c r="D27" s="290">
        <f>'Oferta (GASIG)'!G6</f>
        <v>305</v>
      </c>
      <c r="E27" s="46"/>
      <c r="F27" s="104"/>
      <c r="G27" s="43">
        <f>IFERROR($C27*$H$19*'Premissas (GASIG)'!$F$20*1000," ")</f>
        <v>17019119.168749999</v>
      </c>
      <c r="H27" s="43">
        <f>IFERROR($D27*$H$19*'Premissas (GASIG)'!$F$20*1000," ")</f>
        <v>4152665.0771750002</v>
      </c>
      <c r="I27" s="93"/>
    </row>
    <row r="28" spans="1:9" x14ac:dyDescent="0.35">
      <c r="A28" s="2" t="s">
        <v>136</v>
      </c>
      <c r="B28" s="44" t="s">
        <v>27</v>
      </c>
      <c r="C28" s="290">
        <f>'Oferta (GASIG)'!C7</f>
        <v>5000</v>
      </c>
      <c r="D28" s="290">
        <f>'Oferta (GASIG)'!G7</f>
        <v>0</v>
      </c>
      <c r="E28" s="46"/>
      <c r="F28" s="104"/>
      <c r="G28" s="43">
        <f>IFERROR($C28*$H$19*'Premissas (GASIG)'!$F$20*1000," ")</f>
        <v>68076476.674999997</v>
      </c>
      <c r="H28" s="43">
        <f>IFERROR($D28*$H$19*'Premissas (GASIG)'!$F$20*1000," ")</f>
        <v>0</v>
      </c>
      <c r="I28" s="93"/>
    </row>
    <row r="29" spans="1:9" x14ac:dyDescent="0.35">
      <c r="A29" s="2" t="s">
        <v>239</v>
      </c>
      <c r="B29" s="44" t="s">
        <v>29</v>
      </c>
      <c r="C29" s="290">
        <f>'Oferta (GASIG)'!C8</f>
        <v>2200</v>
      </c>
      <c r="D29" s="290">
        <f>'Oferta (GASIG)'!G8</f>
        <v>0</v>
      </c>
      <c r="E29" s="46"/>
      <c r="F29" s="104"/>
      <c r="G29" s="43">
        <f>IFERROR($C29*$H$19*'Premissas (GASIG)'!$F$20*1000," ")</f>
        <v>29953649.736999996</v>
      </c>
      <c r="H29" s="43">
        <f>IFERROR($D29*$H$19*'Premissas (GASIG)'!$F$20*1000," ")</f>
        <v>0</v>
      </c>
      <c r="I29" s="93"/>
    </row>
    <row r="30" spans="1:9" x14ac:dyDescent="0.35">
      <c r="A30" s="2" t="s">
        <v>137</v>
      </c>
      <c r="B30" s="44" t="s">
        <v>24</v>
      </c>
      <c r="C30" s="290">
        <f>'Oferta (GASIG)'!C9</f>
        <v>25160</v>
      </c>
      <c r="D30" s="290">
        <f>'Oferta (GASIG)'!G9</f>
        <v>6266</v>
      </c>
      <c r="E30" s="46"/>
      <c r="F30" s="104"/>
      <c r="G30" s="43">
        <f>IFERROR($C30*$H$19*'Premissas (GASIG)'!$F$20*1000," ")</f>
        <v>342560830.6286</v>
      </c>
      <c r="H30" s="43">
        <f>IFERROR($D30*$H$19*'Premissas (GASIG)'!$F$20*1000," ")</f>
        <v>85313440.569109991</v>
      </c>
      <c r="I30" s="93"/>
    </row>
    <row r="31" spans="1:9" x14ac:dyDescent="0.35">
      <c r="A31" s="2" t="s">
        <v>240</v>
      </c>
      <c r="B31" s="44" t="s">
        <v>264</v>
      </c>
      <c r="C31" s="290">
        <f>'Oferta (GASIG)'!C10</f>
        <v>0</v>
      </c>
      <c r="D31" s="290">
        <f>'Oferta (GASIG)'!G10</f>
        <v>6000</v>
      </c>
      <c r="E31" s="46"/>
      <c r="F31" s="104"/>
      <c r="G31" s="43">
        <f>IFERROR($C31*$H$19*'Premissas (GASIG)'!$F$20*1000," ")</f>
        <v>0</v>
      </c>
      <c r="H31" s="43">
        <f>IFERROR($D31*$H$19*'Premissas (GASIG)'!$F$20*1000," ")</f>
        <v>81691772.010000005</v>
      </c>
      <c r="I31" s="93"/>
    </row>
    <row r="32" spans="1:9" x14ac:dyDescent="0.35">
      <c r="A32" s="2" t="s">
        <v>138</v>
      </c>
      <c r="B32" s="44" t="s">
        <v>266</v>
      </c>
      <c r="C32" s="290">
        <f>'Oferta (GASIG)'!C11</f>
        <v>0</v>
      </c>
      <c r="D32" s="290">
        <f>'Oferta (GASIG)'!G11</f>
        <v>205</v>
      </c>
      <c r="E32" s="46"/>
      <c r="F32" s="104"/>
      <c r="G32" s="43">
        <f>IFERROR($C32*$H$19*'Premissas (GASIG)'!$F$20*1000," ")</f>
        <v>0</v>
      </c>
      <c r="H32" s="43">
        <f>IFERROR($D32*$H$19*'Premissas (GASIG)'!$F$20*1000," ")</f>
        <v>2791135.5436749998</v>
      </c>
      <c r="I32" s="93"/>
    </row>
    <row r="33" spans="1:10" x14ac:dyDescent="0.35">
      <c r="A33" s="2" t="s">
        <v>139</v>
      </c>
      <c r="B33" s="44" t="s">
        <v>265</v>
      </c>
      <c r="C33" s="290">
        <f>'Oferta (GASIG)'!C12</f>
        <v>0</v>
      </c>
      <c r="D33" s="290">
        <f>'Oferta (GASIG)'!G12</f>
        <v>200</v>
      </c>
      <c r="E33" s="46"/>
      <c r="F33" s="104"/>
      <c r="G33" s="43">
        <f>IFERROR($C33*$H$19*'Premissas (GASIG)'!$F$20*1000," ")</f>
        <v>0</v>
      </c>
      <c r="H33" s="43">
        <f>IFERROR($D33*$H$19*'Premissas (GASIG)'!$F$20*1000," ")</f>
        <v>2723059.0670000003</v>
      </c>
      <c r="I33" s="93"/>
    </row>
    <row r="34" spans="1:10" x14ac:dyDescent="0.35">
      <c r="C34" s="105">
        <f>SUM(C24:C33)</f>
        <v>91810</v>
      </c>
      <c r="D34" s="105">
        <f>SUM(D24:D33)</f>
        <v>55842</v>
      </c>
      <c r="E34" s="105"/>
      <c r="F34" s="104"/>
      <c r="G34" s="105">
        <f>SUM(G24:G33)</f>
        <v>1250020264.7063498</v>
      </c>
      <c r="H34" s="105">
        <f>SUM(H24:H33)</f>
        <v>760305322.09706998</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(GASIG)'!C3</f>
        <v>864.5</v>
      </c>
      <c r="D41" s="290">
        <f>'Demanda (GASIG)'!G3</f>
        <v>633</v>
      </c>
      <c r="G41" s="43">
        <f>IFERROR($C41*$H$19*'Premissas (GASIG)'!$F$20*1000," ")</f>
        <v>11770422.817107499</v>
      </c>
      <c r="H41" s="43">
        <f>IFERROR($D41*$H$19*'Premissas (GASIG)'!$F$20*1000," ")</f>
        <v>8618481.9470549989</v>
      </c>
      <c r="I41" s="93"/>
    </row>
    <row r="42" spans="1:10" x14ac:dyDescent="0.35">
      <c r="A42" s="2" t="s">
        <v>42</v>
      </c>
      <c r="B42" s="44" t="s">
        <v>217</v>
      </c>
      <c r="C42" s="290">
        <f>'Demanda (GASIG)'!C4</f>
        <v>1825.9</v>
      </c>
      <c r="D42" s="290">
        <f>'Demanda (GASIG)'!G4</f>
        <v>1098</v>
      </c>
      <c r="G42" s="43">
        <f>IFERROR($C42*$H$19*'Premissas (GASIG)'!$F$20*1000," ")</f>
        <v>24860167.752176501</v>
      </c>
      <c r="H42" s="43">
        <f>IFERROR($D42*$H$19*'Premissas (GASIG)'!$F$20*1000," ")</f>
        <v>14949594.277829999</v>
      </c>
      <c r="I42" s="93"/>
    </row>
    <row r="43" spans="1:10" x14ac:dyDescent="0.35">
      <c r="A43" s="2" t="s">
        <v>43</v>
      </c>
      <c r="B43" s="44" t="s">
        <v>218</v>
      </c>
      <c r="C43" s="290">
        <f>'Demanda (GASIG)'!C5</f>
        <v>3040.95</v>
      </c>
      <c r="D43" s="290">
        <f>'Demanda (GASIG)'!G5</f>
        <v>2852</v>
      </c>
      <c r="E43" s="46"/>
      <c r="G43" s="43">
        <f>IFERROR($C43*$H$19*'Premissas (GASIG)'!$F$20*1000," ")</f>
        <v>41403432.348968253</v>
      </c>
      <c r="H43" s="43">
        <f>IFERROR($D43*$H$19*'Premissas (GASIG)'!$F$20*1000," ")</f>
        <v>38830822.295419998</v>
      </c>
      <c r="I43" s="93"/>
    </row>
    <row r="44" spans="1:10" x14ac:dyDescent="0.35">
      <c r="A44" s="2" t="s">
        <v>44</v>
      </c>
      <c r="B44" s="44" t="s">
        <v>219</v>
      </c>
      <c r="C44" s="290">
        <f>'Demanda (GASIG)'!C6</f>
        <v>1187.5</v>
      </c>
      <c r="D44" s="290">
        <f>'Demanda (GASIG)'!G6</f>
        <v>305</v>
      </c>
      <c r="E44" s="46"/>
      <c r="G44" s="43">
        <f>IFERROR($C44*$H$19*'Premissas (GASIG)'!$F$20*1000," ")</f>
        <v>16168163.210312499</v>
      </c>
      <c r="H44" s="43">
        <f>IFERROR($D44*$H$19*'Premissas (GASIG)'!$F$20*1000," ")</f>
        <v>4152665.0771750002</v>
      </c>
      <c r="I44" s="93"/>
    </row>
    <row r="45" spans="1:10" x14ac:dyDescent="0.35">
      <c r="A45" s="2" t="s">
        <v>45</v>
      </c>
      <c r="B45" s="44" t="s">
        <v>220</v>
      </c>
      <c r="C45" s="290">
        <f>'Demanda (GASIG)'!C7</f>
        <v>21185</v>
      </c>
      <c r="D45" s="290">
        <f>'Demanda (GASIG)'!G7</f>
        <v>13624</v>
      </c>
      <c r="E45" s="46"/>
      <c r="G45" s="43">
        <f>IFERROR($C45*$H$19*'Premissas (GASIG)'!$F$20*1000," ")</f>
        <v>288440031.67197496</v>
      </c>
      <c r="H45" s="43">
        <f>IFERROR($D45*$H$19*'Premissas (GASIG)'!$F$20*1000," ")</f>
        <v>185494783.64403999</v>
      </c>
      <c r="I45" s="93"/>
    </row>
    <row r="46" spans="1:10" x14ac:dyDescent="0.35">
      <c r="A46" s="2" t="s">
        <v>46</v>
      </c>
      <c r="B46" s="44" t="s">
        <v>221</v>
      </c>
      <c r="C46" s="290">
        <f>'Demanda (GASIG)'!C8</f>
        <v>11271.75</v>
      </c>
      <c r="D46" s="290">
        <f>'Demanda (GASIG)'!G8</f>
        <v>8403</v>
      </c>
      <c r="E46" s="46"/>
      <c r="G46" s="43">
        <f>IFERROR($C46*$H$19*'Premissas (GASIG)'!$F$20*1000," ")</f>
        <v>153468205.19228625</v>
      </c>
      <c r="H46" s="43">
        <f>IFERROR($D46*$H$19*'Premissas (GASIG)'!$F$20*1000," ")</f>
        <v>114409326.70000499</v>
      </c>
      <c r="I46" s="93"/>
    </row>
    <row r="47" spans="1:10" x14ac:dyDescent="0.35">
      <c r="A47" s="2" t="s">
        <v>47</v>
      </c>
      <c r="B47" s="44" t="s">
        <v>222</v>
      </c>
      <c r="C47" s="290">
        <f>'Demanda (GASIG)'!C9</f>
        <v>3249</v>
      </c>
      <c r="D47" s="290">
        <f>'Demanda (GASIG)'!G9</f>
        <v>2173</v>
      </c>
      <c r="E47" s="46"/>
      <c r="G47" s="43">
        <f>IFERROR($C47*$H$19*'Premissas (GASIG)'!$F$20*1000," ")</f>
        <v>44236094.543414995</v>
      </c>
      <c r="H47" s="43">
        <f>IFERROR($D47*$H$19*'Premissas (GASIG)'!$F$20*1000," ")</f>
        <v>29586036.762954999</v>
      </c>
      <c r="I47" s="93"/>
    </row>
    <row r="48" spans="1:10" x14ac:dyDescent="0.35">
      <c r="A48" s="2" t="s">
        <v>48</v>
      </c>
      <c r="B48" s="44" t="s">
        <v>223</v>
      </c>
      <c r="C48" s="290">
        <f>'Demanda (GASIG)'!C10</f>
        <v>498.75</v>
      </c>
      <c r="D48" s="290">
        <f>'Demanda (GASIG)'!G10</f>
        <v>283</v>
      </c>
      <c r="E48" s="46"/>
      <c r="G48" s="43">
        <f>IFERROR($C48*$H$19*'Premissas (GASIG)'!$F$20*1000," ")</f>
        <v>6790628.5483312495</v>
      </c>
      <c r="H48" s="43">
        <f>IFERROR($D48*$H$19*'Premissas (GASIG)'!$F$20*1000," ")</f>
        <v>3853128.5798049998</v>
      </c>
      <c r="I48" s="93"/>
    </row>
    <row r="49" spans="1:9" x14ac:dyDescent="0.35">
      <c r="A49" s="2" t="s">
        <v>49</v>
      </c>
      <c r="B49" s="44" t="s">
        <v>224</v>
      </c>
      <c r="C49" s="290">
        <f>'Demanda (GASIG)'!C11</f>
        <v>3321.2</v>
      </c>
      <c r="D49" s="290">
        <f>'Demanda (GASIG)'!G11</f>
        <v>2116</v>
      </c>
      <c r="E49" s="46"/>
      <c r="G49" s="43">
        <f>IFERROR($C49*$H$19*'Premissas (GASIG)'!$F$20*1000," ")</f>
        <v>45219118.866601996</v>
      </c>
      <c r="H49" s="43">
        <f>IFERROR($D49*$H$19*'Premissas (GASIG)'!$F$20*1000," ")</f>
        <v>28809964.928859998</v>
      </c>
      <c r="I49" s="93"/>
    </row>
    <row r="50" spans="1:9" x14ac:dyDescent="0.35">
      <c r="A50" s="2" t="s">
        <v>50</v>
      </c>
      <c r="B50" s="44" t="s">
        <v>225</v>
      </c>
      <c r="C50" s="290">
        <f>'Demanda (GASIG)'!C12</f>
        <v>14292.75</v>
      </c>
      <c r="D50" s="290">
        <f>'Demanda (GASIG)'!G12</f>
        <v>1050</v>
      </c>
      <c r="E50" s="46"/>
      <c r="G50" s="43">
        <f>IFERROR($C50*$H$19*'Premissas (GASIG)'!$F$20*1000," ")</f>
        <v>194600012.39932126</v>
      </c>
      <c r="H50" s="43">
        <f>IFERROR($D50*$H$19*'Premissas (GASIG)'!$F$20*1000," ")</f>
        <v>14296060.101749998</v>
      </c>
      <c r="I50" s="93"/>
    </row>
    <row r="51" spans="1:9" x14ac:dyDescent="0.35">
      <c r="A51" s="2" t="s">
        <v>51</v>
      </c>
      <c r="B51" s="44" t="s">
        <v>226</v>
      </c>
      <c r="C51" s="290">
        <f>'Demanda (GASIG)'!C13</f>
        <v>3971</v>
      </c>
      <c r="D51" s="290">
        <f>'Demanda (GASIG)'!G13</f>
        <v>3003</v>
      </c>
      <c r="E51" s="46"/>
      <c r="G51" s="43">
        <f>IFERROR($C51*$H$19*'Premissas (GASIG)'!$F$20*1000," ")</f>
        <v>54066337.775284998</v>
      </c>
      <c r="H51" s="43">
        <f>IFERROR($D51*$H$19*'Premissas (GASIG)'!$F$20*1000," ")</f>
        <v>40886731.891005002</v>
      </c>
      <c r="I51" s="93"/>
    </row>
    <row r="52" spans="1:9" x14ac:dyDescent="0.35">
      <c r="A52" s="2" t="s">
        <v>52</v>
      </c>
      <c r="B52" s="44" t="s">
        <v>227</v>
      </c>
      <c r="C52" s="290">
        <f>'Demanda (GASIG)'!C14</f>
        <v>9941.75</v>
      </c>
      <c r="D52" s="290">
        <f>'Demanda (GASIG)'!G14</f>
        <v>5584</v>
      </c>
      <c r="E52" s="46"/>
      <c r="G52" s="43">
        <f>IFERROR($C52*$H$19*'Premissas (GASIG)'!$F$20*1000," ")</f>
        <v>135359862.39673626</v>
      </c>
      <c r="H52" s="43">
        <f>IFERROR($D52*$H$19*'Premissas (GASIG)'!$F$20*1000," ")</f>
        <v>76027809.150639996</v>
      </c>
      <c r="I52" s="93"/>
    </row>
    <row r="53" spans="1:9" x14ac:dyDescent="0.35">
      <c r="A53" s="2" t="s">
        <v>53</v>
      </c>
      <c r="B53" s="44" t="s">
        <v>228</v>
      </c>
      <c r="C53" s="290">
        <f>'Demanda (GASIG)'!C15</f>
        <v>3809.5</v>
      </c>
      <c r="D53" s="290">
        <f>'Demanda (GASIG)'!G15</f>
        <v>2483</v>
      </c>
      <c r="E53" s="46"/>
      <c r="G53" s="43">
        <f>IFERROR($C53*$H$19*'Premissas (GASIG)'!$F$20*1000," ")</f>
        <v>51867467.578682497</v>
      </c>
      <c r="H53" s="43">
        <f>IFERROR($D53*$H$19*'Premissas (GASIG)'!$F$20*1000," ")</f>
        <v>33806778.316804998</v>
      </c>
      <c r="I53" s="93"/>
    </row>
    <row r="54" spans="1:9" x14ac:dyDescent="0.35">
      <c r="A54" s="2" t="s">
        <v>54</v>
      </c>
      <c r="B54" s="44" t="s">
        <v>269</v>
      </c>
      <c r="C54" s="290">
        <f>'Demanda (GASIG)'!C16</f>
        <v>0</v>
      </c>
      <c r="D54" s="290">
        <f>'Demanda (GASIG)'!G16</f>
        <v>0</v>
      </c>
      <c r="E54" s="46"/>
      <c r="G54" s="43">
        <f>IFERROR($C54*$H$19*'Premissas (GASIG)'!$F$20*1000," ")</f>
        <v>0</v>
      </c>
      <c r="H54" s="43">
        <f>IFERROR($D54*$H$19*'Premissas (GASIG)'!$F$20*1000," ")</f>
        <v>0</v>
      </c>
      <c r="I54" s="93"/>
    </row>
    <row r="55" spans="1:9" x14ac:dyDescent="0.35">
      <c r="A55" s="2" t="s">
        <v>55</v>
      </c>
      <c r="B55" s="44" t="s">
        <v>268</v>
      </c>
      <c r="C55" s="290">
        <f>'Demanda (GASIG)'!C17</f>
        <v>0</v>
      </c>
      <c r="D55" s="290">
        <f>'Demanda (GASIG)'!G17</f>
        <v>6824</v>
      </c>
      <c r="E55" s="46"/>
      <c r="G55" s="43">
        <f>IFERROR($C55*$H$19*'Premissas (GASIG)'!$F$20*1000," ")</f>
        <v>0</v>
      </c>
      <c r="H55" s="43">
        <f>IFERROR($D55*$H$19*'Premissas (GASIG)'!$F$20*1000," ")</f>
        <v>92910775.366039991</v>
      </c>
      <c r="I55" s="93"/>
    </row>
    <row r="56" spans="1:9" x14ac:dyDescent="0.35">
      <c r="A56" s="2" t="s">
        <v>56</v>
      </c>
      <c r="B56" s="44" t="s">
        <v>267</v>
      </c>
      <c r="C56" s="290">
        <f>'Demanda (GASIG)'!C18</f>
        <v>0</v>
      </c>
      <c r="D56" s="290">
        <f>'Demanda (GASIG)'!G18</f>
        <v>200</v>
      </c>
      <c r="E56" s="46"/>
      <c r="G56" s="43">
        <f>IFERROR($C56*$H$19*'Premissas (GASIG)'!$F$20*1000," ")</f>
        <v>0</v>
      </c>
      <c r="H56" s="43">
        <f>IFERROR($D56*$H$19*'Premissas (GASIG)'!$F$20*1000," ")</f>
        <v>2723059.0670000003</v>
      </c>
      <c r="I56" s="93"/>
    </row>
    <row r="57" spans="1:9" x14ac:dyDescent="0.35">
      <c r="C57" s="105">
        <f>SUM(C41:C56)</f>
        <v>78459.549999999988</v>
      </c>
      <c r="D57" s="105">
        <f>SUM(D41:D56)</f>
        <v>50631</v>
      </c>
      <c r="E57" s="105"/>
      <c r="G57" s="105">
        <f>SUM(G41:G56)</f>
        <v>1068249945.1011992</v>
      </c>
      <c r="H57" s="105">
        <f>SUM(H41:H56)</f>
        <v>689356018.10638499</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0.16881558683428244</v>
      </c>
      <c r="C99" s="9"/>
      <c r="D99" t="s">
        <v>304</v>
      </c>
      <c r="E99" s="110">
        <f>H41/$H$57</f>
        <v>1.2502221958878946E-2</v>
      </c>
      <c r="G99" s="109" t="s">
        <v>148</v>
      </c>
      <c r="H99" s="111">
        <f>H24/$H$34</f>
        <v>0.16881558683428244</v>
      </c>
      <c r="I99" s="111">
        <f>H25/$H$34</f>
        <v>0.35815336126929553</v>
      </c>
      <c r="J99" s="111">
        <f>$H26/$H$34</f>
        <v>0.24066115110490308</v>
      </c>
      <c r="K99" s="111">
        <f>$H27/$H$34</f>
        <v>5.4618387593567573E-3</v>
      </c>
      <c r="L99" s="111">
        <f>$H28/$H$34</f>
        <v>0</v>
      </c>
      <c r="M99" s="111">
        <f>$H29/$H$34</f>
        <v>0</v>
      </c>
      <c r="N99" s="111">
        <f>$H30/$H$34</f>
        <v>0.11220944808567028</v>
      </c>
      <c r="O99" s="111">
        <f>$H31/$H$34</f>
        <v>0.10744600838078866</v>
      </c>
      <c r="P99" s="111">
        <f>$H32/$H$34</f>
        <v>3.6710719530102789E-3</v>
      </c>
      <c r="Q99" s="111">
        <f>$H33/$H$34</f>
        <v>3.5815336126929554E-3</v>
      </c>
      <c r="R99" s="111">
        <f>SUM(H99:Q99)</f>
        <v>1</v>
      </c>
      <c r="S99" s="110"/>
      <c r="T99" s="110"/>
      <c r="U99" s="110"/>
      <c r="V99" s="110"/>
      <c r="W99" s="110"/>
    </row>
    <row r="100" spans="1:27" ht="16.5" x14ac:dyDescent="0.45">
      <c r="A100" t="s">
        <v>295</v>
      </c>
      <c r="B100" s="112">
        <f t="shared" ref="B100:B108" si="1">H25/$H$34</f>
        <v>0.35815336126929553</v>
      </c>
      <c r="C100" s="4"/>
      <c r="D100" t="s">
        <v>305</v>
      </c>
      <c r="E100" s="110">
        <f t="shared" ref="E100:E114" si="2">H42/$H$57</f>
        <v>2.1686318658529359E-2</v>
      </c>
    </row>
    <row r="101" spans="1:27" ht="16.5" x14ac:dyDescent="0.45">
      <c r="A101" t="s">
        <v>296</v>
      </c>
      <c r="B101" s="112">
        <f t="shared" si="1"/>
        <v>0.24066115110490308</v>
      </c>
      <c r="C101" s="4"/>
      <c r="D101" t="s">
        <v>306</v>
      </c>
      <c r="E101" s="110">
        <f t="shared" si="2"/>
        <v>5.6329126424522521E-2</v>
      </c>
      <c r="G101" s="110"/>
    </row>
    <row r="102" spans="1:27" ht="16.5" x14ac:dyDescent="0.45">
      <c r="A102" t="s">
        <v>297</v>
      </c>
      <c r="B102" s="112">
        <f t="shared" si="1"/>
        <v>5.4618387593567573E-3</v>
      </c>
      <c r="C102" s="4"/>
      <c r="D102" t="s">
        <v>307</v>
      </c>
      <c r="E102" s="110">
        <f t="shared" si="2"/>
        <v>6.0239774051470451E-3</v>
      </c>
      <c r="G102" s="110"/>
      <c r="H102" s="112"/>
      <c r="I102" s="112"/>
    </row>
    <row r="103" spans="1:27" ht="16.5" x14ac:dyDescent="0.45">
      <c r="A103" t="s">
        <v>298</v>
      </c>
      <c r="B103" s="112">
        <f t="shared" si="1"/>
        <v>0</v>
      </c>
      <c r="C103" s="4"/>
      <c r="D103" t="s">
        <v>308</v>
      </c>
      <c r="E103" s="110">
        <f t="shared" si="2"/>
        <v>0.26908415792696172</v>
      </c>
      <c r="G103" s="110"/>
      <c r="H103" s="112"/>
      <c r="I103" s="112"/>
    </row>
    <row r="104" spans="1:27" ht="16.5" x14ac:dyDescent="0.45">
      <c r="A104" t="s">
        <v>299</v>
      </c>
      <c r="B104" s="112">
        <f t="shared" si="1"/>
        <v>0</v>
      </c>
      <c r="C104" s="4"/>
      <c r="D104" t="s">
        <v>309</v>
      </c>
      <c r="E104" s="110">
        <f t="shared" si="2"/>
        <v>0.16596551519819872</v>
      </c>
      <c r="G104" s="110"/>
      <c r="H104" s="112"/>
      <c r="I104" s="112"/>
    </row>
    <row r="105" spans="1:27" ht="16.5" x14ac:dyDescent="0.45">
      <c r="A105" t="s">
        <v>300</v>
      </c>
      <c r="B105" s="112">
        <f t="shared" si="1"/>
        <v>0.11220944808567028</v>
      </c>
      <c r="C105" s="4"/>
      <c r="D105" t="s">
        <v>310</v>
      </c>
      <c r="E105" s="110">
        <f t="shared" si="2"/>
        <v>4.2918370168473857E-2</v>
      </c>
      <c r="G105" s="110"/>
      <c r="H105" s="112"/>
      <c r="I105" s="112"/>
    </row>
    <row r="106" spans="1:27" ht="16.5" x14ac:dyDescent="0.45">
      <c r="A106" t="s">
        <v>301</v>
      </c>
      <c r="B106" s="112">
        <f t="shared" si="1"/>
        <v>0.10744600838078866</v>
      </c>
      <c r="C106" s="4"/>
      <c r="D106" t="s">
        <v>311</v>
      </c>
      <c r="E106" s="110">
        <f t="shared" si="2"/>
        <v>5.5894610021528313E-3</v>
      </c>
      <c r="G106" s="110"/>
      <c r="H106" s="112"/>
      <c r="I106" s="112"/>
    </row>
    <row r="107" spans="1:27" ht="16.5" x14ac:dyDescent="0.45">
      <c r="A107" t="s">
        <v>302</v>
      </c>
      <c r="B107" s="112">
        <f t="shared" si="1"/>
        <v>3.6710719530102789E-3</v>
      </c>
      <c r="C107" s="4"/>
      <c r="D107" t="s">
        <v>312</v>
      </c>
      <c r="E107" s="110">
        <f t="shared" si="2"/>
        <v>4.1792577669807034E-2</v>
      </c>
      <c r="G107" s="110"/>
      <c r="H107" s="112"/>
      <c r="I107" s="112"/>
    </row>
    <row r="108" spans="1:27" ht="16.5" x14ac:dyDescent="0.45">
      <c r="A108" t="s">
        <v>303</v>
      </c>
      <c r="B108" s="112">
        <f t="shared" si="1"/>
        <v>3.5815336126929554E-3</v>
      </c>
      <c r="D108" t="s">
        <v>313</v>
      </c>
      <c r="E108" s="110">
        <f t="shared" si="2"/>
        <v>2.0738282870178346E-2</v>
      </c>
      <c r="G108" s="110"/>
    </row>
    <row r="109" spans="1:27" ht="16.5" x14ac:dyDescent="0.45">
      <c r="B109" s="112">
        <f>SUM(B99:B108)</f>
        <v>1</v>
      </c>
      <c r="D109" t="s">
        <v>314</v>
      </c>
      <c r="E109" s="110">
        <f t="shared" si="2"/>
        <v>5.9311489008710083E-2</v>
      </c>
      <c r="G109" s="110"/>
    </row>
    <row r="110" spans="1:27" ht="16.5" x14ac:dyDescent="0.45">
      <c r="B110" s="112"/>
      <c r="D110" t="s">
        <v>315</v>
      </c>
      <c r="E110" s="110">
        <f t="shared" si="2"/>
        <v>0.11028816337816752</v>
      </c>
      <c r="G110" s="110"/>
    </row>
    <row r="111" spans="1:27" ht="16.5" x14ac:dyDescent="0.45">
      <c r="B111" s="112"/>
      <c r="D111" t="s">
        <v>316</v>
      </c>
      <c r="E111" s="110">
        <f t="shared" si="2"/>
        <v>4.904110130157413E-2</v>
      </c>
    </row>
    <row r="112" spans="1:27" ht="16.5" x14ac:dyDescent="0.45">
      <c r="B112" s="112"/>
      <c r="D112" t="s">
        <v>317</v>
      </c>
      <c r="E112" s="110">
        <f t="shared" si="2"/>
        <v>0</v>
      </c>
    </row>
    <row r="113" spans="1:5" ht="16.5" x14ac:dyDescent="0.45">
      <c r="B113" s="112"/>
      <c r="D113" t="s">
        <v>318</v>
      </c>
      <c r="E113" s="110">
        <f t="shared" si="2"/>
        <v>0.13477908791056861</v>
      </c>
    </row>
    <row r="114" spans="1:5" ht="16.5" x14ac:dyDescent="0.45">
      <c r="B114" s="112"/>
      <c r="D114" t="s">
        <v>319</v>
      </c>
      <c r="E114" s="110">
        <f t="shared" si="2"/>
        <v>3.9501491181292096E-3</v>
      </c>
    </row>
    <row r="115" spans="1:5" x14ac:dyDescent="0.35">
      <c r="E115" s="110">
        <f>SUM(E99:E114)</f>
        <v>0.99999999999999989</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351.36630696608796</v>
      </c>
      <c r="C130" s="114"/>
      <c r="D130" t="s">
        <v>325</v>
      </c>
      <c r="E130" s="4">
        <f ca="1">SUMPRODUCT($H$99:$Q$99,$C67:$L67)</f>
        <v>337.67445741556537</v>
      </c>
    </row>
    <row r="131" spans="1:5" ht="16.5" x14ac:dyDescent="0.45">
      <c r="A131" t="s">
        <v>326</v>
      </c>
      <c r="B131" s="110">
        <f ca="1">SUMPRODUCT($E$99:$E$114,D$67:D$82)</f>
        <v>237.42916805382737</v>
      </c>
      <c r="C131" s="114"/>
      <c r="D131" t="s">
        <v>327</v>
      </c>
      <c r="E131" s="4">
        <f t="shared" ref="E131:E145" ca="1" si="3">SUMPRODUCT($H$99:$Q$99,$C68:$L68)</f>
        <v>434.83845741556536</v>
      </c>
    </row>
    <row r="132" spans="1:5" ht="16.5" x14ac:dyDescent="0.45">
      <c r="A132" t="s">
        <v>328</v>
      </c>
      <c r="B132" s="110">
        <f ca="1">SUMPRODUCT($E$99:$E$114,E$67:E$82)</f>
        <v>274.76063295082724</v>
      </c>
      <c r="C132" s="114"/>
      <c r="D132" t="s">
        <v>329</v>
      </c>
      <c r="E132" s="4">
        <f t="shared" ca="1" si="3"/>
        <v>552.00365741556527</v>
      </c>
    </row>
    <row r="133" spans="1:5" ht="16.5" x14ac:dyDescent="0.45">
      <c r="A133" t="s">
        <v>330</v>
      </c>
      <c r="B133" s="110">
        <f ca="1">SUMPRODUCT($E$99:$E$114,F$67:F$82)</f>
        <v>409.94607776263553</v>
      </c>
      <c r="C133" s="114"/>
      <c r="D133" t="s">
        <v>331</v>
      </c>
      <c r="E133" s="4">
        <f t="shared" ca="1" si="3"/>
        <v>565.00903028186656</v>
      </c>
    </row>
    <row r="134" spans="1:5" ht="16.5" x14ac:dyDescent="0.45">
      <c r="A134" t="s">
        <v>332</v>
      </c>
      <c r="B134" s="110">
        <f ca="1">SUMPRODUCT($E$99:$E$114,G$67:G$82)</f>
        <v>225.99651239227609</v>
      </c>
      <c r="C134" s="114"/>
      <c r="D134" t="s">
        <v>333</v>
      </c>
      <c r="E134" s="4">
        <f t="shared" ca="1" si="3"/>
        <v>183.44948124470233</v>
      </c>
    </row>
    <row r="135" spans="1:5" ht="16.5" x14ac:dyDescent="0.45">
      <c r="A135" t="s">
        <v>334</v>
      </c>
      <c r="B135" s="110">
        <f ca="1">SUMPRODUCT($E$99:$E$114,H$67:H$82)</f>
        <v>386.26987939931388</v>
      </c>
      <c r="C135" s="114"/>
      <c r="D135" t="s">
        <v>335</v>
      </c>
      <c r="E135" s="4">
        <f t="shared" ca="1" si="3"/>
        <v>163.67307766555638</v>
      </c>
    </row>
    <row r="136" spans="1:5" ht="16.5" x14ac:dyDescent="0.45">
      <c r="A136" t="s">
        <v>336</v>
      </c>
      <c r="B136" s="110">
        <f ca="1">SUMPRODUCT($E$99:$E$114,I$67:I$82)</f>
        <v>381.45579607223505</v>
      </c>
      <c r="D136" t="s">
        <v>337</v>
      </c>
      <c r="E136" s="4">
        <f t="shared" ca="1" si="3"/>
        <v>184.45378640091687</v>
      </c>
    </row>
    <row r="137" spans="1:5" ht="16.5" x14ac:dyDescent="0.45">
      <c r="A137" t="s">
        <v>338</v>
      </c>
      <c r="B137" s="110">
        <f ca="1">SUMPRODUCT($E$99:$E$114,J$67:J$82)</f>
        <v>304.947813625381</v>
      </c>
      <c r="D137" t="s">
        <v>339</v>
      </c>
      <c r="E137" s="4">
        <f t="shared" ca="1" si="3"/>
        <v>210.26200696608285</v>
      </c>
    </row>
    <row r="138" spans="1:5" ht="16.5" x14ac:dyDescent="0.45">
      <c r="A138" t="s">
        <v>340</v>
      </c>
      <c r="B138" s="110">
        <f ca="1">SUMPRODUCT($E$99:$E$114,K$67:K$82)</f>
        <v>409.94607776263553</v>
      </c>
      <c r="D138" t="s">
        <v>341</v>
      </c>
      <c r="E138" s="4">
        <f t="shared" ca="1" si="3"/>
        <v>169.15207035922782</v>
      </c>
    </row>
    <row r="139" spans="1:5" ht="16.5" x14ac:dyDescent="0.45">
      <c r="A139" t="s">
        <v>342</v>
      </c>
      <c r="B139" s="110">
        <f ca="1">SUMPRODUCT($E$99:$E$114,L$67:L$82)</f>
        <v>381.45579607223505</v>
      </c>
      <c r="D139" t="s">
        <v>343</v>
      </c>
      <c r="E139" s="4">
        <f t="shared" ca="1" si="3"/>
        <v>298.6817162709072</v>
      </c>
    </row>
    <row r="140" spans="1:5" ht="16.5" x14ac:dyDescent="0.45">
      <c r="B140" s="110"/>
      <c r="D140" t="s">
        <v>344</v>
      </c>
      <c r="E140" s="4">
        <f t="shared" ca="1" si="3"/>
        <v>280.69369023912702</v>
      </c>
    </row>
    <row r="141" spans="1:5" ht="16.5" x14ac:dyDescent="0.45">
      <c r="B141" s="110"/>
      <c r="D141" t="s">
        <v>345</v>
      </c>
      <c r="E141" s="4">
        <f t="shared" ca="1" si="3"/>
        <v>384.01096200709145</v>
      </c>
    </row>
    <row r="142" spans="1:5" ht="16.5" x14ac:dyDescent="0.45">
      <c r="B142" s="110"/>
      <c r="D142" t="s">
        <v>346</v>
      </c>
      <c r="E142" s="4">
        <f t="shared" ca="1" si="3"/>
        <v>419.36703868056304</v>
      </c>
    </row>
    <row r="143" spans="1:5" ht="16.5" x14ac:dyDescent="0.45">
      <c r="B143" s="110"/>
      <c r="D143" t="s">
        <v>347</v>
      </c>
      <c r="E143" s="4">
        <f t="shared" si="3"/>
        <v>314.030038680563</v>
      </c>
    </row>
    <row r="144" spans="1:5" ht="16.5" x14ac:dyDescent="0.45">
      <c r="B144" s="110"/>
      <c r="D144" t="s">
        <v>348</v>
      </c>
      <c r="E144" s="4">
        <f t="shared" si="3"/>
        <v>471.24303028186671</v>
      </c>
    </row>
    <row r="145" spans="1:5" ht="16.5" x14ac:dyDescent="0.45">
      <c r="B145" s="110"/>
      <c r="D145" t="s">
        <v>349</v>
      </c>
      <c r="E145" s="4">
        <f t="shared" si="3"/>
        <v>264.03763337631176</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0.20372695377806002</v>
      </c>
      <c r="C162" s="36"/>
      <c r="D162" t="s">
        <v>355</v>
      </c>
      <c r="E162" s="115">
        <f t="shared" ref="E162:E177" ca="1" si="4">($H41*$E130)/SUMPRODUCT($H$41:$H$56,$E$130:$E$145)</f>
        <v>1.4499774570392053E-2</v>
      </c>
    </row>
    <row r="163" spans="1:9" ht="16.5" x14ac:dyDescent="0.45">
      <c r="A163" t="s">
        <v>356</v>
      </c>
      <c r="B163" s="115">
        <f t="shared" ref="B163:B171" ca="1" si="5">($H25*$B131)/SUMPRODUCT($H$24:$H$33,$B$130:$B$139)</f>
        <v>0.29206461058448624</v>
      </c>
      <c r="C163" s="4"/>
      <c r="D163" t="s">
        <v>357</v>
      </c>
      <c r="E163" s="115">
        <f t="shared" ca="1" si="4"/>
        <v>3.238840908796381E-2</v>
      </c>
    </row>
    <row r="164" spans="1:9" ht="16.5" x14ac:dyDescent="0.45">
      <c r="A164" t="s">
        <v>358</v>
      </c>
      <c r="B164" s="115">
        <f t="shared" ca="1" si="5"/>
        <v>0.22711003931140716</v>
      </c>
      <c r="C164" s="4"/>
      <c r="D164" t="s">
        <v>359</v>
      </c>
      <c r="E164" s="115">
        <f t="shared" ca="1" si="4"/>
        <v>0.10679497194092709</v>
      </c>
      <c r="H164" s="116"/>
      <c r="I164" s="116"/>
    </row>
    <row r="165" spans="1:9" ht="16.5" x14ac:dyDescent="0.45">
      <c r="A165" t="s">
        <v>360</v>
      </c>
      <c r="B165" s="115">
        <f t="shared" ca="1" si="5"/>
        <v>7.690267475529265E-3</v>
      </c>
      <c r="C165" s="4"/>
      <c r="D165" t="s">
        <v>361</v>
      </c>
      <c r="E165" s="115">
        <f t="shared" ca="1" si="4"/>
        <v>1.1690001257993464E-2</v>
      </c>
    </row>
    <row r="166" spans="1:9" ht="16.5" x14ac:dyDescent="0.45">
      <c r="A166" t="s">
        <v>362</v>
      </c>
      <c r="B166" s="115">
        <f t="shared" ca="1" si="5"/>
        <v>0</v>
      </c>
      <c r="C166" s="4"/>
      <c r="D166" t="s">
        <v>363</v>
      </c>
      <c r="E166" s="115">
        <f t="shared" ca="1" si="4"/>
        <v>0.1695432299128185</v>
      </c>
    </row>
    <row r="167" spans="1:9" ht="16.5" x14ac:dyDescent="0.45">
      <c r="A167" t="s">
        <v>364</v>
      </c>
      <c r="B167" s="115">
        <f t="shared" ca="1" si="5"/>
        <v>0</v>
      </c>
      <c r="C167" s="4"/>
      <c r="D167" t="s">
        <v>365</v>
      </c>
      <c r="E167" s="115">
        <f t="shared" ca="1" si="4"/>
        <v>9.3297700946303588E-2</v>
      </c>
    </row>
    <row r="168" spans="1:9" ht="16.5" x14ac:dyDescent="0.45">
      <c r="A168" t="s">
        <v>366</v>
      </c>
      <c r="B168" s="115">
        <f t="shared" ca="1" si="5"/>
        <v>0.14701088063077608</v>
      </c>
      <c r="C168" s="4"/>
      <c r="D168" t="s">
        <v>367</v>
      </c>
      <c r="E168" s="115">
        <f t="shared" ca="1" si="4"/>
        <v>2.7189838659811082E-2</v>
      </c>
    </row>
    <row r="169" spans="1:9" ht="16.5" x14ac:dyDescent="0.45">
      <c r="A169" t="s">
        <v>368</v>
      </c>
      <c r="B169" s="115">
        <f t="shared" ca="1" si="5"/>
        <v>0.11253604411598116</v>
      </c>
      <c r="C169" s="4"/>
      <c r="D169" t="s">
        <v>369</v>
      </c>
      <c r="E169" s="115">
        <f t="shared" ca="1" si="4"/>
        <v>4.0365149985591899E-3</v>
      </c>
    </row>
    <row r="170" spans="1:9" ht="16.5" x14ac:dyDescent="0.45">
      <c r="A170" t="s">
        <v>370</v>
      </c>
      <c r="B170" s="115">
        <f t="shared" ca="1" si="5"/>
        <v>5.168868303224587E-3</v>
      </c>
      <c r="D170" t="s">
        <v>371</v>
      </c>
      <c r="E170" s="115">
        <f t="shared" ca="1" si="4"/>
        <v>2.4280202845489322E-2</v>
      </c>
    </row>
    <row r="171" spans="1:9" ht="16.5" x14ac:dyDescent="0.45">
      <c r="A171" t="s">
        <v>372</v>
      </c>
      <c r="B171" s="115">
        <f t="shared" ca="1" si="5"/>
        <v>4.6923358005354649E-3</v>
      </c>
      <c r="D171" t="s">
        <v>373</v>
      </c>
      <c r="E171" s="115">
        <f t="shared" ca="1" si="4"/>
        <v>2.1274397366507627E-2</v>
      </c>
    </row>
    <row r="172" spans="1:9" ht="16.5" x14ac:dyDescent="0.45">
      <c r="B172" s="233">
        <f ca="1">SUM(B162:B171)</f>
        <v>1</v>
      </c>
      <c r="D172" t="s">
        <v>374</v>
      </c>
      <c r="E172" s="115">
        <f t="shared" ca="1" si="4"/>
        <v>5.7180416169654628E-2</v>
      </c>
    </row>
    <row r="173" spans="1:9" ht="16.5" x14ac:dyDescent="0.45">
      <c r="B173" s="115"/>
      <c r="D173" t="s">
        <v>375</v>
      </c>
      <c r="E173" s="115">
        <f t="shared" ca="1" si="4"/>
        <v>0.145461600281235</v>
      </c>
    </row>
    <row r="174" spans="1:9" ht="16.5" x14ac:dyDescent="0.45">
      <c r="B174" s="115"/>
      <c r="D174" t="s">
        <v>376</v>
      </c>
      <c r="E174" s="115">
        <f t="shared" ca="1" si="4"/>
        <v>7.0636690286744658E-2</v>
      </c>
    </row>
    <row r="175" spans="1:9" ht="16.5" x14ac:dyDescent="0.45">
      <c r="B175" s="115"/>
      <c r="D175" t="s">
        <v>377</v>
      </c>
      <c r="E175" s="115">
        <f t="shared" ca="1" si="4"/>
        <v>0</v>
      </c>
    </row>
    <row r="176" spans="1:9" ht="16.5" x14ac:dyDescent="0.45">
      <c r="B176" s="115"/>
      <c r="D176" t="s">
        <v>378</v>
      </c>
      <c r="E176" s="115">
        <f t="shared" ca="1" si="4"/>
        <v>0.21814400773583381</v>
      </c>
    </row>
    <row r="177" spans="1:5" ht="16.5" x14ac:dyDescent="0.45">
      <c r="B177" s="115"/>
      <c r="D177" t="s">
        <v>379</v>
      </c>
      <c r="E177" s="115">
        <f t="shared" ca="1" si="4"/>
        <v>3.5822439397663179E-3</v>
      </c>
    </row>
    <row r="178" spans="1:5" x14ac:dyDescent="0.35">
      <c r="E178" s="233">
        <f ca="1">SUM(E162:E177)</f>
        <v>1.0000000000000002</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7.4736281124041506</v>
      </c>
      <c r="C193" s="47"/>
      <c r="D193" t="s">
        <v>383</v>
      </c>
      <c r="E193" s="6">
        <f t="shared" ref="E193:E208" ca="1" si="7">$E162*$D$8</f>
        <v>0.22796462374871748</v>
      </c>
    </row>
    <row r="194" spans="1:5" ht="16.5" x14ac:dyDescent="0.45">
      <c r="A194" t="s">
        <v>384</v>
      </c>
      <c r="B194" s="7">
        <f t="shared" ca="1" si="6"/>
        <v>10.714253778518223</v>
      </c>
      <c r="D194" t="s">
        <v>385</v>
      </c>
      <c r="E194" s="6">
        <f t="shared" ca="1" si="7"/>
        <v>0.5092087091225429</v>
      </c>
    </row>
    <row r="195" spans="1:5" ht="16.5" x14ac:dyDescent="0.45">
      <c r="A195" t="s">
        <v>386</v>
      </c>
      <c r="B195" s="7">
        <f t="shared" ca="1" si="6"/>
        <v>8.3314256799619191</v>
      </c>
      <c r="D195" t="s">
        <v>387</v>
      </c>
      <c r="E195" s="6">
        <f t="shared" ca="1" si="7"/>
        <v>1.6790244205920795</v>
      </c>
    </row>
    <row r="196" spans="1:5" ht="16.5" x14ac:dyDescent="0.45">
      <c r="A196" t="s">
        <v>388</v>
      </c>
      <c r="B196" s="7">
        <f t="shared" ca="1" si="6"/>
        <v>0.28211386923124154</v>
      </c>
      <c r="D196" t="s">
        <v>389</v>
      </c>
      <c r="E196" s="6">
        <f t="shared" ca="1" si="7"/>
        <v>0.18378952896565334</v>
      </c>
    </row>
    <row r="197" spans="1:5" ht="16.5" x14ac:dyDescent="0.45">
      <c r="A197" t="s">
        <v>390</v>
      </c>
      <c r="B197" s="7">
        <f t="shared" ca="1" si="6"/>
        <v>0</v>
      </c>
      <c r="D197" t="s">
        <v>391</v>
      </c>
      <c r="E197" s="6">
        <f t="shared" ca="1" si="7"/>
        <v>2.6655489317150769</v>
      </c>
    </row>
    <row r="198" spans="1:5" ht="16.5" x14ac:dyDescent="0.45">
      <c r="A198" t="s">
        <v>392</v>
      </c>
      <c r="B198" s="7">
        <f t="shared" ca="1" si="6"/>
        <v>0</v>
      </c>
      <c r="D198" t="s">
        <v>393</v>
      </c>
      <c r="E198" s="6">
        <f t="shared" ca="1" si="7"/>
        <v>1.4668211005344884</v>
      </c>
    </row>
    <row r="199" spans="1:5" ht="16.5" x14ac:dyDescent="0.45">
      <c r="A199" t="s">
        <v>394</v>
      </c>
      <c r="B199" s="7">
        <f t="shared" ca="1" si="6"/>
        <v>5.3930254683353631</v>
      </c>
      <c r="D199" t="s">
        <v>395</v>
      </c>
      <c r="E199" s="6">
        <f t="shared" ca="1" si="7"/>
        <v>0.42747708316299515</v>
      </c>
    </row>
    <row r="200" spans="1:5" ht="16.5" x14ac:dyDescent="0.45">
      <c r="A200" t="s">
        <v>396</v>
      </c>
      <c r="B200" s="7">
        <f t="shared" ca="1" si="6"/>
        <v>4.1283321984001802</v>
      </c>
      <c r="D200" t="s">
        <v>397</v>
      </c>
      <c r="E200" s="6">
        <f t="shared" ca="1" si="7"/>
        <v>6.3461857178219575E-2</v>
      </c>
    </row>
    <row r="201" spans="1:5" ht="16.5" x14ac:dyDescent="0.45">
      <c r="A201" t="s">
        <v>398</v>
      </c>
      <c r="B201" s="7">
        <f t="shared" ca="1" si="6"/>
        <v>0.18961751866362131</v>
      </c>
      <c r="D201" t="s">
        <v>399</v>
      </c>
      <c r="E201" s="6">
        <f t="shared" ca="1" si="7"/>
        <v>0.38173195585514913</v>
      </c>
    </row>
    <row r="202" spans="1:5" ht="16.5" x14ac:dyDescent="0.45">
      <c r="A202" t="s">
        <v>400</v>
      </c>
      <c r="B202" s="7">
        <f t="shared" ca="1" si="6"/>
        <v>0.17213614645181499</v>
      </c>
      <c r="D202" t="s">
        <v>401</v>
      </c>
      <c r="E202" s="6">
        <f t="shared" ca="1" si="7"/>
        <v>0.33447485459806603</v>
      </c>
    </row>
    <row r="203" spans="1:5" ht="16.5" x14ac:dyDescent="0.45">
      <c r="B203" s="7">
        <f ca="1">SUM(B193:B202)</f>
        <v>36.684532771966516</v>
      </c>
      <c r="D203" t="s">
        <v>402</v>
      </c>
      <c r="E203" s="6">
        <f t="shared" ca="1" si="7"/>
        <v>0.89898722181016277</v>
      </c>
    </row>
    <row r="204" spans="1:5" ht="16.5" x14ac:dyDescent="0.45">
      <c r="B204" s="7"/>
      <c r="D204" t="s">
        <v>403</v>
      </c>
      <c r="E204" s="6">
        <f t="shared" ca="1" si="7"/>
        <v>2.2869389325341403</v>
      </c>
    </row>
    <row r="205" spans="1:5" ht="16.5" x14ac:dyDescent="0.45">
      <c r="B205" s="7"/>
      <c r="D205" t="s">
        <v>404</v>
      </c>
      <c r="E205" s="6">
        <f t="shared" ca="1" si="7"/>
        <v>1.1105459913117146</v>
      </c>
    </row>
    <row r="206" spans="1:5" ht="16.5" x14ac:dyDescent="0.45">
      <c r="B206" s="7"/>
      <c r="D206" t="s">
        <v>405</v>
      </c>
      <c r="E206" s="6">
        <f t="shared" ca="1" si="7"/>
        <v>0</v>
      </c>
    </row>
    <row r="207" spans="1:5" ht="16.5" x14ac:dyDescent="0.45">
      <c r="B207" s="7"/>
      <c r="D207" t="s">
        <v>406</v>
      </c>
      <c r="E207" s="6">
        <f t="shared" ca="1" si="7"/>
        <v>3.4296475717685637</v>
      </c>
    </row>
    <row r="208" spans="1:5" ht="16.5" x14ac:dyDescent="0.45">
      <c r="B208" s="7"/>
      <c r="D208" t="s">
        <v>407</v>
      </c>
      <c r="E208" s="6">
        <f t="shared" ca="1" si="7"/>
        <v>5.6319833659515414E-2</v>
      </c>
    </row>
    <row r="209" spans="1:5" x14ac:dyDescent="0.35">
      <c r="B209" s="7"/>
      <c r="E209" s="6">
        <f ca="1">SUM(E193:E208)</f>
        <v>15.721942616557085</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5.8227870874381436E-2</v>
      </c>
      <c r="D226" s="121"/>
      <c r="E226" s="8"/>
      <c r="F226" s="8"/>
      <c r="G226" s="122"/>
      <c r="H226" s="48" t="s">
        <v>415</v>
      </c>
      <c r="I226" s="48" t="str">
        <f t="shared" ref="I226:I241" si="8">B41</f>
        <v>NTS MG 1</v>
      </c>
      <c r="J226" s="12">
        <f ca="1">IFERROR($E193/$H41*1000000," ")</f>
        <v>2.6450670216535608E-2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3.9346387701836155E-2</v>
      </c>
      <c r="D227" s="121"/>
      <c r="E227" s="8"/>
      <c r="F227" s="8"/>
      <c r="G227" s="122"/>
      <c r="H227" s="48" t="s">
        <v>417</v>
      </c>
      <c r="I227" s="48" t="str">
        <f t="shared" si="8"/>
        <v>NTS MG 2</v>
      </c>
      <c r="J227" s="12">
        <f t="shared" ref="J227:J241" ca="1" si="11">IFERROR($E194/$H42*1000000," ")</f>
        <v>3.4061707606185071E-2</v>
      </c>
      <c r="L227" s="21"/>
      <c r="M227" s="123"/>
      <c r="Q227" s="8"/>
      <c r="R227" s="124"/>
      <c r="S227" s="125"/>
      <c r="T227" s="125"/>
      <c r="U227" s="125"/>
    </row>
    <row r="228" spans="1:22" ht="16.5" x14ac:dyDescent="0.35">
      <c r="A228" s="48" t="s">
        <v>418</v>
      </c>
      <c r="B228" s="48" t="str">
        <f t="shared" si="9"/>
        <v>PR-ITABORAÍ</v>
      </c>
      <c r="C228" s="12">
        <f t="shared" ca="1" si="10"/>
        <v>4.5532899255386478E-2</v>
      </c>
      <c r="D228" s="121"/>
      <c r="E228" s="8"/>
      <c r="F228" s="8"/>
      <c r="G228" s="122"/>
      <c r="H228" s="48" t="s">
        <v>419</v>
      </c>
      <c r="I228" s="48" t="str">
        <f t="shared" si="8"/>
        <v>NTS MG 3</v>
      </c>
      <c r="J228" s="12">
        <f t="shared" ca="1" si="11"/>
        <v>4.3239476306174349E-2</v>
      </c>
      <c r="L228" s="21"/>
      <c r="M228" s="123"/>
      <c r="Q228" s="8"/>
      <c r="R228" s="124"/>
      <c r="S228" s="125"/>
      <c r="T228" s="125"/>
      <c r="U228" s="125"/>
    </row>
    <row r="229" spans="1:22" ht="16.5" x14ac:dyDescent="0.35">
      <c r="A229" s="48" t="s">
        <v>420</v>
      </c>
      <c r="B229" s="48" t="str">
        <f t="shared" si="9"/>
        <v>PR-GASPAJ (INTERCONEXÃO)</v>
      </c>
      <c r="C229" s="12">
        <f t="shared" ca="1" si="10"/>
        <v>6.7935618208622706E-2</v>
      </c>
      <c r="D229" s="121"/>
      <c r="E229" s="8"/>
      <c r="F229" s="8"/>
      <c r="G229" s="122"/>
      <c r="H229" s="48" t="s">
        <v>421</v>
      </c>
      <c r="I229" s="48" t="str">
        <f t="shared" si="8"/>
        <v>NTS MG 4</v>
      </c>
      <c r="J229" s="12">
        <f t="shared" ca="1" si="11"/>
        <v>4.4258211425681072E-2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1.4369940110176904E-2</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1.2820817522863933E-2</v>
      </c>
      <c r="L231" s="21"/>
      <c r="M231" s="123"/>
      <c r="Q231" s="8"/>
      <c r="R231" s="124"/>
      <c r="S231" s="125"/>
      <c r="T231" s="125"/>
      <c r="U231" s="125"/>
    </row>
    <row r="232" spans="1:22" ht="16.5" x14ac:dyDescent="0.35">
      <c r="A232" s="48" t="s">
        <v>426</v>
      </c>
      <c r="B232" s="48" t="str">
        <f t="shared" si="9"/>
        <v>PR-TECAB</v>
      </c>
      <c r="C232" s="12">
        <f t="shared" ca="1" si="10"/>
        <v>6.3214253608335338E-2</v>
      </c>
      <c r="D232" s="121"/>
      <c r="E232" s="8"/>
      <c r="F232" s="8"/>
      <c r="G232" s="122"/>
      <c r="H232" s="48" t="s">
        <v>427</v>
      </c>
      <c r="I232" s="48" t="str">
        <f t="shared" si="8"/>
        <v>NTS RJ 3</v>
      </c>
      <c r="J232" s="12">
        <f t="shared" ca="1" si="11"/>
        <v>1.4448609206699964E-2</v>
      </c>
      <c r="L232" s="21"/>
      <c r="M232" s="123"/>
      <c r="Q232" s="8"/>
      <c r="R232" s="124"/>
      <c r="S232" s="125"/>
      <c r="T232" s="125"/>
      <c r="U232" s="125"/>
    </row>
    <row r="233" spans="1:22" ht="16.5" x14ac:dyDescent="0.35">
      <c r="A233" s="48" t="s">
        <v>428</v>
      </c>
      <c r="B233" s="48" t="str">
        <f t="shared" si="9"/>
        <v>PR-GUARAREMA (INTERCONEXÃO)</v>
      </c>
      <c r="C233" s="12">
        <f t="shared" ca="1" si="10"/>
        <v>5.0535471282160765E-2</v>
      </c>
      <c r="D233" s="121"/>
      <c r="E233" s="8"/>
      <c r="F233" s="8"/>
      <c r="G233" s="122"/>
      <c r="H233" s="48" t="s">
        <v>429</v>
      </c>
      <c r="I233" s="48" t="str">
        <f t="shared" si="8"/>
        <v>NTS RJ 4</v>
      </c>
      <c r="J233" s="12">
        <f t="shared" ca="1" si="11"/>
        <v>1.6470215271516132E-2</v>
      </c>
      <c r="L233" s="21"/>
      <c r="M233" s="123"/>
      <c r="Q233" s="8"/>
      <c r="R233" s="124"/>
      <c r="S233" s="125"/>
      <c r="T233" s="125"/>
      <c r="U233" s="125"/>
    </row>
    <row r="234" spans="1:22" ht="16.5" x14ac:dyDescent="0.35">
      <c r="A234" s="48" t="s">
        <v>430</v>
      </c>
      <c r="B234" s="48" t="str">
        <f t="shared" si="9"/>
        <v>PR-REPLAN (INTERCONEXÃO)</v>
      </c>
      <c r="C234" s="12">
        <f t="shared" ca="1" si="10"/>
        <v>6.7935618208622692E-2</v>
      </c>
      <c r="D234" s="116"/>
      <c r="E234" s="8"/>
      <c r="F234" s="8"/>
      <c r="G234" s="116"/>
      <c r="H234" s="48" t="s">
        <v>431</v>
      </c>
      <c r="I234" s="48" t="str">
        <f t="shared" si="8"/>
        <v>NTS RJ 5</v>
      </c>
      <c r="J234" s="12">
        <f t="shared" ca="1" si="11"/>
        <v>1.3249997242195676E-2</v>
      </c>
      <c r="L234" s="21"/>
      <c r="Q234" s="8"/>
      <c r="R234" s="124"/>
      <c r="S234" s="125"/>
      <c r="T234" s="125"/>
      <c r="U234" s="125"/>
    </row>
    <row r="235" spans="1:22" ht="16.5" x14ac:dyDescent="0.35">
      <c r="A235" s="48" t="s">
        <v>432</v>
      </c>
      <c r="B235" s="48" t="str">
        <f t="shared" si="9"/>
        <v>PR-TECAB (INTERCONEXÃO)</v>
      </c>
      <c r="C235" s="12">
        <f t="shared" ca="1" si="10"/>
        <v>6.3214253608335325E-2</v>
      </c>
      <c r="D235" s="116"/>
      <c r="E235" s="8"/>
      <c r="F235" s="8"/>
      <c r="G235" s="116"/>
      <c r="H235" s="48" t="s">
        <v>433</v>
      </c>
      <c r="I235" s="48" t="str">
        <f t="shared" si="8"/>
        <v>NTS SP 1</v>
      </c>
      <c r="J235" s="12">
        <f t="shared" ca="1" si="11"/>
        <v>2.339629605761958E-2</v>
      </c>
      <c r="L235" s="21"/>
      <c r="Q235" s="8"/>
      <c r="R235" s="124"/>
      <c r="S235" s="125"/>
      <c r="T235" s="125"/>
      <c r="U235" s="125"/>
    </row>
    <row r="236" spans="1:22" ht="16.5" x14ac:dyDescent="0.35">
      <c r="D236" s="116"/>
      <c r="E236" s="8"/>
      <c r="F236" s="8"/>
      <c r="G236" s="116"/>
      <c r="H236" s="48" t="s">
        <v>434</v>
      </c>
      <c r="I236" s="48" t="str">
        <f t="shared" si="8"/>
        <v>NTS SP 2</v>
      </c>
      <c r="J236" s="12">
        <f t="shared" ca="1" si="11"/>
        <v>2.1987260419997962E-2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3.0080295066806997E-2</v>
      </c>
      <c r="L237" s="21"/>
      <c r="Q237" s="8"/>
      <c r="R237" s="124"/>
      <c r="S237" s="125"/>
      <c r="T237" s="125"/>
      <c r="U237" s="125"/>
    </row>
    <row r="238" spans="1:22" ht="16.5" x14ac:dyDescent="0.35">
      <c r="D238" s="116"/>
      <c r="E238" s="8"/>
      <c r="F238" s="8"/>
      <c r="G238" s="116"/>
      <c r="H238" s="48" t="s">
        <v>436</v>
      </c>
      <c r="I238" s="48" t="str">
        <f t="shared" si="8"/>
        <v>NTS SP 4</v>
      </c>
      <c r="J238" s="12">
        <f t="shared" ca="1" si="11"/>
        <v>3.284980251311536E-2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3.6913345715357586E-2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2.0682560412309779E-2</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1.1645574174876284E-2</v>
      </c>
      <c r="D245" s="12">
        <f t="shared" ref="D245:D254" si="13">$F$7*$C$11</f>
        <v>3.8599790590215462E-2</v>
      </c>
      <c r="E245" s="12">
        <f ca="1">IFERROR(C245+D245," ")</f>
        <v>5.0245364765091748E-2</v>
      </c>
      <c r="G245" s="123"/>
      <c r="H245" s="48" t="s">
        <v>415</v>
      </c>
      <c r="I245" s="48" t="str">
        <f t="shared" ref="I245:I260" si="14">I226</f>
        <v>NTS MG 1</v>
      </c>
      <c r="J245" s="12">
        <f ca="1">IF(H41=0," ",J226*(1-$C$11))</f>
        <v>5.2901340433071202E-3</v>
      </c>
      <c r="K245" s="12">
        <f t="shared" ref="K245:K260" si="15">$F$10*$C$11</f>
        <v>1.8245367796737844E-2</v>
      </c>
      <c r="L245" s="12">
        <f ca="1">IFERROR(J245+K245," ")</f>
        <v>2.3535501840044964E-2</v>
      </c>
    </row>
    <row r="246" spans="1:22" ht="16.5" x14ac:dyDescent="0.35">
      <c r="A246" s="48" t="s">
        <v>416</v>
      </c>
      <c r="B246" s="48" t="str">
        <f t="shared" si="12"/>
        <v>PR-GNLBGB</v>
      </c>
      <c r="C246" s="12">
        <f t="shared" ref="C246:C254" ca="1" si="16">IF(H25=0," ",C227*(1-$C$11))</f>
        <v>7.8692775403672293E-3</v>
      </c>
      <c r="D246" s="12">
        <f t="shared" si="13"/>
        <v>3.8599790590215462E-2</v>
      </c>
      <c r="E246" s="12">
        <f t="shared" ref="E246:E254" ca="1" si="17">IFERROR(C246+D246," ")</f>
        <v>4.6469068130582693E-2</v>
      </c>
      <c r="G246" s="123"/>
      <c r="H246" s="48" t="s">
        <v>417</v>
      </c>
      <c r="I246" s="48" t="str">
        <f t="shared" si="14"/>
        <v>NTS MG 2</v>
      </c>
      <c r="J246" s="12">
        <f t="shared" ref="J246:J247" ca="1" si="18">IF(H42=0," ",J227*(1-$C$11))</f>
        <v>6.8123415212370123E-3</v>
      </c>
      <c r="K246" s="12">
        <f t="shared" si="15"/>
        <v>1.8245367796737844E-2</v>
      </c>
      <c r="L246" s="12">
        <f t="shared" ref="L246:L260" ca="1" si="19">IFERROR(J246+K246," ")</f>
        <v>2.5057709317974856E-2</v>
      </c>
    </row>
    <row r="247" spans="1:22" ht="16.5" x14ac:dyDescent="0.35">
      <c r="A247" s="48" t="s">
        <v>418</v>
      </c>
      <c r="B247" s="48" t="str">
        <f t="shared" si="12"/>
        <v>PR-ITABORAÍ</v>
      </c>
      <c r="C247" s="12">
        <f t="shared" ca="1" si="16"/>
        <v>9.1065798510772938E-3</v>
      </c>
      <c r="D247" s="12">
        <f t="shared" si="13"/>
        <v>3.8599790590215462E-2</v>
      </c>
      <c r="E247" s="12">
        <f t="shared" ca="1" si="17"/>
        <v>4.7706370441292757E-2</v>
      </c>
      <c r="G247" s="123"/>
      <c r="H247" s="48" t="s">
        <v>419</v>
      </c>
      <c r="I247" s="48" t="str">
        <f t="shared" si="14"/>
        <v>NTS MG 3</v>
      </c>
      <c r="J247" s="12">
        <f t="shared" ca="1" si="18"/>
        <v>8.647895261234868E-3</v>
      </c>
      <c r="K247" s="12">
        <f t="shared" si="15"/>
        <v>1.8245367796737844E-2</v>
      </c>
      <c r="L247" s="12">
        <f t="shared" ca="1" si="19"/>
        <v>2.6893263057972711E-2</v>
      </c>
    </row>
    <row r="248" spans="1:22" ht="16.5" x14ac:dyDescent="0.35">
      <c r="A248" s="48" t="s">
        <v>420</v>
      </c>
      <c r="B248" s="48" t="str">
        <f t="shared" si="12"/>
        <v>PR-GASPAJ (INTERCONEXÃO)</v>
      </c>
      <c r="C248" s="12">
        <f t="shared" ca="1" si="16"/>
        <v>1.3587123641724538E-2</v>
      </c>
      <c r="D248" s="12">
        <f t="shared" si="13"/>
        <v>3.8599790590215462E-2</v>
      </c>
      <c r="E248" s="12">
        <f t="shared" ca="1" si="17"/>
        <v>5.2186914231939996E-2</v>
      </c>
      <c r="G248" s="123"/>
      <c r="H248" s="48" t="s">
        <v>421</v>
      </c>
      <c r="I248" s="48" t="str">
        <f t="shared" si="14"/>
        <v>NTS MG 4</v>
      </c>
      <c r="J248" s="12">
        <f ca="1">IF(H44=0," ",J229*(1-$C$11))</f>
        <v>8.8516422851362131E-3</v>
      </c>
      <c r="K248" s="12">
        <f t="shared" si="15"/>
        <v>1.8245367796737844E-2</v>
      </c>
      <c r="L248" s="12">
        <f t="shared" ca="1" si="19"/>
        <v>2.7097010081874057E-2</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2.8739880220353801E-3</v>
      </c>
      <c r="K249" s="12">
        <f t="shared" si="15"/>
        <v>1.8245367796737844E-2</v>
      </c>
      <c r="L249" s="12">
        <f t="shared" ca="1" si="19"/>
        <v>2.1119355818773226E-2</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2.5641635045727858E-3</v>
      </c>
      <c r="K250" s="12">
        <f t="shared" si="15"/>
        <v>1.8245367796737844E-2</v>
      </c>
      <c r="L250" s="12">
        <f t="shared" ca="1" si="19"/>
        <v>2.0809531301310628E-2</v>
      </c>
    </row>
    <row r="251" spans="1:22" ht="16.5" x14ac:dyDescent="0.35">
      <c r="A251" s="48" t="s">
        <v>426</v>
      </c>
      <c r="B251" s="48" t="str">
        <f t="shared" si="12"/>
        <v>PR-TECAB</v>
      </c>
      <c r="C251" s="12">
        <f t="shared" ca="1" si="16"/>
        <v>1.2642850721667065E-2</v>
      </c>
      <c r="D251" s="12">
        <f t="shared" si="13"/>
        <v>3.8599790590215462E-2</v>
      </c>
      <c r="E251" s="12">
        <f t="shared" ca="1" si="17"/>
        <v>5.1242641311882525E-2</v>
      </c>
      <c r="G251" s="123"/>
      <c r="H251" s="48" t="s">
        <v>427</v>
      </c>
      <c r="I251" s="48" t="str">
        <f t="shared" si="14"/>
        <v>NTS RJ 3</v>
      </c>
      <c r="J251" s="12">
        <f t="shared" ca="1" si="20"/>
        <v>2.8897218413399921E-3</v>
      </c>
      <c r="K251" s="12">
        <f t="shared" si="15"/>
        <v>1.8245367796737844E-2</v>
      </c>
      <c r="L251" s="12">
        <f t="shared" ca="1" si="19"/>
        <v>2.1135089638077836E-2</v>
      </c>
    </row>
    <row r="252" spans="1:22" ht="16.5" x14ac:dyDescent="0.35">
      <c r="A252" s="48" t="s">
        <v>428</v>
      </c>
      <c r="B252" s="48" t="str">
        <f t="shared" si="12"/>
        <v>PR-GUARAREMA (INTERCONEXÃO)</v>
      </c>
      <c r="C252" s="12">
        <f t="shared" ca="1" si="16"/>
        <v>1.010709425643215E-2</v>
      </c>
      <c r="D252" s="12">
        <f t="shared" si="13"/>
        <v>3.8599790590215462E-2</v>
      </c>
      <c r="E252" s="12">
        <f t="shared" ca="1" si="17"/>
        <v>4.8706884846647612E-2</v>
      </c>
      <c r="G252" s="123"/>
      <c r="H252" s="48" t="s">
        <v>429</v>
      </c>
      <c r="I252" s="48" t="str">
        <f t="shared" si="14"/>
        <v>NTS RJ 4</v>
      </c>
      <c r="J252" s="12">
        <f t="shared" ca="1" si="20"/>
        <v>3.2940430543032259E-3</v>
      </c>
      <c r="K252" s="12">
        <f t="shared" si="15"/>
        <v>1.8245367796737844E-2</v>
      </c>
      <c r="L252" s="12">
        <f t="shared" ca="1" si="19"/>
        <v>2.1539410851041069E-2</v>
      </c>
    </row>
    <row r="253" spans="1:22" ht="16.5" x14ac:dyDescent="0.35">
      <c r="A253" s="48" t="s">
        <v>430</v>
      </c>
      <c r="B253" s="48" t="str">
        <f t="shared" si="12"/>
        <v>PR-REPLAN (INTERCONEXÃO)</v>
      </c>
      <c r="C253" s="12">
        <f t="shared" ca="1" si="16"/>
        <v>1.3587123641724536E-2</v>
      </c>
      <c r="D253" s="12">
        <f t="shared" si="13"/>
        <v>3.8599790590215462E-2</v>
      </c>
      <c r="E253" s="12">
        <f t="shared" ca="1" si="17"/>
        <v>5.2186914231939996E-2</v>
      </c>
      <c r="G253" s="123"/>
      <c r="H253" s="48" t="s">
        <v>431</v>
      </c>
      <c r="I253" s="48" t="str">
        <f t="shared" si="14"/>
        <v>NTS RJ 5</v>
      </c>
      <c r="J253" s="12">
        <f t="shared" ca="1" si="20"/>
        <v>2.6499994484391345E-3</v>
      </c>
      <c r="K253" s="12">
        <f t="shared" si="15"/>
        <v>1.8245367796737844E-2</v>
      </c>
      <c r="L253" s="12">
        <f t="shared" ca="1" si="19"/>
        <v>2.0895367245176977E-2</v>
      </c>
    </row>
    <row r="254" spans="1:22" ht="16.5" x14ac:dyDescent="0.35">
      <c r="A254" s="48" t="s">
        <v>432</v>
      </c>
      <c r="B254" s="48" t="str">
        <f t="shared" si="12"/>
        <v>PR-TECAB (INTERCONEXÃO)</v>
      </c>
      <c r="C254" s="12">
        <f t="shared" ca="1" si="16"/>
        <v>1.2642850721667062E-2</v>
      </c>
      <c r="D254" s="12">
        <f t="shared" si="13"/>
        <v>3.8599790590215462E-2</v>
      </c>
      <c r="E254" s="12">
        <f t="shared" ca="1" si="17"/>
        <v>5.1242641311882525E-2</v>
      </c>
      <c r="G254" s="123"/>
      <c r="H254" s="48" t="s">
        <v>433</v>
      </c>
      <c r="I254" s="48" t="str">
        <f t="shared" si="14"/>
        <v>NTS SP 1</v>
      </c>
      <c r="J254" s="12">
        <f t="shared" ca="1" si="20"/>
        <v>4.6792592115239146E-3</v>
      </c>
      <c r="K254" s="12">
        <f t="shared" si="15"/>
        <v>1.8245367796737844E-2</v>
      </c>
      <c r="L254" s="12">
        <f t="shared" ca="1" si="19"/>
        <v>2.2924627008261759E-2</v>
      </c>
    </row>
    <row r="255" spans="1:22" ht="16.5" x14ac:dyDescent="0.35">
      <c r="H255" s="48" t="s">
        <v>434</v>
      </c>
      <c r="I255" s="48" t="str">
        <f t="shared" si="14"/>
        <v>NTS SP 2</v>
      </c>
      <c r="J255" s="12">
        <f t="shared" ca="1" si="20"/>
        <v>4.3974520839995916E-3</v>
      </c>
      <c r="K255" s="12">
        <f t="shared" si="15"/>
        <v>1.8245367796737844E-2</v>
      </c>
      <c r="L255" s="12">
        <f t="shared" ca="1" si="19"/>
        <v>2.2642819880737436E-2</v>
      </c>
    </row>
    <row r="256" spans="1:22" ht="16.5" x14ac:dyDescent="0.35">
      <c r="H256" s="48" t="s">
        <v>435</v>
      </c>
      <c r="I256" s="48" t="str">
        <f t="shared" si="14"/>
        <v>NTS SP 3</v>
      </c>
      <c r="J256" s="12">
        <f t="shared" ca="1" si="20"/>
        <v>6.0160590133613977E-3</v>
      </c>
      <c r="K256" s="12">
        <f t="shared" si="15"/>
        <v>1.8245367796737844E-2</v>
      </c>
      <c r="L256" s="12">
        <f t="shared" ca="1" si="19"/>
        <v>2.426142681009924E-2</v>
      </c>
    </row>
    <row r="257" spans="1:13" ht="16.5" x14ac:dyDescent="0.35">
      <c r="H257" s="48" t="s">
        <v>436</v>
      </c>
      <c r="I257" s="48" t="str">
        <f t="shared" si="14"/>
        <v>NTS SP 4</v>
      </c>
      <c r="J257" s="12">
        <f t="shared" ca="1" si="20"/>
        <v>6.5699605026230705E-3</v>
      </c>
      <c r="K257" s="12">
        <f t="shared" si="15"/>
        <v>1.8245367796737844E-2</v>
      </c>
      <c r="L257" s="12">
        <f t="shared" ca="1" si="19"/>
        <v>2.4815328299360916E-2</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7.3826691430715153E-3</v>
      </c>
      <c r="K259" s="12">
        <f t="shared" si="15"/>
        <v>1.8245367796737844E-2</v>
      </c>
      <c r="L259" s="12">
        <f t="shared" ca="1" si="19"/>
        <v>2.5628036939809359E-2</v>
      </c>
    </row>
    <row r="260" spans="1:13" ht="16.5" x14ac:dyDescent="0.35">
      <c r="H260" s="48" t="s">
        <v>439</v>
      </c>
      <c r="I260" s="48" t="str">
        <f t="shared" si="14"/>
        <v>PE-TECAB (INTERCONEXÃO)</v>
      </c>
      <c r="J260" s="12">
        <f t="shared" ca="1" si="20"/>
        <v>4.136512082461955E-3</v>
      </c>
      <c r="K260" s="12">
        <f t="shared" si="15"/>
        <v>1.8245367796737844E-2</v>
      </c>
      <c r="L260" s="12">
        <f t="shared" ca="1" si="19"/>
        <v>2.23818798791998E-2</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(GASIG)'!G11</f>
        <v>205</v>
      </c>
      <c r="D267" s="265">
        <f ca="1">E253</f>
        <v>5.2186914231939996E-2</v>
      </c>
      <c r="E267" s="268">
        <f ca="1">D267*(1-$C$262)</f>
        <v>5.2186914231939982E-3</v>
      </c>
      <c r="F267" s="266">
        <f ca="1">C267*E267*'Premissas (GASIG)'!$C$36*'Premissas (GASIG)'!$F$20*1000</f>
        <v>14566.075122748638</v>
      </c>
      <c r="L267" s="128"/>
    </row>
    <row r="268" spans="1:13" ht="18.5" x14ac:dyDescent="0.45">
      <c r="B268" s="247" t="s">
        <v>451</v>
      </c>
      <c r="C268" s="271">
        <f>'Oferta (GASIG)'!G10</f>
        <v>6000</v>
      </c>
      <c r="D268" s="265">
        <f ca="1">E252</f>
        <v>4.8706884846647612E-2</v>
      </c>
      <c r="E268" s="268">
        <f t="shared" ref="E268:E270" ca="1" si="21">D268*(1-$C$262)</f>
        <v>4.8706884846647603E-3</v>
      </c>
      <c r="F268" s="266">
        <f ca="1">C268*E268*'Premissas (GASIG)'!$C$36*'Premissas (GASIG)'!$F$20*1000</f>
        <v>397895.17322096601</v>
      </c>
      <c r="G268" s="129"/>
      <c r="K268" s="129"/>
      <c r="L268" s="128"/>
    </row>
    <row r="269" spans="1:13" ht="18.5" x14ac:dyDescent="0.45">
      <c r="B269" s="248" t="s">
        <v>452</v>
      </c>
      <c r="C269" s="271">
        <f>'Oferta (GASIG)'!G12</f>
        <v>200</v>
      </c>
      <c r="D269" s="265">
        <f ca="1">E254</f>
        <v>5.1242641311882525E-2</v>
      </c>
      <c r="E269" s="268">
        <f t="shared" ca="1" si="21"/>
        <v>5.1242641311882511E-3</v>
      </c>
      <c r="F269" s="266">
        <f ca="1">C269*E269*'Premissas (GASIG)'!$C$36*'Premissas (GASIG)'!$F$20*1000</f>
        <v>13953.673904135043</v>
      </c>
      <c r="K269" s="129"/>
      <c r="L269" s="128"/>
    </row>
    <row r="270" spans="1:13" ht="18.5" x14ac:dyDescent="0.45">
      <c r="B270" s="248" t="s">
        <v>243</v>
      </c>
      <c r="C270" s="271">
        <f>'Oferta (GASIG)'!G6</f>
        <v>305</v>
      </c>
      <c r="D270" s="265">
        <f ca="1">E248</f>
        <v>5.2186914231939996E-2</v>
      </c>
      <c r="E270" s="268">
        <f t="shared" ca="1" si="21"/>
        <v>5.2186914231939982E-3</v>
      </c>
      <c r="F270" s="266">
        <f ca="1">C270*E270*'Premissas (GASIG)'!$C$36*'Premissas (GASIG)'!$F$20*1000</f>
        <v>21671.477621650414</v>
      </c>
      <c r="K270" s="129"/>
      <c r="L270" s="128"/>
    </row>
    <row r="271" spans="1:13" ht="18.5" x14ac:dyDescent="0.45">
      <c r="B271" s="246" t="s">
        <v>453</v>
      </c>
      <c r="C271" s="271">
        <f>'Demanda (GASIG)'!G17</f>
        <v>6824</v>
      </c>
      <c r="D271" s="265">
        <f ca="1">L259</f>
        <v>2.5628036939809359E-2</v>
      </c>
      <c r="E271" s="268">
        <f ca="1">D271*(1-$C$262)</f>
        <v>2.5628036939809354E-3</v>
      </c>
      <c r="F271" s="266">
        <f ca="1">C271*E271*'Premissas (GASIG)'!$C$36*'Premissas (GASIG)'!$F$20*1000</f>
        <v>238112.07831872022</v>
      </c>
      <c r="K271" s="129"/>
      <c r="L271" s="128"/>
    </row>
    <row r="272" spans="1:13" ht="18.5" x14ac:dyDescent="0.45">
      <c r="B272" s="248" t="s">
        <v>454</v>
      </c>
      <c r="C272" s="271">
        <f>'Demanda (GASIG)'!G18</f>
        <v>200</v>
      </c>
      <c r="D272" s="265">
        <f ca="1">L260</f>
        <v>2.23818798791998E-2</v>
      </c>
      <c r="E272" s="268">
        <f ca="1">D272*(1-$C$262)</f>
        <v>2.2381879879199793E-3</v>
      </c>
      <c r="F272" s="266">
        <f ca="1">C272*E272*'Premissas (GASIG)'!$C$36*'Premissas (GASIG)'!$F$20*1000</f>
        <v>6094.7180941559864</v>
      </c>
      <c r="K272" s="129"/>
      <c r="L272" s="128"/>
    </row>
    <row r="273" spans="2:13" ht="19" thickBot="1" x14ac:dyDescent="0.5">
      <c r="B273" s="248"/>
      <c r="C273" s="248"/>
      <c r="D273" s="248"/>
      <c r="E273" s="248"/>
      <c r="F273" s="267">
        <f ca="1">SUM(F267:F272)</f>
        <v>692293.19628237642</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685A-E35F-438C-BE6F-BEF6B8621CEE}">
  <sheetPr>
    <tabColor theme="5"/>
  </sheetPr>
  <dimension ref="A2:AA303"/>
  <sheetViews>
    <sheetView showGridLines="0" topLeftCell="A239" zoomScale="70" zoomScaleNormal="70" workbookViewId="0">
      <selection activeCell="D38" sqref="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5" thickBot="1" x14ac:dyDescent="0.4">
      <c r="A5" s="211"/>
      <c r="B5" s="255" t="s">
        <v>460</v>
      </c>
      <c r="C5" s="208"/>
      <c r="D5" s="382">
        <f ca="1">D6+D9</f>
        <v>51.714182192241225</v>
      </c>
      <c r="E5" s="224" t="s">
        <v>111</v>
      </c>
      <c r="F5" s="273" t="s">
        <v>465</v>
      </c>
      <c r="G5" s="211"/>
      <c r="H5" s="235"/>
      <c r="I5" s="235"/>
    </row>
    <row r="6" spans="1:9" ht="16.5" x14ac:dyDescent="0.35">
      <c r="A6" s="206">
        <f>HLOOKUP($G$3,'Premissas (GASIG)'!$B$5:$F$13,9,FALSE)</f>
        <v>0.7</v>
      </c>
      <c r="B6" s="207" t="s">
        <v>112</v>
      </c>
      <c r="C6" s="208" t="s">
        <v>271</v>
      </c>
      <c r="D6" s="382">
        <f ca="1">($A$6*$D$4)-(SUM($F$268:$F$271)/10^6)</f>
        <v>36.236446372097014</v>
      </c>
      <c r="E6" s="210" t="s">
        <v>113</v>
      </c>
      <c r="F6" s="273" t="s">
        <v>458</v>
      </c>
      <c r="G6" s="211"/>
      <c r="H6" s="235"/>
    </row>
    <row r="7" spans="1:9" ht="29" x14ac:dyDescent="0.35">
      <c r="A7" s="92"/>
      <c r="B7" s="212" t="s">
        <v>114</v>
      </c>
      <c r="C7" s="213" t="s">
        <v>272</v>
      </c>
      <c r="D7" s="383">
        <f>$D$35*'Premissas (GASIG)'!$F$20</f>
        <v>17933180</v>
      </c>
      <c r="E7" s="212" t="s">
        <v>115</v>
      </c>
      <c r="F7" s="230">
        <f>H35</f>
        <v>668946690.39921999</v>
      </c>
      <c r="G7" s="82" t="s">
        <v>116</v>
      </c>
    </row>
    <row r="8" spans="1:9" ht="17" thickBot="1" x14ac:dyDescent="0.4">
      <c r="A8" s="215"/>
      <c r="B8" s="216" t="s">
        <v>117</v>
      </c>
      <c r="C8" s="217" t="s">
        <v>273</v>
      </c>
      <c r="D8" s="218">
        <f ca="1">$D$6/$D$7*1000</f>
        <v>2.02063696299803E-3</v>
      </c>
      <c r="E8" s="219" t="s">
        <v>118</v>
      </c>
      <c r="F8" s="384">
        <f ca="1">$D$6/$F$7*1000000</f>
        <v>5.4169408253550821E-2</v>
      </c>
      <c r="G8" s="228" t="s">
        <v>15</v>
      </c>
      <c r="I8" s="235"/>
    </row>
    <row r="9" spans="1:9" ht="16.5" x14ac:dyDescent="0.35">
      <c r="A9" s="206">
        <f>1-A6</f>
        <v>0.30000000000000004</v>
      </c>
      <c r="B9" s="207" t="s">
        <v>119</v>
      </c>
      <c r="C9" s="208" t="s">
        <v>274</v>
      </c>
      <c r="D9" s="382">
        <f ca="1">($A$9*$D$4)-(SUM($F$272:$F$273)/10^6)</f>
        <v>15.477735820144208</v>
      </c>
      <c r="E9" s="210" t="s">
        <v>113</v>
      </c>
      <c r="F9" s="273" t="s">
        <v>459</v>
      </c>
      <c r="G9" s="229"/>
    </row>
    <row r="10" spans="1:9" ht="29" x14ac:dyDescent="0.35">
      <c r="B10" s="212" t="s">
        <v>120</v>
      </c>
      <c r="C10" s="213" t="s">
        <v>275</v>
      </c>
      <c r="D10" s="383">
        <f>$D$58*'Premissas (GASIG)'!$F$20</f>
        <v>15916555</v>
      </c>
      <c r="E10" s="212" t="s">
        <v>115</v>
      </c>
      <c r="F10" s="230">
        <f>H58</f>
        <v>593722183.67334497</v>
      </c>
      <c r="G10" s="82" t="s">
        <v>116</v>
      </c>
    </row>
    <row r="11" spans="1:9" ht="17" thickBot="1" x14ac:dyDescent="0.4">
      <c r="A11" s="225"/>
      <c r="B11" s="216" t="s">
        <v>121</v>
      </c>
      <c r="C11" s="217" t="s">
        <v>276</v>
      </c>
      <c r="D11" s="218">
        <f ca="1">$D$9/$D$10*1000</f>
        <v>9.7243001517251747E-4</v>
      </c>
      <c r="E11" s="219" t="s">
        <v>118</v>
      </c>
      <c r="F11" s="384">
        <f ca="1">$D$9/$F$10*1000000</f>
        <v>2.606898688606147E-2</v>
      </c>
      <c r="G11" s="228" t="s">
        <v>15</v>
      </c>
    </row>
    <row r="12" spans="1:9" ht="15" thickBot="1" x14ac:dyDescent="0.4">
      <c r="A12" s="220"/>
      <c r="B12" s="220" t="s">
        <v>122</v>
      </c>
      <c r="C12" s="226">
        <f>HLOOKUP($G$3,'Premissas (GASIG)'!$B$5:$F$8,4,FALSE)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(GASIG)'!C3</f>
        <v>20000</v>
      </c>
      <c r="D25" s="290">
        <f>'Oferta (GASIG)'!G3</f>
        <v>9427</v>
      </c>
      <c r="F25" s="104"/>
      <c r="G25" s="43">
        <f>IFERROR($C25*$H$20*'Premissas (GASIG)'!$F$20*1000," ")</f>
        <v>272305906.69999999</v>
      </c>
      <c r="H25" s="43">
        <f>IFERROR($D25*$H$20*'Premissas (GASIG)'!$F$20*1000," ")</f>
        <v>128351389.123045</v>
      </c>
      <c r="I25" s="93"/>
    </row>
    <row r="26" spans="1:9" x14ac:dyDescent="0.35">
      <c r="A26" s="2" t="s">
        <v>133</v>
      </c>
      <c r="B26" s="44" t="s">
        <v>26</v>
      </c>
      <c r="C26" s="290">
        <f>'Oferta (GASIG)'!C4</f>
        <v>20000</v>
      </c>
      <c r="D26" s="290">
        <f>'Oferta (GASIG)'!G4</f>
        <v>20000</v>
      </c>
      <c r="F26" s="104"/>
      <c r="G26" s="43">
        <f>IFERROR($C26*$H$20*'Premissas (GASIG)'!$F$20*1000," ")</f>
        <v>272305906.69999999</v>
      </c>
      <c r="H26" s="43">
        <f>IFERROR($D26*$H$20*'Premissas (GASIG)'!$F$20*1000," ")</f>
        <v>272305906.69999999</v>
      </c>
      <c r="I26" s="93"/>
    </row>
    <row r="27" spans="1:9" x14ac:dyDescent="0.35">
      <c r="A27" s="2" t="s">
        <v>134</v>
      </c>
      <c r="B27" s="44" t="s">
        <v>488</v>
      </c>
      <c r="C27" s="290">
        <f>'Oferta (GASIG)'!C5</f>
        <v>18200</v>
      </c>
      <c r="D27" s="290">
        <f>'Oferta (GASIG)'!G5</f>
        <v>13439</v>
      </c>
      <c r="E27" s="46"/>
      <c r="F27" s="104"/>
      <c r="G27" s="43">
        <f>IFERROR($C27*$H$20*'Premissas (GASIG)'!$F$20*1000," ")</f>
        <v>247798375.097</v>
      </c>
      <c r="H27" s="43">
        <f>IFERROR($D27*$H$20*'Premissas (GASIG)'!$F$20*1000," ")</f>
        <v>182975954.00706497</v>
      </c>
      <c r="I27" s="93"/>
    </row>
    <row r="28" spans="1:9" x14ac:dyDescent="0.35">
      <c r="A28" s="2" t="s">
        <v>135</v>
      </c>
      <c r="B28" s="44" t="s">
        <v>463</v>
      </c>
      <c r="C28" s="293"/>
      <c r="D28" s="293"/>
      <c r="E28" s="274" t="s">
        <v>461</v>
      </c>
      <c r="F28" s="104"/>
      <c r="G28" s="43">
        <f>IFERROR($C28*$H$20*'Premissas (GASIG)'!$F$20*1000," ")</f>
        <v>0</v>
      </c>
      <c r="H28" s="43">
        <f>IFERROR($D28*$H$20*'Premissas (GASIG)'!$F$20*1000," ")</f>
        <v>0</v>
      </c>
      <c r="I28" s="93"/>
    </row>
    <row r="29" spans="1:9" x14ac:dyDescent="0.35">
      <c r="A29" s="2" t="s">
        <v>136</v>
      </c>
      <c r="B29" s="44" t="s">
        <v>27</v>
      </c>
      <c r="C29" s="290">
        <f>'Oferta (GASIG)'!C7</f>
        <v>5000</v>
      </c>
      <c r="D29" s="290">
        <f>'Oferta (GASIG)'!G7</f>
        <v>0</v>
      </c>
      <c r="E29" s="46"/>
      <c r="F29" s="104"/>
      <c r="G29" s="43">
        <f>IFERROR($C29*$H$20*'Premissas (GASIG)'!$F$20*1000," ")</f>
        <v>68076476.674999997</v>
      </c>
      <c r="H29" s="43">
        <f>IFERROR($D29*$H$20*'Premissas (GASIG)'!$F$20*1000," ")</f>
        <v>0</v>
      </c>
      <c r="I29" s="93"/>
    </row>
    <row r="30" spans="1:9" x14ac:dyDescent="0.35">
      <c r="A30" s="2" t="s">
        <v>239</v>
      </c>
      <c r="B30" s="44" t="s">
        <v>29</v>
      </c>
      <c r="C30" s="290">
        <f>'Oferta (GASIG)'!C8</f>
        <v>2200</v>
      </c>
      <c r="D30" s="290">
        <f>'Oferta (GASIG)'!G8</f>
        <v>0</v>
      </c>
      <c r="E30" s="46"/>
      <c r="F30" s="104"/>
      <c r="G30" s="43">
        <f>IFERROR($C30*$H$20*'Premissas (GASIG)'!$F$20*1000," ")</f>
        <v>29953649.736999996</v>
      </c>
      <c r="H30" s="43">
        <f>IFERROR($D30*$H$20*'Premissas (GASIG)'!$F$20*1000," ")</f>
        <v>0</v>
      </c>
      <c r="I30" s="93"/>
    </row>
    <row r="31" spans="1:9" x14ac:dyDescent="0.35">
      <c r="A31" s="2" t="s">
        <v>137</v>
      </c>
      <c r="B31" s="44" t="s">
        <v>24</v>
      </c>
      <c r="C31" s="290">
        <f>'Oferta (GASIG)'!C9</f>
        <v>25160</v>
      </c>
      <c r="D31" s="290">
        <f>'Oferta (GASIG)'!G9</f>
        <v>6266</v>
      </c>
      <c r="E31" s="46"/>
      <c r="F31" s="104"/>
      <c r="G31" s="43">
        <f>IFERROR($C31*$H$20*'Premissas (GASIG)'!$F$20*1000," ")</f>
        <v>342560830.6286</v>
      </c>
      <c r="H31" s="43">
        <f>IFERROR($D31*$H$20*'Premissas (GASIG)'!$F$20*1000," ")</f>
        <v>85313440.569109991</v>
      </c>
      <c r="I31" s="93"/>
    </row>
    <row r="32" spans="1:9" x14ac:dyDescent="0.35">
      <c r="A32" s="2" t="s">
        <v>240</v>
      </c>
      <c r="B32" s="44" t="s">
        <v>264</v>
      </c>
      <c r="C32" s="249"/>
      <c r="D32" s="249"/>
      <c r="E32" s="274" t="s">
        <v>461</v>
      </c>
      <c r="F32" s="104"/>
      <c r="G32" s="43">
        <f>IFERROR($C32*$H$20*'Premissas (GASIG)'!$F$20*1000," ")</f>
        <v>0</v>
      </c>
      <c r="H32" s="43">
        <f>IFERROR($D32*$H$20*'Premissas (GASIG)'!$F$20*1000," ")</f>
        <v>0</v>
      </c>
      <c r="I32" s="93"/>
    </row>
    <row r="33" spans="1:10" x14ac:dyDescent="0.35">
      <c r="A33" s="2" t="s">
        <v>138</v>
      </c>
      <c r="B33" s="44" t="s">
        <v>266</v>
      </c>
      <c r="C33" s="249"/>
      <c r="D33" s="249"/>
      <c r="E33" s="274" t="s">
        <v>461</v>
      </c>
      <c r="F33" s="104"/>
      <c r="G33" s="43">
        <f>IFERROR($C33*$H$20*'Premissas (GASIG)'!$F$20*1000," ")</f>
        <v>0</v>
      </c>
      <c r="H33" s="43">
        <f>IFERROR($D33*$H$20*'Premissas (GASIG)'!$F$20*1000," ")</f>
        <v>0</v>
      </c>
      <c r="I33" s="93"/>
    </row>
    <row r="34" spans="1:10" x14ac:dyDescent="0.35">
      <c r="A34" s="2" t="s">
        <v>139</v>
      </c>
      <c r="B34" s="44" t="s">
        <v>265</v>
      </c>
      <c r="C34" s="249"/>
      <c r="D34" s="249"/>
      <c r="E34" s="274" t="s">
        <v>461</v>
      </c>
      <c r="F34" s="104"/>
      <c r="G34" s="43">
        <f>IFERROR($C34*$H$20*'Premissas (GASIG)'!$F$20*1000," ")</f>
        <v>0</v>
      </c>
      <c r="H34" s="43">
        <f>IFERROR($D34*$H$20*'Premissas (GASIG)'!$F$20*1000," ")</f>
        <v>0</v>
      </c>
      <c r="I34" s="93"/>
    </row>
    <row r="35" spans="1:10" x14ac:dyDescent="0.35">
      <c r="C35" s="105">
        <f>SUM(C25:C34)</f>
        <v>90560</v>
      </c>
      <c r="D35" s="105">
        <f>SUM(D25:D34)</f>
        <v>49132</v>
      </c>
      <c r="E35" s="105"/>
      <c r="F35" s="104"/>
      <c r="G35" s="105">
        <f>SUM(G25:G34)</f>
        <v>1233001145.5376</v>
      </c>
      <c r="H35" s="105">
        <f>SUM(H25:H34)</f>
        <v>668946690.39921999</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(GASIG)'!C3</f>
        <v>864.5</v>
      </c>
      <c r="D42" s="290">
        <f>'Demanda (GASIG)'!G3</f>
        <v>633</v>
      </c>
      <c r="G42" s="43">
        <f>IFERROR($C42*$H$20*'Premissas (GASIG)'!$F$20*1000," ")</f>
        <v>11770422.817107499</v>
      </c>
      <c r="H42" s="43">
        <f>IFERROR($D42*$H$20*'Premissas (GASIG)'!$F$20*1000," ")</f>
        <v>8618481.9470549989</v>
      </c>
      <c r="I42" s="93"/>
    </row>
    <row r="43" spans="1:10" x14ac:dyDescent="0.35">
      <c r="A43" s="2" t="s">
        <v>42</v>
      </c>
      <c r="B43" s="44" t="s">
        <v>217</v>
      </c>
      <c r="C43" s="290">
        <f>'Demanda (GASIG)'!C4</f>
        <v>1825.9</v>
      </c>
      <c r="D43" s="290">
        <f>'Demanda (GASIG)'!G4</f>
        <v>1098</v>
      </c>
      <c r="E43" s="46"/>
      <c r="G43" s="43">
        <f>IFERROR($C43*$H$20*'Premissas (GASIG)'!$F$20*1000," ")</f>
        <v>24860167.752176501</v>
      </c>
      <c r="H43" s="43">
        <f>IFERROR($D43*$H$20*'Premissas (GASIG)'!$F$20*1000," ")</f>
        <v>14949594.277829999</v>
      </c>
      <c r="I43" s="93"/>
    </row>
    <row r="44" spans="1:10" x14ac:dyDescent="0.35">
      <c r="A44" s="2" t="s">
        <v>43</v>
      </c>
      <c r="B44" s="44" t="s">
        <v>218</v>
      </c>
      <c r="C44" s="290">
        <f>'Demanda (GASIG)'!C5</f>
        <v>3040.95</v>
      </c>
      <c r="D44" s="290">
        <f>'Demanda (GASIG)'!G5</f>
        <v>2852</v>
      </c>
      <c r="E44" s="46"/>
      <c r="G44" s="43">
        <f>IFERROR($C44*$H$20*'Premissas (GASIG)'!$F$20*1000," ")</f>
        <v>41403432.348968253</v>
      </c>
      <c r="H44" s="43">
        <f>IFERROR($D44*$H$20*'Premissas (GASIG)'!$F$20*1000," ")</f>
        <v>38830822.295419998</v>
      </c>
      <c r="I44" s="93"/>
    </row>
    <row r="45" spans="1:10" x14ac:dyDescent="0.35">
      <c r="A45" s="2" t="s">
        <v>44</v>
      </c>
      <c r="B45" s="44" t="s">
        <v>219</v>
      </c>
      <c r="C45" s="290">
        <f>'Demanda (GASIG)'!C6</f>
        <v>1187.5</v>
      </c>
      <c r="D45" s="290">
        <f>'Demanda (GASIG)'!G6</f>
        <v>305</v>
      </c>
      <c r="E45" s="46"/>
      <c r="G45" s="43">
        <f>IFERROR($C45*$H$20*'Premissas (GASIG)'!$F$20*1000," ")</f>
        <v>16168163.210312499</v>
      </c>
      <c r="H45" s="43">
        <f>IFERROR($D45*$H$20*'Premissas (GASIG)'!$F$20*1000," ")</f>
        <v>4152665.0771750002</v>
      </c>
      <c r="I45" s="93"/>
    </row>
    <row r="46" spans="1:10" x14ac:dyDescent="0.35">
      <c r="A46" s="2" t="s">
        <v>45</v>
      </c>
      <c r="B46" s="44" t="s">
        <v>220</v>
      </c>
      <c r="C46" s="290">
        <f>'Demanda (GASIG)'!C7</f>
        <v>21185</v>
      </c>
      <c r="D46" s="290">
        <f>'Demanda (GASIG)'!G7</f>
        <v>13624</v>
      </c>
      <c r="E46" s="46"/>
      <c r="G46" s="43">
        <f>IFERROR($C46*$H$20*'Premissas (GASIG)'!$F$20*1000," ")</f>
        <v>288440031.67197496</v>
      </c>
      <c r="H46" s="43">
        <f>IFERROR($D46*$H$20*'Premissas (GASIG)'!$F$20*1000," ")</f>
        <v>185494783.64403999</v>
      </c>
      <c r="I46" s="93"/>
    </row>
    <row r="47" spans="1:10" x14ac:dyDescent="0.35">
      <c r="A47" s="2" t="s">
        <v>46</v>
      </c>
      <c r="B47" s="44" t="s">
        <v>221</v>
      </c>
      <c r="C47" s="290">
        <f>'Demanda (GASIG)'!C8</f>
        <v>11271.75</v>
      </c>
      <c r="D47" s="290">
        <f>'Demanda (GASIG)'!G8</f>
        <v>8403</v>
      </c>
      <c r="E47" s="46"/>
      <c r="G47" s="43">
        <f>IFERROR($C47*$H$20*'Premissas (GASIG)'!$F$20*1000," ")</f>
        <v>153468205.19228625</v>
      </c>
      <c r="H47" s="43">
        <f>IFERROR($D47*$H$20*'Premissas (GASIG)'!$F$20*1000," ")</f>
        <v>114409326.70000499</v>
      </c>
      <c r="I47" s="93"/>
    </row>
    <row r="48" spans="1:10" x14ac:dyDescent="0.35">
      <c r="A48" s="2" t="s">
        <v>47</v>
      </c>
      <c r="B48" s="44" t="s">
        <v>222</v>
      </c>
      <c r="C48" s="290">
        <f>'Demanda (GASIG)'!C9</f>
        <v>3249</v>
      </c>
      <c r="D48" s="290">
        <f>'Demanda (GASIG)'!G9</f>
        <v>2173</v>
      </c>
      <c r="E48" s="46"/>
      <c r="G48" s="43">
        <f>IFERROR($C48*$H$20*'Premissas (GASIG)'!$F$20*1000," ")</f>
        <v>44236094.543414995</v>
      </c>
      <c r="H48" s="43">
        <f>IFERROR($D48*$H$20*'Premissas (GASIG)'!$F$20*1000," ")</f>
        <v>29586036.762954999</v>
      </c>
      <c r="I48" s="93"/>
    </row>
    <row r="49" spans="1:9" x14ac:dyDescent="0.35">
      <c r="A49" s="2" t="s">
        <v>48</v>
      </c>
      <c r="B49" s="44" t="s">
        <v>223</v>
      </c>
      <c r="C49" s="290">
        <f>'Demanda (GASIG)'!C10</f>
        <v>498.75</v>
      </c>
      <c r="D49" s="290">
        <f>'Demanda (GASIG)'!G10</f>
        <v>283</v>
      </c>
      <c r="E49" s="46"/>
      <c r="G49" s="43">
        <f>IFERROR($C49*$H$20*'Premissas (GASIG)'!$F$20*1000," ")</f>
        <v>6790628.5483312495</v>
      </c>
      <c r="H49" s="43">
        <f>IFERROR($D49*$H$20*'Premissas (GASIG)'!$F$20*1000," ")</f>
        <v>3853128.5798049998</v>
      </c>
      <c r="I49" s="93"/>
    </row>
    <row r="50" spans="1:9" x14ac:dyDescent="0.35">
      <c r="A50" s="2" t="s">
        <v>49</v>
      </c>
      <c r="B50" s="44" t="s">
        <v>224</v>
      </c>
      <c r="C50" s="290">
        <f>'Demanda (GASIG)'!C11</f>
        <v>3321.2</v>
      </c>
      <c r="D50" s="290">
        <f>'Demanda (GASIG)'!G11</f>
        <v>2116</v>
      </c>
      <c r="E50" s="46"/>
      <c r="G50" s="43">
        <f>IFERROR($C50*$H$20*'Premissas (GASIG)'!$F$20*1000," ")</f>
        <v>45219118.866601996</v>
      </c>
      <c r="H50" s="43">
        <f>IFERROR($D50*$H$20*'Premissas (GASIG)'!$F$20*1000," ")</f>
        <v>28809964.928859998</v>
      </c>
      <c r="I50" s="93"/>
    </row>
    <row r="51" spans="1:9" x14ac:dyDescent="0.35">
      <c r="A51" s="2" t="s">
        <v>50</v>
      </c>
      <c r="B51" s="44" t="s">
        <v>225</v>
      </c>
      <c r="C51" s="290">
        <f>'Demanda (GASIG)'!C12</f>
        <v>14292.75</v>
      </c>
      <c r="D51" s="290">
        <f>'Demanda (GASIG)'!G12</f>
        <v>1050</v>
      </c>
      <c r="E51" s="46"/>
      <c r="G51" s="43">
        <f>IFERROR($C51*$H$20*'Premissas (GASIG)'!$F$20*1000," ")</f>
        <v>194600012.39932126</v>
      </c>
      <c r="H51" s="43">
        <f>IFERROR($D51*$H$20*'Premissas (GASIG)'!$F$20*1000," ")</f>
        <v>14296060.101749998</v>
      </c>
      <c r="I51" s="93"/>
    </row>
    <row r="52" spans="1:9" x14ac:dyDescent="0.35">
      <c r="A52" s="2" t="s">
        <v>51</v>
      </c>
      <c r="B52" s="44" t="s">
        <v>226</v>
      </c>
      <c r="C52" s="290">
        <f>'Demanda (GASIG)'!C13</f>
        <v>3971</v>
      </c>
      <c r="D52" s="290">
        <f>'Demanda (GASIG)'!G13</f>
        <v>3003</v>
      </c>
      <c r="E52" s="46"/>
      <c r="G52" s="43">
        <f>IFERROR($C52*$H$20*'Premissas (GASIG)'!$F$20*1000," ")</f>
        <v>54066337.775284998</v>
      </c>
      <c r="H52" s="43">
        <f>IFERROR($D52*$H$20*'Premissas (GASIG)'!$F$20*1000," ")</f>
        <v>40886731.891005002</v>
      </c>
      <c r="I52" s="93"/>
    </row>
    <row r="53" spans="1:9" x14ac:dyDescent="0.35">
      <c r="A53" s="2" t="s">
        <v>52</v>
      </c>
      <c r="B53" s="44" t="s">
        <v>227</v>
      </c>
      <c r="C53" s="290">
        <f>'Demanda (GASIG)'!C14</f>
        <v>9941.75</v>
      </c>
      <c r="D53" s="290">
        <f>'Demanda (GASIG)'!G14</f>
        <v>5584</v>
      </c>
      <c r="E53" s="46"/>
      <c r="G53" s="43">
        <f>IFERROR($C53*$H$20*'Premissas (GASIG)'!$F$20*1000," ")</f>
        <v>135359862.39673626</v>
      </c>
      <c r="H53" s="43">
        <f>IFERROR($D53*$H$20*'Premissas (GASIG)'!$F$20*1000," ")</f>
        <v>76027809.150639996</v>
      </c>
      <c r="I53" s="93"/>
    </row>
    <row r="54" spans="1:9" x14ac:dyDescent="0.35">
      <c r="A54" s="2" t="s">
        <v>53</v>
      </c>
      <c r="B54" s="44" t="s">
        <v>228</v>
      </c>
      <c r="C54" s="290">
        <f>'Demanda (GASIG)'!C15</f>
        <v>3809.5</v>
      </c>
      <c r="D54" s="290">
        <f>'Demanda (GASIG)'!G15</f>
        <v>2483</v>
      </c>
      <c r="E54" s="46"/>
      <c r="G54" s="43">
        <f>IFERROR($C54*$H$20*'Premissas (GASIG)'!$F$20*1000," ")</f>
        <v>51867467.578682497</v>
      </c>
      <c r="H54" s="43">
        <f>IFERROR($D54*$H$20*'Premissas (GASIG)'!$F$20*1000," ")</f>
        <v>33806778.316804998</v>
      </c>
      <c r="I54" s="93"/>
    </row>
    <row r="55" spans="1:9" x14ac:dyDescent="0.35">
      <c r="A55" s="2" t="s">
        <v>54</v>
      </c>
      <c r="B55" s="44" t="s">
        <v>269</v>
      </c>
      <c r="C55" s="249"/>
      <c r="D55" s="249"/>
      <c r="E55" s="274" t="s">
        <v>461</v>
      </c>
      <c r="G55" s="43">
        <f>IFERROR($C55*$H$20*'Premissas (GASIG)'!$F$20*1000," ")</f>
        <v>0</v>
      </c>
      <c r="H55" s="43">
        <f>IFERROR($D55*$H$20*'Premissas (GASIG)'!$F$20*1000," ")</f>
        <v>0</v>
      </c>
      <c r="I55" s="93"/>
    </row>
    <row r="56" spans="1:9" x14ac:dyDescent="0.35">
      <c r="A56" s="2" t="s">
        <v>55</v>
      </c>
      <c r="B56" s="44" t="s">
        <v>268</v>
      </c>
      <c r="C56" s="249"/>
      <c r="D56" s="249"/>
      <c r="E56" s="274" t="s">
        <v>461</v>
      </c>
      <c r="G56" s="43">
        <f>IFERROR($C56*$H$20*'Premissas (GASIG)'!$F$20*1000," ")</f>
        <v>0</v>
      </c>
      <c r="H56" s="43">
        <f>IFERROR($D56*$H$20*'Premissas (GASIG)'!$F$20*1000," ")</f>
        <v>0</v>
      </c>
      <c r="I56" s="93"/>
    </row>
    <row r="57" spans="1:9" x14ac:dyDescent="0.35">
      <c r="A57" s="2" t="s">
        <v>56</v>
      </c>
      <c r="B57" s="44" t="s">
        <v>267</v>
      </c>
      <c r="C57" s="249"/>
      <c r="D57" s="249"/>
      <c r="E57" s="274" t="s">
        <v>461</v>
      </c>
      <c r="G57" s="43">
        <f>IFERROR($C57*$H$20*'Premissas (GASIG)'!$F$20*1000," ")</f>
        <v>0</v>
      </c>
      <c r="H57" s="43">
        <f>IFERROR($D57*$H$20*'Premissas (GASIG)'!$F$20*1000," ")</f>
        <v>0</v>
      </c>
      <c r="I57" s="93"/>
    </row>
    <row r="58" spans="1:9" x14ac:dyDescent="0.35">
      <c r="C58" s="105">
        <f>SUM(C42:C57)</f>
        <v>78459.549999999988</v>
      </c>
      <c r="D58" s="105">
        <f>SUM(D42:D57)</f>
        <v>43607</v>
      </c>
      <c r="E58" s="105"/>
      <c r="G58" s="105">
        <f>SUM(G42:G57)</f>
        <v>1068249945.1011992</v>
      </c>
      <c r="H58" s="105">
        <f>SUM(H42:H57)</f>
        <v>593722183.67334497</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0.19187087844989009</v>
      </c>
      <c r="C100" s="9"/>
      <c r="D100" t="s">
        <v>304</v>
      </c>
      <c r="E100" s="110">
        <f>H42/$H$58</f>
        <v>1.4516018070493268E-2</v>
      </c>
      <c r="G100" s="109" t="s">
        <v>148</v>
      </c>
      <c r="H100" s="111">
        <f>H25/$H$35</f>
        <v>0.19187087844989009</v>
      </c>
      <c r="I100" s="111">
        <f>H26/$H$35</f>
        <v>0.40706667752177805</v>
      </c>
      <c r="J100" s="111">
        <f>$H27/$H$35</f>
        <v>0.27352845396075876</v>
      </c>
      <c r="K100" s="111">
        <f>$H28/$H$35</f>
        <v>0</v>
      </c>
      <c r="L100" s="111">
        <f>$H29/$H$35</f>
        <v>0</v>
      </c>
      <c r="M100" s="111">
        <f>$H30/$H$35</f>
        <v>0</v>
      </c>
      <c r="N100" s="111">
        <f>$H31/$H$35</f>
        <v>0.12753399006757304</v>
      </c>
      <c r="O100" s="111">
        <f>$H32/$H$35</f>
        <v>0</v>
      </c>
      <c r="P100" s="111">
        <f>$H33/$H$35</f>
        <v>0</v>
      </c>
      <c r="Q100" s="111">
        <f>$H34/$H$35</f>
        <v>0</v>
      </c>
      <c r="R100" s="111">
        <f>SUM(H100:Q100)</f>
        <v>0.99999999999999989</v>
      </c>
      <c r="S100" s="110"/>
      <c r="T100" s="110"/>
      <c r="U100" s="110"/>
      <c r="V100" s="110"/>
      <c r="W100" s="110"/>
    </row>
    <row r="101" spans="1:27" ht="16.5" x14ac:dyDescent="0.45">
      <c r="A101" t="s">
        <v>295</v>
      </c>
      <c r="B101" s="110">
        <f t="shared" ref="B101:B109" si="1">H26/$H$35</f>
        <v>0.40706667752177805</v>
      </c>
      <c r="C101" s="4"/>
      <c r="D101" t="s">
        <v>305</v>
      </c>
      <c r="E101" s="110">
        <f t="shared" ref="E101:E115" si="2">H43/$H$58</f>
        <v>2.517944366730112E-2</v>
      </c>
      <c r="W101" s="113"/>
    </row>
    <row r="102" spans="1:27" ht="16.5" x14ac:dyDescent="0.45">
      <c r="A102" t="s">
        <v>296</v>
      </c>
      <c r="B102" s="110">
        <f t="shared" si="1"/>
        <v>0.27352845396075876</v>
      </c>
      <c r="C102" s="4"/>
      <c r="D102" t="s">
        <v>306</v>
      </c>
      <c r="E102" s="110">
        <f t="shared" si="2"/>
        <v>6.5402343660421497E-2</v>
      </c>
      <c r="G102" s="110"/>
      <c r="H102" s="112"/>
      <c r="I102" s="112"/>
    </row>
    <row r="103" spans="1:27" ht="16.5" x14ac:dyDescent="0.45">
      <c r="A103" t="s">
        <v>297</v>
      </c>
      <c r="B103" s="110">
        <f t="shared" si="1"/>
        <v>0</v>
      </c>
      <c r="C103" s="4"/>
      <c r="D103" t="s">
        <v>307</v>
      </c>
      <c r="E103" s="110">
        <f t="shared" si="2"/>
        <v>6.9942899075836453E-3</v>
      </c>
      <c r="G103" s="110"/>
      <c r="H103" s="112"/>
      <c r="I103" s="112"/>
    </row>
    <row r="104" spans="1:27" ht="16.5" x14ac:dyDescent="0.45">
      <c r="A104" t="s">
        <v>298</v>
      </c>
      <c r="B104" s="110">
        <f t="shared" si="1"/>
        <v>0</v>
      </c>
      <c r="C104" s="4"/>
      <c r="D104" t="s">
        <v>308</v>
      </c>
      <c r="E104" s="110">
        <f t="shared" si="2"/>
        <v>0.31242690393744121</v>
      </c>
      <c r="G104" s="110"/>
      <c r="H104" s="112"/>
      <c r="I104" s="112"/>
    </row>
    <row r="105" spans="1:27" ht="16.5" x14ac:dyDescent="0.45">
      <c r="A105" t="s">
        <v>299</v>
      </c>
      <c r="B105" s="110">
        <f t="shared" si="1"/>
        <v>0</v>
      </c>
      <c r="C105" s="4"/>
      <c r="D105" t="s">
        <v>309</v>
      </c>
      <c r="E105" s="110">
        <f t="shared" si="2"/>
        <v>0.19269841997844384</v>
      </c>
      <c r="G105" s="110"/>
      <c r="H105" s="112"/>
      <c r="I105" s="112"/>
    </row>
    <row r="106" spans="1:27" ht="16.5" x14ac:dyDescent="0.45">
      <c r="A106" t="s">
        <v>300</v>
      </c>
      <c r="B106" s="110">
        <f t="shared" si="1"/>
        <v>0.12753399006757304</v>
      </c>
      <c r="C106" s="4"/>
      <c r="D106" t="s">
        <v>310</v>
      </c>
      <c r="E106" s="110">
        <f t="shared" si="2"/>
        <v>4.9831449079276266E-2</v>
      </c>
      <c r="G106" s="110"/>
      <c r="H106" s="112"/>
      <c r="I106" s="112"/>
    </row>
    <row r="107" spans="1:27" ht="16.5" x14ac:dyDescent="0.45">
      <c r="A107" t="s">
        <v>301</v>
      </c>
      <c r="B107" s="110">
        <f t="shared" si="1"/>
        <v>0</v>
      </c>
      <c r="C107" s="4"/>
      <c r="D107" t="s">
        <v>311</v>
      </c>
      <c r="E107" s="110">
        <f t="shared" si="2"/>
        <v>6.4897837503153167E-3</v>
      </c>
      <c r="G107" s="110"/>
      <c r="H107" s="112"/>
      <c r="I107" s="112"/>
    </row>
    <row r="108" spans="1:27" ht="16.5" x14ac:dyDescent="0.45">
      <c r="A108" t="s">
        <v>302</v>
      </c>
      <c r="B108" s="110">
        <f t="shared" si="1"/>
        <v>0</v>
      </c>
      <c r="C108" s="4"/>
      <c r="D108" t="s">
        <v>312</v>
      </c>
      <c r="E108" s="110">
        <f t="shared" si="2"/>
        <v>4.8524319489990135E-2</v>
      </c>
      <c r="G108" s="110"/>
      <c r="H108" s="112"/>
      <c r="I108" s="112"/>
    </row>
    <row r="109" spans="1:27" ht="16.5" x14ac:dyDescent="0.45">
      <c r="A109" t="s">
        <v>303</v>
      </c>
      <c r="B109" s="110">
        <f t="shared" si="1"/>
        <v>0</v>
      </c>
      <c r="D109" t="s">
        <v>313</v>
      </c>
      <c r="E109" s="110">
        <f t="shared" si="2"/>
        <v>2.4078702960533858E-2</v>
      </c>
      <c r="G109" s="110"/>
    </row>
    <row r="110" spans="1:27" ht="16.5" x14ac:dyDescent="0.45">
      <c r="B110" s="110">
        <f>SUM(B100:B109)</f>
        <v>0.99999999999999989</v>
      </c>
      <c r="D110" t="s">
        <v>314</v>
      </c>
      <c r="E110" s="110">
        <f t="shared" si="2"/>
        <v>6.8865090467126841E-2</v>
      </c>
      <c r="G110" s="110"/>
    </row>
    <row r="111" spans="1:27" ht="16.5" x14ac:dyDescent="0.45">
      <c r="B111" s="112"/>
      <c r="D111" t="s">
        <v>315</v>
      </c>
      <c r="E111" s="110">
        <f t="shared" si="2"/>
        <v>0.12805283555392483</v>
      </c>
      <c r="G111" s="110"/>
    </row>
    <row r="112" spans="1:27" ht="16.5" x14ac:dyDescent="0.45">
      <c r="B112" s="112"/>
      <c r="D112" t="s">
        <v>316</v>
      </c>
      <c r="E112" s="110">
        <f t="shared" si="2"/>
        <v>5.6940399477148164E-2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0.99999999999999989</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358.22292237484805</v>
      </c>
      <c r="C131" s="114"/>
      <c r="D131" t="s">
        <v>325</v>
      </c>
      <c r="E131" s="4">
        <f ca="1">SUMPRODUCT($H$100:$Q$100,$C68:$L68)</f>
        <v>325.8939265855247</v>
      </c>
    </row>
    <row r="132" spans="1:5" ht="16.5" x14ac:dyDescent="0.45">
      <c r="A132" t="s">
        <v>326</v>
      </c>
      <c r="B132" s="110">
        <f ca="1">SUMPRODUCT($E$100:$E$115,D$68:D$83)</f>
        <v>196.22408034795637</v>
      </c>
      <c r="C132" s="114"/>
      <c r="D132" t="s">
        <v>327</v>
      </c>
      <c r="E132" s="4">
        <f t="shared" ref="E132:E146" ca="1" si="3">SUMPRODUCT($H$100:$Q$100,$C69:$L69)</f>
        <v>423.05792658552468</v>
      </c>
    </row>
    <row r="133" spans="1:5" ht="16.5" x14ac:dyDescent="0.45">
      <c r="A133" t="s">
        <v>328</v>
      </c>
      <c r="B133" s="110">
        <f ca="1">SUMPRODUCT($E$100:$E$115,E$68:E$83)</f>
        <v>231.96050044564714</v>
      </c>
      <c r="C133" s="114"/>
      <c r="D133" t="s">
        <v>329</v>
      </c>
      <c r="E133" s="4">
        <f t="shared" ca="1" si="3"/>
        <v>540.2231265855246</v>
      </c>
    </row>
    <row r="134" spans="1:5" ht="16.5" x14ac:dyDescent="0.45">
      <c r="A134" t="s">
        <v>330</v>
      </c>
      <c r="B134" s="110">
        <f ca="1">SUMPRODUCT($E$100:$E$115,F$68:F$83)</f>
        <v>472.8469617997111</v>
      </c>
      <c r="C134" s="114"/>
      <c r="D134" t="s">
        <v>331</v>
      </c>
      <c r="E134" s="4">
        <f t="shared" ca="1" si="3"/>
        <v>594.02067917039813</v>
      </c>
    </row>
    <row r="135" spans="1:5" ht="16.5" x14ac:dyDescent="0.45">
      <c r="A135" t="s">
        <v>332</v>
      </c>
      <c r="B135" s="110">
        <f ca="1">SUMPRODUCT($E$100:$E$115,G$68:G$83)</f>
        <v>182.58998516140375</v>
      </c>
      <c r="C135" s="114"/>
      <c r="D135" t="s">
        <v>333</v>
      </c>
      <c r="E135" s="4">
        <f t="shared" ca="1" si="3"/>
        <v>150.38562047138319</v>
      </c>
    </row>
    <row r="136" spans="1:5" ht="16.5" x14ac:dyDescent="0.45">
      <c r="A136" t="s">
        <v>334</v>
      </c>
      <c r="B136" s="110">
        <f ca="1">SUMPRODUCT($E$100:$E$115,H$68:H$83)</f>
        <v>387.1539239082411</v>
      </c>
      <c r="C136" s="114"/>
      <c r="D136" t="s">
        <v>335</v>
      </c>
      <c r="E136" s="4">
        <f t="shared" ca="1" si="3"/>
        <v>141.45782062606852</v>
      </c>
    </row>
    <row r="137" spans="1:5" ht="16.5" x14ac:dyDescent="0.45">
      <c r="A137" t="s">
        <v>336</v>
      </c>
      <c r="B137" s="110">
        <f ca="1">SUMPRODUCT($E$100:$E$115,I$68:I$83)</f>
        <v>336.06213963201623</v>
      </c>
      <c r="D137" t="s">
        <v>337</v>
      </c>
      <c r="E137" s="4">
        <f t="shared" ca="1" si="3"/>
        <v>170.48025055361069</v>
      </c>
    </row>
    <row r="138" spans="1:5" ht="16.5" x14ac:dyDescent="0.45">
      <c r="A138" t="s">
        <v>338</v>
      </c>
      <c r="B138" s="110">
        <f ca="1">SUMPRODUCT($E$100:$E$115,J$68:J$83)</f>
        <v>309.83311302466728</v>
      </c>
      <c r="D138" t="s">
        <v>339</v>
      </c>
      <c r="E138" s="4">
        <f t="shared" ca="1" si="3"/>
        <v>208.28980772205489</v>
      </c>
    </row>
    <row r="139" spans="1:5" ht="16.5" x14ac:dyDescent="0.45">
      <c r="A139" t="s">
        <v>340</v>
      </c>
      <c r="B139" s="110">
        <f ca="1">SUMPRODUCT($E$100:$E$115,K$68:K$83)</f>
        <v>472.8469617997111</v>
      </c>
      <c r="D139" t="s">
        <v>341</v>
      </c>
      <c r="E139" s="4">
        <f t="shared" ca="1" si="3"/>
        <v>142.50066612391109</v>
      </c>
    </row>
    <row r="140" spans="1:5" ht="16.5" x14ac:dyDescent="0.45">
      <c r="A140" t="s">
        <v>342</v>
      </c>
      <c r="B140" s="110">
        <f ca="1">SUMPRODUCT($E$100:$E$115,L$68:L$83)</f>
        <v>336.06213963201623</v>
      </c>
      <c r="D140" t="s">
        <v>343</v>
      </c>
      <c r="E140" s="4">
        <f t="shared" ca="1" si="3"/>
        <v>319.58148908382856</v>
      </c>
    </row>
    <row r="141" spans="1:5" ht="16.5" x14ac:dyDescent="0.45">
      <c r="B141" s="110"/>
      <c r="D141" t="s">
        <v>344</v>
      </c>
      <c r="E141" s="4">
        <f t="shared" ca="1" si="3"/>
        <v>309.13346427989904</v>
      </c>
    </row>
    <row r="142" spans="1:5" ht="16.5" x14ac:dyDescent="0.45">
      <c r="B142" s="110"/>
      <c r="D142" t="s">
        <v>345</v>
      </c>
      <c r="E142" s="4">
        <f t="shared" ca="1" si="3"/>
        <v>421.86333079052343</v>
      </c>
    </row>
    <row r="143" spans="1:5" ht="16.5" x14ac:dyDescent="0.45">
      <c r="B143" s="110"/>
      <c r="D143" t="s">
        <v>346</v>
      </c>
      <c r="E143" s="4">
        <f t="shared" ca="1" si="3"/>
        <v>457.26612338190995</v>
      </c>
    </row>
    <row r="144" spans="1:5" ht="16.5" x14ac:dyDescent="0.45">
      <c r="B144" s="110"/>
      <c r="D144" t="s">
        <v>347</v>
      </c>
      <c r="E144" s="4">
        <f t="shared" si="3"/>
        <v>351.9291233819099</v>
      </c>
    </row>
    <row r="145" spans="1:5" ht="16.5" x14ac:dyDescent="0.45">
      <c r="B145" s="110"/>
      <c r="D145" t="s">
        <v>348</v>
      </c>
      <c r="E145" s="4">
        <f t="shared" si="3"/>
        <v>500.25467917039811</v>
      </c>
    </row>
    <row r="146" spans="1:5" ht="16.5" x14ac:dyDescent="0.45">
      <c r="B146" s="110"/>
      <c r="D146" t="s">
        <v>349</v>
      </c>
      <c r="E146" s="4">
        <f t="shared" si="3"/>
        <v>226.40935445330945</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0.26962824553962605</v>
      </c>
      <c r="C163" s="36"/>
      <c r="D163" t="s">
        <v>355</v>
      </c>
      <c r="E163" s="115">
        <f t="shared" ref="E163:E178" ca="1" si="4">($H42*$E131)/SUMPRODUCT($H$42:$H$57,$E$131:$E$146)</f>
        <v>1.8557809679003751E-2</v>
      </c>
    </row>
    <row r="164" spans="1:9" ht="16.5" x14ac:dyDescent="0.45">
      <c r="A164" t="s">
        <v>356</v>
      </c>
      <c r="B164" s="115">
        <f t="shared" ref="B164:B172" ca="1" si="5">($H26*$B132)/SUMPRODUCT($H$25:$H$34,$B$131:$B$140)</f>
        <v>0.31334358228569131</v>
      </c>
      <c r="C164" s="4"/>
      <c r="D164" t="s">
        <v>357</v>
      </c>
      <c r="E164" s="115">
        <f t="shared" ca="1" si="4"/>
        <v>4.1787743107588697E-2</v>
      </c>
    </row>
    <row r="165" spans="1:9" ht="16.5" x14ac:dyDescent="0.45">
      <c r="A165" t="s">
        <v>358</v>
      </c>
      <c r="B165" s="115">
        <f t="shared" ca="1" si="5"/>
        <v>0.24889690552324448</v>
      </c>
      <c r="C165" s="4"/>
      <c r="D165" t="s">
        <v>359</v>
      </c>
      <c r="E165" s="115">
        <f t="shared" ca="1" si="4"/>
        <v>0.13860197947054201</v>
      </c>
      <c r="H165" s="116"/>
      <c r="I165" s="116"/>
    </row>
    <row r="166" spans="1:9" ht="16.5" x14ac:dyDescent="0.45">
      <c r="A166" t="s">
        <v>360</v>
      </c>
      <c r="B166" s="115">
        <f t="shared" ca="1" si="5"/>
        <v>0</v>
      </c>
      <c r="C166" s="4"/>
      <c r="D166" t="s">
        <v>361</v>
      </c>
      <c r="E166" s="115">
        <f t="shared" ca="1" si="4"/>
        <v>1.6298518990394514E-2</v>
      </c>
    </row>
    <row r="167" spans="1:9" ht="16.5" x14ac:dyDescent="0.45">
      <c r="A167" t="s">
        <v>362</v>
      </c>
      <c r="B167" s="115">
        <f t="shared" ca="1" si="5"/>
        <v>0</v>
      </c>
      <c r="C167" s="4"/>
      <c r="D167" t="s">
        <v>363</v>
      </c>
      <c r="E167" s="115">
        <f t="shared" ca="1" si="4"/>
        <v>0.18431372928765877</v>
      </c>
    </row>
    <row r="168" spans="1:9" ht="16.5" x14ac:dyDescent="0.45">
      <c r="A168" t="s">
        <v>364</v>
      </c>
      <c r="B168" s="115">
        <f t="shared" ca="1" si="5"/>
        <v>0</v>
      </c>
      <c r="C168" s="4"/>
      <c r="D168" t="s">
        <v>365</v>
      </c>
      <c r="E168" s="115">
        <f t="shared" ca="1" si="4"/>
        <v>0.10693209261654386</v>
      </c>
    </row>
    <row r="169" spans="1:9" ht="16.5" x14ac:dyDescent="0.45">
      <c r="A169" t="s">
        <v>366</v>
      </c>
      <c r="B169" s="115">
        <f t="shared" ca="1" si="5"/>
        <v>0.16813126665143818</v>
      </c>
      <c r="C169" s="4"/>
      <c r="D169" t="s">
        <v>367</v>
      </c>
      <c r="E169" s="115">
        <f t="shared" ca="1" si="4"/>
        <v>3.3325796713413153E-2</v>
      </c>
    </row>
    <row r="170" spans="1:9" ht="16.5" x14ac:dyDescent="0.45">
      <c r="A170" t="s">
        <v>368</v>
      </c>
      <c r="B170" s="115">
        <f t="shared" ca="1" si="5"/>
        <v>0</v>
      </c>
      <c r="C170" s="4"/>
      <c r="D170" t="s">
        <v>369</v>
      </c>
      <c r="E170" s="115">
        <f t="shared" ca="1" si="4"/>
        <v>5.3027505061488366E-3</v>
      </c>
    </row>
    <row r="171" spans="1:9" ht="16.5" x14ac:dyDescent="0.45">
      <c r="A171" t="s">
        <v>370</v>
      </c>
      <c r="B171" s="115">
        <f t="shared" ca="1" si="5"/>
        <v>0</v>
      </c>
      <c r="D171" t="s">
        <v>371</v>
      </c>
      <c r="E171" s="115">
        <f t="shared" ca="1" si="4"/>
        <v>2.7125596506645054E-2</v>
      </c>
    </row>
    <row r="172" spans="1:9" ht="16.5" x14ac:dyDescent="0.45">
      <c r="A172" t="s">
        <v>372</v>
      </c>
      <c r="B172" s="115">
        <f t="shared" ca="1" si="5"/>
        <v>0</v>
      </c>
      <c r="D172" t="s">
        <v>373</v>
      </c>
      <c r="E172" s="115">
        <f t="shared" ca="1" si="4"/>
        <v>3.0186840119305992E-2</v>
      </c>
    </row>
    <row r="173" spans="1:9" ht="16.5" x14ac:dyDescent="0.45">
      <c r="B173" s="233">
        <f ca="1">SUM(B163:B172)</f>
        <v>1</v>
      </c>
      <c r="D173" t="s">
        <v>374</v>
      </c>
      <c r="E173" s="115">
        <f t="shared" ca="1" si="4"/>
        <v>8.3511847688989921E-2</v>
      </c>
    </row>
    <row r="174" spans="1:9" ht="16.5" x14ac:dyDescent="0.45">
      <c r="B174" s="115"/>
      <c r="D174" t="s">
        <v>375</v>
      </c>
      <c r="E174" s="115">
        <f t="shared" ca="1" si="4"/>
        <v>0.21191608710110721</v>
      </c>
    </row>
    <row r="175" spans="1:9" ht="16.5" x14ac:dyDescent="0.45">
      <c r="B175" s="115"/>
      <c r="D175" t="s">
        <v>376</v>
      </c>
      <c r="E175" s="115">
        <f t="shared" ca="1" si="4"/>
        <v>0.10213920821265846</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1.0000000000000002</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9.7703694598992659</v>
      </c>
      <c r="C194" s="47"/>
      <c r="D194" t="s">
        <v>383</v>
      </c>
      <c r="E194" s="6">
        <f t="shared" ref="E194:E209" ca="1" si="7">$E163*$D$9</f>
        <v>0.28723287561213523</v>
      </c>
    </row>
    <row r="195" spans="1:5" ht="16.5" x14ac:dyDescent="0.45">
      <c r="A195" t="s">
        <v>384</v>
      </c>
      <c r="B195" s="7">
        <f t="shared" ca="1" si="6"/>
        <v>11.354457915536221</v>
      </c>
      <c r="D195" t="s">
        <v>385</v>
      </c>
      <c r="E195" s="6">
        <f t="shared" ca="1" si="7"/>
        <v>0.64677964833930979</v>
      </c>
    </row>
    <row r="196" spans="1:5" ht="16.5" x14ac:dyDescent="0.45">
      <c r="A196" t="s">
        <v>386</v>
      </c>
      <c r="B196" s="7">
        <f t="shared" ca="1" si="6"/>
        <v>9.0191393691739457</v>
      </c>
      <c r="D196" t="s">
        <v>387</v>
      </c>
      <c r="E196" s="6">
        <f t="shared" ca="1" si="7"/>
        <v>2.1452448223941003</v>
      </c>
    </row>
    <row r="197" spans="1:5" ht="16.5" x14ac:dyDescent="0.45">
      <c r="A197" t="s">
        <v>388</v>
      </c>
      <c r="B197" s="7">
        <f t="shared" ca="1" si="6"/>
        <v>0</v>
      </c>
      <c r="D197" t="s">
        <v>389</v>
      </c>
      <c r="E197" s="6">
        <f t="shared" ca="1" si="7"/>
        <v>0.25226417119292976</v>
      </c>
    </row>
    <row r="198" spans="1:5" ht="16.5" x14ac:dyDescent="0.45">
      <c r="A198" t="s">
        <v>390</v>
      </c>
      <c r="B198" s="7">
        <f t="shared" ca="1" si="6"/>
        <v>0</v>
      </c>
      <c r="D198" t="s">
        <v>391</v>
      </c>
      <c r="E198" s="6">
        <f t="shared" ca="1" si="7"/>
        <v>2.8527592099399586</v>
      </c>
    </row>
    <row r="199" spans="1:5" ht="16.5" x14ac:dyDescent="0.45">
      <c r="A199" t="s">
        <v>392</v>
      </c>
      <c r="B199" s="7">
        <f t="shared" ca="1" si="6"/>
        <v>0</v>
      </c>
      <c r="D199" t="s">
        <v>393</v>
      </c>
      <c r="E199" s="6">
        <f t="shared" ca="1" si="7"/>
        <v>1.655066680214059</v>
      </c>
    </row>
    <row r="200" spans="1:5" ht="16.5" x14ac:dyDescent="0.45">
      <c r="A200" t="s">
        <v>394</v>
      </c>
      <c r="B200" s="7">
        <f t="shared" ca="1" si="6"/>
        <v>6.0924796274875828</v>
      </c>
      <c r="D200" t="s">
        <v>395</v>
      </c>
      <c r="E200" s="6">
        <f t="shared" ca="1" si="7"/>
        <v>0.51580787752603885</v>
      </c>
    </row>
    <row r="201" spans="1:5" ht="16.5" x14ac:dyDescent="0.45">
      <c r="A201" t="s">
        <v>396</v>
      </c>
      <c r="B201" s="7">
        <f t="shared" ca="1" si="6"/>
        <v>0</v>
      </c>
      <c r="D201" t="s">
        <v>397</v>
      </c>
      <c r="E201" s="6">
        <f t="shared" ca="1" si="7"/>
        <v>8.2074571454307674E-2</v>
      </c>
    </row>
    <row r="202" spans="1:5" ht="16.5" x14ac:dyDescent="0.45">
      <c r="A202" t="s">
        <v>398</v>
      </c>
      <c r="B202" s="7">
        <f t="shared" ca="1" si="6"/>
        <v>0</v>
      </c>
      <c r="D202" t="s">
        <v>399</v>
      </c>
      <c r="E202" s="6">
        <f t="shared" ca="1" si="7"/>
        <v>0.41984281669367873</v>
      </c>
    </row>
    <row r="203" spans="1:5" ht="16.5" x14ac:dyDescent="0.45">
      <c r="A203" t="s">
        <v>400</v>
      </c>
      <c r="B203" s="7">
        <f t="shared" ca="1" si="6"/>
        <v>0</v>
      </c>
      <c r="D203" t="s">
        <v>401</v>
      </c>
      <c r="E203" s="6">
        <f t="shared" ca="1" si="7"/>
        <v>0.4672239366115486</v>
      </c>
    </row>
    <row r="204" spans="1:5" ht="16.5" x14ac:dyDescent="0.45">
      <c r="B204" s="7">
        <f ca="1">SUM(B194:B203)</f>
        <v>36.236446372097014</v>
      </c>
      <c r="D204" t="s">
        <v>402</v>
      </c>
      <c r="E204" s="6">
        <f t="shared" ca="1" si="7"/>
        <v>1.2925743163823065</v>
      </c>
    </row>
    <row r="205" spans="1:5" ht="16.5" x14ac:dyDescent="0.45">
      <c r="B205" s="7"/>
      <c r="D205" t="s">
        <v>403</v>
      </c>
      <c r="E205" s="6">
        <f t="shared" ca="1" si="7"/>
        <v>3.279981212189607</v>
      </c>
    </row>
    <row r="206" spans="1:5" ht="16.5" x14ac:dyDescent="0.45">
      <c r="B206" s="7"/>
      <c r="D206" t="s">
        <v>404</v>
      </c>
      <c r="E206" s="6">
        <f t="shared" ca="1" si="7"/>
        <v>1.5808836815942313</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15.477735820144213</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7.6122039088590068E-2</v>
      </c>
      <c r="D227" s="121"/>
      <c r="E227" s="8"/>
      <c r="F227" s="8"/>
      <c r="G227" s="122"/>
      <c r="H227" s="48" t="s">
        <v>415</v>
      </c>
      <c r="I227" s="48" t="str">
        <f t="shared" ref="I227:I242" si="8">B42</f>
        <v>NTS MG 1</v>
      </c>
      <c r="J227" s="12">
        <f ca="1">IFERROR($E194/$H42*1000000," ")</f>
        <v>3.332754856094871E-2</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4.1697435259990347E-2</v>
      </c>
      <c r="D228" s="121"/>
      <c r="E228" s="8"/>
      <c r="F228" s="8"/>
      <c r="G228" s="122"/>
      <c r="H228" s="48" t="s">
        <v>417</v>
      </c>
      <c r="I228" s="48" t="str">
        <f t="shared" si="8"/>
        <v>NTS MG 2</v>
      </c>
      <c r="J228" s="12">
        <f t="shared" ref="J228:J242" ca="1" si="11">IFERROR($E195/$H43*1000000," ")</f>
        <v>4.3264026857135061E-2</v>
      </c>
      <c r="L228" s="21"/>
      <c r="M228" s="123"/>
      <c r="Q228" s="8"/>
      <c r="R228" s="124"/>
      <c r="S228" s="125"/>
      <c r="T228" s="125"/>
      <c r="U228" s="125"/>
    </row>
    <row r="229" spans="1:21" ht="16.5" x14ac:dyDescent="0.35">
      <c r="A229" s="48" t="s">
        <v>418</v>
      </c>
      <c r="B229" s="48" t="str">
        <f t="shared" si="9"/>
        <v>PR-ITABORAÍ</v>
      </c>
      <c r="C229" s="12">
        <f t="shared" ca="1" si="10"/>
        <v>4.9291391418709064E-2</v>
      </c>
      <c r="D229" s="121"/>
      <c r="E229" s="8"/>
      <c r="F229" s="8"/>
      <c r="G229" s="122"/>
      <c r="H229" s="48" t="s">
        <v>419</v>
      </c>
      <c r="I229" s="48" t="str">
        <f t="shared" si="8"/>
        <v>NTS MG 3</v>
      </c>
      <c r="J229" s="12">
        <f t="shared" ca="1" si="11"/>
        <v>5.5245928249300212E-2</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6.0747535981047991E-2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1.5379188319464198E-2</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1.4466186699567273E-2</v>
      </c>
      <c r="L232" s="21"/>
      <c r="M232" s="123"/>
      <c r="Q232" s="8"/>
      <c r="R232" s="124"/>
      <c r="S232" s="125"/>
      <c r="T232" s="125"/>
      <c r="U232" s="125"/>
    </row>
    <row r="233" spans="1:21" ht="16.5" x14ac:dyDescent="0.35">
      <c r="A233" s="48" t="s">
        <v>426</v>
      </c>
      <c r="B233" s="48" t="str">
        <f t="shared" si="9"/>
        <v>PR-TECAB</v>
      </c>
      <c r="C233" s="12">
        <f t="shared" ca="1" si="10"/>
        <v>7.141289328909714E-2</v>
      </c>
      <c r="D233" s="121"/>
      <c r="E233" s="8"/>
      <c r="F233" s="8"/>
      <c r="G233" s="122"/>
      <c r="H233" s="48" t="s">
        <v>427</v>
      </c>
      <c r="I233" s="48" t="str">
        <f t="shared" si="8"/>
        <v>NTS RJ 3</v>
      </c>
      <c r="J233" s="12">
        <f t="shared" ca="1" si="11"/>
        <v>1.7434166044567604E-2</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2.1300761122916206E-2</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1.4572833314111633E-2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3.2682007020546529E-2</v>
      </c>
      <c r="L236" s="21"/>
      <c r="Q236" s="8"/>
      <c r="R236" s="124"/>
      <c r="S236" s="125"/>
      <c r="T236" s="125"/>
      <c r="U236" s="125"/>
    </row>
    <row r="237" spans="1:21" ht="16.5" x14ac:dyDescent="0.35">
      <c r="D237" s="116"/>
      <c r="E237" s="8"/>
      <c r="F237" s="8"/>
      <c r="G237" s="116"/>
      <c r="H237" s="48" t="s">
        <v>434</v>
      </c>
      <c r="I237" s="48" t="str">
        <f t="shared" si="8"/>
        <v>NTS SP 2</v>
      </c>
      <c r="J237" s="12">
        <f t="shared" ca="1" si="11"/>
        <v>3.1613539566527946E-2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4.3141861495584029E-2</v>
      </c>
      <c r="L238" s="21"/>
      <c r="Q238" s="8"/>
      <c r="R238" s="124"/>
      <c r="S238" s="125"/>
      <c r="T238" s="125"/>
      <c r="U238" s="125"/>
    </row>
    <row r="239" spans="1:21" ht="16.5" x14ac:dyDescent="0.35">
      <c r="D239" s="116"/>
      <c r="E239" s="8"/>
      <c r="F239" s="8"/>
      <c r="G239" s="116"/>
      <c r="H239" s="48" t="s">
        <v>436</v>
      </c>
      <c r="I239" s="48" t="str">
        <f t="shared" si="8"/>
        <v>NTS SP 4</v>
      </c>
      <c r="J239" s="12">
        <f t="shared" ca="1" si="11"/>
        <v>4.6762328748977254E-2</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1.522440781771801E-2</v>
      </c>
      <c r="D246" s="12">
        <f t="shared" ref="D246:D252" ca="1" si="13">$F$8*$C$12</f>
        <v>4.3335526602840659E-2</v>
      </c>
      <c r="E246" s="12">
        <f ca="1">IFERROR(C246+D246," ")</f>
        <v>5.8559934420558665E-2</v>
      </c>
      <c r="F246" s="256">
        <f ca="1">E246*H25</f>
        <v>7516248.9298331216</v>
      </c>
      <c r="G246" s="123"/>
      <c r="H246" s="48" t="s">
        <v>415</v>
      </c>
      <c r="I246" s="48" t="str">
        <f t="shared" ref="I246:I261" si="14">I227</f>
        <v>NTS MG 1</v>
      </c>
      <c r="J246" s="12">
        <f ca="1">IF(H42=0," ",J227*(1-$C$12))</f>
        <v>6.6655097121897404E-3</v>
      </c>
      <c r="K246" s="12">
        <f t="shared" ref="K246:K258" ca="1" si="15">$F$11*$C$12</f>
        <v>2.0855189508849178E-2</v>
      </c>
      <c r="L246" s="12">
        <f ca="1">IFERROR(J246+K246," ")</f>
        <v>2.7520699221038919E-2</v>
      </c>
      <c r="M246" s="256">
        <f ca="1">L246*H42</f>
        <v>237186.6494068545</v>
      </c>
      <c r="N246" s="131"/>
    </row>
    <row r="247" spans="1:22" ht="16.5" x14ac:dyDescent="0.35">
      <c r="A247" s="48" t="s">
        <v>416</v>
      </c>
      <c r="B247" s="48" t="str">
        <f t="shared" si="12"/>
        <v>PR-GNLBGB</v>
      </c>
      <c r="C247" s="12">
        <f t="shared" ref="C247:C255" ca="1" si="16">IF(H26=0," ",C228*(1-$C$12))</f>
        <v>8.3394870519980669E-3</v>
      </c>
      <c r="D247" s="12">
        <f t="shared" ca="1" si="13"/>
        <v>4.3335526602840659E-2</v>
      </c>
      <c r="E247" s="12">
        <f t="shared" ref="E247:E252" ca="1" si="17">IFERROR(C247+D247," ")</f>
        <v>5.1675013654838724E-2</v>
      </c>
      <c r="F247" s="256">
        <f t="shared" ref="F247:F252" ca="1" si="18">E247*H26</f>
        <v>14071411.447015738</v>
      </c>
      <c r="G247" s="123"/>
      <c r="H247" s="48" t="s">
        <v>417</v>
      </c>
      <c r="I247" s="48" t="str">
        <f t="shared" si="14"/>
        <v>NTS MG 2</v>
      </c>
      <c r="J247" s="12">
        <f t="shared" ref="J247:J248" ca="1" si="19">IF(H43=0," ",J228*(1-$C$12))</f>
        <v>8.6528053714270102E-3</v>
      </c>
      <c r="K247" s="12">
        <f t="shared" ca="1" si="15"/>
        <v>2.0855189508849178E-2</v>
      </c>
      <c r="L247" s="12">
        <f t="shared" ref="L247:L258" ca="1" si="20">IFERROR(J247+K247," ")</f>
        <v>2.9507994880276188E-2</v>
      </c>
      <c r="M247" s="256">
        <f t="shared" ref="M247:M258" ca="1" si="21">L247*H43</f>
        <v>441132.55141241383</v>
      </c>
    </row>
    <row r="248" spans="1:22" ht="16.5" x14ac:dyDescent="0.35">
      <c r="A248" s="48" t="s">
        <v>418</v>
      </c>
      <c r="B248" s="48" t="str">
        <f t="shared" si="12"/>
        <v>PR-ITABORAÍ</v>
      </c>
      <c r="C248" s="12">
        <f t="shared" ca="1" si="16"/>
        <v>9.8582782837418111E-3</v>
      </c>
      <c r="D248" s="12">
        <f t="shared" ca="1" si="13"/>
        <v>4.3335526602840659E-2</v>
      </c>
      <c r="E248" s="12">
        <f t="shared" ca="1" si="17"/>
        <v>5.3193804886582471E-2</v>
      </c>
      <c r="F248" s="256">
        <f t="shared" ca="1" si="18"/>
        <v>9733187.1963881012</v>
      </c>
      <c r="G248" s="123"/>
      <c r="H248" s="48" t="s">
        <v>419</v>
      </c>
      <c r="I248" s="48" t="str">
        <f t="shared" si="14"/>
        <v>NTS MG 3</v>
      </c>
      <c r="J248" s="12">
        <f t="shared" ca="1" si="19"/>
        <v>1.104918564986004E-2</v>
      </c>
      <c r="K248" s="12">
        <f t="shared" ca="1" si="15"/>
        <v>2.0855189508849178E-2</v>
      </c>
      <c r="L248" s="12">
        <f t="shared" ca="1" si="20"/>
        <v>3.1904375158709218E-2</v>
      </c>
      <c r="M248" s="256">
        <f t="shared" ca="1" si="21"/>
        <v>1238873.12223425</v>
      </c>
    </row>
    <row r="249" spans="1:22" ht="16.5" x14ac:dyDescent="0.35">
      <c r="A249" s="48" t="s">
        <v>420</v>
      </c>
      <c r="B249" s="48" t="str">
        <f t="shared" si="12"/>
        <v>PR-GASPAJ (INTERCONEXÃO)</v>
      </c>
      <c r="C249" s="12" t="str">
        <f t="shared" si="16"/>
        <v xml:space="preserve"> </v>
      </c>
      <c r="D249" s="12">
        <f t="shared" ca="1" si="13"/>
        <v>4.3335526602840659E-2</v>
      </c>
      <c r="E249" s="127">
        <f ca="1">E271</f>
        <v>5.2186914231939982E-3</v>
      </c>
      <c r="F249" s="256">
        <f t="shared" ca="1" si="18"/>
        <v>0</v>
      </c>
      <c r="G249" s="123"/>
      <c r="H249" s="48" t="s">
        <v>421</v>
      </c>
      <c r="I249" s="48" t="str">
        <f t="shared" si="14"/>
        <v>NTS MG 4</v>
      </c>
      <c r="J249" s="12">
        <f ca="1">IF(H45=0," ",J230*(1-$C$12))</f>
        <v>1.2149507196209596E-2</v>
      </c>
      <c r="K249" s="12">
        <f t="shared" ca="1" si="15"/>
        <v>2.0855189508849178E-2</v>
      </c>
      <c r="L249" s="12">
        <f t="shared" ca="1" si="20"/>
        <v>3.3004696705058775E-2</v>
      </c>
      <c r="M249" s="256">
        <f t="shared" ca="1" si="21"/>
        <v>137057.45138985038</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3.0758376638928388E-3</v>
      </c>
      <c r="K250" s="12">
        <f t="shared" ca="1" si="15"/>
        <v>2.0855189508849178E-2</v>
      </c>
      <c r="L250" s="12">
        <f t="shared" ca="1" si="20"/>
        <v>2.3931027172742016E-2</v>
      </c>
      <c r="M250" s="256">
        <f t="shared" ca="1" si="21"/>
        <v>4439080.7077874225</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2.893237339913454E-3</v>
      </c>
      <c r="K251" s="12">
        <f t="shared" ca="1" si="15"/>
        <v>2.0855189508849178E-2</v>
      </c>
      <c r="L251" s="12">
        <f t="shared" ca="1" si="20"/>
        <v>2.3748426848762633E-2</v>
      </c>
      <c r="M251" s="256">
        <f t="shared" ca="1" si="21"/>
        <v>2717041.5259512542</v>
      </c>
    </row>
    <row r="252" spans="1:22" ht="16.5" x14ac:dyDescent="0.35">
      <c r="A252" s="48" t="s">
        <v>426</v>
      </c>
      <c r="B252" s="48" t="str">
        <f t="shared" si="12"/>
        <v>PR-TECAB</v>
      </c>
      <c r="C252" s="12">
        <f t="shared" ca="1" si="16"/>
        <v>1.4282578657819425E-2</v>
      </c>
      <c r="D252" s="12">
        <f t="shared" ca="1" si="13"/>
        <v>4.3335526602840659E-2</v>
      </c>
      <c r="E252" s="12">
        <f t="shared" ca="1" si="17"/>
        <v>5.761810526066008E-2</v>
      </c>
      <c r="F252" s="256">
        <f t="shared" ca="1" si="18"/>
        <v>4915598.798860047</v>
      </c>
      <c r="G252" s="123"/>
      <c r="H252" s="48" t="s">
        <v>427</v>
      </c>
      <c r="I252" s="48" t="str">
        <f t="shared" si="14"/>
        <v>NTS RJ 3</v>
      </c>
      <c r="J252" s="12">
        <f t="shared" ca="1" si="22"/>
        <v>3.4868332089135201E-3</v>
      </c>
      <c r="K252" s="12">
        <f t="shared" ca="1" si="15"/>
        <v>2.0855189508849178E-2</v>
      </c>
      <c r="L252" s="12">
        <f t="shared" ca="1" si="20"/>
        <v>2.4342022717762698E-2</v>
      </c>
      <c r="M252" s="256">
        <f t="shared" ca="1" si="21"/>
        <v>720183.97901241295</v>
      </c>
    </row>
    <row r="253" spans="1:22" ht="16.5" x14ac:dyDescent="0.35">
      <c r="A253" s="48" t="s">
        <v>428</v>
      </c>
      <c r="B253" s="48" t="str">
        <f t="shared" si="12"/>
        <v>PR-GUARAREMA (INTERCONEXÃO)</v>
      </c>
      <c r="C253" s="12" t="str">
        <f t="shared" si="16"/>
        <v xml:space="preserve"> </v>
      </c>
      <c r="D253" s="12"/>
      <c r="E253" s="127">
        <f ca="1">E269</f>
        <v>4.8706884846647603E-3</v>
      </c>
      <c r="F253" s="257"/>
      <c r="G253" s="123"/>
      <c r="H253" s="48" t="s">
        <v>429</v>
      </c>
      <c r="I253" s="48" t="str">
        <f t="shared" si="14"/>
        <v>NTS RJ 4</v>
      </c>
      <c r="J253" s="12">
        <f t="shared" ca="1" si="22"/>
        <v>4.2601522245832406E-3</v>
      </c>
      <c r="K253" s="12">
        <f t="shared" ca="1" si="15"/>
        <v>2.0855189508849178E-2</v>
      </c>
      <c r="L253" s="12">
        <f t="shared" ca="1" si="20"/>
        <v>2.5115341733432418E-2</v>
      </c>
      <c r="M253" s="256">
        <f t="shared" ca="1" si="21"/>
        <v>96772.6410246577</v>
      </c>
    </row>
    <row r="254" spans="1:22" ht="16.5" x14ac:dyDescent="0.35">
      <c r="A254" s="48" t="s">
        <v>430</v>
      </c>
      <c r="B254" s="48" t="str">
        <f t="shared" si="12"/>
        <v>PR-REPLAN (INTERCONEXÃO)</v>
      </c>
      <c r="C254" s="12" t="str">
        <f t="shared" si="16"/>
        <v xml:space="preserve"> </v>
      </c>
      <c r="D254" s="12"/>
      <c r="E254" s="127">
        <f ca="1">E268</f>
        <v>5.2186914231939982E-3</v>
      </c>
      <c r="F254" s="258">
        <f ca="1">SUM(F246:F252)</f>
        <v>36236446.372097015</v>
      </c>
      <c r="G254" s="123"/>
      <c r="H254" s="48" t="s">
        <v>431</v>
      </c>
      <c r="I254" s="48" t="str">
        <f t="shared" si="14"/>
        <v>NTS RJ 5</v>
      </c>
      <c r="J254" s="12">
        <f t="shared" ca="1" si="22"/>
        <v>2.914566662822326E-3</v>
      </c>
      <c r="K254" s="12">
        <f t="shared" ca="1" si="15"/>
        <v>2.0855189508849178E-2</v>
      </c>
      <c r="L254" s="12">
        <f t="shared" ca="1" si="20"/>
        <v>2.3769756171671503E-2</v>
      </c>
      <c r="M254" s="256">
        <f t="shared" ca="1" si="21"/>
        <v>684805.84167340945</v>
      </c>
    </row>
    <row r="255" spans="1:22" ht="16.5" x14ac:dyDescent="0.35">
      <c r="A255" s="48" t="s">
        <v>432</v>
      </c>
      <c r="B255" s="48" t="str">
        <f t="shared" si="12"/>
        <v>PR-TECAB (INTERCONEXÃO)</v>
      </c>
      <c r="C255" s="12" t="str">
        <f t="shared" si="16"/>
        <v xml:space="preserve"> </v>
      </c>
      <c r="D255" s="12"/>
      <c r="E255" s="127">
        <f ca="1">E270</f>
        <v>5.1242641311882511E-3</v>
      </c>
      <c r="G255" s="123"/>
      <c r="H255" s="48" t="s">
        <v>433</v>
      </c>
      <c r="I255" s="48" t="str">
        <f t="shared" si="14"/>
        <v>NTS SP 1</v>
      </c>
      <c r="J255" s="12">
        <f t="shared" ca="1" si="22"/>
        <v>6.536401404109304E-3</v>
      </c>
      <c r="K255" s="12">
        <f t="shared" ca="1" si="15"/>
        <v>2.0855189508849178E-2</v>
      </c>
      <c r="L255" s="12">
        <f t="shared" ca="1" si="20"/>
        <v>2.739159091295848E-2</v>
      </c>
      <c r="M255" s="256">
        <f t="shared" ca="1" si="21"/>
        <v>391591.82997420355</v>
      </c>
    </row>
    <row r="256" spans="1:22" ht="16.5" x14ac:dyDescent="0.35">
      <c r="F256" s="131"/>
      <c r="H256" s="48" t="s">
        <v>434</v>
      </c>
      <c r="I256" s="48" t="str">
        <f t="shared" si="14"/>
        <v>NTS SP 2</v>
      </c>
      <c r="J256" s="12">
        <f t="shared" ca="1" si="22"/>
        <v>6.3227079133055877E-3</v>
      </c>
      <c r="K256" s="12">
        <f t="shared" ca="1" si="15"/>
        <v>2.0855189508849178E-2</v>
      </c>
      <c r="L256" s="12">
        <f t="shared" ca="1" si="20"/>
        <v>2.7177897422154765E-2</v>
      </c>
      <c r="M256" s="256">
        <f t="shared" ca="1" si="21"/>
        <v>1111215.4052608779</v>
      </c>
    </row>
    <row r="257" spans="1:13" ht="16.5" x14ac:dyDescent="0.35">
      <c r="H257" s="48" t="s">
        <v>435</v>
      </c>
      <c r="I257" s="48" t="str">
        <f t="shared" si="14"/>
        <v>NTS SP 3</v>
      </c>
      <c r="J257" s="12">
        <f t="shared" ca="1" si="22"/>
        <v>8.628372299116803E-3</v>
      </c>
      <c r="K257" s="12">
        <f t="shared" ca="1" si="15"/>
        <v>2.0855189508849178E-2</v>
      </c>
      <c r="L257" s="12">
        <f t="shared" ca="1" si="20"/>
        <v>2.9483561807965981E-2</v>
      </c>
      <c r="M257" s="256">
        <f t="shared" ca="1" si="21"/>
        <v>2241570.6102171359</v>
      </c>
    </row>
    <row r="258" spans="1:13" ht="16.5" x14ac:dyDescent="0.35">
      <c r="H258" s="48" t="s">
        <v>436</v>
      </c>
      <c r="I258" s="48" t="str">
        <f t="shared" si="14"/>
        <v>NTS SP 4</v>
      </c>
      <c r="J258" s="12">
        <f t="shared" ca="1" si="22"/>
        <v>9.3524657497954487E-3</v>
      </c>
      <c r="K258" s="12">
        <f t="shared" ca="1" si="15"/>
        <v>2.0855189508849178E-2</v>
      </c>
      <c r="L258" s="12">
        <f t="shared" ca="1" si="20"/>
        <v>3.0207655258644626E-2</v>
      </c>
      <c r="M258" s="256">
        <f t="shared" ca="1" si="21"/>
        <v>1021223.5047994676</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2.5628036939809354E-3</v>
      </c>
      <c r="M260" s="258">
        <f ca="1">SUM(M246:M258)</f>
        <v>15477735.820144212</v>
      </c>
    </row>
    <row r="261" spans="1:13" ht="16.5" x14ac:dyDescent="0.35">
      <c r="H261" s="48" t="s">
        <v>439</v>
      </c>
      <c r="I261" s="48" t="str">
        <f t="shared" si="14"/>
        <v>PE-TECAB (INTERCONEXÃO)</v>
      </c>
      <c r="J261" s="12" t="str">
        <f t="shared" si="22"/>
        <v xml:space="preserve"> </v>
      </c>
      <c r="K261" s="12"/>
      <c r="L261" s="127">
        <f ca="1">E273</f>
        <v>2.2381879879199793E-3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(GASIG)'!G11</f>
        <v>205</v>
      </c>
      <c r="D268" s="265">
        <f ca="1">'CWD 2026 GASIG (sem desc.)'!D267</f>
        <v>5.2186914231939996E-2</v>
      </c>
      <c r="E268" s="268">
        <f ca="1">D268*(1-$C$263)</f>
        <v>5.2186914231939982E-3</v>
      </c>
      <c r="F268" s="266">
        <f ca="1">C268*E268*'Premissas (GASIG)'!$C$36*'Premissas (GASIG)'!$F$20*1000</f>
        <v>14566.075122748638</v>
      </c>
      <c r="L268" s="128"/>
    </row>
    <row r="269" spans="1:13" ht="18.5" x14ac:dyDescent="0.45">
      <c r="B269" s="247" t="s">
        <v>451</v>
      </c>
      <c r="C269" s="271">
        <f>'Oferta (GASIG)'!G10</f>
        <v>6000</v>
      </c>
      <c r="D269" s="265">
        <f ca="1">'CWD 2026 GASIG (sem desc.)'!D268</f>
        <v>4.8706884846647612E-2</v>
      </c>
      <c r="E269" s="268">
        <f t="shared" ref="E269:E271" ca="1" si="23">D269*(1-$C$263)</f>
        <v>4.8706884846647603E-3</v>
      </c>
      <c r="F269" s="266">
        <f ca="1">C269*E269*'Premissas (GASIG)'!$C$36*'Premissas (GASIG)'!$F$20*1000</f>
        <v>397895.17322096601</v>
      </c>
      <c r="G269" s="129"/>
      <c r="K269" s="129"/>
      <c r="L269" s="128"/>
    </row>
    <row r="270" spans="1:13" ht="18.5" x14ac:dyDescent="0.45">
      <c r="B270" s="248" t="s">
        <v>452</v>
      </c>
      <c r="C270" s="271">
        <f>'Oferta (GASIG)'!G12</f>
        <v>200</v>
      </c>
      <c r="D270" s="265">
        <f ca="1">'CWD 2026 GASIG (sem desc.)'!D269</f>
        <v>5.1242641311882525E-2</v>
      </c>
      <c r="E270" s="268">
        <f t="shared" ca="1" si="23"/>
        <v>5.1242641311882511E-3</v>
      </c>
      <c r="F270" s="266">
        <f ca="1">C270*E270*'Premissas (GASIG)'!$C$36*'Premissas (GASIG)'!$F$20*1000</f>
        <v>13953.673904135043</v>
      </c>
      <c r="K270" s="129"/>
      <c r="L270" s="128"/>
    </row>
    <row r="271" spans="1:13" ht="18.5" x14ac:dyDescent="0.45">
      <c r="B271" s="248" t="s">
        <v>243</v>
      </c>
      <c r="C271" s="271">
        <f>'Oferta (GASIG)'!G6</f>
        <v>305</v>
      </c>
      <c r="D271" s="265">
        <f ca="1">'CWD 2026 GASIG (sem desc.)'!D270</f>
        <v>5.2186914231939996E-2</v>
      </c>
      <c r="E271" s="268">
        <f t="shared" ca="1" si="23"/>
        <v>5.2186914231939982E-3</v>
      </c>
      <c r="F271" s="266">
        <f ca="1">C271*E271*'Premissas (GASIG)'!$C$36*'Premissas (GASIG)'!$F$20*1000</f>
        <v>21671.477621650414</v>
      </c>
      <c r="K271" s="129"/>
      <c r="L271" s="128"/>
    </row>
    <row r="272" spans="1:13" ht="18.5" x14ac:dyDescent="0.45">
      <c r="B272" s="246" t="s">
        <v>453</v>
      </c>
      <c r="C272" s="271">
        <f>'Demanda (GASIG)'!G17</f>
        <v>6824</v>
      </c>
      <c r="D272" s="265">
        <f ca="1">'CWD 2026 GASIG (sem desc.)'!D271</f>
        <v>2.5628036939809359E-2</v>
      </c>
      <c r="E272" s="268">
        <f ca="1">D272*(1-$C$263)</f>
        <v>2.5628036939809354E-3</v>
      </c>
      <c r="F272" s="266">
        <f ca="1">C272*E272*'Premissas (GASIG)'!$C$36*'Premissas (GASIG)'!$F$20*1000</f>
        <v>238112.07831872022</v>
      </c>
      <c r="K272" s="129"/>
      <c r="L272" s="128"/>
    </row>
    <row r="273" spans="2:13" ht="18.5" x14ac:dyDescent="0.45">
      <c r="B273" s="248" t="s">
        <v>454</v>
      </c>
      <c r="C273" s="271">
        <f>'Demanda (GASIG)'!G18</f>
        <v>200</v>
      </c>
      <c r="D273" s="265">
        <f ca="1">'CWD 2026 GASIG (sem desc.)'!D272</f>
        <v>2.23818798791998E-2</v>
      </c>
      <c r="E273" s="268">
        <f ca="1">D273*(1-$C$263)</f>
        <v>2.2381879879199793E-3</v>
      </c>
      <c r="F273" s="266">
        <f ca="1">C273*E273*'Premissas (GASIG)'!$C$36*'Premissas (GASIG)'!$F$20*1000</f>
        <v>6094.7180941559864</v>
      </c>
      <c r="K273" s="129"/>
      <c r="L273" s="128"/>
    </row>
    <row r="274" spans="2:13" ht="19" thickBot="1" x14ac:dyDescent="0.5">
      <c r="B274" s="248"/>
      <c r="C274" s="269"/>
      <c r="D274" s="269"/>
      <c r="E274" s="269"/>
      <c r="F274" s="267">
        <f ca="1">SUM(F268:F273)</f>
        <v>692293.19628237642</v>
      </c>
      <c r="K274" s="129"/>
      <c r="L274" s="128"/>
    </row>
    <row r="275" spans="2:13" ht="15" thickTop="1" x14ac:dyDescent="0.35">
      <c r="K275" s="129"/>
      <c r="L275" s="128"/>
    </row>
    <row r="276" spans="2:13" x14ac:dyDescent="0.35">
      <c r="E276" t="s">
        <v>110</v>
      </c>
      <c r="F276" s="235">
        <f ca="1">F254+M260+F274</f>
        <v>52406475.388523608</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FBF3-3396-4CCA-AE5F-67FFD13B6BA9}">
  <sheetPr>
    <tabColor theme="5"/>
  </sheetPr>
  <dimension ref="A1:V39"/>
  <sheetViews>
    <sheetView showGridLines="0" zoomScale="110" zoomScaleNormal="110" workbookViewId="0">
      <selection activeCell="D3" sqref="D3"/>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2026 GASIG (com desc.)'!A246</f>
        <v>TEN1</v>
      </c>
      <c r="B2" s="320" t="str">
        <f>'CWD 2026 GASIG (com desc.)'!B246</f>
        <v>PR-CARAGUATATUBA</v>
      </c>
      <c r="C2" s="321">
        <f>'CWD 2026 GASIG (sem desc.)'!H24</f>
        <v>128351389.123045</v>
      </c>
      <c r="D2" s="322">
        <f ca="1">'CWD 2026 GASIG (com desc.)'!E246</f>
        <v>5.8559934420558665E-2</v>
      </c>
      <c r="E2" s="323">
        <f t="shared" ref="E2:E11" ca="1" si="0">IFERROR(C2*D2," ")</f>
        <v>7516248.9298331216</v>
      </c>
      <c r="F2" s="363"/>
      <c r="L2" s="68" t="s">
        <v>58</v>
      </c>
      <c r="M2" s="67">
        <f ca="1">IFERROR($D$2+$C34," ")</f>
        <v>8.9426974402789128E-2</v>
      </c>
      <c r="N2" s="67">
        <f ca="1">IFERROR($D$3+$C34," ")</f>
        <v>8.2542053637069193E-2</v>
      </c>
      <c r="O2" s="67">
        <f ca="1">IFERROR($D$4+$C34," ")</f>
        <v>8.4060844868812934E-2</v>
      </c>
      <c r="P2" s="67">
        <f ca="1">IFERROR($D$5+$C34," ")</f>
        <v>3.6085731405424468E-2</v>
      </c>
      <c r="Q2" s="67" t="str">
        <f ca="1">IFERROR($D$6+$C34," ")</f>
        <v xml:space="preserve"> </v>
      </c>
      <c r="R2" s="67" t="str">
        <f ca="1">IFERROR($D$7+$C34," ")</f>
        <v xml:space="preserve"> </v>
      </c>
      <c r="S2" s="67">
        <f ca="1">IFERROR($D$8+$C34," ")</f>
        <v>8.8485145242890556E-2</v>
      </c>
      <c r="T2" s="67">
        <f ca="1">IFERROR($D$9+$C34," ")</f>
        <v>3.5737728466895227E-2</v>
      </c>
      <c r="U2" s="67">
        <f ca="1">IFERROR($D$10+$C34," ")</f>
        <v>3.6085731405424468E-2</v>
      </c>
      <c r="V2" s="67">
        <f ca="1">IFERROR($D$11+$C34," ")</f>
        <v>3.5991304113418721E-2</v>
      </c>
    </row>
    <row r="3" spans="1:22" s="62" customFormat="1" x14ac:dyDescent="0.35">
      <c r="A3" s="292" t="str">
        <f>'CWD 2026 GASIG (com desc.)'!A247</f>
        <v>TEN2</v>
      </c>
      <c r="B3" s="295" t="str">
        <f>'CWD 2026 GASIG (com desc.)'!B247</f>
        <v>PR-GNLBGB</v>
      </c>
      <c r="C3" s="296">
        <f>'CWD 2026 GASIG (sem desc.)'!H25</f>
        <v>272305906.69999999</v>
      </c>
      <c r="D3" s="297">
        <f ca="1">'CWD 2026 GASIG (com desc.)'!E247</f>
        <v>5.1675013654838724E-2</v>
      </c>
      <c r="E3" s="298">
        <f t="shared" ca="1" si="0"/>
        <v>14071411.447015738</v>
      </c>
      <c r="F3" s="363"/>
      <c r="L3" s="68" t="s">
        <v>69</v>
      </c>
      <c r="M3" s="67">
        <f t="shared" ref="M3:M7" ca="1" si="1">IFERROR($D$2+$C35," ")</f>
        <v>8.2466622873023282E-2</v>
      </c>
      <c r="N3" s="67">
        <f t="shared" ref="N3:N7" ca="1" si="2">IFERROR($D$3+$C35," ")</f>
        <v>7.5581702107303333E-2</v>
      </c>
      <c r="O3" s="67">
        <f t="shared" ref="O3:O7" ca="1" si="3">IFERROR($D$4+$C35," ")</f>
        <v>7.7100493339047088E-2</v>
      </c>
      <c r="P3" s="67">
        <f t="shared" ref="P3:P7" ca="1" si="4">IFERROR($D$5+$C35," ")</f>
        <v>2.9125379875658608E-2</v>
      </c>
      <c r="Q3" s="67" t="str">
        <f t="shared" ref="Q3:Q7" ca="1" si="5">IFERROR($D$6+$C35," ")</f>
        <v xml:space="preserve"> </v>
      </c>
      <c r="R3" s="67" t="str">
        <f t="shared" ref="R3:R7" ca="1" si="6">IFERROR($D$7+$C35," ")</f>
        <v xml:space="preserve"> </v>
      </c>
      <c r="S3" s="67">
        <f t="shared" ref="S3:S7" ca="1" si="7">IFERROR($D$8+$C35," ")</f>
        <v>8.1524793713124682E-2</v>
      </c>
      <c r="T3" s="67">
        <f t="shared" ref="T3:T7" ca="1" si="8">IFERROR($D$9+$C35," ")</f>
        <v>2.8777376937129371E-2</v>
      </c>
      <c r="U3" s="67">
        <f t="shared" ref="U3:U7" ca="1" si="9">IFERROR($D$10+$C35," ")</f>
        <v>2.9125379875658608E-2</v>
      </c>
      <c r="V3" s="67">
        <f t="shared" ref="V3:V7" ca="1" si="10">IFERROR($D$11+$C35," ")</f>
        <v>2.9030952583652861E-2</v>
      </c>
    </row>
    <row r="4" spans="1:22" x14ac:dyDescent="0.35">
      <c r="A4" s="292" t="str">
        <f>'CWD 2026 GASIG (com desc.)'!A248</f>
        <v>TEN3</v>
      </c>
      <c r="B4" s="295" t="str">
        <f>'CWD 2026 GASIG (com desc.)'!B248</f>
        <v>PR-ITABORAÍ</v>
      </c>
      <c r="C4" s="296">
        <f>'CWD 2026 GASIG (sem desc.)'!H26</f>
        <v>182975954.00706497</v>
      </c>
      <c r="D4" s="297">
        <f ca="1">'CWD 2026 GASIG (com desc.)'!E248</f>
        <v>5.3193804886582471E-2</v>
      </c>
      <c r="E4" s="296">
        <f t="shared" ca="1" si="0"/>
        <v>9733187.1963881012</v>
      </c>
      <c r="F4" s="363"/>
      <c r="L4" s="68" t="s">
        <v>258</v>
      </c>
      <c r="M4" s="67">
        <f t="shared" ca="1" si="1"/>
        <v>8.7439324978333732E-2</v>
      </c>
      <c r="N4" s="67">
        <f t="shared" ca="1" si="2"/>
        <v>8.0554404212613784E-2</v>
      </c>
      <c r="O4" s="67">
        <f t="shared" ca="1" si="3"/>
        <v>8.2073195444357538E-2</v>
      </c>
      <c r="P4" s="67">
        <f t="shared" ca="1" si="4"/>
        <v>3.4098081980969065E-2</v>
      </c>
      <c r="Q4" s="67" t="str">
        <f t="shared" ca="1" si="5"/>
        <v xml:space="preserve"> </v>
      </c>
      <c r="R4" s="67" t="str">
        <f t="shared" ca="1" si="6"/>
        <v xml:space="preserve"> </v>
      </c>
      <c r="S4" s="67">
        <f t="shared" ca="1" si="7"/>
        <v>8.6497495818435147E-2</v>
      </c>
      <c r="T4" s="67">
        <f t="shared" ca="1" si="8"/>
        <v>3.3750079042439825E-2</v>
      </c>
      <c r="U4" s="67">
        <f t="shared" ca="1" si="9"/>
        <v>3.4098081980969065E-2</v>
      </c>
      <c r="V4" s="67">
        <f t="shared" ca="1" si="10"/>
        <v>3.4003654688963318E-2</v>
      </c>
    </row>
    <row r="5" spans="1:22" ht="24" x14ac:dyDescent="0.35">
      <c r="A5" s="292" t="str">
        <f>'CWD 2026 GASIG (com desc.)'!A249</f>
        <v>TEN4</v>
      </c>
      <c r="B5" s="295" t="str">
        <f>'CWD 2026 GASIG (com desc.)'!B249</f>
        <v>PR-GASPAJ (INTERCONEXÃO)</v>
      </c>
      <c r="C5" s="296">
        <f>'CWD 2026 GASIG (sem desc.)'!H27</f>
        <v>4152665.0771750002</v>
      </c>
      <c r="D5" s="297">
        <f ca="1">'CWD 2026 GASIG (com desc.)'!E249</f>
        <v>5.2186914231939982E-3</v>
      </c>
      <c r="E5" s="296">
        <f t="shared" ca="1" si="0"/>
        <v>21671.477621650418</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2026 GASIG (com desc.)'!A250</f>
        <v>TEN5</v>
      </c>
      <c r="B6" s="295" t="str">
        <f>'CWD 2026 GASIG (com desc.)'!B250</f>
        <v>PR-REDUC</v>
      </c>
      <c r="C6" s="296">
        <f>'CWD 2026 GASIG (sem desc.)'!H28</f>
        <v>0</v>
      </c>
      <c r="D6" s="297" t="str">
        <f>'CWD 2026 GASIG (com desc.)'!E250</f>
        <v xml:space="preserve"> </v>
      </c>
      <c r="E6" s="296" t="str">
        <f t="shared" si="0"/>
        <v xml:space="preserve"> </v>
      </c>
      <c r="F6" s="363"/>
      <c r="L6" s="132" t="str">
        <f t="shared" ref="L6:L7" si="11">B29</f>
        <v>PE-REPLAN (INTERCONEXÃO)</v>
      </c>
      <c r="M6" s="67">
        <f t="shared" ca="1" si="1"/>
        <v>6.1122738114539603E-2</v>
      </c>
      <c r="N6" s="67">
        <f t="shared" ca="1" si="2"/>
        <v>5.4237817348819661E-2</v>
      </c>
      <c r="O6" s="67">
        <f t="shared" ca="1" si="3"/>
        <v>5.5756608580563409E-2</v>
      </c>
      <c r="P6" s="67">
        <f t="shared" ca="1" si="4"/>
        <v>7.7814951171749341E-3</v>
      </c>
      <c r="Q6" s="67" t="str">
        <f t="shared" ca="1" si="5"/>
        <v xml:space="preserve"> </v>
      </c>
      <c r="R6" s="67" t="str">
        <f t="shared" ca="1" si="6"/>
        <v xml:space="preserve"> </v>
      </c>
      <c r="S6" s="67">
        <f t="shared" ca="1" si="7"/>
        <v>6.0180908954641017E-2</v>
      </c>
      <c r="T6" s="67">
        <f t="shared" ca="1" si="8"/>
        <v>7.4334921786456953E-3</v>
      </c>
      <c r="U6" s="67">
        <f t="shared" ca="1" si="9"/>
        <v>7.7814951171749341E-3</v>
      </c>
      <c r="V6" s="67">
        <f t="shared" ca="1" si="10"/>
        <v>7.687067825169187E-3</v>
      </c>
    </row>
    <row r="7" spans="1:22" x14ac:dyDescent="0.35">
      <c r="A7" s="292" t="str">
        <f>'CWD 2026 GASIG (com desc.)'!A251</f>
        <v>TEN6</v>
      </c>
      <c r="B7" s="295" t="str">
        <f>'CWD 2026 GASIG (com desc.)'!B251</f>
        <v>PR-RPBC</v>
      </c>
      <c r="C7" s="296">
        <f>'CWD 2026 GASIG (sem desc.)'!H29</f>
        <v>0</v>
      </c>
      <c r="D7" s="297" t="str">
        <f>'CWD 2026 GASIG (com desc.)'!E251</f>
        <v xml:space="preserve"> </v>
      </c>
      <c r="E7" s="296" t="str">
        <f t="shared" si="0"/>
        <v xml:space="preserve"> </v>
      </c>
      <c r="F7" s="363"/>
      <c r="L7" s="132" t="str">
        <f t="shared" si="11"/>
        <v>PE-TECAB (INTERCONEXÃO)</v>
      </c>
      <c r="M7" s="67">
        <f t="shared" ca="1" si="1"/>
        <v>6.0798122408478643E-2</v>
      </c>
      <c r="N7" s="67">
        <f t="shared" ca="1" si="2"/>
        <v>5.3913201642758701E-2</v>
      </c>
      <c r="O7" s="67">
        <f t="shared" ca="1" si="3"/>
        <v>5.5431992874502449E-2</v>
      </c>
      <c r="P7" s="67">
        <f t="shared" ca="1" si="4"/>
        <v>7.4568794111139775E-3</v>
      </c>
      <c r="Q7" s="67" t="str">
        <f t="shared" ca="1" si="5"/>
        <v xml:space="preserve"> </v>
      </c>
      <c r="R7" s="67" t="str">
        <f t="shared" ca="1" si="6"/>
        <v xml:space="preserve"> </v>
      </c>
      <c r="S7" s="67">
        <f t="shared" ca="1" si="7"/>
        <v>5.9856293248580057E-2</v>
      </c>
      <c r="T7" s="67">
        <f t="shared" ca="1" si="8"/>
        <v>7.1088764725847397E-3</v>
      </c>
      <c r="U7" s="67">
        <f t="shared" ca="1" si="9"/>
        <v>7.4568794111139775E-3</v>
      </c>
      <c r="V7" s="67">
        <f t="shared" ca="1" si="10"/>
        <v>7.3624521191082305E-3</v>
      </c>
    </row>
    <row r="8" spans="1:22" x14ac:dyDescent="0.35">
      <c r="A8" s="292" t="str">
        <f>'CWD 2026 GASIG (com desc.)'!A252</f>
        <v>TEN7</v>
      </c>
      <c r="B8" s="295" t="str">
        <f>'CWD 2026 GASIG (com desc.)'!B252</f>
        <v>PR-TECAB</v>
      </c>
      <c r="C8" s="296">
        <f>'CWD 2026 GASIG (sem desc.)'!H30</f>
        <v>85313440.569109991</v>
      </c>
      <c r="D8" s="297">
        <f ca="1">'CWD 2026 GASIG (com desc.)'!E252</f>
        <v>5.761810526066008E-2</v>
      </c>
      <c r="E8" s="296">
        <f t="shared" ca="1" si="0"/>
        <v>4915598.798860047</v>
      </c>
      <c r="F8" s="363"/>
      <c r="L8" s="61"/>
    </row>
    <row r="9" spans="1:22" x14ac:dyDescent="0.35">
      <c r="A9" s="292" t="str">
        <f>'CWD 2026 GASIG (com desc.)'!A253</f>
        <v>TEN8</v>
      </c>
      <c r="B9" s="295" t="str">
        <f>'CWD 2026 GASIG (com desc.)'!B253</f>
        <v>PR-GUARAREMA (INTERCONEXÃO)</v>
      </c>
      <c r="C9" s="296">
        <f>'CWD 2026 GASIG (sem desc.)'!H31</f>
        <v>81691772.010000005</v>
      </c>
      <c r="D9" s="297">
        <f ca="1">'CWD 2026 GASIG (com desc.)'!E253</f>
        <v>4.8706884846647603E-3</v>
      </c>
      <c r="E9" s="296">
        <f t="shared" ca="1" si="0"/>
        <v>397895.17322096601</v>
      </c>
      <c r="F9" s="363"/>
      <c r="L9" s="61"/>
    </row>
    <row r="10" spans="1:22" x14ac:dyDescent="0.35">
      <c r="A10" s="292" t="str">
        <f>'CWD 2026 GASIG (com desc.)'!A254</f>
        <v>TEN9</v>
      </c>
      <c r="B10" s="295" t="str">
        <f>'CWD 2026 GASIG (com desc.)'!B254</f>
        <v>PR-REPLAN (INTERCONEXÃO)</v>
      </c>
      <c r="C10" s="296">
        <f>'CWD 2026 GASIG (sem desc.)'!H32</f>
        <v>2791135.5436749998</v>
      </c>
      <c r="D10" s="297">
        <f ca="1">'CWD 2026 GASIG (com desc.)'!E254</f>
        <v>5.2186914231939982E-3</v>
      </c>
      <c r="E10" s="296">
        <f t="shared" ca="1" si="0"/>
        <v>14566.075122748638</v>
      </c>
      <c r="F10" s="363"/>
      <c r="L10" s="61"/>
    </row>
    <row r="11" spans="1:22" x14ac:dyDescent="0.35">
      <c r="A11" s="292" t="str">
        <f>'CWD 2026 GASIG (com desc.)'!A255</f>
        <v>TEN10</v>
      </c>
      <c r="B11" s="295" t="str">
        <f>'CWD 2026 GASIG (com desc.)'!B255</f>
        <v>PR-TECAB (INTERCONEXÃO)</v>
      </c>
      <c r="C11" s="296">
        <f>'CWD 2026 GASIG (sem desc.)'!H33</f>
        <v>2723059.0670000003</v>
      </c>
      <c r="D11" s="297">
        <f ca="1">'CWD 2026 GASIG (com desc.)'!E255</f>
        <v>5.1242641311882511E-3</v>
      </c>
      <c r="E11" s="296">
        <f t="shared" ca="1" si="0"/>
        <v>13953.673904135047</v>
      </c>
      <c r="F11" s="363"/>
      <c r="L11" s="61"/>
    </row>
    <row r="12" spans="1:22" x14ac:dyDescent="0.35">
      <c r="E12" s="65">
        <f ca="1">SUM(E2:E11)</f>
        <v>36684532.77196651</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2026 GASIG (com desc.)'!H246</f>
        <v>TEX1</v>
      </c>
      <c r="B15" s="296" t="str">
        <f>'CWD 2026 GASIG (com desc.)'!I246</f>
        <v>NTS MG 1</v>
      </c>
      <c r="C15" s="296">
        <f>'CWD 2026 GASIG (sem desc.)'!H41</f>
        <v>8618481.9470549989</v>
      </c>
      <c r="D15" s="296"/>
      <c r="E15" s="299">
        <f ca="1">'CWD 2026 GASIG (com desc.)'!L246</f>
        <v>2.7520699221038919E-2</v>
      </c>
      <c r="F15" s="305">
        <f ca="1">IFERROR(C15*E15," ")</f>
        <v>237186.6494068545</v>
      </c>
      <c r="G15" s="308"/>
      <c r="H15" s="314" t="str">
        <f>IFERROR(G15/D15," ")</f>
        <v xml:space="preserve"> </v>
      </c>
      <c r="I15" s="66"/>
      <c r="J15" s="66"/>
      <c r="L15" s="59"/>
    </row>
    <row r="16" spans="1:22" x14ac:dyDescent="0.35">
      <c r="A16" s="296" t="str">
        <f>'CWD 2026 GASIG (com desc.)'!H247</f>
        <v>TEX2</v>
      </c>
      <c r="B16" s="296" t="str">
        <f>'CWD 2026 GASIG (com desc.)'!I247</f>
        <v>NTS MG 2</v>
      </c>
      <c r="C16" s="296">
        <f>'CWD 2026 GASIG (sem desc.)'!H42</f>
        <v>14949594.277829999</v>
      </c>
      <c r="D16" s="296"/>
      <c r="E16" s="299">
        <f ca="1">'CWD 2026 GASIG (com desc.)'!L247</f>
        <v>2.9507994880276188E-2</v>
      </c>
      <c r="F16" s="305">
        <f t="shared" ref="F16:F30" ca="1" si="12">IFERROR(C16*E16," ")</f>
        <v>441132.55141241383</v>
      </c>
      <c r="G16" s="317"/>
      <c r="H16" s="315" t="str">
        <f t="shared" ref="H16:H30" si="13">IFERROR(G16/D16," ")</f>
        <v xml:space="preserve"> </v>
      </c>
      <c r="I16" s="66"/>
      <c r="J16" s="66"/>
      <c r="L16" s="59"/>
    </row>
    <row r="17" spans="1:12" x14ac:dyDescent="0.35">
      <c r="A17" s="296" t="str">
        <f>'CWD 2026 GASIG (com desc.)'!H248</f>
        <v>TEX3</v>
      </c>
      <c r="B17" s="296" t="str">
        <f>'CWD 2026 GASIG (com desc.)'!I248</f>
        <v>NTS MG 3</v>
      </c>
      <c r="C17" s="296">
        <f>'CWD 2026 GASIG (sem desc.)'!H43</f>
        <v>38830822.295419998</v>
      </c>
      <c r="D17" s="296"/>
      <c r="E17" s="299">
        <f ca="1">'CWD 2026 GASIG (com desc.)'!L248</f>
        <v>3.1904375158709218E-2</v>
      </c>
      <c r="F17" s="305">
        <f ca="1">IFERROR(C17*E17," ")</f>
        <v>1238873.12223425</v>
      </c>
      <c r="G17" s="310"/>
      <c r="H17" s="316" t="str">
        <f t="shared" si="13"/>
        <v xml:space="preserve"> </v>
      </c>
      <c r="I17" s="66"/>
      <c r="J17" s="66"/>
      <c r="L17" s="59"/>
    </row>
    <row r="18" spans="1:12" x14ac:dyDescent="0.35">
      <c r="A18" s="301" t="str">
        <f>'CWD 2026 GASIG (com desc.)'!H249</f>
        <v>TEX4</v>
      </c>
      <c r="B18" s="301" t="str">
        <f>'CWD 2026 GASIG (com desc.)'!I249</f>
        <v>NTS MG 4</v>
      </c>
      <c r="C18" s="301">
        <f>'CWD 2026 GASIG (sem desc.)'!H44</f>
        <v>4152665.0771750002</v>
      </c>
      <c r="D18" s="301">
        <f>SUM(C15:C18)</f>
        <v>66551563.597479992</v>
      </c>
      <c r="E18" s="302">
        <f ca="1">'CWD 2026 GASIG (com desc.)'!L249</f>
        <v>3.3004696705058775E-2</v>
      </c>
      <c r="F18" s="301">
        <f ca="1">IFERROR(C18*E18," ")</f>
        <v>137057.45138985038</v>
      </c>
      <c r="G18" s="313">
        <f ca="1">SUM(F15:F18)</f>
        <v>2054249.7744433687</v>
      </c>
      <c r="H18" s="311">
        <f t="shared" ca="1" si="13"/>
        <v>3.0867039982230469E-2</v>
      </c>
      <c r="I18" s="363"/>
      <c r="J18"/>
      <c r="L18" s="59"/>
    </row>
    <row r="19" spans="1:12" x14ac:dyDescent="0.35">
      <c r="A19" s="296" t="str">
        <f>'CWD 2026 GASIG (com desc.)'!H250</f>
        <v>TEX5</v>
      </c>
      <c r="B19" s="296" t="str">
        <f>'CWD 2026 GASIG (com desc.)'!I250</f>
        <v>NTS RJ 1</v>
      </c>
      <c r="C19" s="296">
        <f>'CWD 2026 GASIG (sem desc.)'!H45</f>
        <v>185494783.64403999</v>
      </c>
      <c r="D19" s="296"/>
      <c r="E19" s="299">
        <f ca="1">'CWD 2026 GASIG (com desc.)'!L250</f>
        <v>2.3931027172742016E-2</v>
      </c>
      <c r="F19" s="305">
        <f t="shared" ca="1" si="12"/>
        <v>4439080.7077874225</v>
      </c>
      <c r="G19" s="308"/>
      <c r="H19" s="314" t="str">
        <f t="shared" si="13"/>
        <v xml:space="preserve"> </v>
      </c>
      <c r="I19"/>
      <c r="J19"/>
      <c r="L19" s="59"/>
    </row>
    <row r="20" spans="1:12" x14ac:dyDescent="0.35">
      <c r="A20" s="296" t="str">
        <f>'CWD 2026 GASIG (com desc.)'!H251</f>
        <v>TEX6</v>
      </c>
      <c r="B20" s="296" t="str">
        <f>'CWD 2026 GASIG (com desc.)'!I251</f>
        <v>NTS RJ 2</v>
      </c>
      <c r="C20" s="296">
        <f>'CWD 2026 GASIG (sem desc.)'!H46</f>
        <v>114409326.70000499</v>
      </c>
      <c r="D20" s="296"/>
      <c r="E20" s="299">
        <f ca="1">'CWD 2026 GASIG (com desc.)'!L251</f>
        <v>2.3748426848762633E-2</v>
      </c>
      <c r="F20" s="305">
        <f t="shared" ca="1" si="12"/>
        <v>2717041.5259512542</v>
      </c>
      <c r="G20" s="309"/>
      <c r="H20" s="315" t="str">
        <f t="shared" si="13"/>
        <v xml:space="preserve"> </v>
      </c>
      <c r="I20"/>
      <c r="J20"/>
      <c r="L20" s="59"/>
    </row>
    <row r="21" spans="1:12" x14ac:dyDescent="0.35">
      <c r="A21" s="296" t="str">
        <f>'CWD 2026 GASIG (com desc.)'!H252</f>
        <v>TEX7</v>
      </c>
      <c r="B21" s="296" t="str">
        <f>'CWD 2026 GASIG (com desc.)'!I252</f>
        <v>NTS RJ 3</v>
      </c>
      <c r="C21" s="296">
        <f>'CWD 2026 GASIG (sem desc.)'!H47</f>
        <v>29586036.762954999</v>
      </c>
      <c r="D21" s="304"/>
      <c r="E21" s="299">
        <f ca="1">'CWD 2026 GASIG (com desc.)'!L252</f>
        <v>2.4342022717762698E-2</v>
      </c>
      <c r="F21" s="305">
        <f t="shared" ca="1" si="12"/>
        <v>720183.97901241295</v>
      </c>
      <c r="G21" s="312"/>
      <c r="H21" s="315" t="str">
        <f t="shared" si="13"/>
        <v xml:space="preserve"> </v>
      </c>
      <c r="I21"/>
      <c r="J21"/>
      <c r="L21" s="59"/>
    </row>
    <row r="22" spans="1:12" x14ac:dyDescent="0.35">
      <c r="A22" s="296" t="str">
        <f>'CWD 2026 GASIG (com desc.)'!H253</f>
        <v>TEX8</v>
      </c>
      <c r="B22" s="296" t="str">
        <f>'CWD 2026 GASIG (com desc.)'!I253</f>
        <v>NTS RJ 4</v>
      </c>
      <c r="C22" s="296">
        <f>'CWD 2026 GASIG (sem desc.)'!H48</f>
        <v>3853128.5798049998</v>
      </c>
      <c r="D22" s="296"/>
      <c r="E22" s="299">
        <f ca="1">'CWD 2026 GASIG (com desc.)'!L253</f>
        <v>2.5115341733432418E-2</v>
      </c>
      <c r="F22" s="305">
        <f t="shared" ca="1" si="12"/>
        <v>96772.6410246577</v>
      </c>
      <c r="G22" s="310"/>
      <c r="H22" s="316" t="str">
        <f t="shared" si="13"/>
        <v xml:space="preserve"> </v>
      </c>
      <c r="I22"/>
      <c r="J22"/>
      <c r="L22" s="59"/>
    </row>
    <row r="23" spans="1:12" x14ac:dyDescent="0.35">
      <c r="A23" s="301" t="str">
        <f>'CWD 2026 GASIG (com desc.)'!H254</f>
        <v>TEX9</v>
      </c>
      <c r="B23" s="301" t="str">
        <f>'CWD 2026 GASIG (com desc.)'!I254</f>
        <v>NTS RJ 5</v>
      </c>
      <c r="C23" s="301">
        <f>'CWD 2026 GASIG (sem desc.)'!H49</f>
        <v>28809964.928859998</v>
      </c>
      <c r="D23" s="301">
        <f>SUM(C19:C23)</f>
        <v>362153240.61566502</v>
      </c>
      <c r="E23" s="302">
        <f ca="1">'CWD 2026 GASIG (com desc.)'!L254</f>
        <v>2.3769756171671503E-2</v>
      </c>
      <c r="F23" s="301">
        <f t="shared" ca="1" si="12"/>
        <v>684805.84167340945</v>
      </c>
      <c r="G23" s="313">
        <f ca="1">SUM(F19:F23)</f>
        <v>8657884.6954491567</v>
      </c>
      <c r="H23" s="311">
        <f t="shared" ca="1" si="13"/>
        <v>2.390668845246461E-2</v>
      </c>
      <c r="I23" s="363"/>
      <c r="J23"/>
    </row>
    <row r="24" spans="1:12" x14ac:dyDescent="0.35">
      <c r="A24" s="296" t="str">
        <f>'CWD 2026 GASIG (com desc.)'!H255</f>
        <v>TEX10</v>
      </c>
      <c r="B24" s="296" t="str">
        <f>'CWD 2026 GASIG (com desc.)'!I255</f>
        <v>NTS SP 1</v>
      </c>
      <c r="C24" s="296">
        <f>'CWD 2026 GASIG (sem desc.)'!H50</f>
        <v>14296060.101749998</v>
      </c>
      <c r="D24" s="296"/>
      <c r="E24" s="299">
        <f ca="1">'CWD 2026 GASIG (com desc.)'!L255</f>
        <v>2.739159091295848E-2</v>
      </c>
      <c r="F24" s="305">
        <f t="shared" ca="1" si="12"/>
        <v>391591.82997420355</v>
      </c>
      <c r="G24" s="308"/>
      <c r="H24" s="314" t="str">
        <f t="shared" si="13"/>
        <v xml:space="preserve"> </v>
      </c>
      <c r="I24"/>
      <c r="J24"/>
    </row>
    <row r="25" spans="1:12" x14ac:dyDescent="0.35">
      <c r="A25" s="296" t="str">
        <f>'CWD 2026 GASIG (com desc.)'!H256</f>
        <v>TEX11</v>
      </c>
      <c r="B25" s="296" t="str">
        <f>'CWD 2026 GASIG (com desc.)'!I256</f>
        <v>NTS SP 2</v>
      </c>
      <c r="C25" s="296">
        <f>'CWD 2026 GASIG (sem desc.)'!H51</f>
        <v>40886731.891005002</v>
      </c>
      <c r="D25" s="296"/>
      <c r="E25" s="299">
        <f ca="1">'CWD 2026 GASIG (com desc.)'!L256</f>
        <v>2.7177897422154765E-2</v>
      </c>
      <c r="F25" s="305">
        <f t="shared" ca="1" si="12"/>
        <v>1111215.4052608779</v>
      </c>
      <c r="G25" s="309"/>
      <c r="H25" s="315" t="str">
        <f t="shared" si="13"/>
        <v xml:space="preserve"> </v>
      </c>
      <c r="I25"/>
      <c r="J25"/>
    </row>
    <row r="26" spans="1:12" x14ac:dyDescent="0.35">
      <c r="A26" s="296" t="str">
        <f>'CWD 2026 GASIG (com desc.)'!H257</f>
        <v>TEX12</v>
      </c>
      <c r="B26" s="296" t="str">
        <f>'CWD 2026 GASIG (com desc.)'!I257</f>
        <v>NTS SP 3</v>
      </c>
      <c r="C26" s="296">
        <f>'CWD 2026 GASIG (sem desc.)'!H52</f>
        <v>76027809.150639996</v>
      </c>
      <c r="D26" s="304"/>
      <c r="E26" s="299">
        <f ca="1">'CWD 2026 GASIG (com desc.)'!L257</f>
        <v>2.9483561807965981E-2</v>
      </c>
      <c r="F26" s="305">
        <f t="shared" ca="1" si="12"/>
        <v>2241570.6102171359</v>
      </c>
      <c r="G26" s="318"/>
      <c r="H26" s="316" t="str">
        <f t="shared" si="13"/>
        <v xml:space="preserve"> </v>
      </c>
      <c r="I26"/>
      <c r="J26"/>
    </row>
    <row r="27" spans="1:12" x14ac:dyDescent="0.35">
      <c r="A27" s="301" t="str">
        <f>'CWD 2026 GASIG (com desc.)'!H258</f>
        <v>TEX13</v>
      </c>
      <c r="B27" s="301" t="str">
        <f>'CWD 2026 GASIG (com desc.)'!I258</f>
        <v>NTS SP 4</v>
      </c>
      <c r="C27" s="301">
        <f>'CWD 2026 GASIG (sem desc.)'!H53</f>
        <v>33806778.316804998</v>
      </c>
      <c r="D27" s="301">
        <f>SUM(C24:C27)</f>
        <v>165017379.46019998</v>
      </c>
      <c r="E27" s="302">
        <f ca="1">'CWD 2026 GASIG (com desc.)'!L258</f>
        <v>3.0207655258644626E-2</v>
      </c>
      <c r="F27" s="301">
        <f t="shared" ca="1" si="12"/>
        <v>1021223.5047994676</v>
      </c>
      <c r="G27" s="306">
        <f ca="1">SUM(F24:F27)</f>
        <v>4765601.3502516849</v>
      </c>
      <c r="H27" s="307">
        <f t="shared" ca="1" si="13"/>
        <v>2.8879390557775067E-2</v>
      </c>
      <c r="I27" s="363"/>
      <c r="J27"/>
    </row>
    <row r="28" spans="1:12" x14ac:dyDescent="0.35">
      <c r="A28" s="296" t="str">
        <f>'CWD 2026 GASIG (com desc.)'!H259</f>
        <v>TEX14</v>
      </c>
      <c r="B28" s="296" t="str">
        <f>'CWD 2026 GASIG (com desc.)'!I259</f>
        <v>PE-GUARAREMA (INTERCONEXÃO)</v>
      </c>
      <c r="C28" s="296">
        <f>'CWD 2026 GASIG (sem desc.)'!H54</f>
        <v>0</v>
      </c>
      <c r="D28" s="296">
        <f>C28</f>
        <v>0</v>
      </c>
      <c r="E28" s="299">
        <f>'CWD 2026 GASIG (com desc.)'!L259</f>
        <v>0</v>
      </c>
      <c r="F28" s="296">
        <f t="shared" si="12"/>
        <v>0</v>
      </c>
      <c r="G28" s="296">
        <f>F28</f>
        <v>0</v>
      </c>
      <c r="H28" s="300" t="str">
        <f t="shared" si="13"/>
        <v xml:space="preserve"> </v>
      </c>
      <c r="I28"/>
      <c r="J28"/>
    </row>
    <row r="29" spans="1:12" x14ac:dyDescent="0.35">
      <c r="A29" s="301" t="str">
        <f>'CWD 2026 GASIG (com desc.)'!H260</f>
        <v>TEX15</v>
      </c>
      <c r="B29" s="301" t="str">
        <f>'CWD 2026 GASIG (com desc.)'!I260</f>
        <v>PE-REPLAN (INTERCONEXÃO)</v>
      </c>
      <c r="C29" s="301">
        <f>'CWD 2026 GASIG (sem desc.)'!H55</f>
        <v>92910775.366039991</v>
      </c>
      <c r="D29" s="301">
        <f t="shared" ref="D29:D30" si="14">C29</f>
        <v>92910775.366039991</v>
      </c>
      <c r="E29" s="302">
        <f ca="1">'CWD 2026 GASIG (com desc.)'!L260</f>
        <v>2.5628036939809354E-3</v>
      </c>
      <c r="F29" s="301">
        <f t="shared" ca="1" si="12"/>
        <v>238112.07831872019</v>
      </c>
      <c r="G29" s="301">
        <f t="shared" ref="G29:G30" ca="1" si="15">F29</f>
        <v>238112.07831872019</v>
      </c>
      <c r="H29" s="303">
        <f t="shared" ca="1" si="13"/>
        <v>2.5628036939809354E-3</v>
      </c>
      <c r="I29" s="363"/>
      <c r="J29"/>
    </row>
    <row r="30" spans="1:12" x14ac:dyDescent="0.35">
      <c r="A30" s="296" t="str">
        <f>'CWD 2026 GASIG (com desc.)'!H261</f>
        <v>TEX16</v>
      </c>
      <c r="B30" s="296" t="str">
        <f>'CWD 2026 GASIG (com desc.)'!I261</f>
        <v>PE-TECAB (INTERCONEXÃO)</v>
      </c>
      <c r="C30" s="296">
        <f>'CWD 2026 GASIG (sem desc.)'!H56</f>
        <v>2723059.0670000003</v>
      </c>
      <c r="D30" s="296">
        <f t="shared" si="14"/>
        <v>2723059.0670000003</v>
      </c>
      <c r="E30" s="299">
        <f ca="1">'CWD 2026 GASIG (com desc.)'!L261</f>
        <v>2.2381879879199793E-3</v>
      </c>
      <c r="F30" s="296">
        <f t="shared" ca="1" si="12"/>
        <v>6094.7180941559864</v>
      </c>
      <c r="G30" s="296">
        <f t="shared" ca="1" si="15"/>
        <v>6094.7180941559864</v>
      </c>
      <c r="H30" s="300">
        <f t="shared" ca="1" si="13"/>
        <v>2.2381879879199793E-3</v>
      </c>
      <c r="I30" s="363"/>
      <c r="J30" s="66"/>
    </row>
    <row r="31" spans="1:12" x14ac:dyDescent="0.35">
      <c r="C31" s="65">
        <f>SUM(C15:C30)</f>
        <v>689356018.10638499</v>
      </c>
      <c r="D31" s="65">
        <f>SUM(D15:D30)</f>
        <v>689356018.10638499</v>
      </c>
      <c r="F31" s="65">
        <f ca="1">SUM(F15:F30)</f>
        <v>15721942.616557088</v>
      </c>
      <c r="G31" s="65">
        <f ca="1">SUM(G15:G30)</f>
        <v>15721942.616557086</v>
      </c>
    </row>
    <row r="32" spans="1:12" x14ac:dyDescent="0.35">
      <c r="C32" s="65"/>
      <c r="D32" s="65"/>
      <c r="F32" s="65"/>
      <c r="G32" s="65"/>
    </row>
    <row r="33" spans="2:3" x14ac:dyDescent="0.35">
      <c r="C33" s="63" t="s">
        <v>257</v>
      </c>
    </row>
    <row r="34" spans="2:3" x14ac:dyDescent="0.35">
      <c r="B34" s="68" t="s">
        <v>58</v>
      </c>
      <c r="C34" s="66">
        <f ca="1">H18</f>
        <v>3.0867039982230469E-2</v>
      </c>
    </row>
    <row r="35" spans="2:3" x14ac:dyDescent="0.35">
      <c r="B35" s="68" t="s">
        <v>69</v>
      </c>
      <c r="C35" s="66">
        <f ca="1">H23</f>
        <v>2.390668845246461E-2</v>
      </c>
    </row>
    <row r="36" spans="2:3" x14ac:dyDescent="0.35">
      <c r="B36" s="68" t="s">
        <v>258</v>
      </c>
      <c r="C36" s="66">
        <f ca="1">H27</f>
        <v>2.8879390557775067E-2</v>
      </c>
    </row>
    <row r="37" spans="2:3" x14ac:dyDescent="0.35">
      <c r="B37" s="132" t="s">
        <v>269</v>
      </c>
      <c r="C37" s="66" t="str">
        <f>H28</f>
        <v xml:space="preserve"> </v>
      </c>
    </row>
    <row r="38" spans="2:3" x14ac:dyDescent="0.35">
      <c r="B38" s="132" t="s">
        <v>268</v>
      </c>
      <c r="C38" s="66">
        <f t="shared" ref="C38:C39" ca="1" si="16">H29</f>
        <v>2.5628036939809354E-3</v>
      </c>
    </row>
    <row r="39" spans="2:3" x14ac:dyDescent="0.35">
      <c r="B39" s="132" t="s">
        <v>267</v>
      </c>
      <c r="C39" s="66">
        <f t="shared" ca="1" si="16"/>
        <v>2.2381879879199793E-3</v>
      </c>
    </row>
  </sheetData>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98EB-998B-489B-B534-8D43BB94EF9B}">
  <sheetPr codeName="Planilha17">
    <tabColor theme="1" tint="0.499984740745262"/>
  </sheetPr>
  <dimension ref="A2:AA302"/>
  <sheetViews>
    <sheetView showGridLines="0" zoomScale="70" zoomScaleNormal="70" workbookViewId="0">
      <selection activeCell="D4" sqref="D4"/>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6.5" x14ac:dyDescent="0.35">
      <c r="A5" s="206">
        <f>HLOOKUP($G$3,'Premissas (Legados)'!$B$5:$F$13,9,FALSE)</f>
        <v>0.7</v>
      </c>
      <c r="B5" s="207" t="s">
        <v>112</v>
      </c>
      <c r="C5" s="208" t="s">
        <v>271</v>
      </c>
      <c r="D5" s="209">
        <f>$A$5*$D$4</f>
        <v>5051.2433924371298</v>
      </c>
      <c r="E5" s="210" t="s">
        <v>113</v>
      </c>
      <c r="F5" s="211"/>
      <c r="G5" s="211"/>
      <c r="H5" s="235"/>
    </row>
    <row r="6" spans="1:9" ht="29" x14ac:dyDescent="0.35">
      <c r="A6" s="92"/>
      <c r="B6" s="212" t="s">
        <v>114</v>
      </c>
      <c r="C6" s="213" t="s">
        <v>272</v>
      </c>
      <c r="D6" s="214">
        <f>$D$34*'Premissas (Legados)'!$F$20</f>
        <v>25260555</v>
      </c>
      <c r="E6" s="212" t="s">
        <v>115</v>
      </c>
      <c r="F6" s="230">
        <f>H34</f>
        <v>942273744.24934494</v>
      </c>
      <c r="G6" s="82" t="s">
        <v>116</v>
      </c>
    </row>
    <row r="7" spans="1:9" ht="17" thickBot="1" x14ac:dyDescent="0.4">
      <c r="A7" s="215"/>
      <c r="B7" s="216" t="s">
        <v>117</v>
      </c>
      <c r="C7" s="217" t="s">
        <v>273</v>
      </c>
      <c r="D7" s="218">
        <f>$D$5/$D$6*1000</f>
        <v>0.19996565366189023</v>
      </c>
      <c r="E7" s="219" t="s">
        <v>118</v>
      </c>
      <c r="F7" s="232">
        <f>$D$5/$F$6*1000000</f>
        <v>5.3606963191584667</v>
      </c>
      <c r="G7" s="228" t="s">
        <v>15</v>
      </c>
      <c r="I7" s="235"/>
    </row>
    <row r="8" spans="1:9" ht="16.5" x14ac:dyDescent="0.35">
      <c r="A8" s="206">
        <f>1-A5</f>
        <v>0.30000000000000004</v>
      </c>
      <c r="B8" s="207" t="s">
        <v>119</v>
      </c>
      <c r="C8" s="208" t="s">
        <v>274</v>
      </c>
      <c r="D8" s="209">
        <f>$A$8*$D$4</f>
        <v>2164.8185967587706</v>
      </c>
      <c r="E8" s="210" t="s">
        <v>113</v>
      </c>
      <c r="F8" s="231"/>
      <c r="G8" s="229"/>
    </row>
    <row r="9" spans="1:9" ht="29" x14ac:dyDescent="0.35">
      <c r="B9" s="212" t="s">
        <v>120</v>
      </c>
      <c r="C9" s="213" t="s">
        <v>275</v>
      </c>
      <c r="D9" s="214">
        <f>$D$57*'Premissas (Legados)'!$F$20</f>
        <v>21312715</v>
      </c>
      <c r="E9" s="212" t="s">
        <v>115</v>
      </c>
      <c r="F9" s="230">
        <f>H57</f>
        <v>795010709.905985</v>
      </c>
      <c r="G9" s="82" t="s">
        <v>116</v>
      </c>
    </row>
    <row r="10" spans="1:9" ht="17" thickBot="1" x14ac:dyDescent="0.4">
      <c r="A10" s="225"/>
      <c r="B10" s="216" t="s">
        <v>121</v>
      </c>
      <c r="C10" s="217" t="s">
        <v>276</v>
      </c>
      <c r="D10" s="218">
        <f>$D$8/$D$9*1000</f>
        <v>0.10157404144703153</v>
      </c>
      <c r="E10" s="219" t="s">
        <v>118</v>
      </c>
      <c r="F10" s="232">
        <f>$D$8/$F$9*1000000</f>
        <v>2.72300557688685</v>
      </c>
      <c r="G10" s="228" t="s">
        <v>15</v>
      </c>
    </row>
    <row r="11" spans="1:9" ht="15" thickBot="1" x14ac:dyDescent="0.4">
      <c r="A11" s="220"/>
      <c r="B11" s="220" t="s">
        <v>122</v>
      </c>
      <c r="C11" s="226">
        <f>HLOOKUP($G$3,'Premissas (Legados)'!$B$5:$F$8,4,FALSE)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(Legados)'!C3</f>
        <v>20000</v>
      </c>
      <c r="D24" s="290">
        <f>'Oferta (Legados)'!G3</f>
        <v>14178</v>
      </c>
      <c r="F24" s="104"/>
      <c r="G24" s="43">
        <f>IFERROR($C24*$H$19*'Premissas (Legados)'!$F$20*1000," ")</f>
        <v>272305906.69999999</v>
      </c>
      <c r="H24" s="43">
        <f>IFERROR($D24*$H$19*'Premissas (Legados)'!$F$20*1000," ")</f>
        <v>193037657.25962999</v>
      </c>
      <c r="I24" s="93"/>
    </row>
    <row r="25" spans="1:9" x14ac:dyDescent="0.35">
      <c r="A25" s="2" t="s">
        <v>133</v>
      </c>
      <c r="B25" s="44" t="s">
        <v>26</v>
      </c>
      <c r="C25" s="290">
        <f>'Oferta (Legados)'!C4</f>
        <v>20000</v>
      </c>
      <c r="D25" s="290">
        <f>'Oferta (Legados)'!G4</f>
        <v>20000</v>
      </c>
      <c r="F25" s="104"/>
      <c r="G25" s="43">
        <f>IFERROR($C25*$H$19*'Premissas (Legados)'!$F$20*1000," ")</f>
        <v>272305906.69999999</v>
      </c>
      <c r="H25" s="43">
        <f>IFERROR($D25*$H$19*'Premissas (Legados)'!$F$20*1000," ")</f>
        <v>272305906.69999999</v>
      </c>
      <c r="I25" s="93"/>
    </row>
    <row r="26" spans="1:9" x14ac:dyDescent="0.35">
      <c r="A26" s="2" t="s">
        <v>134</v>
      </c>
      <c r="B26" s="44" t="s">
        <v>488</v>
      </c>
      <c r="C26" s="290">
        <f>'Oferta (Legados)'!C5</f>
        <v>18200</v>
      </c>
      <c r="D26" s="290">
        <f>'Oferta (Legados)'!G5</f>
        <v>13439</v>
      </c>
      <c r="E26" s="46"/>
      <c r="F26" s="104"/>
      <c r="G26" s="43">
        <f>IFERROR($C26*$H$19*'Premissas (Legados)'!$F$20*1000," ")</f>
        <v>247798375.097</v>
      </c>
      <c r="H26" s="43">
        <f>IFERROR($D26*$H$19*'Premissas (Legados)'!$F$20*1000," ")</f>
        <v>182975954.00706497</v>
      </c>
      <c r="I26" s="93"/>
    </row>
    <row r="27" spans="1:9" x14ac:dyDescent="0.35">
      <c r="A27" s="2" t="s">
        <v>135</v>
      </c>
      <c r="B27" s="44" t="s">
        <v>463</v>
      </c>
      <c r="C27" s="290">
        <f>'Oferta (Legados)'!C6</f>
        <v>1250</v>
      </c>
      <c r="D27" s="290">
        <f>'Oferta (Legados)'!G6</f>
        <v>335</v>
      </c>
      <c r="E27" s="46"/>
      <c r="F27" s="104"/>
      <c r="G27" s="43">
        <f>IFERROR($C27*$H$19*'Premissas (Legados)'!$F$20*1000," ")</f>
        <v>17019119.168749999</v>
      </c>
      <c r="H27" s="43">
        <f>IFERROR($D27*$H$19*'Premissas (Legados)'!$F$20*1000," ")</f>
        <v>4561123.937225</v>
      </c>
      <c r="I27" s="93"/>
    </row>
    <row r="28" spans="1:9" x14ac:dyDescent="0.35">
      <c r="A28" s="2" t="s">
        <v>136</v>
      </c>
      <c r="B28" s="44" t="s">
        <v>27</v>
      </c>
      <c r="C28" s="290">
        <f>'Oferta (Legados)'!C7</f>
        <v>5000</v>
      </c>
      <c r="D28" s="290">
        <f>'Oferta (Legados)'!G7</f>
        <v>0</v>
      </c>
      <c r="E28" s="46"/>
      <c r="F28" s="104"/>
      <c r="G28" s="43">
        <f>IFERROR($C28*$H$19*'Premissas (Legados)'!$F$20*1000," ")</f>
        <v>68076476.674999997</v>
      </c>
      <c r="H28" s="43">
        <f>IFERROR($D28*$H$19*'Premissas (Legados)'!$F$20*1000," ")</f>
        <v>0</v>
      </c>
      <c r="I28" s="93"/>
    </row>
    <row r="29" spans="1:9" x14ac:dyDescent="0.35">
      <c r="A29" s="2" t="s">
        <v>239</v>
      </c>
      <c r="B29" s="44" t="s">
        <v>29</v>
      </c>
      <c r="C29" s="290">
        <f>'Oferta (Legados)'!C8</f>
        <v>2200</v>
      </c>
      <c r="D29" s="290">
        <f>'Oferta (Legados)'!G8</f>
        <v>0</v>
      </c>
      <c r="E29" s="46"/>
      <c r="F29" s="104"/>
      <c r="G29" s="43">
        <f>IFERROR($C29*$H$19*'Premissas (Legados)'!$F$20*1000," ")</f>
        <v>29953649.736999996</v>
      </c>
      <c r="H29" s="43">
        <f>IFERROR($D29*$H$19*'Premissas (Legados)'!$F$20*1000," ")</f>
        <v>0</v>
      </c>
      <c r="I29" s="93"/>
    </row>
    <row r="30" spans="1:9" x14ac:dyDescent="0.35">
      <c r="A30" s="2" t="s">
        <v>137</v>
      </c>
      <c r="B30" s="44" t="s">
        <v>24</v>
      </c>
      <c r="C30" s="290">
        <f>'Oferta (Legados)'!C9</f>
        <v>25160</v>
      </c>
      <c r="D30" s="290">
        <f>'Oferta (Legados)'!G9</f>
        <v>14855</v>
      </c>
      <c r="E30" s="46"/>
      <c r="F30" s="104"/>
      <c r="G30" s="43">
        <f>IFERROR($C30*$H$19*'Premissas (Legados)'!$F$20*1000," ")</f>
        <v>342560830.6286</v>
      </c>
      <c r="H30" s="43">
        <f>IFERROR($D30*$H$19*'Premissas (Legados)'!$F$20*1000," ")</f>
        <v>202255212.20142499</v>
      </c>
      <c r="I30" s="93"/>
    </row>
    <row r="31" spans="1:9" x14ac:dyDescent="0.35">
      <c r="A31" s="2" t="s">
        <v>240</v>
      </c>
      <c r="B31" s="44" t="s">
        <v>264</v>
      </c>
      <c r="C31" s="290">
        <f>'Oferta (Legados)'!C10</f>
        <v>0</v>
      </c>
      <c r="D31" s="290">
        <f>'Oferta (Legados)'!G10</f>
        <v>6000</v>
      </c>
      <c r="E31" s="46"/>
      <c r="F31" s="104"/>
      <c r="G31" s="43">
        <f>IFERROR($C31*$H$19*'Premissas (Legados)'!$F$20*1000," ")</f>
        <v>0</v>
      </c>
      <c r="H31" s="43">
        <f>IFERROR($D31*$H$19*'Premissas (Legados)'!$F$20*1000," ")</f>
        <v>81691772.010000005</v>
      </c>
      <c r="I31" s="93"/>
    </row>
    <row r="32" spans="1:9" x14ac:dyDescent="0.35">
      <c r="A32" s="2" t="s">
        <v>138</v>
      </c>
      <c r="B32" s="44" t="s">
        <v>266</v>
      </c>
      <c r="C32" s="290">
        <f>'Oferta (Legados)'!C11</f>
        <v>0</v>
      </c>
      <c r="D32" s="290">
        <f>'Oferta (Legados)'!G11</f>
        <v>200</v>
      </c>
      <c r="E32" s="46"/>
      <c r="F32" s="104"/>
      <c r="G32" s="43">
        <f>IFERROR($C32*$H$19*'Premissas (Legados)'!$F$20*1000," ")</f>
        <v>0</v>
      </c>
      <c r="H32" s="43">
        <f>IFERROR($D32*$H$19*'Premissas (Legados)'!$F$20*1000," ")</f>
        <v>2723059.0670000003</v>
      </c>
      <c r="I32" s="93"/>
    </row>
    <row r="33" spans="1:10" x14ac:dyDescent="0.35">
      <c r="A33" s="2" t="s">
        <v>139</v>
      </c>
      <c r="B33" s="44" t="s">
        <v>265</v>
      </c>
      <c r="C33" s="290">
        <f>'Oferta (Legados)'!C12</f>
        <v>0</v>
      </c>
      <c r="D33" s="290">
        <f>'Oferta (Legados)'!G12</f>
        <v>200</v>
      </c>
      <c r="E33" s="46"/>
      <c r="F33" s="104"/>
      <c r="G33" s="43">
        <f>IFERROR($C33*$H$19*'Premissas (Legados)'!$F$20*1000," ")</f>
        <v>0</v>
      </c>
      <c r="H33" s="43">
        <f>IFERROR($D33*$H$19*'Premissas (Legados)'!$F$20*1000," ")</f>
        <v>2723059.0670000003</v>
      </c>
      <c r="I33" s="93"/>
    </row>
    <row r="34" spans="1:10" x14ac:dyDescent="0.35">
      <c r="C34" s="105">
        <f>SUM(C24:C33)</f>
        <v>91810</v>
      </c>
      <c r="D34" s="105">
        <f>SUM(D24:D33)</f>
        <v>69207</v>
      </c>
      <c r="E34" s="105"/>
      <c r="F34" s="104"/>
      <c r="G34" s="105">
        <f>SUM(G24:G33)</f>
        <v>1250020264.7063498</v>
      </c>
      <c r="H34" s="105">
        <f>SUM(H24:H33)</f>
        <v>942273744.24934494</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(Legados)'!C3</f>
        <v>864.5</v>
      </c>
      <c r="D41" s="290">
        <f>'Demanda (Legados)'!G3</f>
        <v>607</v>
      </c>
      <c r="G41" s="43">
        <f>IFERROR($C41*$H$19*'Premissas (Legados)'!$F$20*1000," ")</f>
        <v>11770422.817107499</v>
      </c>
      <c r="H41" s="43">
        <f>IFERROR($D41*$H$19*'Premissas (Legados)'!$F$20*1000," ")</f>
        <v>8264484.2683449984</v>
      </c>
      <c r="I41" s="93"/>
    </row>
    <row r="42" spans="1:10" x14ac:dyDescent="0.35">
      <c r="A42" s="2" t="s">
        <v>42</v>
      </c>
      <c r="B42" s="44" t="s">
        <v>217</v>
      </c>
      <c r="C42" s="290">
        <f>'Demanda (Legados)'!C4</f>
        <v>1825.9</v>
      </c>
      <c r="D42" s="290">
        <f>'Demanda (Legados)'!G4</f>
        <v>1678</v>
      </c>
      <c r="G42" s="43">
        <f>IFERROR($C42*$H$19*'Premissas (Legados)'!$F$20*1000," ")</f>
        <v>24860167.752176501</v>
      </c>
      <c r="H42" s="43">
        <f>IFERROR($D42*$H$19*'Premissas (Legados)'!$F$20*1000," ")</f>
        <v>22846465.572130002</v>
      </c>
      <c r="I42" s="93"/>
    </row>
    <row r="43" spans="1:10" x14ac:dyDescent="0.35">
      <c r="A43" s="2" t="s">
        <v>43</v>
      </c>
      <c r="B43" s="44" t="s">
        <v>218</v>
      </c>
      <c r="C43" s="290">
        <f>'Demanda (Legados)'!C5</f>
        <v>3040.95</v>
      </c>
      <c r="D43" s="290">
        <f>'Demanda (Legados)'!G5</f>
        <v>2737</v>
      </c>
      <c r="E43" s="46"/>
      <c r="G43" s="43">
        <f>IFERROR($C43*$H$19*'Premissas (Legados)'!$F$20*1000," ")</f>
        <v>41403432.348968253</v>
      </c>
      <c r="H43" s="43">
        <f>IFERROR($D43*$H$19*'Premissas (Legados)'!$F$20*1000," ")</f>
        <v>37265063.331895001</v>
      </c>
      <c r="I43" s="93"/>
    </row>
    <row r="44" spans="1:10" x14ac:dyDescent="0.35">
      <c r="A44" s="2" t="s">
        <v>44</v>
      </c>
      <c r="B44" s="44" t="s">
        <v>219</v>
      </c>
      <c r="C44" s="290">
        <f>'Demanda (Legados)'!C6</f>
        <v>1187.5</v>
      </c>
      <c r="D44" s="290">
        <f>'Demanda (Legados)'!G6</f>
        <v>335</v>
      </c>
      <c r="E44" s="46"/>
      <c r="G44" s="43">
        <f>IFERROR($C44*$H$19*'Premissas (Legados)'!$F$20*1000," ")</f>
        <v>16168163.210312499</v>
      </c>
      <c r="H44" s="43">
        <f>IFERROR($D44*$H$19*'Premissas (Legados)'!$F$20*1000," ")</f>
        <v>4561123.937225</v>
      </c>
      <c r="I44" s="93"/>
    </row>
    <row r="45" spans="1:10" x14ac:dyDescent="0.35">
      <c r="A45" s="2" t="s">
        <v>45</v>
      </c>
      <c r="B45" s="44" t="s">
        <v>220</v>
      </c>
      <c r="C45" s="290">
        <f>'Demanda (Legados)'!C7</f>
        <v>21185</v>
      </c>
      <c r="D45" s="290">
        <f>'Demanda (Legados)'!G7</f>
        <v>17793</v>
      </c>
      <c r="E45" s="46"/>
      <c r="G45" s="43">
        <f>IFERROR($C45*$H$19*'Premissas (Legados)'!$F$20*1000," ")</f>
        <v>288440031.67197496</v>
      </c>
      <c r="H45" s="43">
        <f>IFERROR($D45*$H$19*'Premissas (Legados)'!$F$20*1000," ")</f>
        <v>242256949.89565501</v>
      </c>
      <c r="I45" s="93"/>
    </row>
    <row r="46" spans="1:10" x14ac:dyDescent="0.35">
      <c r="A46" s="2" t="s">
        <v>46</v>
      </c>
      <c r="B46" s="44" t="s">
        <v>221</v>
      </c>
      <c r="C46" s="290">
        <f>'Demanda (Legados)'!C8</f>
        <v>11271.75</v>
      </c>
      <c r="D46" s="290">
        <f>'Demanda (Legados)'!G8</f>
        <v>8406</v>
      </c>
      <c r="E46" s="46"/>
      <c r="G46" s="43">
        <f>IFERROR($C46*$H$19*'Premissas (Legados)'!$F$20*1000," ")</f>
        <v>153468205.19228625</v>
      </c>
      <c r="H46" s="43">
        <f>IFERROR($D46*$H$19*'Premissas (Legados)'!$F$20*1000," ")</f>
        <v>114450172.58600999</v>
      </c>
      <c r="I46" s="93"/>
    </row>
    <row r="47" spans="1:10" x14ac:dyDescent="0.35">
      <c r="A47" s="2" t="s">
        <v>47</v>
      </c>
      <c r="B47" s="44" t="s">
        <v>222</v>
      </c>
      <c r="C47" s="290">
        <f>'Demanda (Legados)'!C9</f>
        <v>3249</v>
      </c>
      <c r="D47" s="290">
        <f>'Demanda (Legados)'!G9</f>
        <v>1714</v>
      </c>
      <c r="E47" s="46"/>
      <c r="G47" s="43">
        <f>IFERROR($C47*$H$19*'Premissas (Legados)'!$F$20*1000," ")</f>
        <v>44236094.543414995</v>
      </c>
      <c r="H47" s="43">
        <f>IFERROR($D47*$H$19*'Premissas (Legados)'!$F$20*1000," ")</f>
        <v>23336616.204189997</v>
      </c>
      <c r="I47" s="93"/>
    </row>
    <row r="48" spans="1:10" x14ac:dyDescent="0.35">
      <c r="A48" s="2" t="s">
        <v>48</v>
      </c>
      <c r="B48" s="44" t="s">
        <v>223</v>
      </c>
      <c r="C48" s="290">
        <f>'Demanda (Legados)'!C10</f>
        <v>498.75</v>
      </c>
      <c r="D48" s="290">
        <f>'Demanda (Legados)'!G10</f>
        <v>323</v>
      </c>
      <c r="E48" s="46"/>
      <c r="G48" s="43">
        <f>IFERROR($C48*$H$19*'Premissas (Legados)'!$F$20*1000," ")</f>
        <v>6790628.5483312495</v>
      </c>
      <c r="H48" s="43">
        <f>IFERROR($D48*$H$19*'Premissas (Legados)'!$F$20*1000," ")</f>
        <v>4397740.3932050001</v>
      </c>
      <c r="I48" s="93"/>
    </row>
    <row r="49" spans="1:9" x14ac:dyDescent="0.35">
      <c r="A49" s="2" t="s">
        <v>49</v>
      </c>
      <c r="B49" s="44" t="s">
        <v>224</v>
      </c>
      <c r="C49" s="290">
        <f>'Demanda (Legados)'!C11</f>
        <v>3321.2</v>
      </c>
      <c r="D49" s="290">
        <f>'Demanda (Legados)'!G11</f>
        <v>2128</v>
      </c>
      <c r="E49" s="46"/>
      <c r="G49" s="43">
        <f>IFERROR($C49*$H$19*'Premissas (Legados)'!$F$20*1000," ")</f>
        <v>45219118.866601996</v>
      </c>
      <c r="H49" s="43">
        <f>IFERROR($D49*$H$19*'Premissas (Legados)'!$F$20*1000," ")</f>
        <v>28973348.472879995</v>
      </c>
      <c r="I49" s="93"/>
    </row>
    <row r="50" spans="1:9" x14ac:dyDescent="0.35">
      <c r="A50" s="2" t="s">
        <v>50</v>
      </c>
      <c r="B50" s="44" t="s">
        <v>225</v>
      </c>
      <c r="C50" s="290">
        <f>'Demanda (Legados)'!C12</f>
        <v>14292.75</v>
      </c>
      <c r="D50" s="290">
        <f>'Demanda (Legados)'!G12</f>
        <v>1237</v>
      </c>
      <c r="E50" s="46"/>
      <c r="G50" s="43">
        <f>IFERROR($C50*$H$19*'Premissas (Legados)'!$F$20*1000," ")</f>
        <v>194600012.39932126</v>
      </c>
      <c r="H50" s="43">
        <f>IFERROR($D50*$H$19*'Premissas (Legados)'!$F$20*1000," ")</f>
        <v>16842120.329395</v>
      </c>
      <c r="I50" s="93"/>
    </row>
    <row r="51" spans="1:9" x14ac:dyDescent="0.35">
      <c r="A51" s="2" t="s">
        <v>51</v>
      </c>
      <c r="B51" s="44" t="s">
        <v>226</v>
      </c>
      <c r="C51" s="290">
        <f>'Demanda (Legados)'!C13</f>
        <v>3971</v>
      </c>
      <c r="D51" s="290">
        <f>'Demanda (Legados)'!G13</f>
        <v>2972</v>
      </c>
      <c r="E51" s="46"/>
      <c r="G51" s="43">
        <f>IFERROR($C51*$H$19*'Premissas (Legados)'!$F$20*1000," ")</f>
        <v>54066337.775284998</v>
      </c>
      <c r="H51" s="43">
        <f>IFERROR($D51*$H$19*'Premissas (Legados)'!$F$20*1000," ")</f>
        <v>40464657.735619992</v>
      </c>
      <c r="I51" s="93"/>
    </row>
    <row r="52" spans="1:9" x14ac:dyDescent="0.35">
      <c r="A52" s="2" t="s">
        <v>52</v>
      </c>
      <c r="B52" s="44" t="s">
        <v>227</v>
      </c>
      <c r="C52" s="290">
        <f>'Demanda (Legados)'!C14</f>
        <v>9941.75</v>
      </c>
      <c r="D52" s="290">
        <f>'Demanda (Legados)'!G14</f>
        <v>7969</v>
      </c>
      <c r="E52" s="46"/>
      <c r="G52" s="43">
        <f>IFERROR($C52*$H$19*'Premissas (Legados)'!$F$20*1000," ")</f>
        <v>135359862.39673626</v>
      </c>
      <c r="H52" s="43">
        <f>IFERROR($D52*$H$19*'Premissas (Legados)'!$F$20*1000," ")</f>
        <v>108500288.52461499</v>
      </c>
      <c r="I52" s="93"/>
    </row>
    <row r="53" spans="1:9" x14ac:dyDescent="0.35">
      <c r="A53" s="2" t="s">
        <v>53</v>
      </c>
      <c r="B53" s="44" t="s">
        <v>228</v>
      </c>
      <c r="C53" s="290">
        <f>'Demanda (Legados)'!C15</f>
        <v>3809.5</v>
      </c>
      <c r="D53" s="290">
        <f>'Demanda (Legados)'!G15</f>
        <v>3281</v>
      </c>
      <c r="E53" s="46"/>
      <c r="G53" s="43">
        <f>IFERROR($C53*$H$19*'Premissas (Legados)'!$F$20*1000," ")</f>
        <v>51867467.578682497</v>
      </c>
      <c r="H53" s="43">
        <f>IFERROR($D53*$H$19*'Premissas (Legados)'!$F$20*1000," ")</f>
        <v>44671783.994134992</v>
      </c>
      <c r="I53" s="93"/>
    </row>
    <row r="54" spans="1:9" x14ac:dyDescent="0.35">
      <c r="A54" s="2" t="s">
        <v>54</v>
      </c>
      <c r="B54" s="44" t="s">
        <v>269</v>
      </c>
      <c r="C54" s="290">
        <f>'Demanda (Legados)'!C16</f>
        <v>0</v>
      </c>
      <c r="D54" s="290">
        <f>'Demanda (Legados)'!G16</f>
        <v>0</v>
      </c>
      <c r="E54" s="46"/>
      <c r="G54" s="43">
        <f>IFERROR($C54*$H$19*'Premissas (Legados)'!$F$20*1000," ")</f>
        <v>0</v>
      </c>
      <c r="H54" s="43">
        <f>IFERROR($D54*$H$19*'Premissas (Legados)'!$F$20*1000," ")</f>
        <v>0</v>
      </c>
      <c r="I54" s="93"/>
    </row>
    <row r="55" spans="1:9" x14ac:dyDescent="0.35">
      <c r="A55" s="2" t="s">
        <v>55</v>
      </c>
      <c r="B55" s="44" t="s">
        <v>268</v>
      </c>
      <c r="C55" s="290">
        <f>'Demanda (Legados)'!C17</f>
        <v>0</v>
      </c>
      <c r="D55" s="290">
        <f>'Demanda (Legados)'!G17</f>
        <v>7011</v>
      </c>
      <c r="E55" s="46"/>
      <c r="G55" s="43">
        <f>IFERROR($C55*$H$19*'Premissas (Legados)'!$F$20*1000," ")</f>
        <v>0</v>
      </c>
      <c r="H55" s="43">
        <f>IFERROR($D55*$H$19*'Premissas (Legados)'!$F$20*1000," ")</f>
        <v>95456835.593685001</v>
      </c>
      <c r="I55" s="93"/>
    </row>
    <row r="56" spans="1:9" x14ac:dyDescent="0.35">
      <c r="A56" s="2" t="s">
        <v>56</v>
      </c>
      <c r="B56" s="44" t="s">
        <v>267</v>
      </c>
      <c r="C56" s="290">
        <f>'Demanda (Legados)'!C18</f>
        <v>0</v>
      </c>
      <c r="D56" s="290">
        <f>'Demanda (Legados)'!G18</f>
        <v>200</v>
      </c>
      <c r="E56" s="46"/>
      <c r="G56" s="43">
        <f>IFERROR($C56*$H$19*'Premissas (Legados)'!$F$20*1000," ")</f>
        <v>0</v>
      </c>
      <c r="H56" s="43">
        <f>IFERROR($D56*$H$19*'Premissas (Legados)'!$F$20*1000," ")</f>
        <v>2723059.0670000003</v>
      </c>
      <c r="I56" s="93"/>
    </row>
    <row r="57" spans="1:9" x14ac:dyDescent="0.35">
      <c r="C57" s="105">
        <f>SUM(C41:C56)</f>
        <v>78459.549999999988</v>
      </c>
      <c r="D57" s="105">
        <f>SUM(D41:D56)</f>
        <v>58391</v>
      </c>
      <c r="E57" s="105"/>
      <c r="G57" s="105">
        <f>SUM(G41:G56)</f>
        <v>1068249945.1011992</v>
      </c>
      <c r="H57" s="105">
        <f>SUM(H41:H56)</f>
        <v>795010709.905985</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0.20486366985998528</v>
      </c>
      <c r="C99" s="9"/>
      <c r="D99" t="s">
        <v>304</v>
      </c>
      <c r="E99" s="110">
        <f>H41/$H$57</f>
        <v>1.039543765306297E-2</v>
      </c>
      <c r="G99" s="109" t="s">
        <v>148</v>
      </c>
      <c r="H99" s="111">
        <f>H24/$H$34</f>
        <v>0.20486366985998528</v>
      </c>
      <c r="I99" s="111">
        <f>H25/$H$34</f>
        <v>0.28898810813935005</v>
      </c>
      <c r="J99" s="111">
        <f>$H26/$H$34</f>
        <v>0.19418555926423625</v>
      </c>
      <c r="K99" s="111">
        <f>$H27/$H$34</f>
        <v>4.8405508113341135E-3</v>
      </c>
      <c r="L99" s="111">
        <f>$H28/$H$34</f>
        <v>0</v>
      </c>
      <c r="M99" s="111">
        <f>$H29/$H$34</f>
        <v>0</v>
      </c>
      <c r="N99" s="111">
        <f>$H30/$H$34</f>
        <v>0.21464591732050226</v>
      </c>
      <c r="O99" s="111">
        <f>$H31/$H$34</f>
        <v>8.6696432441805027E-2</v>
      </c>
      <c r="P99" s="111">
        <f>$H32/$H$34</f>
        <v>2.8898810813935013E-3</v>
      </c>
      <c r="Q99" s="111">
        <f>$H33/$H$34</f>
        <v>2.8898810813935013E-3</v>
      </c>
      <c r="R99" s="111">
        <f>SUM(H99:Q99)</f>
        <v>1</v>
      </c>
      <c r="S99" s="110"/>
      <c r="T99" s="110"/>
      <c r="U99" s="110"/>
      <c r="V99" s="110"/>
      <c r="W99" s="110"/>
    </row>
    <row r="100" spans="1:27" ht="16.5" x14ac:dyDescent="0.45">
      <c r="A100" t="s">
        <v>295</v>
      </c>
      <c r="B100" s="112">
        <f t="shared" ref="B100:B108" si="1">H25/$H$34</f>
        <v>0.28898810813935005</v>
      </c>
      <c r="C100" s="4"/>
      <c r="D100" t="s">
        <v>305</v>
      </c>
      <c r="E100" s="110">
        <f t="shared" ref="E100:E114" si="2">H42/$H$57</f>
        <v>2.8737305406655138E-2</v>
      </c>
    </row>
    <row r="101" spans="1:27" ht="16.5" x14ac:dyDescent="0.45">
      <c r="A101" t="s">
        <v>296</v>
      </c>
      <c r="B101" s="112">
        <f t="shared" si="1"/>
        <v>0.19418555926423625</v>
      </c>
      <c r="C101" s="4"/>
      <c r="D101" t="s">
        <v>306</v>
      </c>
      <c r="E101" s="110">
        <f t="shared" si="2"/>
        <v>4.6873662036957753E-2</v>
      </c>
      <c r="G101" s="110"/>
    </row>
    <row r="102" spans="1:27" ht="16.5" x14ac:dyDescent="0.45">
      <c r="A102" t="s">
        <v>297</v>
      </c>
      <c r="B102" s="112">
        <f t="shared" si="1"/>
        <v>4.8405508113341135E-3</v>
      </c>
      <c r="C102" s="4"/>
      <c r="D102" t="s">
        <v>307</v>
      </c>
      <c r="E102" s="110">
        <f t="shared" si="2"/>
        <v>5.7371855251665497E-3</v>
      </c>
      <c r="G102" s="110"/>
      <c r="H102" s="112"/>
      <c r="I102" s="112"/>
    </row>
    <row r="103" spans="1:27" ht="16.5" x14ac:dyDescent="0.45">
      <c r="A103" t="s">
        <v>298</v>
      </c>
      <c r="B103" s="112">
        <f t="shared" si="1"/>
        <v>0</v>
      </c>
      <c r="C103" s="4"/>
      <c r="D103" t="s">
        <v>308</v>
      </c>
      <c r="E103" s="110">
        <f t="shared" si="2"/>
        <v>0.30472161805757736</v>
      </c>
      <c r="G103" s="110"/>
      <c r="H103" s="112"/>
      <c r="I103" s="112"/>
    </row>
    <row r="104" spans="1:27" ht="16.5" x14ac:dyDescent="0.45">
      <c r="A104" t="s">
        <v>299</v>
      </c>
      <c r="B104" s="112">
        <f t="shared" si="1"/>
        <v>0</v>
      </c>
      <c r="C104" s="4"/>
      <c r="D104" t="s">
        <v>309</v>
      </c>
      <c r="E104" s="110">
        <f t="shared" si="2"/>
        <v>0.14396054186432841</v>
      </c>
      <c r="G104" s="110"/>
      <c r="H104" s="112"/>
      <c r="I104" s="112"/>
    </row>
    <row r="105" spans="1:27" ht="16.5" x14ac:dyDescent="0.45">
      <c r="A105" t="s">
        <v>300</v>
      </c>
      <c r="B105" s="112">
        <f t="shared" si="1"/>
        <v>0.21464591732050226</v>
      </c>
      <c r="C105" s="4"/>
      <c r="D105" t="s">
        <v>310</v>
      </c>
      <c r="E105" s="110">
        <f t="shared" si="2"/>
        <v>2.9353838776523776E-2</v>
      </c>
      <c r="G105" s="110"/>
      <c r="H105" s="112"/>
      <c r="I105" s="112"/>
    </row>
    <row r="106" spans="1:27" ht="16.5" x14ac:dyDescent="0.45">
      <c r="A106" t="s">
        <v>301</v>
      </c>
      <c r="B106" s="112">
        <f t="shared" si="1"/>
        <v>8.6696432441805027E-2</v>
      </c>
      <c r="C106" s="4"/>
      <c r="D106" t="s">
        <v>311</v>
      </c>
      <c r="E106" s="110">
        <f t="shared" si="2"/>
        <v>5.5316744018770016E-3</v>
      </c>
      <c r="G106" s="110"/>
      <c r="H106" s="112"/>
      <c r="I106" s="112"/>
    </row>
    <row r="107" spans="1:27" ht="16.5" x14ac:dyDescent="0.45">
      <c r="A107" t="s">
        <v>302</v>
      </c>
      <c r="B107" s="112">
        <f t="shared" si="1"/>
        <v>2.8898810813935013E-3</v>
      </c>
      <c r="C107" s="4"/>
      <c r="D107" t="s">
        <v>312</v>
      </c>
      <c r="E107" s="110">
        <f t="shared" si="2"/>
        <v>3.6443972530013177E-2</v>
      </c>
      <c r="G107" s="110"/>
      <c r="H107" s="112"/>
      <c r="I107" s="112"/>
    </row>
    <row r="108" spans="1:27" ht="16.5" x14ac:dyDescent="0.45">
      <c r="A108" t="s">
        <v>303</v>
      </c>
      <c r="B108" s="112">
        <f t="shared" si="1"/>
        <v>2.8898810813935013E-3</v>
      </c>
      <c r="D108" t="s">
        <v>313</v>
      </c>
      <c r="E108" s="110">
        <f t="shared" si="2"/>
        <v>2.1184771625764244E-2</v>
      </c>
      <c r="G108" s="110"/>
    </row>
    <row r="109" spans="1:27" ht="16.5" x14ac:dyDescent="0.45">
      <c r="B109" s="112">
        <f>SUM(B99:B108)</f>
        <v>1</v>
      </c>
      <c r="D109" t="s">
        <v>314</v>
      </c>
      <c r="E109" s="110">
        <f t="shared" si="2"/>
        <v>5.0898254868044723E-2</v>
      </c>
      <c r="G109" s="110"/>
    </row>
    <row r="110" spans="1:27" ht="16.5" x14ac:dyDescent="0.45">
      <c r="B110" s="112"/>
      <c r="D110" t="s">
        <v>315</v>
      </c>
      <c r="E110" s="110">
        <f t="shared" si="2"/>
        <v>0.13647651179120068</v>
      </c>
      <c r="G110" s="110"/>
    </row>
    <row r="111" spans="1:27" ht="16.5" x14ac:dyDescent="0.45">
      <c r="B111" s="112"/>
      <c r="D111" t="s">
        <v>316</v>
      </c>
      <c r="E111" s="110">
        <f t="shared" si="2"/>
        <v>5.6190166292750587E-2</v>
      </c>
    </row>
    <row r="112" spans="1:27" ht="16.5" x14ac:dyDescent="0.45">
      <c r="B112" s="112"/>
      <c r="D112" t="s">
        <v>317</v>
      </c>
      <c r="E112" s="110">
        <f t="shared" si="2"/>
        <v>0</v>
      </c>
    </row>
    <row r="113" spans="1:5" ht="16.5" x14ac:dyDescent="0.45">
      <c r="B113" s="112"/>
      <c r="D113" t="s">
        <v>318</v>
      </c>
      <c r="E113" s="110">
        <f t="shared" si="2"/>
        <v>0.12006987378191845</v>
      </c>
    </row>
    <row r="114" spans="1:5" ht="16.5" x14ac:dyDescent="0.45">
      <c r="B114" s="112"/>
      <c r="D114" t="s">
        <v>319</v>
      </c>
      <c r="E114" s="110">
        <f t="shared" si="2"/>
        <v>3.4251853881591345E-3</v>
      </c>
    </row>
    <row r="115" spans="1:5" x14ac:dyDescent="0.35">
      <c r="E115" s="110">
        <f>SUM(E99:E114)</f>
        <v>1</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351.07719645892911</v>
      </c>
      <c r="C130" s="114"/>
      <c r="D130" t="s">
        <v>325</v>
      </c>
      <c r="E130" s="4">
        <f ca="1">SUMPRODUCT($H$99:$Q$99,$C67:$L67)</f>
        <v>356.99849383732857</v>
      </c>
    </row>
    <row r="131" spans="1:5" ht="16.5" x14ac:dyDescent="0.45">
      <c r="A131" t="s">
        <v>326</v>
      </c>
      <c r="B131" s="110">
        <f ca="1">SUMPRODUCT($E$99:$E$114,D$67:D$82)</f>
        <v>239.33429862421721</v>
      </c>
      <c r="C131" s="114"/>
      <c r="D131" t="s">
        <v>327</v>
      </c>
      <c r="E131" s="4">
        <f t="shared" ref="E131:E145" ca="1" si="3">SUMPRODUCT($H$99:$Q$99,$C68:$L68)</f>
        <v>454.16249383732861</v>
      </c>
    </row>
    <row r="132" spans="1:5" ht="16.5" x14ac:dyDescent="0.45">
      <c r="A132" t="s">
        <v>328</v>
      </c>
      <c r="B132" s="110">
        <f ca="1">SUMPRODUCT($E$99:$E$114,E$67:E$82)</f>
        <v>275.28400309122975</v>
      </c>
      <c r="C132" s="114"/>
      <c r="D132" t="s">
        <v>329</v>
      </c>
      <c r="E132" s="4">
        <f t="shared" ca="1" si="3"/>
        <v>571.32769383732864</v>
      </c>
    </row>
    <row r="133" spans="1:5" ht="16.5" x14ac:dyDescent="0.45">
      <c r="A133" t="s">
        <v>330</v>
      </c>
      <c r="B133" s="110">
        <f ca="1">SUMPRODUCT($E$99:$E$114,F$67:F$82)</f>
        <v>416.74052411102173</v>
      </c>
      <c r="C133" s="114"/>
      <c r="D133" t="s">
        <v>331</v>
      </c>
      <c r="E133" s="4">
        <f t="shared" ca="1" si="3"/>
        <v>579.38691664138025</v>
      </c>
    </row>
    <row r="134" spans="1:5" ht="16.5" x14ac:dyDescent="0.45">
      <c r="A134" t="s">
        <v>332</v>
      </c>
      <c r="B134" s="110">
        <f ca="1">SUMPRODUCT($E$99:$E$114,G$67:G$82)</f>
        <v>228.48236613347947</v>
      </c>
      <c r="C134" s="114"/>
      <c r="D134" t="s">
        <v>333</v>
      </c>
      <c r="E134" s="4">
        <f t="shared" ca="1" si="3"/>
        <v>194.78722104218747</v>
      </c>
    </row>
    <row r="135" spans="1:5" ht="16.5" x14ac:dyDescent="0.45">
      <c r="A135" t="s">
        <v>334</v>
      </c>
      <c r="B135" s="110">
        <f ca="1">SUMPRODUCT($E$99:$E$114,H$67:H$82)</f>
        <v>378.57832051686046</v>
      </c>
      <c r="C135" s="114"/>
      <c r="D135" t="s">
        <v>335</v>
      </c>
      <c r="E135" s="4">
        <f t="shared" ca="1" si="3"/>
        <v>184.54654439579812</v>
      </c>
    </row>
    <row r="136" spans="1:5" ht="16.5" x14ac:dyDescent="0.45">
      <c r="A136" t="s">
        <v>336</v>
      </c>
      <c r="B136" s="110">
        <f ca="1">SUMPRODUCT($E$99:$E$114,I$67:I$82)</f>
        <v>379.07406666267065</v>
      </c>
      <c r="D136" t="s">
        <v>337</v>
      </c>
      <c r="E136" s="4">
        <f t="shared" ca="1" si="3"/>
        <v>203.99833599780371</v>
      </c>
    </row>
    <row r="137" spans="1:5" ht="16.5" x14ac:dyDescent="0.45">
      <c r="A137" t="s">
        <v>338</v>
      </c>
      <c r="B137" s="110">
        <f ca="1">SUMPRODUCT($E$99:$E$114,J$67:J$82)</f>
        <v>302.16339752872875</v>
      </c>
      <c r="D137" t="s">
        <v>339</v>
      </c>
      <c r="E137" s="4">
        <f t="shared" ca="1" si="3"/>
        <v>228.11803340702531</v>
      </c>
    </row>
    <row r="138" spans="1:5" ht="16.5" x14ac:dyDescent="0.45">
      <c r="A138" t="s">
        <v>340</v>
      </c>
      <c r="B138" s="110">
        <f ca="1">SUMPRODUCT($E$99:$E$114,K$67:K$82)</f>
        <v>416.74052411102173</v>
      </c>
      <c r="D138" t="s">
        <v>341</v>
      </c>
      <c r="E138" s="4">
        <f t="shared" ca="1" si="3"/>
        <v>190.90442195876139</v>
      </c>
    </row>
    <row r="139" spans="1:5" ht="16.5" x14ac:dyDescent="0.45">
      <c r="A139" t="s">
        <v>342</v>
      </c>
      <c r="B139" s="110">
        <f ca="1">SUMPRODUCT($E$99:$E$114,L$67:L$82)</f>
        <v>379.07406666267065</v>
      </c>
      <c r="D139" t="s">
        <v>343</v>
      </c>
      <c r="E139" s="4">
        <f t="shared" ca="1" si="3"/>
        <v>309.34065028826558</v>
      </c>
    </row>
    <row r="140" spans="1:5" ht="16.5" x14ac:dyDescent="0.45">
      <c r="B140" s="110"/>
      <c r="D140" t="s">
        <v>344</v>
      </c>
      <c r="E140" s="4">
        <f t="shared" ca="1" si="3"/>
        <v>293.78185156125824</v>
      </c>
    </row>
    <row r="141" spans="1:5" ht="16.5" x14ac:dyDescent="0.45">
      <c r="B141" s="110"/>
      <c r="D141" t="s">
        <v>345</v>
      </c>
      <c r="E141" s="4">
        <f t="shared" ca="1" si="3"/>
        <v>398.38338965133579</v>
      </c>
    </row>
    <row r="142" spans="1:5" ht="16.5" x14ac:dyDescent="0.45">
      <c r="B142" s="110"/>
      <c r="D142" t="s">
        <v>346</v>
      </c>
      <c r="E142" s="4">
        <f t="shared" ca="1" si="3"/>
        <v>433.79734425708375</v>
      </c>
    </row>
    <row r="143" spans="1:5" ht="16.5" x14ac:dyDescent="0.45">
      <c r="B143" s="110"/>
      <c r="D143" t="s">
        <v>347</v>
      </c>
      <c r="E143" s="4">
        <f t="shared" si="3"/>
        <v>328.46034425708376</v>
      </c>
    </row>
    <row r="144" spans="1:5" ht="16.5" x14ac:dyDescent="0.45">
      <c r="B144" s="110"/>
      <c r="D144" t="s">
        <v>348</v>
      </c>
      <c r="E144" s="4">
        <f t="shared" si="3"/>
        <v>485.62091664138018</v>
      </c>
    </row>
    <row r="145" spans="1:5" ht="16.5" x14ac:dyDescent="0.45">
      <c r="B145" s="110"/>
      <c r="D145" t="s">
        <v>349</v>
      </c>
      <c r="E145" s="4">
        <f t="shared" si="3"/>
        <v>253.08036224659355</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0.23471701102264281</v>
      </c>
      <c r="C162" s="36"/>
      <c r="D162" t="s">
        <v>355</v>
      </c>
      <c r="E162" s="115">
        <f t="shared" ref="E162:E177" ca="1" si="4">($H41*$E130)/SUMPRODUCT($H$41:$H$56,$E$130:$E$145)</f>
        <v>1.2111171614256058E-2</v>
      </c>
    </row>
    <row r="163" spans="1:9" ht="16.5" x14ac:dyDescent="0.45">
      <c r="A163" t="s">
        <v>356</v>
      </c>
      <c r="B163" s="115">
        <f t="shared" ref="B163:B171" ca="1" si="5">($H25*$B131)/SUMPRODUCT($H$24:$H$33,$B$130:$B$139)</f>
        <v>0.2257157733228175</v>
      </c>
      <c r="C163" s="4"/>
      <c r="D163" t="s">
        <v>357</v>
      </c>
      <c r="E163" s="115">
        <f t="shared" ca="1" si="4"/>
        <v>4.259261509366629E-2</v>
      </c>
    </row>
    <row r="164" spans="1:9" ht="16.5" x14ac:dyDescent="0.45">
      <c r="A164" t="s">
        <v>358</v>
      </c>
      <c r="B164" s="115">
        <f t="shared" ca="1" si="5"/>
        <v>0.17445157767093988</v>
      </c>
      <c r="C164" s="4"/>
      <c r="D164" t="s">
        <v>359</v>
      </c>
      <c r="E164" s="115">
        <f t="shared" ca="1" si="4"/>
        <v>8.7395919627218724E-2</v>
      </c>
      <c r="H164" s="116"/>
      <c r="I164" s="116"/>
    </row>
    <row r="165" spans="1:9" ht="16.5" x14ac:dyDescent="0.45">
      <c r="A165" t="s">
        <v>360</v>
      </c>
      <c r="B165" s="115">
        <f t="shared" ca="1" si="5"/>
        <v>6.5832070292802932E-3</v>
      </c>
      <c r="C165" s="4"/>
      <c r="D165" t="s">
        <v>361</v>
      </c>
      <c r="E165" s="115">
        <f t="shared" ca="1" si="4"/>
        <v>1.0847872553006798E-2</v>
      </c>
    </row>
    <row r="166" spans="1:9" ht="16.5" x14ac:dyDescent="0.45">
      <c r="A166" t="s">
        <v>362</v>
      </c>
      <c r="B166" s="115">
        <f t="shared" ca="1" si="5"/>
        <v>0</v>
      </c>
      <c r="C166" s="4"/>
      <c r="D166" t="s">
        <v>363</v>
      </c>
      <c r="E166" s="115">
        <f t="shared" ca="1" si="4"/>
        <v>0.19370495208454591</v>
      </c>
    </row>
    <row r="167" spans="1:9" ht="16.5" x14ac:dyDescent="0.45">
      <c r="A167" t="s">
        <v>364</v>
      </c>
      <c r="B167" s="115">
        <f t="shared" ca="1" si="5"/>
        <v>0</v>
      </c>
      <c r="C167" s="4"/>
      <c r="D167" t="s">
        <v>365</v>
      </c>
      <c r="E167" s="115">
        <f t="shared" ca="1" si="4"/>
        <v>8.6701455120624729E-2</v>
      </c>
    </row>
    <row r="168" spans="1:9" ht="16.5" x14ac:dyDescent="0.45">
      <c r="A168" t="s">
        <v>366</v>
      </c>
      <c r="B168" s="115">
        <f t="shared" ca="1" si="5"/>
        <v>0.26553617981673761</v>
      </c>
      <c r="C168" s="4"/>
      <c r="D168" t="s">
        <v>367</v>
      </c>
      <c r="E168" s="115">
        <f t="shared" ca="1" si="4"/>
        <v>1.9541978254432643E-2</v>
      </c>
    </row>
    <row r="169" spans="1:9" ht="16.5" x14ac:dyDescent="0.45">
      <c r="A169" t="s">
        <v>368</v>
      </c>
      <c r="B169" s="115">
        <f t="shared" ca="1" si="5"/>
        <v>8.5490937155815294E-2</v>
      </c>
      <c r="C169" s="4"/>
      <c r="D169" t="s">
        <v>369</v>
      </c>
      <c r="E169" s="115">
        <f t="shared" ca="1" si="4"/>
        <v>4.1180652570775014E-3</v>
      </c>
    </row>
    <row r="170" spans="1:9" ht="16.5" x14ac:dyDescent="0.45">
      <c r="A170" t="s">
        <v>370</v>
      </c>
      <c r="B170" s="115">
        <f t="shared" ca="1" si="5"/>
        <v>3.9302728533016683E-3</v>
      </c>
      <c r="D170" t="s">
        <v>371</v>
      </c>
      <c r="E170" s="115">
        <f t="shared" ca="1" si="4"/>
        <v>2.2704853026129072E-2</v>
      </c>
    </row>
    <row r="171" spans="1:9" ht="16.5" x14ac:dyDescent="0.45">
      <c r="A171" t="s">
        <v>372</v>
      </c>
      <c r="B171" s="115">
        <f t="shared" ca="1" si="5"/>
        <v>3.5750411284649966E-3</v>
      </c>
      <c r="D171" t="s">
        <v>373</v>
      </c>
      <c r="E171" s="115">
        <f t="shared" ca="1" si="4"/>
        <v>2.1386404509563823E-2</v>
      </c>
    </row>
    <row r="172" spans="1:9" ht="16.5" x14ac:dyDescent="0.45">
      <c r="B172" s="233">
        <f ca="1">SUM(B162:B171)</f>
        <v>1</v>
      </c>
      <c r="D172" t="s">
        <v>374</v>
      </c>
      <c r="E172" s="115">
        <f t="shared" ca="1" si="4"/>
        <v>4.8798317896472466E-2</v>
      </c>
    </row>
    <row r="173" spans="1:9" ht="16.5" x14ac:dyDescent="0.45">
      <c r="B173" s="115"/>
      <c r="D173" t="s">
        <v>375</v>
      </c>
      <c r="E173" s="115">
        <f t="shared" ca="1" si="4"/>
        <v>0.17743370962582564</v>
      </c>
    </row>
    <row r="174" spans="1:9" ht="16.5" x14ac:dyDescent="0.45">
      <c r="B174" s="115"/>
      <c r="D174" t="s">
        <v>376</v>
      </c>
      <c r="E174" s="115">
        <f t="shared" ca="1" si="4"/>
        <v>7.9547072707140828E-2</v>
      </c>
    </row>
    <row r="175" spans="1:9" ht="16.5" x14ac:dyDescent="0.45">
      <c r="B175" s="115"/>
      <c r="D175" t="s">
        <v>377</v>
      </c>
      <c r="E175" s="115">
        <f t="shared" ca="1" si="4"/>
        <v>0</v>
      </c>
    </row>
    <row r="176" spans="1:9" ht="16.5" x14ac:dyDescent="0.45">
      <c r="B176" s="115"/>
      <c r="D176" t="s">
        <v>378</v>
      </c>
      <c r="E176" s="115">
        <f t="shared" ca="1" si="4"/>
        <v>0.19028670005462178</v>
      </c>
    </row>
    <row r="177" spans="1:5" ht="16.5" x14ac:dyDescent="0.45">
      <c r="B177" s="115"/>
      <c r="D177" t="s">
        <v>379</v>
      </c>
      <c r="E177" s="115">
        <f t="shared" ca="1" si="4"/>
        <v>2.8289125754177354E-3</v>
      </c>
    </row>
    <row r="178" spans="1:5" x14ac:dyDescent="0.35">
      <c r="E178" s="233">
        <f ca="1">SUM(E162:E177)</f>
        <v>0.99999999999999989</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1185.6127510207175</v>
      </c>
      <c r="C193" s="47"/>
      <c r="D193" t="s">
        <v>383</v>
      </c>
      <c r="E193" s="6">
        <f t="shared" ref="E193:E208" ca="1" si="7">$E162*$D$8</f>
        <v>26.218489539078455</v>
      </c>
    </row>
    <row r="194" spans="1:5" ht="16.5" x14ac:dyDescent="0.45">
      <c r="A194" t="s">
        <v>384</v>
      </c>
      <c r="B194" s="7">
        <f t="shared" ca="1" si="6"/>
        <v>1140.145308565719</v>
      </c>
      <c r="D194" t="s">
        <v>385</v>
      </c>
      <c r="E194" s="6">
        <f t="shared" ca="1" si="7"/>
        <v>92.205285239357096</v>
      </c>
    </row>
    <row r="195" spans="1:5" ht="16.5" x14ac:dyDescent="0.45">
      <c r="A195" t="s">
        <v>386</v>
      </c>
      <c r="B195" s="7">
        <f t="shared" ca="1" si="6"/>
        <v>881.19737901056783</v>
      </c>
      <c r="D195" t="s">
        <v>387</v>
      </c>
      <c r="E195" s="6">
        <f t="shared" ca="1" si="7"/>
        <v>189.19631208983793</v>
      </c>
    </row>
    <row r="196" spans="1:5" ht="16.5" x14ac:dyDescent="0.45">
      <c r="A196" t="s">
        <v>388</v>
      </c>
      <c r="B196" s="7">
        <f t="shared" ca="1" si="6"/>
        <v>33.253381007697747</v>
      </c>
      <c r="D196" t="s">
        <v>389</v>
      </c>
      <c r="E196" s="6">
        <f t="shared" ca="1" si="7"/>
        <v>23.483676238018159</v>
      </c>
    </row>
    <row r="197" spans="1:5" ht="16.5" x14ac:dyDescent="0.45">
      <c r="A197" t="s">
        <v>390</v>
      </c>
      <c r="B197" s="7">
        <f t="shared" ca="1" si="6"/>
        <v>0</v>
      </c>
      <c r="D197" t="s">
        <v>391</v>
      </c>
      <c r="E197" s="6">
        <f t="shared" ca="1" si="7"/>
        <v>419.3360825568916</v>
      </c>
    </row>
    <row r="198" spans="1:5" ht="16.5" x14ac:dyDescent="0.45">
      <c r="A198" t="s">
        <v>392</v>
      </c>
      <c r="B198" s="7">
        <f t="shared" ca="1" si="6"/>
        <v>0</v>
      </c>
      <c r="D198" t="s">
        <v>393</v>
      </c>
      <c r="E198" s="6">
        <f t="shared" ca="1" si="7"/>
        <v>187.69292241117435</v>
      </c>
    </row>
    <row r="199" spans="1:5" ht="16.5" x14ac:dyDescent="0.45">
      <c r="A199" t="s">
        <v>394</v>
      </c>
      <c r="B199" s="7">
        <f t="shared" ca="1" si="6"/>
        <v>1341.2878737522933</v>
      </c>
      <c r="D199" t="s">
        <v>395</v>
      </c>
      <c r="E199" s="6">
        <f t="shared" ca="1" si="7"/>
        <v>42.304837942651282</v>
      </c>
    </row>
    <row r="200" spans="1:5" ht="16.5" x14ac:dyDescent="0.45">
      <c r="A200" t="s">
        <v>396</v>
      </c>
      <c r="B200" s="7">
        <f t="shared" ca="1" si="6"/>
        <v>431.8355314215699</v>
      </c>
      <c r="D200" t="s">
        <v>397</v>
      </c>
      <c r="E200" s="6">
        <f t="shared" ca="1" si="7"/>
        <v>8.9148642511875629</v>
      </c>
    </row>
    <row r="201" spans="1:5" ht="16.5" x14ac:dyDescent="0.45">
      <c r="A201" t="s">
        <v>398</v>
      </c>
      <c r="B201" s="7">
        <f t="shared" ca="1" si="6"/>
        <v>19.852764780715077</v>
      </c>
      <c r="D201" t="s">
        <v>399</v>
      </c>
      <c r="E201" s="6">
        <f t="shared" ca="1" si="7"/>
        <v>49.151888067638865</v>
      </c>
    </row>
    <row r="202" spans="1:5" ht="16.5" x14ac:dyDescent="0.45">
      <c r="A202" t="s">
        <v>400</v>
      </c>
      <c r="B202" s="7">
        <f t="shared" ca="1" si="6"/>
        <v>18.058402877849794</v>
      </c>
      <c r="D202" t="s">
        <v>401</v>
      </c>
      <c r="E202" s="6">
        <f t="shared" ca="1" si="7"/>
        <v>46.297686200109396</v>
      </c>
    </row>
    <row r="203" spans="1:5" ht="16.5" x14ac:dyDescent="0.45">
      <c r="B203" s="7">
        <f ca="1">SUM(B193:B202)</f>
        <v>5051.2433924371298</v>
      </c>
      <c r="D203" t="s">
        <v>402</v>
      </c>
      <c r="E203" s="6">
        <f t="shared" ca="1" si="7"/>
        <v>105.63950607282993</v>
      </c>
    </row>
    <row r="204" spans="1:5" ht="16.5" x14ac:dyDescent="0.45">
      <c r="B204" s="7"/>
      <c r="D204" t="s">
        <v>403</v>
      </c>
      <c r="E204" s="6">
        <f t="shared" ca="1" si="7"/>
        <v>384.11179428988299</v>
      </c>
    </row>
    <row r="205" spans="1:5" ht="16.5" x14ac:dyDescent="0.45">
      <c r="B205" s="7"/>
      <c r="D205" t="s">
        <v>404</v>
      </c>
      <c r="E205" s="6">
        <f t="shared" ca="1" si="7"/>
        <v>172.20498231414049</v>
      </c>
    </row>
    <row r="206" spans="1:5" ht="16.5" x14ac:dyDescent="0.45">
      <c r="B206" s="7"/>
      <c r="D206" t="s">
        <v>405</v>
      </c>
      <c r="E206" s="6">
        <f t="shared" ca="1" si="7"/>
        <v>0</v>
      </c>
    </row>
    <row r="207" spans="1:5" ht="16.5" x14ac:dyDescent="0.45">
      <c r="B207" s="7"/>
      <c r="D207" t="s">
        <v>406</v>
      </c>
      <c r="E207" s="6">
        <f t="shared" ca="1" si="7"/>
        <v>411.93618699410342</v>
      </c>
    </row>
    <row r="208" spans="1:5" ht="16.5" x14ac:dyDescent="0.45">
      <c r="B208" s="7"/>
      <c r="D208" t="s">
        <v>407</v>
      </c>
      <c r="E208" s="6">
        <f t="shared" ca="1" si="7"/>
        <v>6.124082551869062</v>
      </c>
    </row>
    <row r="209" spans="1:5" x14ac:dyDescent="0.35">
      <c r="B209" s="7"/>
      <c r="E209" s="6">
        <f ca="1">SUM(E193:E208)</f>
        <v>2164.8185967587701</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6.1418728752292262</v>
      </c>
      <c r="D226" s="121"/>
      <c r="E226" s="8"/>
      <c r="F226" s="8"/>
      <c r="G226" s="122"/>
      <c r="H226" s="48" t="s">
        <v>415</v>
      </c>
      <c r="I226" s="48" t="str">
        <f t="shared" ref="I226:I241" si="8">B41</f>
        <v>NTS MG 1</v>
      </c>
      <c r="J226" s="12">
        <f ca="1">IFERROR($E193/$H41*1000000," ")</f>
        <v>3.1724289971125845</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4.1870017524879453</v>
      </c>
      <c r="D227" s="121"/>
      <c r="E227" s="8"/>
      <c r="F227" s="8"/>
      <c r="G227" s="122"/>
      <c r="H227" s="48" t="s">
        <v>417</v>
      </c>
      <c r="I227" s="48" t="str">
        <f t="shared" si="8"/>
        <v>NTS MG 2</v>
      </c>
      <c r="J227" s="12">
        <f t="shared" ref="J227:J241" ca="1" si="11">IFERROR($E194/$H42*1000000," ")</f>
        <v>4.0358665084649541</v>
      </c>
      <c r="L227" s="21"/>
      <c r="M227" s="123"/>
      <c r="Q227" s="8"/>
      <c r="R227" s="124"/>
      <c r="S227" s="125"/>
      <c r="T227" s="125"/>
      <c r="U227" s="125"/>
    </row>
    <row r="228" spans="1:22" ht="16.5" x14ac:dyDescent="0.35">
      <c r="A228" s="48" t="s">
        <v>418</v>
      </c>
      <c r="B228" s="48" t="str">
        <f t="shared" si="9"/>
        <v>PR-ITABORAÍ</v>
      </c>
      <c r="C228" s="12">
        <f t="shared" ca="1" si="10"/>
        <v>4.815919030412835</v>
      </c>
      <c r="D228" s="121"/>
      <c r="E228" s="8"/>
      <c r="F228" s="8"/>
      <c r="G228" s="122"/>
      <c r="H228" s="48" t="s">
        <v>419</v>
      </c>
      <c r="I228" s="48" t="str">
        <f t="shared" si="8"/>
        <v>NTS MG 3</v>
      </c>
      <c r="J228" s="12">
        <f t="shared" ca="1" si="11"/>
        <v>5.0770425479971113</v>
      </c>
      <c r="L228" s="21"/>
      <c r="M228" s="123"/>
      <c r="Q228" s="8"/>
      <c r="R228" s="124"/>
      <c r="S228" s="125"/>
      <c r="T228" s="125"/>
      <c r="U228" s="125"/>
    </row>
    <row r="229" spans="1:22" ht="16.5" x14ac:dyDescent="0.35">
      <c r="A229" s="48" t="s">
        <v>420</v>
      </c>
      <c r="B229" s="48" t="str">
        <f t="shared" si="9"/>
        <v>PR-GASPAJ (INTERCONEXÃO)</v>
      </c>
      <c r="C229" s="12">
        <f t="shared" ca="1" si="10"/>
        <v>7.2906111443946413</v>
      </c>
      <c r="D229" s="121"/>
      <c r="E229" s="8"/>
      <c r="F229" s="8"/>
      <c r="G229" s="122"/>
      <c r="H229" s="48" t="s">
        <v>421</v>
      </c>
      <c r="I229" s="48" t="str">
        <f t="shared" si="8"/>
        <v>NTS MG 4</v>
      </c>
      <c r="J229" s="12">
        <f t="shared" ca="1" si="11"/>
        <v>5.1486599709249932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1.7309558414629929</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1.6399531618890482</v>
      </c>
      <c r="L231" s="21"/>
      <c r="M231" s="123"/>
      <c r="Q231" s="8"/>
      <c r="R231" s="124"/>
      <c r="S231" s="125"/>
      <c r="T231" s="125"/>
      <c r="U231" s="125"/>
    </row>
    <row r="232" spans="1:22" ht="16.5" x14ac:dyDescent="0.35">
      <c r="A232" s="48" t="s">
        <v>426</v>
      </c>
      <c r="B232" s="48" t="str">
        <f t="shared" si="9"/>
        <v>PR-TECAB</v>
      </c>
      <c r="C232" s="12">
        <f t="shared" ca="1" si="10"/>
        <v>6.6316603619416794</v>
      </c>
      <c r="D232" s="121"/>
      <c r="E232" s="8"/>
      <c r="F232" s="8"/>
      <c r="G232" s="122"/>
      <c r="H232" s="48" t="s">
        <v>427</v>
      </c>
      <c r="I232" s="48" t="str">
        <f t="shared" si="8"/>
        <v>NTS RJ 3</v>
      </c>
      <c r="J232" s="12">
        <f t="shared" ca="1" si="11"/>
        <v>1.8128094310029237</v>
      </c>
      <c r="L232" s="21"/>
      <c r="M232" s="123"/>
      <c r="Q232" s="8"/>
      <c r="R232" s="124"/>
      <c r="S232" s="125"/>
      <c r="T232" s="125"/>
      <c r="U232" s="125"/>
    </row>
    <row r="233" spans="1:22" ht="16.5" x14ac:dyDescent="0.35">
      <c r="A233" s="48" t="s">
        <v>428</v>
      </c>
      <c r="B233" s="48" t="str">
        <f t="shared" si="9"/>
        <v>PR-GUARAREMA (INTERCONEXÃO)</v>
      </c>
      <c r="C233" s="12">
        <f t="shared" ca="1" si="10"/>
        <v>5.2861569873733227</v>
      </c>
      <c r="D233" s="121"/>
      <c r="E233" s="8"/>
      <c r="F233" s="8"/>
      <c r="G233" s="122"/>
      <c r="H233" s="48" t="s">
        <v>429</v>
      </c>
      <c r="I233" s="48" t="str">
        <f t="shared" si="8"/>
        <v>NTS RJ 4</v>
      </c>
      <c r="J233" s="12">
        <f t="shared" ca="1" si="11"/>
        <v>2.0271465466588303</v>
      </c>
      <c r="L233" s="21"/>
      <c r="M233" s="123"/>
      <c r="Q233" s="8"/>
      <c r="R233" s="124"/>
      <c r="S233" s="125"/>
      <c r="T233" s="125"/>
      <c r="U233" s="125"/>
    </row>
    <row r="234" spans="1:22" ht="16.5" x14ac:dyDescent="0.35">
      <c r="A234" s="48" t="s">
        <v>430</v>
      </c>
      <c r="B234" s="48" t="str">
        <f t="shared" si="9"/>
        <v>PR-REPLAN (INTERCONEXÃO)</v>
      </c>
      <c r="C234" s="12">
        <f t="shared" ca="1" si="10"/>
        <v>7.2906111443946422</v>
      </c>
      <c r="D234" s="116"/>
      <c r="E234" s="8"/>
      <c r="F234" s="8"/>
      <c r="G234" s="116"/>
      <c r="H234" s="48" t="s">
        <v>431</v>
      </c>
      <c r="I234" s="48" t="str">
        <f t="shared" si="8"/>
        <v>NTS RJ 5</v>
      </c>
      <c r="J234" s="12">
        <f t="shared" ca="1" si="11"/>
        <v>1.6964517619924617</v>
      </c>
      <c r="L234" s="21"/>
      <c r="Q234" s="8"/>
      <c r="R234" s="124"/>
      <c r="S234" s="125"/>
      <c r="T234" s="125"/>
      <c r="U234" s="125"/>
    </row>
    <row r="235" spans="1:22" ht="16.5" x14ac:dyDescent="0.35">
      <c r="A235" s="48" t="s">
        <v>432</v>
      </c>
      <c r="B235" s="48" t="str">
        <f t="shared" si="9"/>
        <v>PR-TECAB (INTERCONEXÃO)</v>
      </c>
      <c r="C235" s="12">
        <f t="shared" ca="1" si="10"/>
        <v>6.6316603619416794</v>
      </c>
      <c r="D235" s="116"/>
      <c r="E235" s="8"/>
      <c r="F235" s="8"/>
      <c r="G235" s="116"/>
      <c r="H235" s="48" t="s">
        <v>433</v>
      </c>
      <c r="I235" s="48" t="str">
        <f t="shared" si="8"/>
        <v>NTS SP 1</v>
      </c>
      <c r="J235" s="12">
        <f t="shared" ca="1" si="11"/>
        <v>2.7489226590612117</v>
      </c>
      <c r="L235" s="21"/>
      <c r="Q235" s="8"/>
      <c r="R235" s="124"/>
      <c r="S235" s="125"/>
      <c r="T235" s="125"/>
      <c r="U235" s="125"/>
    </row>
    <row r="236" spans="1:22" ht="16.5" x14ac:dyDescent="0.35">
      <c r="D236" s="116"/>
      <c r="E236" s="8"/>
      <c r="F236" s="8"/>
      <c r="G236" s="116"/>
      <c r="H236" s="48" t="s">
        <v>434</v>
      </c>
      <c r="I236" s="48" t="str">
        <f t="shared" si="8"/>
        <v>NTS SP 2</v>
      </c>
      <c r="J236" s="12">
        <f t="shared" ca="1" si="11"/>
        <v>2.6106610554582352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3.5401914549078937</v>
      </c>
      <c r="L237" s="21"/>
      <c r="Q237" s="8"/>
      <c r="R237" s="124"/>
      <c r="S237" s="125"/>
      <c r="T237" s="125"/>
      <c r="U237" s="125"/>
    </row>
    <row r="238" spans="1:22" ht="16.5" x14ac:dyDescent="0.35">
      <c r="D238" s="116"/>
      <c r="E238" s="8"/>
      <c r="F238" s="8"/>
      <c r="G238" s="116"/>
      <c r="H238" s="48" t="s">
        <v>436</v>
      </c>
      <c r="I238" s="48" t="str">
        <f t="shared" si="8"/>
        <v>NTS SP 4</v>
      </c>
      <c r="J238" s="12">
        <f t="shared" ca="1" si="11"/>
        <v>3.8548937812008912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4.3154184237525186</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2.2489716165488751</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1.228374575045845</v>
      </c>
      <c r="D245" s="12">
        <f t="shared" ref="D245:D254" si="13">$F$7*$C$11</f>
        <v>4.2885570553267733</v>
      </c>
      <c r="E245" s="12">
        <f ca="1">IFERROR(C245+D245," ")</f>
        <v>5.5169316303726186</v>
      </c>
      <c r="G245" s="123"/>
      <c r="H245" s="48" t="s">
        <v>415</v>
      </c>
      <c r="I245" s="48" t="str">
        <f t="shared" ref="I245:I260" si="14">I226</f>
        <v>NTS MG 1</v>
      </c>
      <c r="J245" s="12">
        <f ca="1">IF(H41=0," ",J226*(1-$C$11))</f>
        <v>0.63448579942251682</v>
      </c>
      <c r="K245" s="12">
        <f t="shared" ref="K245:K260" si="15">$F$10*$C$11</f>
        <v>2.17840446150948</v>
      </c>
      <c r="L245" s="12">
        <f ca="1">IFERROR(J245+K245," ")</f>
        <v>2.8128902609319968</v>
      </c>
    </row>
    <row r="246" spans="1:22" ht="16.5" x14ac:dyDescent="0.35">
      <c r="A246" s="48" t="s">
        <v>416</v>
      </c>
      <c r="B246" s="48" t="str">
        <f t="shared" si="12"/>
        <v>PR-GNLBGB</v>
      </c>
      <c r="C246" s="12">
        <f t="shared" ref="C246:C254" ca="1" si="16">IF(H25=0," ",C227*(1-$C$11))</f>
        <v>0.83740035049758887</v>
      </c>
      <c r="D246" s="12">
        <f t="shared" si="13"/>
        <v>4.2885570553267733</v>
      </c>
      <c r="E246" s="12">
        <f t="shared" ref="E246:E254" ca="1" si="17">IFERROR(C246+D246," ")</f>
        <v>5.1259574058243622</v>
      </c>
      <c r="G246" s="123"/>
      <c r="H246" s="48" t="s">
        <v>417</v>
      </c>
      <c r="I246" s="48" t="str">
        <f t="shared" si="14"/>
        <v>NTS MG 2</v>
      </c>
      <c r="J246" s="12">
        <f t="shared" ref="J246:J247" ca="1" si="18">IF(H42=0," ",J227*(1-$C$11))</f>
        <v>0.80717330169299062</v>
      </c>
      <c r="K246" s="12">
        <f t="shared" si="15"/>
        <v>2.17840446150948</v>
      </c>
      <c r="L246" s="12">
        <f t="shared" ref="L246:L260" ca="1" si="19">IFERROR(J246+K246," ")</f>
        <v>2.9855777632024707</v>
      </c>
    </row>
    <row r="247" spans="1:22" ht="16.5" x14ac:dyDescent="0.35">
      <c r="A247" s="48" t="s">
        <v>418</v>
      </c>
      <c r="B247" s="48" t="str">
        <f t="shared" si="12"/>
        <v>PR-ITABORAÍ</v>
      </c>
      <c r="C247" s="12">
        <f t="shared" ca="1" si="16"/>
        <v>0.96318380608256682</v>
      </c>
      <c r="D247" s="12">
        <f t="shared" si="13"/>
        <v>4.2885570553267733</v>
      </c>
      <c r="E247" s="12">
        <f t="shared" ca="1" si="17"/>
        <v>5.2517408614093402</v>
      </c>
      <c r="G247" s="123"/>
      <c r="H247" s="48" t="s">
        <v>419</v>
      </c>
      <c r="I247" s="48" t="str">
        <f t="shared" si="14"/>
        <v>NTS MG 3</v>
      </c>
      <c r="J247" s="12">
        <f t="shared" ca="1" si="18"/>
        <v>1.0154085095994221</v>
      </c>
      <c r="K247" s="12">
        <f t="shared" si="15"/>
        <v>2.17840446150948</v>
      </c>
      <c r="L247" s="12">
        <f t="shared" ca="1" si="19"/>
        <v>3.1938129711089021</v>
      </c>
    </row>
    <row r="248" spans="1:22" ht="16.5" x14ac:dyDescent="0.35">
      <c r="A248" s="48" t="s">
        <v>420</v>
      </c>
      <c r="B248" s="48" t="str">
        <f t="shared" si="12"/>
        <v>PR-GASPAJ (INTERCONEXÃO)</v>
      </c>
      <c r="C248" s="12">
        <f t="shared" ca="1" si="16"/>
        <v>1.458122228878928</v>
      </c>
      <c r="D248" s="12">
        <f t="shared" si="13"/>
        <v>4.2885570553267733</v>
      </c>
      <c r="E248" s="12">
        <f t="shared" ca="1" si="17"/>
        <v>5.7466792842057011</v>
      </c>
      <c r="G248" s="123"/>
      <c r="H248" s="48" t="s">
        <v>421</v>
      </c>
      <c r="I248" s="48" t="str">
        <f t="shared" si="14"/>
        <v>NTS MG 4</v>
      </c>
      <c r="J248" s="12">
        <f ca="1">IF(H44=0," ",J229*(1-$C$11))</f>
        <v>1.0297319941849985</v>
      </c>
      <c r="K248" s="12">
        <f t="shared" si="15"/>
        <v>2.17840446150948</v>
      </c>
      <c r="L248" s="12">
        <f t="shared" ca="1" si="19"/>
        <v>3.2081364556944783</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0.34619116829259849</v>
      </c>
      <c r="K249" s="12">
        <f t="shared" si="15"/>
        <v>2.17840446150948</v>
      </c>
      <c r="L249" s="12">
        <f t="shared" ca="1" si="19"/>
        <v>2.5245956298020786</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0.32799063237780957</v>
      </c>
      <c r="K250" s="12">
        <f t="shared" si="15"/>
        <v>2.17840446150948</v>
      </c>
      <c r="L250" s="12">
        <f t="shared" ca="1" si="19"/>
        <v>2.5063950938872894</v>
      </c>
    </row>
    <row r="251" spans="1:22" ht="16.5" x14ac:dyDescent="0.35">
      <c r="A251" s="48" t="s">
        <v>426</v>
      </c>
      <c r="B251" s="48" t="str">
        <f t="shared" si="12"/>
        <v>PR-TECAB</v>
      </c>
      <c r="C251" s="12">
        <f t="shared" ca="1" si="16"/>
        <v>1.3263320723883356</v>
      </c>
      <c r="D251" s="12">
        <f t="shared" si="13"/>
        <v>4.2885570553267733</v>
      </c>
      <c r="E251" s="12">
        <f t="shared" ca="1" si="17"/>
        <v>5.6148891277151094</v>
      </c>
      <c r="G251" s="123"/>
      <c r="H251" s="48" t="s">
        <v>427</v>
      </c>
      <c r="I251" s="48" t="str">
        <f t="shared" si="14"/>
        <v>NTS RJ 3</v>
      </c>
      <c r="J251" s="12">
        <f t="shared" ca="1" si="20"/>
        <v>0.36256188620058466</v>
      </c>
      <c r="K251" s="12">
        <f t="shared" si="15"/>
        <v>2.17840446150948</v>
      </c>
      <c r="L251" s="12">
        <f t="shared" ca="1" si="19"/>
        <v>2.5409663477100648</v>
      </c>
    </row>
    <row r="252" spans="1:22" ht="16.5" x14ac:dyDescent="0.35">
      <c r="A252" s="48" t="s">
        <v>428</v>
      </c>
      <c r="B252" s="48" t="str">
        <f t="shared" si="12"/>
        <v>PR-GUARAREMA (INTERCONEXÃO)</v>
      </c>
      <c r="C252" s="12">
        <f t="shared" ca="1" si="16"/>
        <v>1.0572313974746643</v>
      </c>
      <c r="D252" s="12">
        <f t="shared" si="13"/>
        <v>4.2885570553267733</v>
      </c>
      <c r="E252" s="12">
        <f t="shared" ca="1" si="17"/>
        <v>5.3457884528014379</v>
      </c>
      <c r="G252" s="123"/>
      <c r="H252" s="48" t="s">
        <v>429</v>
      </c>
      <c r="I252" s="48" t="str">
        <f t="shared" si="14"/>
        <v>NTS RJ 4</v>
      </c>
      <c r="J252" s="12">
        <f t="shared" ca="1" si="20"/>
        <v>0.40542930933176596</v>
      </c>
      <c r="K252" s="12">
        <f t="shared" si="15"/>
        <v>2.17840446150948</v>
      </c>
      <c r="L252" s="12">
        <f t="shared" ca="1" si="19"/>
        <v>2.5838337708412458</v>
      </c>
    </row>
    <row r="253" spans="1:22" ht="16.5" x14ac:dyDescent="0.35">
      <c r="A253" s="48" t="s">
        <v>430</v>
      </c>
      <c r="B253" s="48" t="str">
        <f t="shared" si="12"/>
        <v>PR-REPLAN (INTERCONEXÃO)</v>
      </c>
      <c r="C253" s="12">
        <f t="shared" ca="1" si="16"/>
        <v>1.4581222288789282</v>
      </c>
      <c r="D253" s="12">
        <f t="shared" si="13"/>
        <v>4.2885570553267733</v>
      </c>
      <c r="E253" s="12">
        <f t="shared" ca="1" si="17"/>
        <v>5.7466792842057011</v>
      </c>
      <c r="G253" s="123"/>
      <c r="H253" s="48" t="s">
        <v>431</v>
      </c>
      <c r="I253" s="48" t="str">
        <f t="shared" si="14"/>
        <v>NTS RJ 5</v>
      </c>
      <c r="J253" s="12">
        <f t="shared" ca="1" si="20"/>
        <v>0.33929035239849226</v>
      </c>
      <c r="K253" s="12">
        <f t="shared" si="15"/>
        <v>2.17840446150948</v>
      </c>
      <c r="L253" s="12">
        <f t="shared" ca="1" si="19"/>
        <v>2.5176948139079722</v>
      </c>
    </row>
    <row r="254" spans="1:22" ht="16.5" x14ac:dyDescent="0.35">
      <c r="A254" s="48" t="s">
        <v>432</v>
      </c>
      <c r="B254" s="48" t="str">
        <f t="shared" si="12"/>
        <v>PR-TECAB (INTERCONEXÃO)</v>
      </c>
      <c r="C254" s="12">
        <f t="shared" ca="1" si="16"/>
        <v>1.3263320723883356</v>
      </c>
      <c r="D254" s="12">
        <f t="shared" si="13"/>
        <v>4.2885570553267733</v>
      </c>
      <c r="E254" s="12">
        <f t="shared" ca="1" si="17"/>
        <v>5.6148891277151094</v>
      </c>
      <c r="G254" s="123"/>
      <c r="H254" s="48" t="s">
        <v>433</v>
      </c>
      <c r="I254" s="48" t="str">
        <f t="shared" si="14"/>
        <v>NTS SP 1</v>
      </c>
      <c r="J254" s="12">
        <f t="shared" ca="1" si="20"/>
        <v>0.54978453181224218</v>
      </c>
      <c r="K254" s="12">
        <f t="shared" si="15"/>
        <v>2.17840446150948</v>
      </c>
      <c r="L254" s="12">
        <f t="shared" ca="1" si="19"/>
        <v>2.728188993321722</v>
      </c>
    </row>
    <row r="255" spans="1:22" ht="16.5" x14ac:dyDescent="0.35">
      <c r="H255" s="48" t="s">
        <v>434</v>
      </c>
      <c r="I255" s="48" t="str">
        <f t="shared" si="14"/>
        <v>NTS SP 2</v>
      </c>
      <c r="J255" s="12">
        <f t="shared" ca="1" si="20"/>
        <v>0.52213221109164698</v>
      </c>
      <c r="K255" s="12">
        <f t="shared" si="15"/>
        <v>2.17840446150948</v>
      </c>
      <c r="L255" s="12">
        <f t="shared" ca="1" si="19"/>
        <v>2.7005366726011268</v>
      </c>
    </row>
    <row r="256" spans="1:22" ht="16.5" x14ac:dyDescent="0.35">
      <c r="H256" s="48" t="s">
        <v>435</v>
      </c>
      <c r="I256" s="48" t="str">
        <f t="shared" si="14"/>
        <v>NTS SP 3</v>
      </c>
      <c r="J256" s="12">
        <f t="shared" ca="1" si="20"/>
        <v>0.70803829098157856</v>
      </c>
      <c r="K256" s="12">
        <f t="shared" si="15"/>
        <v>2.17840446150948</v>
      </c>
      <c r="L256" s="12">
        <f t="shared" ca="1" si="19"/>
        <v>2.8864427524910585</v>
      </c>
    </row>
    <row r="257" spans="1:13" ht="16.5" x14ac:dyDescent="0.35">
      <c r="H257" s="48" t="s">
        <v>436</v>
      </c>
      <c r="I257" s="48" t="str">
        <f t="shared" si="14"/>
        <v>NTS SP 4</v>
      </c>
      <c r="J257" s="12">
        <f t="shared" ca="1" si="20"/>
        <v>0.77097875624017809</v>
      </c>
      <c r="K257" s="12">
        <f t="shared" si="15"/>
        <v>2.17840446150948</v>
      </c>
      <c r="L257" s="12">
        <f t="shared" ca="1" si="19"/>
        <v>2.9493832177496579</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0.86308368475050357</v>
      </c>
      <c r="K259" s="12">
        <f t="shared" si="15"/>
        <v>2.17840446150948</v>
      </c>
      <c r="L259" s="12">
        <f t="shared" ca="1" si="19"/>
        <v>3.0414881462599834</v>
      </c>
    </row>
    <row r="260" spans="1:13" ht="16.5" x14ac:dyDescent="0.35">
      <c r="H260" s="48" t="s">
        <v>439</v>
      </c>
      <c r="I260" s="48" t="str">
        <f t="shared" si="14"/>
        <v>PE-TECAB (INTERCONEXÃO)</v>
      </c>
      <c r="J260" s="12">
        <f t="shared" ca="1" si="20"/>
        <v>0.44979432330977492</v>
      </c>
      <c r="K260" s="12">
        <f t="shared" si="15"/>
        <v>2.17840446150948</v>
      </c>
      <c r="L260" s="12">
        <f t="shared" ca="1" si="19"/>
        <v>2.6281987848192547</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(Legados)'!G11</f>
        <v>200</v>
      </c>
      <c r="D267" s="265">
        <f ca="1">E253</f>
        <v>5.7466792842057011</v>
      </c>
      <c r="E267" s="268">
        <f ca="1">D267*(1-$C$262)</f>
        <v>0.57466792842057002</v>
      </c>
      <c r="F267" s="266">
        <f ca="1">C267*E267*'Premissas (Legados)'!$C$44*'Premissas (Legados)'!$F$20*1000</f>
        <v>1564854.7129997401</v>
      </c>
      <c r="L267" s="128"/>
    </row>
    <row r="268" spans="1:13" ht="18.5" x14ac:dyDescent="0.45">
      <c r="B268" s="247" t="s">
        <v>451</v>
      </c>
      <c r="C268" s="271">
        <f>'Oferta (Legados)'!G10</f>
        <v>6000</v>
      </c>
      <c r="D268" s="265">
        <f ca="1">E252</f>
        <v>5.3457884528014379</v>
      </c>
      <c r="E268" s="268">
        <f t="shared" ref="E268:E270" ca="1" si="21">D268*(1-$C$262)</f>
        <v>0.53457884528014366</v>
      </c>
      <c r="F268" s="266">
        <f ca="1">C268*E268*'Premissas (Legados)'!$C$44*'Premissas (Legados)'!$F$20*1000</f>
        <v>43670693.14999456</v>
      </c>
      <c r="G268" s="129"/>
      <c r="K268" s="129"/>
      <c r="L268" s="128"/>
    </row>
    <row r="269" spans="1:13" ht="18.5" x14ac:dyDescent="0.45">
      <c r="B269" s="248" t="s">
        <v>452</v>
      </c>
      <c r="C269" s="271">
        <f>'Oferta (Legados)'!G12</f>
        <v>200</v>
      </c>
      <c r="D269" s="265">
        <f ca="1">E254</f>
        <v>5.6148891277151094</v>
      </c>
      <c r="E269" s="268">
        <f t="shared" ca="1" si="21"/>
        <v>0.56148891277151081</v>
      </c>
      <c r="F269" s="266">
        <f ca="1">C269*E269*'Premissas (Legados)'!$C$44*'Premissas (Legados)'!$F$20*1000</f>
        <v>1528967.4749424343</v>
      </c>
      <c r="K269" s="129"/>
      <c r="L269" s="128"/>
    </row>
    <row r="270" spans="1:13" ht="18.5" x14ac:dyDescent="0.45">
      <c r="B270" s="248" t="s">
        <v>243</v>
      </c>
      <c r="C270" s="271">
        <f>'Oferta (Legados)'!G6</f>
        <v>335</v>
      </c>
      <c r="D270" s="265">
        <f ca="1">E248</f>
        <v>5.7466792842057011</v>
      </c>
      <c r="E270" s="268">
        <f t="shared" ca="1" si="21"/>
        <v>0.57466792842057002</v>
      </c>
      <c r="F270" s="266">
        <f ca="1">C270*E270*'Premissas (Legados)'!$C$44*'Premissas (Legados)'!$F$20*1000</f>
        <v>2621131.6442745645</v>
      </c>
      <c r="K270" s="129"/>
      <c r="L270" s="128"/>
    </row>
    <row r="271" spans="1:13" ht="18.5" x14ac:dyDescent="0.45">
      <c r="B271" s="246" t="s">
        <v>453</v>
      </c>
      <c r="C271" s="271">
        <f>'Demanda (Legados)'!G17</f>
        <v>7011</v>
      </c>
      <c r="D271" s="265">
        <f ca="1">L259</f>
        <v>3.0414881462599834</v>
      </c>
      <c r="E271" s="268">
        <f ca="1">D271*(1-$C$262)</f>
        <v>0.3041488146259983</v>
      </c>
      <c r="F271" s="266">
        <f ca="1">C271*E271*'Premissas (Legados)'!$C$44*'Premissas (Legados)'!$F$20*1000</f>
        <v>29033083.393768091</v>
      </c>
      <c r="K271" s="129"/>
      <c r="L271" s="128"/>
    </row>
    <row r="272" spans="1:13" ht="18.5" x14ac:dyDescent="0.45">
      <c r="B272" s="248" t="s">
        <v>454</v>
      </c>
      <c r="C272" s="271">
        <f>'Demanda (Legados)'!G18</f>
        <v>200</v>
      </c>
      <c r="D272" s="265">
        <f ca="1">L260</f>
        <v>2.6281987848192547</v>
      </c>
      <c r="E272" s="268">
        <f ca="1">D272*(1-$C$262)</f>
        <v>0.2628198784819254</v>
      </c>
      <c r="F272" s="266">
        <f ca="1">C272*E272*'Premissas (Legados)'!$C$44*'Premissas (Legados)'!$F$20*1000</f>
        <v>715674.0530880451</v>
      </c>
      <c r="K272" s="129"/>
      <c r="L272" s="128"/>
    </row>
    <row r="273" spans="2:13" ht="19" thickBot="1" x14ac:dyDescent="0.5">
      <c r="B273" s="248"/>
      <c r="C273" s="248"/>
      <c r="D273" s="248"/>
      <c r="E273" s="248"/>
      <c r="F273" s="267">
        <f ca="1">SUM(F267:F272)</f>
        <v>79134404.429067418</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71F0-3CE6-454A-9D91-B4D467D255C3}">
  <sheetPr codeName="Planilha18">
    <tabColor theme="1" tint="0.499984740745262"/>
  </sheetPr>
  <dimension ref="A2:AA303"/>
  <sheetViews>
    <sheetView showGridLines="0" zoomScale="70" zoomScaleNormal="70" workbookViewId="0">
      <selection activeCell="D6" sqref="D6"/>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5" thickBot="1" x14ac:dyDescent="0.4">
      <c r="A5" s="211"/>
      <c r="B5" s="255" t="s">
        <v>460</v>
      </c>
      <c r="C5" s="208"/>
      <c r="D5" s="209">
        <f ca="1">D6+D9</f>
        <v>7136.9275847668332</v>
      </c>
      <c r="E5" s="224" t="s">
        <v>111</v>
      </c>
      <c r="F5" s="273" t="s">
        <v>465</v>
      </c>
      <c r="G5" s="211"/>
      <c r="H5" s="235"/>
      <c r="I5" s="235"/>
    </row>
    <row r="6" spans="1:9" ht="16.5" x14ac:dyDescent="0.35">
      <c r="A6" s="206">
        <f>HLOOKUP($G$3,'Premissas (Legados)'!$B$5:$F$13,9,FALSE)</f>
        <v>0.7</v>
      </c>
      <c r="B6" s="207" t="s">
        <v>112</v>
      </c>
      <c r="C6" s="208" t="s">
        <v>271</v>
      </c>
      <c r="D6" s="209">
        <f ca="1">($A$6*$D$4)-(SUM($F$268:$F$271)/10^6)</f>
        <v>5001.8577454549186</v>
      </c>
      <c r="E6" s="210" t="s">
        <v>113</v>
      </c>
      <c r="F6" s="273" t="s">
        <v>458</v>
      </c>
      <c r="G6" s="211"/>
      <c r="H6" s="235"/>
    </row>
    <row r="7" spans="1:9" ht="29" x14ac:dyDescent="0.35">
      <c r="A7" s="92"/>
      <c r="B7" s="212" t="s">
        <v>114</v>
      </c>
      <c r="C7" s="213" t="s">
        <v>272</v>
      </c>
      <c r="D7" s="214">
        <f>$D$35*'Premissas (Legados)'!$F$20</f>
        <v>22802280</v>
      </c>
      <c r="E7" s="212" t="s">
        <v>115</v>
      </c>
      <c r="F7" s="230">
        <f>H35</f>
        <v>850574730.16811991</v>
      </c>
      <c r="G7" s="82" t="s">
        <v>116</v>
      </c>
    </row>
    <row r="8" spans="1:9" ht="17" thickBot="1" x14ac:dyDescent="0.4">
      <c r="A8" s="215"/>
      <c r="B8" s="216" t="s">
        <v>117</v>
      </c>
      <c r="C8" s="217" t="s">
        <v>273</v>
      </c>
      <c r="D8" s="218">
        <f ca="1">$D$6/$D$7*1000</f>
        <v>0.21935778989885743</v>
      </c>
      <c r="E8" s="219" t="s">
        <v>118</v>
      </c>
      <c r="F8" s="232">
        <f ca="1">$D$6/$F$7*1000000</f>
        <v>5.8805623633637447</v>
      </c>
      <c r="G8" s="228" t="s">
        <v>15</v>
      </c>
      <c r="I8" s="235"/>
    </row>
    <row r="9" spans="1:9" ht="16.5" x14ac:dyDescent="0.35">
      <c r="A9" s="206">
        <f>1-A6</f>
        <v>0.30000000000000004</v>
      </c>
      <c r="B9" s="207" t="s">
        <v>119</v>
      </c>
      <c r="C9" s="208" t="s">
        <v>274</v>
      </c>
      <c r="D9" s="209">
        <f ca="1">($A$9*$D$4)-(SUM($F$272:$F$273)/10^6)</f>
        <v>2135.0698393119146</v>
      </c>
      <c r="E9" s="210" t="s">
        <v>113</v>
      </c>
      <c r="F9" s="273" t="s">
        <v>459</v>
      </c>
      <c r="G9" s="229"/>
    </row>
    <row r="10" spans="1:9" ht="29" x14ac:dyDescent="0.35">
      <c r="B10" s="212" t="s">
        <v>120</v>
      </c>
      <c r="C10" s="213" t="s">
        <v>275</v>
      </c>
      <c r="D10" s="214">
        <f>$D$58*'Premissas (Legados)'!$F$20</f>
        <v>18680700</v>
      </c>
      <c r="E10" s="212" t="s">
        <v>115</v>
      </c>
      <c r="F10" s="230">
        <f>H58</f>
        <v>696830815.24529994</v>
      </c>
      <c r="G10" s="82" t="s">
        <v>116</v>
      </c>
    </row>
    <row r="11" spans="1:9" ht="17" thickBot="1" x14ac:dyDescent="0.4">
      <c r="A11" s="225"/>
      <c r="B11" s="216" t="s">
        <v>121</v>
      </c>
      <c r="C11" s="217" t="s">
        <v>276</v>
      </c>
      <c r="D11" s="218">
        <f ca="1">$D$9/$D$10*1000</f>
        <v>0.11429281768412931</v>
      </c>
      <c r="E11" s="219" t="s">
        <v>118</v>
      </c>
      <c r="F11" s="232">
        <f ca="1">$D$9/$F$10*1000000</f>
        <v>3.0639716163532791</v>
      </c>
      <c r="G11" s="228" t="s">
        <v>15</v>
      </c>
    </row>
    <row r="12" spans="1:9" ht="15" thickBot="1" x14ac:dyDescent="0.4">
      <c r="A12" s="220"/>
      <c r="B12" s="220" t="s">
        <v>122</v>
      </c>
      <c r="C12" s="226">
        <f>HLOOKUP($G$3,'Premissas (Legados)'!$B$5:$F$8,4,FALSE)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(Legados)'!C3</f>
        <v>20000</v>
      </c>
      <c r="D25" s="290">
        <f>'Oferta (Legados)'!G3</f>
        <v>14178</v>
      </c>
      <c r="F25" s="104"/>
      <c r="G25" s="43">
        <f>IFERROR($C25*$H$20*'Premissas (Legados)'!$F$20*1000," ")</f>
        <v>272305906.69999999</v>
      </c>
      <c r="H25" s="43">
        <f>IFERROR($D25*$H$20*'Premissas (Legados)'!$F$20*1000," ")</f>
        <v>193037657.25962999</v>
      </c>
      <c r="I25" s="93"/>
    </row>
    <row r="26" spans="1:9" x14ac:dyDescent="0.35">
      <c r="A26" s="2" t="s">
        <v>133</v>
      </c>
      <c r="B26" s="44" t="s">
        <v>26</v>
      </c>
      <c r="C26" s="290">
        <f>'Oferta (Legados)'!C4</f>
        <v>20000</v>
      </c>
      <c r="D26" s="290">
        <f>'Oferta (Legados)'!G4</f>
        <v>20000</v>
      </c>
      <c r="F26" s="104"/>
      <c r="G26" s="43">
        <f>IFERROR($C26*$H$20*'Premissas (Legados)'!$F$20*1000," ")</f>
        <v>272305906.69999999</v>
      </c>
      <c r="H26" s="43">
        <f>IFERROR($D26*$H$20*'Premissas (Legados)'!$F$20*1000," ")</f>
        <v>272305906.69999999</v>
      </c>
      <c r="I26" s="93"/>
    </row>
    <row r="27" spans="1:9" x14ac:dyDescent="0.35">
      <c r="A27" s="2" t="s">
        <v>134</v>
      </c>
      <c r="B27" s="44" t="s">
        <v>488</v>
      </c>
      <c r="C27" s="290">
        <f>'Oferta (Legados)'!C5</f>
        <v>18200</v>
      </c>
      <c r="D27" s="290">
        <f>'Oferta (Legados)'!G5</f>
        <v>13439</v>
      </c>
      <c r="E27" s="46"/>
      <c r="F27" s="104"/>
      <c r="G27" s="43">
        <f>IFERROR($C27*$H$20*'Premissas (Legados)'!$F$20*1000," ")</f>
        <v>247798375.097</v>
      </c>
      <c r="H27" s="43">
        <f>IFERROR($D27*$H$20*'Premissas (Legados)'!$F$20*1000," ")</f>
        <v>182975954.00706497</v>
      </c>
      <c r="I27" s="93"/>
    </row>
    <row r="28" spans="1:9" x14ac:dyDescent="0.35">
      <c r="A28" s="2" t="s">
        <v>135</v>
      </c>
      <c r="B28" s="44" t="s">
        <v>463</v>
      </c>
      <c r="C28" s="293"/>
      <c r="D28" s="293"/>
      <c r="E28" s="274" t="s">
        <v>461</v>
      </c>
      <c r="F28" s="104"/>
      <c r="G28" s="43">
        <f>IFERROR($C28*$H$20*'Premissas (Legados)'!$F$20*1000," ")</f>
        <v>0</v>
      </c>
      <c r="H28" s="43">
        <f>IFERROR($D28*$H$20*'Premissas (Legados)'!$F$20*1000," ")</f>
        <v>0</v>
      </c>
      <c r="I28" s="93"/>
    </row>
    <row r="29" spans="1:9" x14ac:dyDescent="0.35">
      <c r="A29" s="2" t="s">
        <v>136</v>
      </c>
      <c r="B29" s="44" t="s">
        <v>27</v>
      </c>
      <c r="C29" s="290">
        <f>'Oferta (Legados)'!C7</f>
        <v>5000</v>
      </c>
      <c r="D29" s="290">
        <f>'Oferta (Legados)'!G7</f>
        <v>0</v>
      </c>
      <c r="E29" s="46"/>
      <c r="F29" s="104"/>
      <c r="G29" s="43">
        <f>IFERROR($C29*$H$20*'Premissas (Legados)'!$F$20*1000," ")</f>
        <v>68076476.674999997</v>
      </c>
      <c r="H29" s="43">
        <f>IFERROR($D29*$H$20*'Premissas (Legados)'!$F$20*1000," ")</f>
        <v>0</v>
      </c>
      <c r="I29" s="93"/>
    </row>
    <row r="30" spans="1:9" x14ac:dyDescent="0.35">
      <c r="A30" s="2" t="s">
        <v>239</v>
      </c>
      <c r="B30" s="44" t="s">
        <v>29</v>
      </c>
      <c r="C30" s="290">
        <f>'Oferta (Legados)'!C8</f>
        <v>2200</v>
      </c>
      <c r="D30" s="290">
        <f>'Oferta (Legados)'!G8</f>
        <v>0</v>
      </c>
      <c r="E30" s="46"/>
      <c r="F30" s="104"/>
      <c r="G30" s="43">
        <f>IFERROR($C30*$H$20*'Premissas (Legados)'!$F$20*1000," ")</f>
        <v>29953649.736999996</v>
      </c>
      <c r="H30" s="43">
        <f>IFERROR($D30*$H$20*'Premissas (Legados)'!$F$20*1000," ")</f>
        <v>0</v>
      </c>
      <c r="I30" s="93"/>
    </row>
    <row r="31" spans="1:9" x14ac:dyDescent="0.35">
      <c r="A31" s="2" t="s">
        <v>137</v>
      </c>
      <c r="B31" s="44" t="s">
        <v>24</v>
      </c>
      <c r="C31" s="290">
        <f>'Oferta (Legados)'!C9</f>
        <v>25160</v>
      </c>
      <c r="D31" s="290">
        <f>'Oferta (Legados)'!G9</f>
        <v>14855</v>
      </c>
      <c r="E31" s="46"/>
      <c r="F31" s="104"/>
      <c r="G31" s="43">
        <f>IFERROR($C31*$H$20*'Premissas (Legados)'!$F$20*1000," ")</f>
        <v>342560830.6286</v>
      </c>
      <c r="H31" s="43">
        <f>IFERROR($D31*$H$20*'Premissas (Legados)'!$F$20*1000," ")</f>
        <v>202255212.20142499</v>
      </c>
      <c r="I31" s="93"/>
    </row>
    <row r="32" spans="1:9" x14ac:dyDescent="0.35">
      <c r="A32" s="2" t="s">
        <v>240</v>
      </c>
      <c r="B32" s="44" t="s">
        <v>264</v>
      </c>
      <c r="C32" s="249"/>
      <c r="D32" s="249"/>
      <c r="E32" s="274" t="s">
        <v>461</v>
      </c>
      <c r="F32" s="104"/>
      <c r="G32" s="43">
        <f>IFERROR($C32*$H$20*'Premissas (Legados)'!$F$20*1000," ")</f>
        <v>0</v>
      </c>
      <c r="H32" s="43">
        <f>IFERROR($D32*$H$20*'Premissas (Legados)'!$F$20*1000," ")</f>
        <v>0</v>
      </c>
      <c r="I32" s="93"/>
    </row>
    <row r="33" spans="1:10" x14ac:dyDescent="0.35">
      <c r="A33" s="2" t="s">
        <v>138</v>
      </c>
      <c r="B33" s="44" t="s">
        <v>266</v>
      </c>
      <c r="C33" s="249"/>
      <c r="D33" s="249"/>
      <c r="E33" s="274" t="s">
        <v>461</v>
      </c>
      <c r="F33" s="104"/>
      <c r="G33" s="43">
        <f>IFERROR($C33*$H$20*'Premissas (Legados)'!$F$20*1000," ")</f>
        <v>0</v>
      </c>
      <c r="H33" s="43">
        <f>IFERROR($D33*$H$20*'Premissas (Legados)'!$F$20*1000," ")</f>
        <v>0</v>
      </c>
      <c r="I33" s="93"/>
    </row>
    <row r="34" spans="1:10" x14ac:dyDescent="0.35">
      <c r="A34" s="2" t="s">
        <v>139</v>
      </c>
      <c r="B34" s="44" t="s">
        <v>265</v>
      </c>
      <c r="C34" s="249"/>
      <c r="D34" s="249"/>
      <c r="E34" s="274" t="s">
        <v>461</v>
      </c>
      <c r="F34" s="104"/>
      <c r="G34" s="43">
        <f>IFERROR($C34*$H$20*'Premissas (Legados)'!$F$20*1000," ")</f>
        <v>0</v>
      </c>
      <c r="H34" s="43">
        <f>IFERROR($D34*$H$20*'Premissas (Legados)'!$F$20*1000," ")</f>
        <v>0</v>
      </c>
      <c r="I34" s="93"/>
    </row>
    <row r="35" spans="1:10" x14ac:dyDescent="0.35">
      <c r="C35" s="105">
        <f>SUM(C25:C34)</f>
        <v>90560</v>
      </c>
      <c r="D35" s="105">
        <f>SUM(D25:D34)</f>
        <v>62472</v>
      </c>
      <c r="E35" s="105"/>
      <c r="F35" s="104"/>
      <c r="G35" s="105">
        <f>SUM(G25:G34)</f>
        <v>1233001145.5376</v>
      </c>
      <c r="H35" s="105">
        <f>SUM(H25:H34)</f>
        <v>850574730.16811991</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(Legados)'!C3</f>
        <v>864.5</v>
      </c>
      <c r="D42" s="290">
        <f>'Demanda (Legados)'!G3</f>
        <v>607</v>
      </c>
      <c r="G42" s="43">
        <f>IFERROR($C42*$H$20*'Premissas (Legados)'!$F$20*1000," ")</f>
        <v>11770422.817107499</v>
      </c>
      <c r="H42" s="43">
        <f>IFERROR($D42*$H$20*'Premissas (Legados)'!$F$20*1000," ")</f>
        <v>8264484.2683449984</v>
      </c>
      <c r="I42" s="93"/>
    </row>
    <row r="43" spans="1:10" x14ac:dyDescent="0.35">
      <c r="A43" s="2" t="s">
        <v>42</v>
      </c>
      <c r="B43" s="44" t="s">
        <v>217</v>
      </c>
      <c r="C43" s="290">
        <f>'Demanda (Legados)'!C4</f>
        <v>1825.9</v>
      </c>
      <c r="D43" s="290">
        <f>'Demanda (Legados)'!G4</f>
        <v>1678</v>
      </c>
      <c r="E43" s="46"/>
      <c r="G43" s="43">
        <f>IFERROR($C43*$H$20*'Premissas (Legados)'!$F$20*1000," ")</f>
        <v>24860167.752176501</v>
      </c>
      <c r="H43" s="43">
        <f>IFERROR($D43*$H$20*'Premissas (Legados)'!$F$20*1000," ")</f>
        <v>22846465.572130002</v>
      </c>
      <c r="I43" s="93"/>
    </row>
    <row r="44" spans="1:10" x14ac:dyDescent="0.35">
      <c r="A44" s="2" t="s">
        <v>43</v>
      </c>
      <c r="B44" s="44" t="s">
        <v>218</v>
      </c>
      <c r="C44" s="290">
        <f>'Demanda (Legados)'!C5</f>
        <v>3040.95</v>
      </c>
      <c r="D44" s="290">
        <f>'Demanda (Legados)'!G5</f>
        <v>2737</v>
      </c>
      <c r="E44" s="46"/>
      <c r="G44" s="43">
        <f>IFERROR($C44*$H$20*'Premissas (Legados)'!$F$20*1000," ")</f>
        <v>41403432.348968253</v>
      </c>
      <c r="H44" s="43">
        <f>IFERROR($D44*$H$20*'Premissas (Legados)'!$F$20*1000," ")</f>
        <v>37265063.331895001</v>
      </c>
      <c r="I44" s="93"/>
    </row>
    <row r="45" spans="1:10" x14ac:dyDescent="0.35">
      <c r="A45" s="2" t="s">
        <v>44</v>
      </c>
      <c r="B45" s="44" t="s">
        <v>219</v>
      </c>
      <c r="C45" s="290">
        <f>'Demanda (Legados)'!C6</f>
        <v>1187.5</v>
      </c>
      <c r="D45" s="290">
        <f>'Demanda (Legados)'!G6</f>
        <v>335</v>
      </c>
      <c r="E45" s="46"/>
      <c r="G45" s="43">
        <f>IFERROR($C45*$H$20*'Premissas (Legados)'!$F$20*1000," ")</f>
        <v>16168163.210312499</v>
      </c>
      <c r="H45" s="43">
        <f>IFERROR($D45*$H$20*'Premissas (Legados)'!$F$20*1000," ")</f>
        <v>4561123.937225</v>
      </c>
      <c r="I45" s="93"/>
    </row>
    <row r="46" spans="1:10" x14ac:dyDescent="0.35">
      <c r="A46" s="2" t="s">
        <v>45</v>
      </c>
      <c r="B46" s="44" t="s">
        <v>220</v>
      </c>
      <c r="C46" s="290">
        <f>'Demanda (Legados)'!C7</f>
        <v>21185</v>
      </c>
      <c r="D46" s="290">
        <f>'Demanda (Legados)'!G7</f>
        <v>17793</v>
      </c>
      <c r="E46" s="46"/>
      <c r="G46" s="43">
        <f>IFERROR($C46*$H$20*'Premissas (Legados)'!$F$20*1000," ")</f>
        <v>288440031.67197496</v>
      </c>
      <c r="H46" s="43">
        <f>IFERROR($D46*$H$20*'Premissas (Legados)'!$F$20*1000," ")</f>
        <v>242256949.89565501</v>
      </c>
      <c r="I46" s="93"/>
    </row>
    <row r="47" spans="1:10" x14ac:dyDescent="0.35">
      <c r="A47" s="2" t="s">
        <v>46</v>
      </c>
      <c r="B47" s="44" t="s">
        <v>221</v>
      </c>
      <c r="C47" s="290">
        <f>'Demanda (Legados)'!C8</f>
        <v>11271.75</v>
      </c>
      <c r="D47" s="290">
        <f>'Demanda (Legados)'!G8</f>
        <v>8406</v>
      </c>
      <c r="E47" s="46"/>
      <c r="G47" s="43">
        <f>IFERROR($C47*$H$20*'Premissas (Legados)'!$F$20*1000," ")</f>
        <v>153468205.19228625</v>
      </c>
      <c r="H47" s="43">
        <f>IFERROR($D47*$H$20*'Premissas (Legados)'!$F$20*1000," ")</f>
        <v>114450172.58600999</v>
      </c>
      <c r="I47" s="93"/>
    </row>
    <row r="48" spans="1:10" x14ac:dyDescent="0.35">
      <c r="A48" s="2" t="s">
        <v>47</v>
      </c>
      <c r="B48" s="44" t="s">
        <v>222</v>
      </c>
      <c r="C48" s="290">
        <f>'Demanda (Legados)'!C9</f>
        <v>3249</v>
      </c>
      <c r="D48" s="290">
        <f>'Demanda (Legados)'!G9</f>
        <v>1714</v>
      </c>
      <c r="E48" s="46"/>
      <c r="G48" s="43">
        <f>IFERROR($C48*$H$20*'Premissas (Legados)'!$F$20*1000," ")</f>
        <v>44236094.543414995</v>
      </c>
      <c r="H48" s="43">
        <f>IFERROR($D48*$H$20*'Premissas (Legados)'!$F$20*1000," ")</f>
        <v>23336616.204189997</v>
      </c>
      <c r="I48" s="93"/>
    </row>
    <row r="49" spans="1:9" x14ac:dyDescent="0.35">
      <c r="A49" s="2" t="s">
        <v>48</v>
      </c>
      <c r="B49" s="44" t="s">
        <v>223</v>
      </c>
      <c r="C49" s="290">
        <f>'Demanda (Legados)'!C10</f>
        <v>498.75</v>
      </c>
      <c r="D49" s="290">
        <f>'Demanda (Legados)'!G10</f>
        <v>323</v>
      </c>
      <c r="E49" s="46"/>
      <c r="G49" s="43">
        <f>IFERROR($C49*$H$20*'Premissas (Legados)'!$F$20*1000," ")</f>
        <v>6790628.5483312495</v>
      </c>
      <c r="H49" s="43">
        <f>IFERROR($D49*$H$20*'Premissas (Legados)'!$F$20*1000," ")</f>
        <v>4397740.3932050001</v>
      </c>
      <c r="I49" s="93"/>
    </row>
    <row r="50" spans="1:9" x14ac:dyDescent="0.35">
      <c r="A50" s="2" t="s">
        <v>49</v>
      </c>
      <c r="B50" s="44" t="s">
        <v>224</v>
      </c>
      <c r="C50" s="290">
        <f>'Demanda (Legados)'!C11</f>
        <v>3321.2</v>
      </c>
      <c r="D50" s="290">
        <f>'Demanda (Legados)'!G11</f>
        <v>2128</v>
      </c>
      <c r="E50" s="46"/>
      <c r="G50" s="43">
        <f>IFERROR($C50*$H$20*'Premissas (Legados)'!$F$20*1000," ")</f>
        <v>45219118.866601996</v>
      </c>
      <c r="H50" s="43">
        <f>IFERROR($D50*$H$20*'Premissas (Legados)'!$F$20*1000," ")</f>
        <v>28973348.472879995</v>
      </c>
      <c r="I50" s="93"/>
    </row>
    <row r="51" spans="1:9" x14ac:dyDescent="0.35">
      <c r="A51" s="2" t="s">
        <v>50</v>
      </c>
      <c r="B51" s="44" t="s">
        <v>225</v>
      </c>
      <c r="C51" s="290">
        <f>'Demanda (Legados)'!C12</f>
        <v>14292.75</v>
      </c>
      <c r="D51" s="290">
        <f>'Demanda (Legados)'!G12</f>
        <v>1237</v>
      </c>
      <c r="E51" s="46"/>
      <c r="G51" s="43">
        <f>IFERROR($C51*$H$20*'Premissas (Legados)'!$F$20*1000," ")</f>
        <v>194600012.39932126</v>
      </c>
      <c r="H51" s="43">
        <f>IFERROR($D51*$H$20*'Premissas (Legados)'!$F$20*1000," ")</f>
        <v>16842120.329395</v>
      </c>
      <c r="I51" s="93"/>
    </row>
    <row r="52" spans="1:9" x14ac:dyDescent="0.35">
      <c r="A52" s="2" t="s">
        <v>51</v>
      </c>
      <c r="B52" s="44" t="s">
        <v>226</v>
      </c>
      <c r="C52" s="290">
        <f>'Demanda (Legados)'!C13</f>
        <v>3971</v>
      </c>
      <c r="D52" s="290">
        <f>'Demanda (Legados)'!G13</f>
        <v>2972</v>
      </c>
      <c r="E52" s="46"/>
      <c r="G52" s="43">
        <f>IFERROR($C52*$H$20*'Premissas (Legados)'!$F$20*1000," ")</f>
        <v>54066337.775284998</v>
      </c>
      <c r="H52" s="43">
        <f>IFERROR($D52*$H$20*'Premissas (Legados)'!$F$20*1000," ")</f>
        <v>40464657.735619992</v>
      </c>
      <c r="I52" s="93"/>
    </row>
    <row r="53" spans="1:9" x14ac:dyDescent="0.35">
      <c r="A53" s="2" t="s">
        <v>52</v>
      </c>
      <c r="B53" s="44" t="s">
        <v>227</v>
      </c>
      <c r="C53" s="290">
        <f>'Demanda (Legados)'!C14</f>
        <v>9941.75</v>
      </c>
      <c r="D53" s="290">
        <f>'Demanda (Legados)'!G14</f>
        <v>7969</v>
      </c>
      <c r="E53" s="46"/>
      <c r="G53" s="43">
        <f>IFERROR($C53*$H$20*'Premissas (Legados)'!$F$20*1000," ")</f>
        <v>135359862.39673626</v>
      </c>
      <c r="H53" s="43">
        <f>IFERROR($D53*$H$20*'Premissas (Legados)'!$F$20*1000," ")</f>
        <v>108500288.52461499</v>
      </c>
      <c r="I53" s="93"/>
    </row>
    <row r="54" spans="1:9" x14ac:dyDescent="0.35">
      <c r="A54" s="2" t="s">
        <v>53</v>
      </c>
      <c r="B54" s="44" t="s">
        <v>228</v>
      </c>
      <c r="C54" s="290">
        <f>'Demanda (Legados)'!C15</f>
        <v>3809.5</v>
      </c>
      <c r="D54" s="290">
        <f>'Demanda (Legados)'!G15</f>
        <v>3281</v>
      </c>
      <c r="E54" s="46"/>
      <c r="G54" s="43">
        <f>IFERROR($C54*$H$20*'Premissas (Legados)'!$F$20*1000," ")</f>
        <v>51867467.578682497</v>
      </c>
      <c r="H54" s="43">
        <f>IFERROR($D54*$H$20*'Premissas (Legados)'!$F$20*1000," ")</f>
        <v>44671783.994134992</v>
      </c>
      <c r="I54" s="93"/>
    </row>
    <row r="55" spans="1:9" x14ac:dyDescent="0.35">
      <c r="A55" s="2" t="s">
        <v>54</v>
      </c>
      <c r="B55" s="44" t="s">
        <v>269</v>
      </c>
      <c r="C55" s="249"/>
      <c r="D55" s="249"/>
      <c r="E55" s="274" t="s">
        <v>461</v>
      </c>
      <c r="G55" s="43">
        <f>IFERROR($C55*$H$20*'Premissas (Legados)'!$F$20*1000," ")</f>
        <v>0</v>
      </c>
      <c r="H55" s="43">
        <f>IFERROR($D55*$H$20*'Premissas (Legados)'!$F$20*1000," ")</f>
        <v>0</v>
      </c>
      <c r="I55" s="93"/>
    </row>
    <row r="56" spans="1:9" x14ac:dyDescent="0.35">
      <c r="A56" s="2" t="s">
        <v>55</v>
      </c>
      <c r="B56" s="44" t="s">
        <v>268</v>
      </c>
      <c r="C56" s="249"/>
      <c r="D56" s="249"/>
      <c r="E56" s="274" t="s">
        <v>461</v>
      </c>
      <c r="G56" s="43">
        <f>IFERROR($C56*$H$20*'Premissas (Legados)'!$F$20*1000," ")</f>
        <v>0</v>
      </c>
      <c r="H56" s="43">
        <f>IFERROR($D56*$H$20*'Premissas (Legados)'!$F$20*1000," ")</f>
        <v>0</v>
      </c>
      <c r="I56" s="93"/>
    </row>
    <row r="57" spans="1:9" x14ac:dyDescent="0.35">
      <c r="A57" s="2" t="s">
        <v>56</v>
      </c>
      <c r="B57" s="44" t="s">
        <v>267</v>
      </c>
      <c r="C57" s="249"/>
      <c r="D57" s="249"/>
      <c r="E57" s="274" t="s">
        <v>461</v>
      </c>
      <c r="G57" s="43">
        <f>IFERROR($C57*$H$20*'Premissas (Legados)'!$F$20*1000," ")</f>
        <v>0</v>
      </c>
      <c r="H57" s="43">
        <f>IFERROR($D57*$H$20*'Premissas (Legados)'!$F$20*1000," ")</f>
        <v>0</v>
      </c>
      <c r="I57" s="93"/>
    </row>
    <row r="58" spans="1:9" x14ac:dyDescent="0.35">
      <c r="C58" s="105">
        <f>SUM(C42:C57)</f>
        <v>78459.549999999988</v>
      </c>
      <c r="D58" s="105">
        <f>SUM(D42:D57)</f>
        <v>51180</v>
      </c>
      <c r="E58" s="105"/>
      <c r="G58" s="105">
        <f>SUM(G42:G57)</f>
        <v>1068249945.1011992</v>
      </c>
      <c r="H58" s="105">
        <f>SUM(H42:H57)</f>
        <v>696830815.24529994</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0.22694967345370728</v>
      </c>
      <c r="C100" s="9"/>
      <c r="D100" t="s">
        <v>304</v>
      </c>
      <c r="E100" s="110">
        <f>H42/$H$58</f>
        <v>1.1860101602188354E-2</v>
      </c>
      <c r="G100" s="109" t="s">
        <v>148</v>
      </c>
      <c r="H100" s="111">
        <f>H25/$H$35</f>
        <v>0.22694967345370728</v>
      </c>
      <c r="I100" s="111">
        <f>H26/$H$35</f>
        <v>0.32014342425406583</v>
      </c>
      <c r="J100" s="111">
        <f>$H27/$H$35</f>
        <v>0.21512037392751951</v>
      </c>
      <c r="K100" s="111">
        <f>$H28/$H$35</f>
        <v>0</v>
      </c>
      <c r="L100" s="111">
        <f>$H29/$H$35</f>
        <v>0</v>
      </c>
      <c r="M100" s="111">
        <f>$H30/$H$35</f>
        <v>0</v>
      </c>
      <c r="N100" s="111">
        <f>$H31/$H$35</f>
        <v>0.2377865283647074</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0.32014342425406583</v>
      </c>
      <c r="C101" s="4"/>
      <c r="D101" t="s">
        <v>305</v>
      </c>
      <c r="E101" s="110">
        <f t="shared" ref="E101:E115" si="2">H43/$H$58</f>
        <v>3.2786244626807355E-2</v>
      </c>
      <c r="W101" s="113"/>
    </row>
    <row r="102" spans="1:27" ht="16.5" x14ac:dyDescent="0.45">
      <c r="A102" t="s">
        <v>296</v>
      </c>
      <c r="B102" s="110">
        <f t="shared" si="1"/>
        <v>0.21512037392751951</v>
      </c>
      <c r="C102" s="4"/>
      <c r="D102" t="s">
        <v>306</v>
      </c>
      <c r="E102" s="110">
        <f t="shared" si="2"/>
        <v>5.3477921062915205E-2</v>
      </c>
      <c r="G102" s="110"/>
      <c r="H102" s="112"/>
      <c r="I102" s="112"/>
    </row>
    <row r="103" spans="1:27" ht="16.5" x14ac:dyDescent="0.45">
      <c r="A103" t="s">
        <v>297</v>
      </c>
      <c r="B103" s="110">
        <f t="shared" si="1"/>
        <v>0</v>
      </c>
      <c r="C103" s="4"/>
      <c r="D103" t="s">
        <v>307</v>
      </c>
      <c r="E103" s="110">
        <f t="shared" si="2"/>
        <v>6.5455255959359134E-3</v>
      </c>
      <c r="G103" s="110"/>
      <c r="H103" s="112"/>
      <c r="I103" s="112"/>
    </row>
    <row r="104" spans="1:27" ht="16.5" x14ac:dyDescent="0.45">
      <c r="A104" t="s">
        <v>298</v>
      </c>
      <c r="B104" s="110">
        <f t="shared" si="1"/>
        <v>0</v>
      </c>
      <c r="C104" s="4"/>
      <c r="D104" t="s">
        <v>308</v>
      </c>
      <c r="E104" s="110">
        <f t="shared" si="2"/>
        <v>0.34765533411488869</v>
      </c>
      <c r="G104" s="110"/>
      <c r="H104" s="112"/>
      <c r="I104" s="112"/>
    </row>
    <row r="105" spans="1:27" ht="16.5" x14ac:dyDescent="0.45">
      <c r="A105" t="s">
        <v>299</v>
      </c>
      <c r="B105" s="110">
        <f t="shared" si="1"/>
        <v>0</v>
      </c>
      <c r="C105" s="4"/>
      <c r="D105" t="s">
        <v>309</v>
      </c>
      <c r="E105" s="110">
        <f t="shared" si="2"/>
        <v>0.1642438452520516</v>
      </c>
      <c r="G105" s="110"/>
      <c r="H105" s="112"/>
      <c r="I105" s="112"/>
    </row>
    <row r="106" spans="1:27" ht="16.5" x14ac:dyDescent="0.45">
      <c r="A106" t="s">
        <v>300</v>
      </c>
      <c r="B106" s="110">
        <f t="shared" si="1"/>
        <v>0.2377865283647074</v>
      </c>
      <c r="C106" s="4"/>
      <c r="D106" t="s">
        <v>310</v>
      </c>
      <c r="E106" s="110">
        <f t="shared" si="2"/>
        <v>3.3489644392340756E-2</v>
      </c>
      <c r="G106" s="110"/>
      <c r="H106" s="112"/>
      <c r="I106" s="112"/>
    </row>
    <row r="107" spans="1:27" ht="16.5" x14ac:dyDescent="0.45">
      <c r="A107" t="s">
        <v>301</v>
      </c>
      <c r="B107" s="110">
        <f t="shared" si="1"/>
        <v>0</v>
      </c>
      <c r="C107" s="4"/>
      <c r="D107" t="s">
        <v>311</v>
      </c>
      <c r="E107" s="110">
        <f t="shared" si="2"/>
        <v>6.311059007424776E-3</v>
      </c>
      <c r="G107" s="110"/>
      <c r="H107" s="112"/>
      <c r="I107" s="112"/>
    </row>
    <row r="108" spans="1:27" ht="16.5" x14ac:dyDescent="0.45">
      <c r="A108" t="s">
        <v>302</v>
      </c>
      <c r="B108" s="110">
        <f t="shared" si="1"/>
        <v>0</v>
      </c>
      <c r="C108" s="4"/>
      <c r="D108" t="s">
        <v>312</v>
      </c>
      <c r="E108" s="110">
        <f t="shared" si="2"/>
        <v>4.1578741695974988E-2</v>
      </c>
      <c r="G108" s="110"/>
      <c r="H108" s="112"/>
      <c r="I108" s="112"/>
    </row>
    <row r="109" spans="1:27" ht="16.5" x14ac:dyDescent="0.45">
      <c r="A109" t="s">
        <v>303</v>
      </c>
      <c r="B109" s="110">
        <f t="shared" si="1"/>
        <v>0</v>
      </c>
      <c r="D109" t="s">
        <v>313</v>
      </c>
      <c r="E109" s="110">
        <f t="shared" si="2"/>
        <v>2.4169597499023057E-2</v>
      </c>
      <c r="G109" s="110"/>
    </row>
    <row r="110" spans="1:27" ht="16.5" x14ac:dyDescent="0.45">
      <c r="B110" s="110">
        <f>SUM(B100:B109)</f>
        <v>1</v>
      </c>
      <c r="D110" t="s">
        <v>314</v>
      </c>
      <c r="E110" s="110">
        <f t="shared" si="2"/>
        <v>5.8069558421258299E-2</v>
      </c>
      <c r="G110" s="110"/>
    </row>
    <row r="111" spans="1:27" ht="16.5" x14ac:dyDescent="0.45">
      <c r="B111" s="112"/>
      <c r="D111" t="s">
        <v>315</v>
      </c>
      <c r="E111" s="110">
        <f t="shared" si="2"/>
        <v>0.155705353653771</v>
      </c>
      <c r="G111" s="110"/>
    </row>
    <row r="112" spans="1:27" ht="16.5" x14ac:dyDescent="0.45">
      <c r="B112" s="112"/>
      <c r="D112" t="s">
        <v>316</v>
      </c>
      <c r="E112" s="110">
        <f t="shared" si="2"/>
        <v>6.4107073075420087E-2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1</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357.06304582714608</v>
      </c>
      <c r="C131" s="114"/>
      <c r="D131" t="s">
        <v>325</v>
      </c>
      <c r="E131" s="4">
        <f ca="1">SUMPRODUCT($H$100:$Q$100,$C68:$L68)</f>
        <v>349.73174763093868</v>
      </c>
    </row>
    <row r="132" spans="1:5" ht="16.5" x14ac:dyDescent="0.45">
      <c r="A132" t="s">
        <v>326</v>
      </c>
      <c r="B132" s="110">
        <f ca="1">SUMPRODUCT($E$100:$E$115,D$68:D$83)</f>
        <v>203.52647278168561</v>
      </c>
      <c r="C132" s="114"/>
      <c r="D132" t="s">
        <v>327</v>
      </c>
      <c r="E132" s="4">
        <f t="shared" ref="E132:E146" ca="1" si="3">SUMPRODUCT($H$100:$Q$100,$C69:$L69)</f>
        <v>446.89574763093867</v>
      </c>
    </row>
    <row r="133" spans="1:5" ht="16.5" x14ac:dyDescent="0.45">
      <c r="A133" t="s">
        <v>328</v>
      </c>
      <c r="B133" s="110">
        <f ca="1">SUMPRODUCT($E$100:$E$115,E$68:E$83)</f>
        <v>237.87828895076203</v>
      </c>
      <c r="C133" s="114"/>
      <c r="D133" t="s">
        <v>329</v>
      </c>
      <c r="E133" s="4">
        <f t="shared" ca="1" si="3"/>
        <v>564.0609476309387</v>
      </c>
    </row>
    <row r="134" spans="1:5" ht="16.5" x14ac:dyDescent="0.45">
      <c r="A134" t="s">
        <v>330</v>
      </c>
      <c r="B134" s="110">
        <f ca="1">SUMPRODUCT($E$100:$E$115,F$68:F$83)</f>
        <v>472.7892446925884</v>
      </c>
      <c r="C134" s="114"/>
      <c r="D134" t="s">
        <v>331</v>
      </c>
      <c r="E134" s="4">
        <f t="shared" ca="1" si="3"/>
        <v>603.94218097707778</v>
      </c>
    </row>
    <row r="135" spans="1:5" ht="16.5" x14ac:dyDescent="0.45">
      <c r="A135" t="s">
        <v>332</v>
      </c>
      <c r="B135" s="110">
        <f ca="1">SUMPRODUCT($E$100:$E$115,G$68:G$83)</f>
        <v>190.83048821610006</v>
      </c>
      <c r="C135" s="114"/>
      <c r="D135" t="s">
        <v>333</v>
      </c>
      <c r="E135" s="4">
        <f t="shared" ca="1" si="3"/>
        <v>169.85369733640673</v>
      </c>
    </row>
    <row r="136" spans="1:5" ht="16.5" x14ac:dyDescent="0.45">
      <c r="A136" t="s">
        <v>334</v>
      </c>
      <c r="B136" s="110">
        <f ca="1">SUMPRODUCT($E$100:$E$115,H$68:H$83)</f>
        <v>378.29690127588907</v>
      </c>
      <c r="C136" s="114"/>
      <c r="D136" t="s">
        <v>335</v>
      </c>
      <c r="E136" s="4">
        <f t="shared" ca="1" si="3"/>
        <v>169.20826030861826</v>
      </c>
    </row>
    <row r="137" spans="1:5" ht="16.5" x14ac:dyDescent="0.45">
      <c r="A137" t="s">
        <v>336</v>
      </c>
      <c r="B137" s="110">
        <f ca="1">SUMPRODUCT($E$100:$E$115,I$68:I$83)</f>
        <v>338.96092212778433</v>
      </c>
      <c r="D137" t="s">
        <v>337</v>
      </c>
      <c r="E137" s="4">
        <f t="shared" ca="1" si="3"/>
        <v>195.00986753105394</v>
      </c>
    </row>
    <row r="138" spans="1:5" ht="16.5" x14ac:dyDescent="0.45">
      <c r="A138" t="s">
        <v>338</v>
      </c>
      <c r="B138" s="110">
        <f ca="1">SUMPRODUCT($E$100:$E$115,J$68:J$83)</f>
        <v>306.07333005275507</v>
      </c>
      <c r="D138" t="s">
        <v>339</v>
      </c>
      <c r="E138" s="4">
        <f t="shared" ca="1" si="3"/>
        <v>228.4369185875272</v>
      </c>
    </row>
    <row r="139" spans="1:5" ht="16.5" x14ac:dyDescent="0.45">
      <c r="A139" t="s">
        <v>340</v>
      </c>
      <c r="B139" s="110">
        <f ca="1">SUMPRODUCT($E$100:$E$115,K$68:K$83)</f>
        <v>472.7892446925884</v>
      </c>
      <c r="D139" t="s">
        <v>341</v>
      </c>
      <c r="E139" s="4">
        <f t="shared" ca="1" si="3"/>
        <v>172.15709930849022</v>
      </c>
    </row>
    <row r="140" spans="1:5" ht="16.5" x14ac:dyDescent="0.45">
      <c r="A140" t="s">
        <v>342</v>
      </c>
      <c r="B140" s="110">
        <f ca="1">SUMPRODUCT($E$100:$E$115,L$68:L$83)</f>
        <v>338.96092212778433</v>
      </c>
      <c r="D140" t="s">
        <v>343</v>
      </c>
      <c r="E140" s="4">
        <f t="shared" ca="1" si="3"/>
        <v>326.95728702992272</v>
      </c>
    </row>
    <row r="141" spans="1:5" ht="16.5" x14ac:dyDescent="0.45">
      <c r="B141" s="110"/>
      <c r="D141" t="s">
        <v>344</v>
      </c>
      <c r="E141" s="4">
        <f t="shared" ca="1" si="3"/>
        <v>317.58359146497634</v>
      </c>
    </row>
    <row r="142" spans="1:5" ht="16.5" x14ac:dyDescent="0.45">
      <c r="B142" s="110"/>
      <c r="D142" t="s">
        <v>345</v>
      </c>
      <c r="E142" s="4">
        <f t="shared" ca="1" si="3"/>
        <v>429.72119262389555</v>
      </c>
    </row>
    <row r="143" spans="1:5" ht="16.5" x14ac:dyDescent="0.45">
      <c r="B143" s="110"/>
      <c r="D143" t="s">
        <v>346</v>
      </c>
      <c r="E143" s="4">
        <f t="shared" ca="1" si="3"/>
        <v>465.17827673197587</v>
      </c>
    </row>
    <row r="144" spans="1:5" ht="16.5" x14ac:dyDescent="0.45">
      <c r="B144" s="110"/>
      <c r="D144" t="s">
        <v>347</v>
      </c>
      <c r="E144" s="4">
        <f t="shared" si="3"/>
        <v>359.84127673197594</v>
      </c>
    </row>
    <row r="145" spans="1:5" ht="16.5" x14ac:dyDescent="0.45">
      <c r="B145" s="110"/>
      <c r="D145" t="s">
        <v>348</v>
      </c>
      <c r="E145" s="4">
        <f t="shared" si="3"/>
        <v>510.17618097707771</v>
      </c>
    </row>
    <row r="146" spans="1:5" ht="16.5" x14ac:dyDescent="0.45">
      <c r="B146" s="110"/>
      <c r="D146" t="s">
        <v>349</v>
      </c>
      <c r="E146" s="4">
        <f t="shared" si="3"/>
        <v>222.13823328851328</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0.29152988768898025</v>
      </c>
      <c r="C163" s="36"/>
      <c r="D163" t="s">
        <v>355</v>
      </c>
      <c r="E163" s="115">
        <f t="shared" ref="E163:E178" ca="1" si="4">($H42*$E131)/SUMPRODUCT($H$42:$H$57,$E$131:$E$146)</f>
        <v>1.4922173507490765E-2</v>
      </c>
    </row>
    <row r="164" spans="1:9" ht="16.5" x14ac:dyDescent="0.45">
      <c r="A164" t="s">
        <v>356</v>
      </c>
      <c r="B164" s="115">
        <f t="shared" ref="B164:B172" ca="1" si="5">($H26*$B132)/SUMPRODUCT($H$25:$H$34,$B$131:$B$140)</f>
        <v>0.23440890696517447</v>
      </c>
      <c r="C164" s="4"/>
      <c r="D164" t="s">
        <v>357</v>
      </c>
      <c r="E164" s="115">
        <f t="shared" ca="1" si="4"/>
        <v>5.2711638361159413E-2</v>
      </c>
    </row>
    <row r="165" spans="1:9" ht="16.5" x14ac:dyDescent="0.45">
      <c r="A165" t="s">
        <v>358</v>
      </c>
      <c r="B165" s="115">
        <f t="shared" ca="1" si="5"/>
        <v>0.18409626093991266</v>
      </c>
      <c r="C165" s="4"/>
      <c r="D165" t="s">
        <v>359</v>
      </c>
      <c r="E165" s="115">
        <f t="shared" ca="1" si="4"/>
        <v>0.10851984539767998</v>
      </c>
      <c r="H165" s="116"/>
      <c r="I165" s="116"/>
    </row>
    <row r="166" spans="1:9" ht="16.5" x14ac:dyDescent="0.45">
      <c r="A166" t="s">
        <v>360</v>
      </c>
      <c r="B166" s="115">
        <f t="shared" ca="1" si="5"/>
        <v>0</v>
      </c>
      <c r="C166" s="4"/>
      <c r="D166" t="s">
        <v>361</v>
      </c>
      <c r="E166" s="115">
        <f t="shared" ca="1" si="4"/>
        <v>1.4221601535402174E-2</v>
      </c>
    </row>
    <row r="167" spans="1:9" ht="16.5" x14ac:dyDescent="0.45">
      <c r="A167" t="s">
        <v>362</v>
      </c>
      <c r="B167" s="115">
        <f t="shared" ca="1" si="5"/>
        <v>0</v>
      </c>
      <c r="C167" s="4"/>
      <c r="D167" t="s">
        <v>363</v>
      </c>
      <c r="E167" s="115">
        <f t="shared" ca="1" si="4"/>
        <v>0.21243815450724829</v>
      </c>
    </row>
    <row r="168" spans="1:9" ht="16.5" x14ac:dyDescent="0.45">
      <c r="A168" t="s">
        <v>364</v>
      </c>
      <c r="B168" s="115">
        <f t="shared" ca="1" si="5"/>
        <v>0</v>
      </c>
      <c r="C168" s="4"/>
      <c r="D168" t="s">
        <v>365</v>
      </c>
      <c r="E168" s="115">
        <f t="shared" ca="1" si="4"/>
        <v>9.9981415788951034E-2</v>
      </c>
    </row>
    <row r="169" spans="1:9" ht="16.5" x14ac:dyDescent="0.45">
      <c r="A169" t="s">
        <v>366</v>
      </c>
      <c r="B169" s="115">
        <f t="shared" ca="1" si="5"/>
        <v>0.28996494440593257</v>
      </c>
      <c r="C169" s="4"/>
      <c r="D169" t="s">
        <v>367</v>
      </c>
      <c r="E169" s="115">
        <f t="shared" ca="1" si="4"/>
        <v>2.3495015785829729E-2</v>
      </c>
    </row>
    <row r="170" spans="1:9" ht="16.5" x14ac:dyDescent="0.45">
      <c r="A170" t="s">
        <v>368</v>
      </c>
      <c r="B170" s="115">
        <f t="shared" ca="1" si="5"/>
        <v>0</v>
      </c>
      <c r="C170" s="4"/>
      <c r="D170" t="s">
        <v>369</v>
      </c>
      <c r="E170" s="115">
        <f t="shared" ca="1" si="4"/>
        <v>5.1865330763519926E-3</v>
      </c>
    </row>
    <row r="171" spans="1:9" ht="16.5" x14ac:dyDescent="0.45">
      <c r="A171" t="s">
        <v>370</v>
      </c>
      <c r="B171" s="115">
        <f t="shared" ca="1" si="5"/>
        <v>0</v>
      </c>
      <c r="D171" t="s">
        <v>371</v>
      </c>
      <c r="E171" s="115">
        <f t="shared" ca="1" si="4"/>
        <v>2.5751640240755675E-2</v>
      </c>
    </row>
    <row r="172" spans="1:9" ht="16.5" x14ac:dyDescent="0.45">
      <c r="A172" t="s">
        <v>372</v>
      </c>
      <c r="B172" s="115">
        <f t="shared" ca="1" si="5"/>
        <v>0</v>
      </c>
      <c r="D172" t="s">
        <v>373</v>
      </c>
      <c r="E172" s="115">
        <f t="shared" ca="1" si="4"/>
        <v>2.8429489221598988E-2</v>
      </c>
    </row>
    <row r="173" spans="1:9" ht="16.5" x14ac:dyDescent="0.45">
      <c r="B173" s="233">
        <f ca="1">SUM(B163:B172)</f>
        <v>0.99999999999999989</v>
      </c>
      <c r="D173" t="s">
        <v>374</v>
      </c>
      <c r="E173" s="115">
        <f t="shared" ca="1" si="4"/>
        <v>6.634606915861388E-2</v>
      </c>
    </row>
    <row r="174" spans="1:9" ht="16.5" x14ac:dyDescent="0.45">
      <c r="B174" s="115"/>
      <c r="D174" t="s">
        <v>375</v>
      </c>
      <c r="E174" s="115">
        <f t="shared" ca="1" si="4"/>
        <v>0.24071266188108145</v>
      </c>
    </row>
    <row r="175" spans="1:9" ht="16.5" x14ac:dyDescent="0.45">
      <c r="B175" s="115"/>
      <c r="D175" t="s">
        <v>376</v>
      </c>
      <c r="E175" s="115">
        <f t="shared" ca="1" si="4"/>
        <v>0.10728376153783661</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0.99999999999999978</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1458.1910267687283</v>
      </c>
      <c r="C194" s="47"/>
      <c r="D194" t="s">
        <v>383</v>
      </c>
      <c r="E194" s="6">
        <f t="shared" ref="E194:E209" ca="1" si="7">$E163*$D$9</f>
        <v>31.859882592822817</v>
      </c>
    </row>
    <row r="195" spans="1:5" ht="16.5" x14ac:dyDescent="0.45">
      <c r="A195" t="s">
        <v>384</v>
      </c>
      <c r="B195" s="7">
        <f t="shared" ca="1" si="6"/>
        <v>1172.4800069073792</v>
      </c>
      <c r="D195" t="s">
        <v>385</v>
      </c>
      <c r="E195" s="6">
        <f t="shared" ca="1" si="7"/>
        <v>112.54302924562839</v>
      </c>
    </row>
    <row r="196" spans="1:5" ht="16.5" x14ac:dyDescent="0.45">
      <c r="A196" t="s">
        <v>386</v>
      </c>
      <c r="B196" s="7">
        <f t="shared" ca="1" si="6"/>
        <v>920.82330869159193</v>
      </c>
      <c r="D196" t="s">
        <v>387</v>
      </c>
      <c r="E196" s="6">
        <f t="shared" ca="1" si="7"/>
        <v>231.6974488753784</v>
      </c>
    </row>
    <row r="197" spans="1:5" ht="16.5" x14ac:dyDescent="0.45">
      <c r="A197" t="s">
        <v>388</v>
      </c>
      <c r="B197" s="7">
        <f t="shared" ca="1" si="6"/>
        <v>0</v>
      </c>
      <c r="D197" t="s">
        <v>389</v>
      </c>
      <c r="E197" s="6">
        <f t="shared" ca="1" si="7"/>
        <v>30.364112504949198</v>
      </c>
    </row>
    <row r="198" spans="1:5" ht="16.5" x14ac:dyDescent="0.45">
      <c r="A198" t="s">
        <v>390</v>
      </c>
      <c r="B198" s="7">
        <f t="shared" ca="1" si="6"/>
        <v>0</v>
      </c>
      <c r="D198" t="s">
        <v>391</v>
      </c>
      <c r="E198" s="6">
        <f t="shared" ca="1" si="7"/>
        <v>453.57029640751028</v>
      </c>
    </row>
    <row r="199" spans="1:5" ht="16.5" x14ac:dyDescent="0.45">
      <c r="A199" t="s">
        <v>392</v>
      </c>
      <c r="B199" s="7">
        <f t="shared" ca="1" si="6"/>
        <v>0</v>
      </c>
      <c r="D199" t="s">
        <v>393</v>
      </c>
      <c r="E199" s="6">
        <f t="shared" ca="1" si="7"/>
        <v>213.46730534269341</v>
      </c>
    </row>
    <row r="200" spans="1:5" ht="16.5" x14ac:dyDescent="0.45">
      <c r="A200" t="s">
        <v>394</v>
      </c>
      <c r="B200" s="7">
        <f t="shared" ca="1" si="6"/>
        <v>1450.3634030872188</v>
      </c>
      <c r="D200" t="s">
        <v>395</v>
      </c>
      <c r="E200" s="6">
        <f t="shared" ca="1" si="7"/>
        <v>50.163499578482373</v>
      </c>
    </row>
    <row r="201" spans="1:5" ht="16.5" x14ac:dyDescent="0.45">
      <c r="A201" t="s">
        <v>396</v>
      </c>
      <c r="B201" s="7">
        <f t="shared" ca="1" si="6"/>
        <v>0</v>
      </c>
      <c r="D201" t="s">
        <v>397</v>
      </c>
      <c r="E201" s="6">
        <f t="shared" ca="1" si="7"/>
        <v>11.073610341912779</v>
      </c>
    </row>
    <row r="202" spans="1:5" ht="16.5" x14ac:dyDescent="0.45">
      <c r="A202" t="s">
        <v>398</v>
      </c>
      <c r="B202" s="7">
        <f t="shared" ca="1" si="6"/>
        <v>0</v>
      </c>
      <c r="D202" t="s">
        <v>399</v>
      </c>
      <c r="E202" s="6">
        <f t="shared" ca="1" si="7"/>
        <v>54.981550390848454</v>
      </c>
    </row>
    <row r="203" spans="1:5" ht="16.5" x14ac:dyDescent="0.45">
      <c r="A203" t="s">
        <v>400</v>
      </c>
      <c r="B203" s="7">
        <f t="shared" ca="1" si="6"/>
        <v>0</v>
      </c>
      <c r="D203" t="s">
        <v>401</v>
      </c>
      <c r="E203" s="6">
        <f t="shared" ca="1" si="7"/>
        <v>60.698944984079162</v>
      </c>
    </row>
    <row r="204" spans="1:5" ht="16.5" x14ac:dyDescent="0.45">
      <c r="B204" s="7">
        <f ca="1">SUM(B194:B203)</f>
        <v>5001.8577454549186</v>
      </c>
      <c r="D204" t="s">
        <v>402</v>
      </c>
      <c r="E204" s="6">
        <f t="shared" ca="1" si="7"/>
        <v>141.65349121745891</v>
      </c>
    </row>
    <row r="205" spans="1:5" ht="16.5" x14ac:dyDescent="0.45">
      <c r="B205" s="7"/>
      <c r="D205" t="s">
        <v>403</v>
      </c>
      <c r="E205" s="6">
        <f t="shared" ca="1" si="7"/>
        <v>513.93834432278379</v>
      </c>
    </row>
    <row r="206" spans="1:5" ht="16.5" x14ac:dyDescent="0.45">
      <c r="B206" s="7"/>
      <c r="D206" t="s">
        <v>404</v>
      </c>
      <c r="E206" s="6">
        <f t="shared" ca="1" si="7"/>
        <v>229.05832350736659</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2135.0698393119146</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7.553920035444194</v>
      </c>
      <c r="D227" s="121"/>
      <c r="E227" s="8"/>
      <c r="F227" s="8"/>
      <c r="G227" s="122"/>
      <c r="H227" s="48" t="s">
        <v>415</v>
      </c>
      <c r="I227" s="48" t="str">
        <f t="shared" ref="I227:I242" si="8">B42</f>
        <v>NTS MG 1</v>
      </c>
      <c r="J227" s="12">
        <f ca="1">IFERROR($E194/$H42*1000000," ")</f>
        <v>3.8550357842477823</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4.3057457736276836</v>
      </c>
      <c r="D228" s="121"/>
      <c r="E228" s="8"/>
      <c r="F228" s="8"/>
      <c r="G228" s="122"/>
      <c r="H228" s="48" t="s">
        <v>417</v>
      </c>
      <c r="I228" s="48" t="str">
        <f t="shared" si="8"/>
        <v>NTS MG 2</v>
      </c>
      <c r="J228" s="12">
        <f t="shared" ref="J228:J242" ca="1" si="11">IFERROR($E195/$H43*1000000," ")</f>
        <v>4.9260586452776147</v>
      </c>
      <c r="L228" s="21"/>
      <c r="M228" s="123"/>
      <c r="Q228" s="8"/>
      <c r="R228" s="124"/>
      <c r="S228" s="125"/>
      <c r="T228" s="125"/>
      <c r="U228" s="125"/>
    </row>
    <row r="229" spans="1:21" ht="16.5" x14ac:dyDescent="0.35">
      <c r="A229" s="48" t="s">
        <v>418</v>
      </c>
      <c r="B229" s="48" t="str">
        <f t="shared" si="9"/>
        <v>PR-ITABORAÍ</v>
      </c>
      <c r="C229" s="12">
        <f t="shared" ca="1" si="10"/>
        <v>5.0324826214926448</v>
      </c>
      <c r="D229" s="121"/>
      <c r="E229" s="8"/>
      <c r="F229" s="8"/>
      <c r="G229" s="122"/>
      <c r="H229" s="48" t="s">
        <v>419</v>
      </c>
      <c r="I229" s="48" t="str">
        <f t="shared" si="8"/>
        <v>NTS MG 3</v>
      </c>
      <c r="J229" s="12">
        <f t="shared" ca="1" si="11"/>
        <v>6.2175514586357776</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6.6571557631084248</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1.872269491557919</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1.865154944893346</v>
      </c>
      <c r="L232" s="21"/>
      <c r="M232" s="123"/>
      <c r="Q232" s="8"/>
      <c r="R232" s="124"/>
      <c r="S232" s="125"/>
      <c r="T232" s="125"/>
      <c r="U232" s="125"/>
    </row>
    <row r="233" spans="1:21" ht="16.5" x14ac:dyDescent="0.35">
      <c r="A233" s="48" t="s">
        <v>426</v>
      </c>
      <c r="B233" s="48" t="str">
        <f t="shared" si="9"/>
        <v>PR-TECAB</v>
      </c>
      <c r="C233" s="12">
        <f t="shared" ca="1" si="10"/>
        <v>7.1709568683095739</v>
      </c>
      <c r="D233" s="121"/>
      <c r="E233" s="8"/>
      <c r="F233" s="8"/>
      <c r="G233" s="122"/>
      <c r="H233" s="48" t="s">
        <v>427</v>
      </c>
      <c r="I233" s="48" t="str">
        <f t="shared" si="8"/>
        <v>NTS RJ 3</v>
      </c>
      <c r="J233" s="12">
        <f t="shared" ca="1" si="11"/>
        <v>2.1495618361961029</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2.5180227461863698</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1.8976595143054658</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3.6039966344462981</v>
      </c>
      <c r="L236" s="21"/>
      <c r="Q236" s="8"/>
      <c r="R236" s="124"/>
      <c r="S236" s="125"/>
      <c r="T236" s="125"/>
      <c r="U236" s="125"/>
    </row>
    <row r="237" spans="1:21" ht="16.5" x14ac:dyDescent="0.35">
      <c r="D237" s="116"/>
      <c r="E237" s="8"/>
      <c r="F237" s="8"/>
      <c r="G237" s="116"/>
      <c r="H237" s="48" t="s">
        <v>434</v>
      </c>
      <c r="I237" s="48" t="str">
        <f t="shared" si="8"/>
        <v>NTS SP 2</v>
      </c>
      <c r="J237" s="12">
        <f t="shared" ca="1" si="11"/>
        <v>3.5006719232117711</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4.7367463378329067</v>
      </c>
      <c r="L238" s="21"/>
      <c r="Q238" s="8"/>
      <c r="R238" s="124"/>
      <c r="S238" s="125"/>
      <c r="T238" s="125"/>
      <c r="U238" s="125"/>
    </row>
    <row r="239" spans="1:21" ht="16.5" x14ac:dyDescent="0.35">
      <c r="D239" s="116"/>
      <c r="E239" s="8"/>
      <c r="F239" s="8"/>
      <c r="G239" s="116"/>
      <c r="H239" s="48" t="s">
        <v>436</v>
      </c>
      <c r="I239" s="48" t="str">
        <f t="shared" si="8"/>
        <v>NTS SP 4</v>
      </c>
      <c r="J239" s="12">
        <f t="shared" ca="1" si="11"/>
        <v>5.1275839697254959</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1.5107840070888385</v>
      </c>
      <c r="D246" s="12">
        <f t="shared" ref="D246:D252" ca="1" si="13">$F$8*$C$12</f>
        <v>4.704449890690996</v>
      </c>
      <c r="E246" s="12">
        <f ca="1">IFERROR(C246+D246," ")</f>
        <v>6.215233897779834</v>
      </c>
      <c r="F246" s="256">
        <f ca="1">E246*H25</f>
        <v>1199774190.9480579</v>
      </c>
      <c r="G246" s="123"/>
      <c r="H246" s="48" t="s">
        <v>415</v>
      </c>
      <c r="I246" s="48" t="str">
        <f t="shared" ref="I246:I261" si="14">I227</f>
        <v>NTS MG 1</v>
      </c>
      <c r="J246" s="12">
        <f ca="1">IF(H42=0," ",J227*(1-$C$12))</f>
        <v>0.77100715684955623</v>
      </c>
      <c r="K246" s="12">
        <f t="shared" ref="K246:K258" ca="1" si="15">$F$11*$C$12</f>
        <v>2.4511772930826234</v>
      </c>
      <c r="L246" s="12">
        <f ca="1">IFERROR(J246+K246," ")</f>
        <v>3.2221844499321799</v>
      </c>
      <c r="M246" s="256">
        <f ca="1">L246*H42</f>
        <v>26629692.696170382</v>
      </c>
      <c r="N246" s="131"/>
    </row>
    <row r="247" spans="1:22" ht="16.5" x14ac:dyDescent="0.35">
      <c r="A247" s="48" t="s">
        <v>416</v>
      </c>
      <c r="B247" s="48" t="str">
        <f t="shared" si="12"/>
        <v>PR-GNLBGB</v>
      </c>
      <c r="C247" s="12">
        <f t="shared" ref="C247:C255" ca="1" si="16">IF(H26=0," ",C228*(1-$C$12))</f>
        <v>0.86114915472553655</v>
      </c>
      <c r="D247" s="12">
        <f t="shared" ca="1" si="13"/>
        <v>4.704449890690996</v>
      </c>
      <c r="E247" s="12">
        <f t="shared" ref="E247:E252" ca="1" si="17">IFERROR(C247+D247," ")</f>
        <v>5.5655990454165325</v>
      </c>
      <c r="F247" s="256">
        <f t="shared" ref="F247:F252" ca="1" si="18">E247*H26</f>
        <v>1515545494.3908033</v>
      </c>
      <c r="G247" s="123"/>
      <c r="H247" s="48" t="s">
        <v>417</v>
      </c>
      <c r="I247" s="48" t="str">
        <f t="shared" si="14"/>
        <v>NTS MG 2</v>
      </c>
      <c r="J247" s="12">
        <f t="shared" ref="J247:J248" ca="1" si="19">IF(H43=0," ",J228*(1-$C$12))</f>
        <v>0.98521172905552268</v>
      </c>
      <c r="K247" s="12">
        <f t="shared" ca="1" si="15"/>
        <v>2.4511772930826234</v>
      </c>
      <c r="L247" s="12">
        <f t="shared" ref="L247:L258" ca="1" si="20">IFERROR(J247+K247," ")</f>
        <v>3.4363890221381461</v>
      </c>
      <c r="M247" s="256">
        <f t="shared" ref="M247:M258" ca="1" si="21">L247*H43</f>
        <v>78509343.486724645</v>
      </c>
    </row>
    <row r="248" spans="1:22" ht="16.5" x14ac:dyDescent="0.35">
      <c r="A248" s="48" t="s">
        <v>418</v>
      </c>
      <c r="B248" s="48" t="str">
        <f t="shared" si="12"/>
        <v>PR-ITABORAÍ</v>
      </c>
      <c r="C248" s="12">
        <f t="shared" ca="1" si="16"/>
        <v>1.0064965242985286</v>
      </c>
      <c r="D248" s="12">
        <f t="shared" ca="1" si="13"/>
        <v>4.704449890690996</v>
      </c>
      <c r="E248" s="12">
        <f t="shared" ca="1" si="17"/>
        <v>5.7109464149895244</v>
      </c>
      <c r="F248" s="256">
        <f t="shared" ca="1" si="18"/>
        <v>1044965868.5659357</v>
      </c>
      <c r="G248" s="123"/>
      <c r="H248" s="48" t="s">
        <v>419</v>
      </c>
      <c r="I248" s="48" t="str">
        <f t="shared" si="14"/>
        <v>NTS MG 3</v>
      </c>
      <c r="J248" s="12">
        <f t="shared" ca="1" si="19"/>
        <v>1.2435102917271552</v>
      </c>
      <c r="K248" s="12">
        <f t="shared" ca="1" si="15"/>
        <v>2.4511772930826234</v>
      </c>
      <c r="L248" s="12">
        <f t="shared" ca="1" si="20"/>
        <v>3.6946875848097784</v>
      </c>
      <c r="M248" s="256">
        <f t="shared" ca="1" si="21"/>
        <v>137682766.83950257</v>
      </c>
    </row>
    <row r="249" spans="1:22" ht="16.5" x14ac:dyDescent="0.35">
      <c r="A249" s="48" t="s">
        <v>420</v>
      </c>
      <c r="B249" s="48" t="str">
        <f t="shared" si="12"/>
        <v>PR-GASPAJ (INTERCONEXÃO)</v>
      </c>
      <c r="C249" s="12" t="str">
        <f t="shared" si="16"/>
        <v xml:space="preserve"> </v>
      </c>
      <c r="D249" s="12">
        <f t="shared" ca="1" si="13"/>
        <v>4.704449890690996</v>
      </c>
      <c r="E249" s="127">
        <f ca="1">E271</f>
        <v>0.57466792842057002</v>
      </c>
      <c r="F249" s="256">
        <f t="shared" ca="1" si="18"/>
        <v>0</v>
      </c>
      <c r="G249" s="123"/>
      <c r="H249" s="48" t="s">
        <v>421</v>
      </c>
      <c r="I249" s="48" t="str">
        <f t="shared" si="14"/>
        <v>NTS MG 4</v>
      </c>
      <c r="J249" s="12">
        <f ca="1">IF(H45=0," ",J230*(1-$C$12))</f>
        <v>1.3314311526216847</v>
      </c>
      <c r="K249" s="12">
        <f t="shared" ca="1" si="15"/>
        <v>2.4511772930826234</v>
      </c>
      <c r="L249" s="12">
        <f t="shared" ca="1" si="20"/>
        <v>3.7826084457043079</v>
      </c>
      <c r="M249" s="256">
        <f t="shared" ca="1" si="21"/>
        <v>17252945.926851369</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0.37445389831158371</v>
      </c>
      <c r="K250" s="12">
        <f t="shared" ca="1" si="15"/>
        <v>2.4511772930826234</v>
      </c>
      <c r="L250" s="12">
        <f t="shared" ca="1" si="20"/>
        <v>2.8256311913942072</v>
      </c>
      <c r="M250" s="256">
        <f t="shared" ca="1" si="21"/>
        <v>684528793.95718646</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0.3730309889786691</v>
      </c>
      <c r="K251" s="12">
        <f t="shared" ca="1" si="15"/>
        <v>2.4511772930826234</v>
      </c>
      <c r="L251" s="12">
        <f t="shared" ca="1" si="20"/>
        <v>2.8242082820612926</v>
      </c>
      <c r="M251" s="256">
        <f t="shared" ca="1" si="21"/>
        <v>323231125.30075371</v>
      </c>
    </row>
    <row r="252" spans="1:22" ht="16.5" x14ac:dyDescent="0.35">
      <c r="A252" s="48" t="s">
        <v>426</v>
      </c>
      <c r="B252" s="48" t="str">
        <f t="shared" si="12"/>
        <v>PR-TECAB</v>
      </c>
      <c r="C252" s="12">
        <f t="shared" ca="1" si="16"/>
        <v>1.4341913736619145</v>
      </c>
      <c r="D252" s="12">
        <f t="shared" ca="1" si="13"/>
        <v>4.704449890690996</v>
      </c>
      <c r="E252" s="12">
        <f t="shared" ca="1" si="17"/>
        <v>6.1386412643529109</v>
      </c>
      <c r="F252" s="256">
        <f t="shared" ca="1" si="18"/>
        <v>1241572191.5501218</v>
      </c>
      <c r="G252" s="123"/>
      <c r="H252" s="48" t="s">
        <v>427</v>
      </c>
      <c r="I252" s="48" t="str">
        <f t="shared" si="14"/>
        <v>NTS RJ 3</v>
      </c>
      <c r="J252" s="12">
        <f t="shared" ca="1" si="22"/>
        <v>0.42991236723922049</v>
      </c>
      <c r="K252" s="12">
        <f t="shared" ca="1" si="15"/>
        <v>2.4511772930826234</v>
      </c>
      <c r="L252" s="12">
        <f t="shared" ca="1" si="20"/>
        <v>2.8810896603218441</v>
      </c>
      <c r="M252" s="256">
        <f t="shared" ca="1" si="21"/>
        <v>67234883.652791008</v>
      </c>
    </row>
    <row r="253" spans="1:22" ht="16.5" x14ac:dyDescent="0.35">
      <c r="A253" s="48" t="s">
        <v>428</v>
      </c>
      <c r="B253" s="48" t="str">
        <f t="shared" si="12"/>
        <v>PR-GUARAREMA (INTERCONEXÃO)</v>
      </c>
      <c r="C253" s="12" t="str">
        <f t="shared" si="16"/>
        <v xml:space="preserve"> </v>
      </c>
      <c r="D253" s="12"/>
      <c r="E253" s="127">
        <f ca="1">E269</f>
        <v>0.53457884528014366</v>
      </c>
      <c r="F253" s="257"/>
      <c r="G253" s="123"/>
      <c r="H253" s="48" t="s">
        <v>429</v>
      </c>
      <c r="I253" s="48" t="str">
        <f t="shared" si="14"/>
        <v>NTS RJ 4</v>
      </c>
      <c r="J253" s="12">
        <f t="shared" ca="1" si="22"/>
        <v>0.50360454923727382</v>
      </c>
      <c r="K253" s="12">
        <f t="shared" ca="1" si="15"/>
        <v>2.4511772930826234</v>
      </c>
      <c r="L253" s="12">
        <f t="shared" ca="1" si="20"/>
        <v>2.954781842319897</v>
      </c>
      <c r="M253" s="256">
        <f t="shared" ca="1" si="21"/>
        <v>12994363.461078899</v>
      </c>
    </row>
    <row r="254" spans="1:22" ht="16.5" x14ac:dyDescent="0.35">
      <c r="A254" s="48" t="s">
        <v>430</v>
      </c>
      <c r="B254" s="48" t="str">
        <f t="shared" si="12"/>
        <v>PR-REPLAN (INTERCONEXÃO)</v>
      </c>
      <c r="C254" s="12" t="str">
        <f t="shared" si="16"/>
        <v xml:space="preserve"> </v>
      </c>
      <c r="D254" s="12"/>
      <c r="E254" s="127">
        <f ca="1">E268</f>
        <v>0.57466792842057002</v>
      </c>
      <c r="F254" s="258">
        <f ca="1">SUM(F246:F252)</f>
        <v>5001857745.4549189</v>
      </c>
      <c r="G254" s="123"/>
      <c r="H254" s="48" t="s">
        <v>431</v>
      </c>
      <c r="I254" s="48" t="str">
        <f t="shared" si="14"/>
        <v>NTS RJ 5</v>
      </c>
      <c r="J254" s="12">
        <f t="shared" ca="1" si="22"/>
        <v>0.37953190286109306</v>
      </c>
      <c r="K254" s="12">
        <f t="shared" ca="1" si="15"/>
        <v>2.4511772930826234</v>
      </c>
      <c r="L254" s="12">
        <f t="shared" ca="1" si="20"/>
        <v>2.8307091959437165</v>
      </c>
      <c r="M254" s="256">
        <f t="shared" ca="1" si="21"/>
        <v>82015123.959463239</v>
      </c>
    </row>
    <row r="255" spans="1:22" ht="16.5" x14ac:dyDescent="0.35">
      <c r="A255" s="48" t="s">
        <v>432</v>
      </c>
      <c r="B255" s="48" t="str">
        <f t="shared" si="12"/>
        <v>PR-TECAB (INTERCONEXÃO)</v>
      </c>
      <c r="C255" s="12" t="str">
        <f t="shared" si="16"/>
        <v xml:space="preserve"> </v>
      </c>
      <c r="D255" s="12"/>
      <c r="E255" s="127">
        <f ca="1">E270</f>
        <v>0.56148891277151081</v>
      </c>
      <c r="G255" s="123"/>
      <c r="H255" s="48" t="s">
        <v>433</v>
      </c>
      <c r="I255" s="48" t="str">
        <f t="shared" si="14"/>
        <v>NTS SP 1</v>
      </c>
      <c r="J255" s="12">
        <f t="shared" ca="1" si="22"/>
        <v>0.72079932688925952</v>
      </c>
      <c r="K255" s="12">
        <f t="shared" ca="1" si="15"/>
        <v>2.4511772930826234</v>
      </c>
      <c r="L255" s="12">
        <f t="shared" ca="1" si="20"/>
        <v>3.1719766199718831</v>
      </c>
      <c r="M255" s="256">
        <f t="shared" ca="1" si="21"/>
        <v>53422811.915594086</v>
      </c>
    </row>
    <row r="256" spans="1:22" ht="16.5" x14ac:dyDescent="0.35">
      <c r="F256" s="131"/>
      <c r="H256" s="48" t="s">
        <v>434</v>
      </c>
      <c r="I256" s="48" t="str">
        <f t="shared" si="14"/>
        <v>NTS SP 2</v>
      </c>
      <c r="J256" s="12">
        <f t="shared" ca="1" si="22"/>
        <v>0.70013438464235411</v>
      </c>
      <c r="K256" s="12">
        <f t="shared" ca="1" si="15"/>
        <v>2.4511772930826234</v>
      </c>
      <c r="L256" s="12">
        <f t="shared" ca="1" si="20"/>
        <v>3.1513116777249777</v>
      </c>
      <c r="M256" s="256">
        <f t="shared" ca="1" si="21"/>
        <v>127516748.45740363</v>
      </c>
    </row>
    <row r="257" spans="1:13" ht="16.5" x14ac:dyDescent="0.35">
      <c r="H257" s="48" t="s">
        <v>435</v>
      </c>
      <c r="I257" s="48" t="str">
        <f t="shared" si="14"/>
        <v>NTS SP 3</v>
      </c>
      <c r="J257" s="12">
        <f t="shared" ca="1" si="22"/>
        <v>0.94734926756658111</v>
      </c>
      <c r="K257" s="12">
        <f t="shared" ca="1" si="15"/>
        <v>2.4511772930826234</v>
      </c>
      <c r="L257" s="12">
        <f t="shared" ca="1" si="20"/>
        <v>3.3985265606492048</v>
      </c>
      <c r="M257" s="256">
        <f t="shared" ca="1" si="21"/>
        <v>368741112.38900614</v>
      </c>
    </row>
    <row r="258" spans="1:13" ht="16.5" x14ac:dyDescent="0.35">
      <c r="H258" s="48" t="s">
        <v>436</v>
      </c>
      <c r="I258" s="48" t="str">
        <f t="shared" si="14"/>
        <v>NTS SP 4</v>
      </c>
      <c r="J258" s="12">
        <f t="shared" ca="1" si="22"/>
        <v>1.0255167939450989</v>
      </c>
      <c r="K258" s="12">
        <f t="shared" ca="1" si="15"/>
        <v>2.4511772930826234</v>
      </c>
      <c r="L258" s="12">
        <f t="shared" ca="1" si="20"/>
        <v>3.4766940870277221</v>
      </c>
      <c r="M258" s="256">
        <f t="shared" ca="1" si="21"/>
        <v>155310127.26938877</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0.3041488146259983</v>
      </c>
      <c r="M260" s="258">
        <f ca="1">SUM(M246:M258)</f>
        <v>2135069839.3119149</v>
      </c>
    </row>
    <row r="261" spans="1:13" ht="16.5" x14ac:dyDescent="0.35">
      <c r="H261" s="48" t="s">
        <v>439</v>
      </c>
      <c r="I261" s="48" t="str">
        <f t="shared" si="14"/>
        <v>PE-TECAB (INTERCONEXÃO)</v>
      </c>
      <c r="J261" s="12" t="str">
        <f t="shared" si="22"/>
        <v xml:space="preserve"> </v>
      </c>
      <c r="K261" s="12"/>
      <c r="L261" s="127">
        <f ca="1">E273</f>
        <v>0.2628198784819254</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(Legados)'!G11</f>
        <v>200</v>
      </c>
      <c r="D268" s="265">
        <f ca="1">'CWD 2026 Legados (sem desc.)'!D267</f>
        <v>5.7466792842057011</v>
      </c>
      <c r="E268" s="268">
        <f ca="1">D268*(1-$C$263)</f>
        <v>0.57466792842057002</v>
      </c>
      <c r="F268" s="266">
        <f ca="1">C268*E268*'Premissas (Legados)'!$C$44*'Premissas (Legados)'!$F$20*1000</f>
        <v>1564854.7129997401</v>
      </c>
      <c r="L268" s="128"/>
    </row>
    <row r="269" spans="1:13" ht="18.5" x14ac:dyDescent="0.45">
      <c r="B269" s="247" t="s">
        <v>451</v>
      </c>
      <c r="C269" s="271">
        <f>'Oferta (Legados)'!G10</f>
        <v>6000</v>
      </c>
      <c r="D269" s="265">
        <f ca="1">'CWD 2026 Legados (sem desc.)'!D268</f>
        <v>5.3457884528014379</v>
      </c>
      <c r="E269" s="268">
        <f t="shared" ref="E269:E271" ca="1" si="23">D269*(1-$C$263)</f>
        <v>0.53457884528014366</v>
      </c>
      <c r="F269" s="266">
        <f ca="1">C269*E269*'Premissas (Legados)'!$C$44*'Premissas (Legados)'!$F$20*1000</f>
        <v>43670693.14999456</v>
      </c>
      <c r="G269" s="129"/>
      <c r="K269" s="129"/>
      <c r="L269" s="128"/>
    </row>
    <row r="270" spans="1:13" ht="18.5" x14ac:dyDescent="0.45">
      <c r="B270" s="248" t="s">
        <v>452</v>
      </c>
      <c r="C270" s="271">
        <f>'Oferta (Legados)'!G12</f>
        <v>200</v>
      </c>
      <c r="D270" s="265">
        <f ca="1">'CWD 2026 Legados (sem desc.)'!D269</f>
        <v>5.6148891277151094</v>
      </c>
      <c r="E270" s="268">
        <f t="shared" ca="1" si="23"/>
        <v>0.56148891277151081</v>
      </c>
      <c r="F270" s="266">
        <f ca="1">C270*E270*'Premissas (Legados)'!$C$44*'Premissas (Legados)'!$F$20*1000</f>
        <v>1528967.4749424343</v>
      </c>
      <c r="K270" s="129"/>
      <c r="L270" s="128"/>
    </row>
    <row r="271" spans="1:13" ht="18.5" x14ac:dyDescent="0.45">
      <c r="B271" s="248" t="s">
        <v>243</v>
      </c>
      <c r="C271" s="271">
        <f>'Oferta (Legados)'!G6</f>
        <v>335</v>
      </c>
      <c r="D271" s="265">
        <f ca="1">'CWD 2026 Legados (sem desc.)'!D270</f>
        <v>5.7466792842057011</v>
      </c>
      <c r="E271" s="268">
        <f t="shared" ca="1" si="23"/>
        <v>0.57466792842057002</v>
      </c>
      <c r="F271" s="266">
        <f ca="1">C271*E271*'Premissas (Legados)'!$C$44*'Premissas (Legados)'!$F$20*1000</f>
        <v>2621131.6442745645</v>
      </c>
      <c r="K271" s="129"/>
      <c r="L271" s="128"/>
    </row>
    <row r="272" spans="1:13" ht="18.5" x14ac:dyDescent="0.45">
      <c r="B272" s="246" t="s">
        <v>453</v>
      </c>
      <c r="C272" s="271">
        <f>'Demanda (Legados)'!G17</f>
        <v>7011</v>
      </c>
      <c r="D272" s="265">
        <f ca="1">'CWD 2026 Legados (sem desc.)'!D271</f>
        <v>3.0414881462599834</v>
      </c>
      <c r="E272" s="268">
        <f ca="1">D272*(1-$C$263)</f>
        <v>0.3041488146259983</v>
      </c>
      <c r="F272" s="266">
        <f ca="1">C272*E272*'Premissas (Legados)'!$C$44*'Premissas (Legados)'!$F$20*1000</f>
        <v>29033083.393768091</v>
      </c>
      <c r="K272" s="129"/>
      <c r="L272" s="128"/>
    </row>
    <row r="273" spans="2:13" ht="18.5" x14ac:dyDescent="0.45">
      <c r="B273" s="248" t="s">
        <v>454</v>
      </c>
      <c r="C273" s="271">
        <f>'Demanda (Legados)'!G18</f>
        <v>200</v>
      </c>
      <c r="D273" s="265">
        <f ca="1">'CWD 2026 Legados (sem desc.)'!D272</f>
        <v>2.6281987848192547</v>
      </c>
      <c r="E273" s="268">
        <f ca="1">D273*(1-$C$263)</f>
        <v>0.2628198784819254</v>
      </c>
      <c r="F273" s="266">
        <f ca="1">C273*E273*'Premissas (Legados)'!$C$44*'Premissas (Legados)'!$F$20*1000</f>
        <v>715674.0530880451</v>
      </c>
      <c r="K273" s="129"/>
      <c r="L273" s="128"/>
    </row>
    <row r="274" spans="2:13" ht="19" thickBot="1" x14ac:dyDescent="0.5">
      <c r="B274" s="248"/>
      <c r="C274" s="269"/>
      <c r="D274" s="269"/>
      <c r="E274" s="269"/>
      <c r="F274" s="267">
        <f ca="1">SUM(F268:F273)</f>
        <v>79134404.429067418</v>
      </c>
      <c r="K274" s="129"/>
      <c r="L274" s="128"/>
    </row>
    <row r="275" spans="2:13" ht="15" thickTop="1" x14ac:dyDescent="0.35">
      <c r="K275" s="129"/>
      <c r="L275" s="128"/>
    </row>
    <row r="276" spans="2:13" x14ac:dyDescent="0.35">
      <c r="E276" t="s">
        <v>110</v>
      </c>
      <c r="F276" s="235">
        <f ca="1">F254+M260+F274</f>
        <v>7216061989.1959019</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022B-2A61-4486-85F8-C3CEEBE66AFD}">
  <sheetPr codeName="Planilha19">
    <tabColor theme="1" tint="0.499984740745262"/>
  </sheetPr>
  <dimension ref="A1:V39"/>
  <sheetViews>
    <sheetView showGridLines="0" zoomScale="110" zoomScaleNormal="110" workbookViewId="0">
      <selection activeCell="D2" sqref="D2"/>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2026 Legados (com desc.)'!A246</f>
        <v>TEN1</v>
      </c>
      <c r="B2" s="320" t="str">
        <f>'CWD 2026 Legados (com desc.)'!B246</f>
        <v>PR-CARAGUATATUBA</v>
      </c>
      <c r="C2" s="321">
        <f>'CWD 2026 Legados (sem desc.)'!H24</f>
        <v>193037657.25962999</v>
      </c>
      <c r="D2" s="322">
        <f ca="1">'CWD 2026 Legados (com desc.)'!E246</f>
        <v>6.215233897779834</v>
      </c>
      <c r="E2" s="323">
        <f t="shared" ref="E2:E11" ca="1" si="0">IFERROR(C2*D2," ")</f>
        <v>1199774190.9480579</v>
      </c>
      <c r="F2" s="363"/>
      <c r="L2" s="68" t="s">
        <v>58</v>
      </c>
      <c r="M2" s="67">
        <f ca="1">IFERROR($D$2+$C34," ")</f>
        <v>9.7809722754524024</v>
      </c>
      <c r="N2" s="67">
        <f ca="1">IFERROR($D$3+$C34," ")</f>
        <v>9.1313374230891</v>
      </c>
      <c r="O2" s="67">
        <f ca="1">IFERROR($D$4+$C34," ")</f>
        <v>9.2766847926620919</v>
      </c>
      <c r="P2" s="67">
        <f ca="1">IFERROR($D$5+$C34," ")</f>
        <v>4.1404063060931389</v>
      </c>
      <c r="Q2" s="67" t="str">
        <f ca="1">IFERROR($D$6+$C34," ")</f>
        <v xml:space="preserve"> </v>
      </c>
      <c r="R2" s="67" t="str">
        <f ca="1">IFERROR($D$7+$C34," ")</f>
        <v xml:space="preserve"> </v>
      </c>
      <c r="S2" s="67">
        <f ca="1">IFERROR($D$8+$C34," ")</f>
        <v>9.7043796420254793</v>
      </c>
      <c r="T2" s="67">
        <f ca="1">IFERROR($D$9+$C34," ")</f>
        <v>4.1003172229527118</v>
      </c>
      <c r="U2" s="67">
        <f ca="1">IFERROR($D$10+$C34," ")</f>
        <v>4.1404063060931389</v>
      </c>
      <c r="V2" s="67">
        <f ca="1">IFERROR($D$11+$C34," ")</f>
        <v>4.127227290444079</v>
      </c>
    </row>
    <row r="3" spans="1:22" s="62" customFormat="1" x14ac:dyDescent="0.35">
      <c r="A3" s="292" t="str">
        <f>'CWD 2026 Legados (com desc.)'!A247</f>
        <v>TEN2</v>
      </c>
      <c r="B3" s="295" t="str">
        <f>'CWD 2026 Legados (com desc.)'!B247</f>
        <v>PR-GNLBGB</v>
      </c>
      <c r="C3" s="296">
        <f>'CWD 2026 Legados (sem desc.)'!H25</f>
        <v>272305906.69999999</v>
      </c>
      <c r="D3" s="297">
        <f ca="1">'CWD 2026 Legados (com desc.)'!E247</f>
        <v>5.5655990454165325</v>
      </c>
      <c r="E3" s="298">
        <f t="shared" ca="1" si="0"/>
        <v>1515545494.3908033</v>
      </c>
      <c r="F3" s="363"/>
      <c r="L3" s="68" t="s">
        <v>69</v>
      </c>
      <c r="M3" s="67">
        <f t="shared" ref="M3:M7" ca="1" si="1">IFERROR($D$2+$C35," ")</f>
        <v>9.0453314471578317</v>
      </c>
      <c r="N3" s="67">
        <f t="shared" ref="N3:N7" ca="1" si="2">IFERROR($D$3+$C35," ")</f>
        <v>8.395696594794531</v>
      </c>
      <c r="O3" s="67">
        <f t="shared" ref="O3:O7" ca="1" si="3">IFERROR($D$4+$C35," ")</f>
        <v>8.5410439643675229</v>
      </c>
      <c r="P3" s="67">
        <f t="shared" ref="P3:P7" ca="1" si="4">IFERROR($D$5+$C35," ")</f>
        <v>3.4047654777985681</v>
      </c>
      <c r="Q3" s="67" t="str">
        <f t="shared" ref="Q3:Q7" ca="1" si="5">IFERROR($D$6+$C35," ")</f>
        <v xml:space="preserve"> </v>
      </c>
      <c r="R3" s="67" t="str">
        <f t="shared" ref="R3:R7" ca="1" si="6">IFERROR($D$7+$C35," ")</f>
        <v xml:space="preserve"> </v>
      </c>
      <c r="S3" s="67">
        <f t="shared" ref="S3:S7" ca="1" si="7">IFERROR($D$8+$C35," ")</f>
        <v>8.9687388137309085</v>
      </c>
      <c r="T3" s="67">
        <f t="shared" ref="T3:T7" ca="1" si="8">IFERROR($D$9+$C35," ")</f>
        <v>3.3646763946581419</v>
      </c>
      <c r="U3" s="67">
        <f t="shared" ref="U3:U7" ca="1" si="9">IFERROR($D$10+$C35," ")</f>
        <v>3.4047654777985681</v>
      </c>
      <c r="V3" s="67">
        <f t="shared" ref="V3:V7" ca="1" si="10">IFERROR($D$11+$C35," ")</f>
        <v>3.3915864621495091</v>
      </c>
    </row>
    <row r="4" spans="1:22" x14ac:dyDescent="0.35">
      <c r="A4" s="292" t="str">
        <f>'CWD 2026 Legados (com desc.)'!A248</f>
        <v>TEN3</v>
      </c>
      <c r="B4" s="295" t="str">
        <f>'CWD 2026 Legados (com desc.)'!B248</f>
        <v>PR-ITABORAÍ</v>
      </c>
      <c r="C4" s="296">
        <f>'CWD 2026 Legados (sem desc.)'!H26</f>
        <v>182975954.00706497</v>
      </c>
      <c r="D4" s="297">
        <f ca="1">'CWD 2026 Legados (com desc.)'!E248</f>
        <v>5.7109464149895244</v>
      </c>
      <c r="E4" s="296">
        <f t="shared" ca="1" si="0"/>
        <v>1044965868.5659357</v>
      </c>
      <c r="F4" s="363"/>
      <c r="L4" s="68" t="s">
        <v>258</v>
      </c>
      <c r="M4" s="67">
        <f t="shared" ca="1" si="1"/>
        <v>9.5646953665976966</v>
      </c>
      <c r="N4" s="67">
        <f t="shared" ca="1" si="2"/>
        <v>8.9150605142343942</v>
      </c>
      <c r="O4" s="67">
        <f t="shared" ca="1" si="3"/>
        <v>9.060407883807386</v>
      </c>
      <c r="P4" s="67">
        <f t="shared" ca="1" si="4"/>
        <v>3.9241293972384317</v>
      </c>
      <c r="Q4" s="67" t="str">
        <f t="shared" ca="1" si="5"/>
        <v xml:space="preserve"> </v>
      </c>
      <c r="R4" s="67" t="str">
        <f t="shared" ca="1" si="6"/>
        <v xml:space="preserve"> </v>
      </c>
      <c r="S4" s="67">
        <f t="shared" ca="1" si="7"/>
        <v>9.4881027331707735</v>
      </c>
      <c r="T4" s="67">
        <f t="shared" ca="1" si="8"/>
        <v>3.8840403140980051</v>
      </c>
      <c r="U4" s="67">
        <f t="shared" ca="1" si="9"/>
        <v>3.9241293972384317</v>
      </c>
      <c r="V4" s="67">
        <f t="shared" ca="1" si="10"/>
        <v>3.9109503815893722</v>
      </c>
    </row>
    <row r="5" spans="1:22" ht="24" x14ac:dyDescent="0.35">
      <c r="A5" s="292" t="str">
        <f>'CWD 2026 Legados (com desc.)'!A249</f>
        <v>TEN4</v>
      </c>
      <c r="B5" s="295" t="str">
        <f>'CWD 2026 Legados (com desc.)'!B249</f>
        <v>PR-GASPAJ (INTERCONEXÃO)</v>
      </c>
      <c r="C5" s="296">
        <f>'CWD 2026 Legados (sem desc.)'!H27</f>
        <v>4561123.937225</v>
      </c>
      <c r="D5" s="297">
        <f ca="1">'CWD 2026 Legados (com desc.)'!E249</f>
        <v>0.57466792842057002</v>
      </c>
      <c r="E5" s="296">
        <f t="shared" ca="1" si="0"/>
        <v>2621131.6442745649</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2026 Legados (com desc.)'!A250</f>
        <v>TEN5</v>
      </c>
      <c r="B6" s="295" t="str">
        <f>'CWD 2026 Legados (com desc.)'!B250</f>
        <v>PR-REDUC</v>
      </c>
      <c r="C6" s="296">
        <f>'CWD 2026 Legados (sem desc.)'!H28</f>
        <v>0</v>
      </c>
      <c r="D6" s="297" t="str">
        <f>'CWD 2026 Legados (com desc.)'!E250</f>
        <v xml:space="preserve"> </v>
      </c>
      <c r="E6" s="296" t="str">
        <f t="shared" si="0"/>
        <v xml:space="preserve"> </v>
      </c>
      <c r="F6" s="363"/>
      <c r="L6" s="132" t="str">
        <f t="shared" ref="L6:L7" si="11">B29</f>
        <v>PE-REPLAN (INTERCONEXÃO)</v>
      </c>
      <c r="M6" s="67">
        <f t="shared" ca="1" si="1"/>
        <v>6.5193827124058323</v>
      </c>
      <c r="N6" s="67">
        <f t="shared" ca="1" si="2"/>
        <v>5.8697478600425308</v>
      </c>
      <c r="O6" s="67">
        <f t="shared" ca="1" si="3"/>
        <v>6.0150952296155227</v>
      </c>
      <c r="P6" s="67">
        <f t="shared" ca="1" si="4"/>
        <v>0.87881674304656832</v>
      </c>
      <c r="Q6" s="67" t="str">
        <f t="shared" ca="1" si="5"/>
        <v xml:space="preserve"> </v>
      </c>
      <c r="R6" s="67" t="str">
        <f t="shared" ca="1" si="6"/>
        <v xml:space="preserve"> </v>
      </c>
      <c r="S6" s="67">
        <f t="shared" ca="1" si="7"/>
        <v>6.4427900789789092</v>
      </c>
      <c r="T6" s="67">
        <f t="shared" ca="1" si="8"/>
        <v>0.83872765990614195</v>
      </c>
      <c r="U6" s="67">
        <f t="shared" ca="1" si="9"/>
        <v>0.87881674304656832</v>
      </c>
      <c r="V6" s="67">
        <f t="shared" ca="1" si="10"/>
        <v>0.8656377273975091</v>
      </c>
    </row>
    <row r="7" spans="1:22" x14ac:dyDescent="0.35">
      <c r="A7" s="292" t="str">
        <f>'CWD 2026 Legados (com desc.)'!A251</f>
        <v>TEN6</v>
      </c>
      <c r="B7" s="295" t="str">
        <f>'CWD 2026 Legados (com desc.)'!B251</f>
        <v>PR-RPBC</v>
      </c>
      <c r="C7" s="296">
        <f>'CWD 2026 Legados (sem desc.)'!H29</f>
        <v>0</v>
      </c>
      <c r="D7" s="297" t="str">
        <f>'CWD 2026 Legados (com desc.)'!E251</f>
        <v xml:space="preserve"> </v>
      </c>
      <c r="E7" s="296" t="str">
        <f t="shared" si="0"/>
        <v xml:space="preserve"> </v>
      </c>
      <c r="F7" s="363"/>
      <c r="L7" s="132" t="str">
        <f t="shared" si="11"/>
        <v>PE-TECAB (INTERCONEXÃO)</v>
      </c>
      <c r="M7" s="67">
        <f t="shared" ca="1" si="1"/>
        <v>6.4780537762617598</v>
      </c>
      <c r="N7" s="67">
        <f t="shared" ca="1" si="2"/>
        <v>5.8284189238984583</v>
      </c>
      <c r="O7" s="67">
        <f t="shared" ca="1" si="3"/>
        <v>5.9737662934714502</v>
      </c>
      <c r="P7" s="67">
        <f t="shared" ca="1" si="4"/>
        <v>0.83748780690249536</v>
      </c>
      <c r="Q7" s="67" t="str">
        <f t="shared" ca="1" si="5"/>
        <v xml:space="preserve"> </v>
      </c>
      <c r="R7" s="67" t="str">
        <f t="shared" ca="1" si="6"/>
        <v xml:space="preserve"> </v>
      </c>
      <c r="S7" s="67">
        <f t="shared" ca="1" si="7"/>
        <v>6.4014611428348367</v>
      </c>
      <c r="T7" s="67">
        <f t="shared" ca="1" si="8"/>
        <v>0.79739872376206899</v>
      </c>
      <c r="U7" s="67">
        <f t="shared" ca="1" si="9"/>
        <v>0.83748780690249536</v>
      </c>
      <c r="V7" s="67">
        <f t="shared" ca="1" si="10"/>
        <v>0.82430879125343615</v>
      </c>
    </row>
    <row r="8" spans="1:22" x14ac:dyDescent="0.35">
      <c r="A8" s="292" t="str">
        <f>'CWD 2026 Legados (com desc.)'!A252</f>
        <v>TEN7</v>
      </c>
      <c r="B8" s="295" t="str">
        <f>'CWD 2026 Legados (com desc.)'!B252</f>
        <v>PR-TECAB</v>
      </c>
      <c r="C8" s="296">
        <f>'CWD 2026 Legados (sem desc.)'!H30</f>
        <v>202255212.20142499</v>
      </c>
      <c r="D8" s="297">
        <f ca="1">'CWD 2026 Legados (com desc.)'!E252</f>
        <v>6.1386412643529109</v>
      </c>
      <c r="E8" s="296">
        <f t="shared" ca="1" si="0"/>
        <v>1241572191.5501218</v>
      </c>
      <c r="F8" s="363"/>
      <c r="L8" s="61"/>
    </row>
    <row r="9" spans="1:22" x14ac:dyDescent="0.35">
      <c r="A9" s="292" t="str">
        <f>'CWD 2026 Legados (com desc.)'!A253</f>
        <v>TEN8</v>
      </c>
      <c r="B9" s="295" t="str">
        <f>'CWD 2026 Legados (com desc.)'!B253</f>
        <v>PR-GUARAREMA (INTERCONEXÃO)</v>
      </c>
      <c r="C9" s="296">
        <f>'CWD 2026 Legados (sem desc.)'!H31</f>
        <v>81691772.010000005</v>
      </c>
      <c r="D9" s="297">
        <f ca="1">'CWD 2026 Legados (com desc.)'!E253</f>
        <v>0.53457884528014366</v>
      </c>
      <c r="E9" s="296">
        <f t="shared" ca="1" si="0"/>
        <v>43670693.14999456</v>
      </c>
      <c r="F9" s="363"/>
      <c r="L9" s="61"/>
    </row>
    <row r="10" spans="1:22" x14ac:dyDescent="0.35">
      <c r="A10" s="292" t="str">
        <f>'CWD 2026 Legados (com desc.)'!A254</f>
        <v>TEN9</v>
      </c>
      <c r="B10" s="295" t="str">
        <f>'CWD 2026 Legados (com desc.)'!B254</f>
        <v>PR-REPLAN (INTERCONEXÃO)</v>
      </c>
      <c r="C10" s="296">
        <f>'CWD 2026 Legados (sem desc.)'!H32</f>
        <v>2723059.0670000003</v>
      </c>
      <c r="D10" s="297">
        <f ca="1">'CWD 2026 Legados (com desc.)'!E254</f>
        <v>0.57466792842057002</v>
      </c>
      <c r="E10" s="296">
        <f t="shared" ca="1" si="0"/>
        <v>1564854.7129997404</v>
      </c>
      <c r="F10" s="363"/>
      <c r="L10" s="61"/>
    </row>
    <row r="11" spans="1:22" x14ac:dyDescent="0.35">
      <c r="A11" s="292" t="str">
        <f>'CWD 2026 Legados (com desc.)'!A255</f>
        <v>TEN10</v>
      </c>
      <c r="B11" s="295" t="str">
        <f>'CWD 2026 Legados (com desc.)'!B255</f>
        <v>PR-TECAB (INTERCONEXÃO)</v>
      </c>
      <c r="C11" s="296">
        <f>'CWD 2026 Legados (sem desc.)'!H33</f>
        <v>2723059.0670000003</v>
      </c>
      <c r="D11" s="297">
        <f ca="1">'CWD 2026 Legados (com desc.)'!E255</f>
        <v>0.56148891277151081</v>
      </c>
      <c r="E11" s="296">
        <f t="shared" ca="1" si="0"/>
        <v>1528967.4749424348</v>
      </c>
      <c r="F11" s="363"/>
      <c r="L11" s="61"/>
    </row>
    <row r="12" spans="1:22" x14ac:dyDescent="0.35">
      <c r="E12" s="65">
        <f ca="1">SUM(E2:E11)</f>
        <v>5051243392.43713</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2026 Legados (com desc.)'!H246</f>
        <v>TEX1</v>
      </c>
      <c r="B15" s="296" t="str">
        <f>'CWD 2026 Legados (com desc.)'!I246</f>
        <v>NTS MG 1</v>
      </c>
      <c r="C15" s="296">
        <f>'CWD 2026 Legados (sem desc.)'!H41</f>
        <v>8264484.2683449984</v>
      </c>
      <c r="D15" s="296"/>
      <c r="E15" s="299">
        <f ca="1">'CWD 2026 Legados (com desc.)'!L246</f>
        <v>3.2221844499321799</v>
      </c>
      <c r="F15" s="305">
        <f ca="1">IFERROR(C15*E15," ")</f>
        <v>26629692.696170382</v>
      </c>
      <c r="G15" s="308"/>
      <c r="H15" s="314" t="str">
        <f>IFERROR(G15/D15," ")</f>
        <v xml:space="preserve"> </v>
      </c>
      <c r="I15" s="66"/>
      <c r="J15" s="66"/>
      <c r="L15" s="59"/>
    </row>
    <row r="16" spans="1:22" x14ac:dyDescent="0.35">
      <c r="A16" s="296" t="str">
        <f>'CWD 2026 Legados (com desc.)'!H247</f>
        <v>TEX2</v>
      </c>
      <c r="B16" s="296" t="str">
        <f>'CWD 2026 Legados (com desc.)'!I247</f>
        <v>NTS MG 2</v>
      </c>
      <c r="C16" s="296">
        <f>'CWD 2026 Legados (sem desc.)'!H42</f>
        <v>22846465.572130002</v>
      </c>
      <c r="D16" s="296"/>
      <c r="E16" s="299">
        <f ca="1">'CWD 2026 Legados (com desc.)'!L247</f>
        <v>3.4363890221381461</v>
      </c>
      <c r="F16" s="305">
        <f t="shared" ref="F16:F30" ca="1" si="12">IFERROR(C16*E16," ")</f>
        <v>78509343.486724645</v>
      </c>
      <c r="G16" s="317"/>
      <c r="H16" s="315" t="str">
        <f t="shared" ref="H16:H30" si="13">IFERROR(G16/D16," ")</f>
        <v xml:space="preserve"> </v>
      </c>
      <c r="I16" s="66"/>
      <c r="J16" s="66"/>
      <c r="L16" s="59"/>
    </row>
    <row r="17" spans="1:12" x14ac:dyDescent="0.35">
      <c r="A17" s="296" t="str">
        <f>'CWD 2026 Legados (com desc.)'!H248</f>
        <v>TEX3</v>
      </c>
      <c r="B17" s="296" t="str">
        <f>'CWD 2026 Legados (com desc.)'!I248</f>
        <v>NTS MG 3</v>
      </c>
      <c r="C17" s="296">
        <f>'CWD 2026 Legados (sem desc.)'!H43</f>
        <v>37265063.331895001</v>
      </c>
      <c r="D17" s="296"/>
      <c r="E17" s="299">
        <f ca="1">'CWD 2026 Legados (com desc.)'!L248</f>
        <v>3.6946875848097784</v>
      </c>
      <c r="F17" s="305">
        <f ca="1">IFERROR(C17*E17," ")</f>
        <v>137682766.83950257</v>
      </c>
      <c r="G17" s="310"/>
      <c r="H17" s="316" t="str">
        <f t="shared" si="13"/>
        <v xml:space="preserve"> </v>
      </c>
      <c r="I17" s="66"/>
      <c r="J17" s="66"/>
      <c r="L17" s="59"/>
    </row>
    <row r="18" spans="1:12" x14ac:dyDescent="0.35">
      <c r="A18" s="301" t="str">
        <f>'CWD 2026 Legados (com desc.)'!H249</f>
        <v>TEX4</v>
      </c>
      <c r="B18" s="301" t="str">
        <f>'CWD 2026 Legados (com desc.)'!I249</f>
        <v>NTS MG 4</v>
      </c>
      <c r="C18" s="301">
        <f>'CWD 2026 Legados (sem desc.)'!H44</f>
        <v>4561123.937225</v>
      </c>
      <c r="D18" s="301">
        <f>SUM(C15:C18)</f>
        <v>72937137.109595001</v>
      </c>
      <c r="E18" s="302">
        <f ca="1">'CWD 2026 Legados (com desc.)'!L249</f>
        <v>3.7826084457043079</v>
      </c>
      <c r="F18" s="301">
        <f ca="1">IFERROR(C18*E18," ")</f>
        <v>17252945.926851369</v>
      </c>
      <c r="G18" s="313">
        <f ca="1">SUM(F15:F18)</f>
        <v>260074748.94924897</v>
      </c>
      <c r="H18" s="311">
        <f t="shared" ca="1" si="13"/>
        <v>3.5657383776725684</v>
      </c>
      <c r="I18" s="363"/>
      <c r="J18"/>
      <c r="L18" s="59"/>
    </row>
    <row r="19" spans="1:12" x14ac:dyDescent="0.35">
      <c r="A19" s="296" t="str">
        <f>'CWD 2026 Legados (com desc.)'!H250</f>
        <v>TEX5</v>
      </c>
      <c r="B19" s="296" t="str">
        <f>'CWD 2026 Legados (com desc.)'!I250</f>
        <v>NTS RJ 1</v>
      </c>
      <c r="C19" s="296">
        <f>'CWD 2026 Legados (sem desc.)'!H45</f>
        <v>242256949.89565501</v>
      </c>
      <c r="D19" s="296"/>
      <c r="E19" s="299">
        <f ca="1">'CWD 2026 Legados (com desc.)'!L250</f>
        <v>2.8256311913942072</v>
      </c>
      <c r="F19" s="305">
        <f t="shared" ca="1" si="12"/>
        <v>684528793.95718646</v>
      </c>
      <c r="G19" s="308"/>
      <c r="H19" s="314" t="str">
        <f t="shared" si="13"/>
        <v xml:space="preserve"> </v>
      </c>
      <c r="I19"/>
      <c r="J19"/>
      <c r="L19" s="59"/>
    </row>
    <row r="20" spans="1:12" x14ac:dyDescent="0.35">
      <c r="A20" s="296" t="str">
        <f>'CWD 2026 Legados (com desc.)'!H251</f>
        <v>TEX6</v>
      </c>
      <c r="B20" s="296" t="str">
        <f>'CWD 2026 Legados (com desc.)'!I251</f>
        <v>NTS RJ 2</v>
      </c>
      <c r="C20" s="296">
        <f>'CWD 2026 Legados (sem desc.)'!H46</f>
        <v>114450172.58600999</v>
      </c>
      <c r="D20" s="296"/>
      <c r="E20" s="299">
        <f ca="1">'CWD 2026 Legados (com desc.)'!L251</f>
        <v>2.8242082820612926</v>
      </c>
      <c r="F20" s="305">
        <f t="shared" ca="1" si="12"/>
        <v>323231125.30075371</v>
      </c>
      <c r="G20" s="309"/>
      <c r="H20" s="315" t="str">
        <f t="shared" si="13"/>
        <v xml:space="preserve"> </v>
      </c>
      <c r="I20"/>
      <c r="J20"/>
      <c r="L20" s="59"/>
    </row>
    <row r="21" spans="1:12" x14ac:dyDescent="0.35">
      <c r="A21" s="296" t="str">
        <f>'CWD 2026 Legados (com desc.)'!H252</f>
        <v>TEX7</v>
      </c>
      <c r="B21" s="296" t="str">
        <f>'CWD 2026 Legados (com desc.)'!I252</f>
        <v>NTS RJ 3</v>
      </c>
      <c r="C21" s="296">
        <f>'CWD 2026 Legados (sem desc.)'!H47</f>
        <v>23336616.204189997</v>
      </c>
      <c r="D21" s="304"/>
      <c r="E21" s="299">
        <f ca="1">'CWD 2026 Legados (com desc.)'!L252</f>
        <v>2.8810896603218441</v>
      </c>
      <c r="F21" s="305">
        <f t="shared" ca="1" si="12"/>
        <v>67234883.652791008</v>
      </c>
      <c r="G21" s="312"/>
      <c r="H21" s="315" t="str">
        <f t="shared" si="13"/>
        <v xml:space="preserve"> </v>
      </c>
      <c r="I21"/>
      <c r="J21"/>
      <c r="L21" s="59"/>
    </row>
    <row r="22" spans="1:12" x14ac:dyDescent="0.35">
      <c r="A22" s="296" t="str">
        <f>'CWD 2026 Legados (com desc.)'!H253</f>
        <v>TEX8</v>
      </c>
      <c r="B22" s="296" t="str">
        <f>'CWD 2026 Legados (com desc.)'!I253</f>
        <v>NTS RJ 4</v>
      </c>
      <c r="C22" s="296">
        <f>'CWD 2026 Legados (sem desc.)'!H48</f>
        <v>4397740.3932050001</v>
      </c>
      <c r="D22" s="296"/>
      <c r="E22" s="299">
        <f ca="1">'CWD 2026 Legados (com desc.)'!L253</f>
        <v>2.954781842319897</v>
      </c>
      <c r="F22" s="305">
        <f t="shared" ca="1" si="12"/>
        <v>12994363.461078899</v>
      </c>
      <c r="G22" s="310"/>
      <c r="H22" s="316" t="str">
        <f t="shared" si="13"/>
        <v xml:space="preserve"> </v>
      </c>
      <c r="I22"/>
      <c r="J22"/>
      <c r="L22" s="59"/>
    </row>
    <row r="23" spans="1:12" x14ac:dyDescent="0.35">
      <c r="A23" s="301" t="str">
        <f>'CWD 2026 Legados (com desc.)'!H254</f>
        <v>TEX9</v>
      </c>
      <c r="B23" s="301" t="str">
        <f>'CWD 2026 Legados (com desc.)'!I254</f>
        <v>NTS RJ 5</v>
      </c>
      <c r="C23" s="301">
        <f>'CWD 2026 Legados (sem desc.)'!H49</f>
        <v>28973348.472879995</v>
      </c>
      <c r="D23" s="301">
        <f>SUM(C19:C23)</f>
        <v>413414827.55194002</v>
      </c>
      <c r="E23" s="302">
        <f ca="1">'CWD 2026 Legados (com desc.)'!L254</f>
        <v>2.8307091959437165</v>
      </c>
      <c r="F23" s="301">
        <f t="shared" ca="1" si="12"/>
        <v>82015123.959463239</v>
      </c>
      <c r="G23" s="313">
        <f ca="1">SUM(F19:F23)</f>
        <v>1170004290.3312731</v>
      </c>
      <c r="H23" s="311">
        <f t="shared" ca="1" si="13"/>
        <v>2.8300975493779981</v>
      </c>
      <c r="I23" s="363"/>
      <c r="J23"/>
    </row>
    <row r="24" spans="1:12" x14ac:dyDescent="0.35">
      <c r="A24" s="296" t="str">
        <f>'CWD 2026 Legados (com desc.)'!H255</f>
        <v>TEX10</v>
      </c>
      <c r="B24" s="296" t="str">
        <f>'CWD 2026 Legados (com desc.)'!I255</f>
        <v>NTS SP 1</v>
      </c>
      <c r="C24" s="296">
        <f>'CWD 2026 Legados (sem desc.)'!H50</f>
        <v>16842120.329395</v>
      </c>
      <c r="D24" s="296"/>
      <c r="E24" s="299">
        <f ca="1">'CWD 2026 Legados (com desc.)'!L255</f>
        <v>3.1719766199718831</v>
      </c>
      <c r="F24" s="305">
        <f t="shared" ca="1" si="12"/>
        <v>53422811.915594086</v>
      </c>
      <c r="G24" s="308"/>
      <c r="H24" s="314" t="str">
        <f t="shared" si="13"/>
        <v xml:space="preserve"> </v>
      </c>
      <c r="I24"/>
      <c r="J24"/>
    </row>
    <row r="25" spans="1:12" x14ac:dyDescent="0.35">
      <c r="A25" s="296" t="str">
        <f>'CWD 2026 Legados (com desc.)'!H256</f>
        <v>TEX11</v>
      </c>
      <c r="B25" s="296" t="str">
        <f>'CWD 2026 Legados (com desc.)'!I256</f>
        <v>NTS SP 2</v>
      </c>
      <c r="C25" s="296">
        <f>'CWD 2026 Legados (sem desc.)'!H51</f>
        <v>40464657.735619992</v>
      </c>
      <c r="D25" s="296"/>
      <c r="E25" s="299">
        <f ca="1">'CWD 2026 Legados (com desc.)'!L256</f>
        <v>3.1513116777249777</v>
      </c>
      <c r="F25" s="305">
        <f t="shared" ca="1" si="12"/>
        <v>127516748.45740363</v>
      </c>
      <c r="G25" s="309"/>
      <c r="H25" s="315" t="str">
        <f t="shared" si="13"/>
        <v xml:space="preserve"> </v>
      </c>
      <c r="I25"/>
      <c r="J25"/>
    </row>
    <row r="26" spans="1:12" x14ac:dyDescent="0.35">
      <c r="A26" s="296" t="str">
        <f>'CWD 2026 Legados (com desc.)'!H257</f>
        <v>TEX12</v>
      </c>
      <c r="B26" s="296" t="str">
        <f>'CWD 2026 Legados (com desc.)'!I257</f>
        <v>NTS SP 3</v>
      </c>
      <c r="C26" s="296">
        <f>'CWD 2026 Legados (sem desc.)'!H52</f>
        <v>108500288.52461499</v>
      </c>
      <c r="D26" s="304"/>
      <c r="E26" s="299">
        <f ca="1">'CWD 2026 Legados (com desc.)'!L257</f>
        <v>3.3985265606492048</v>
      </c>
      <c r="F26" s="305">
        <f t="shared" ca="1" si="12"/>
        <v>368741112.38900614</v>
      </c>
      <c r="G26" s="318"/>
      <c r="H26" s="316" t="str">
        <f t="shared" si="13"/>
        <v xml:space="preserve"> </v>
      </c>
      <c r="I26"/>
      <c r="J26"/>
    </row>
    <row r="27" spans="1:12" x14ac:dyDescent="0.35">
      <c r="A27" s="301" t="str">
        <f>'CWD 2026 Legados (com desc.)'!H258</f>
        <v>TEX13</v>
      </c>
      <c r="B27" s="301" t="str">
        <f>'CWD 2026 Legados (com desc.)'!I258</f>
        <v>NTS SP 4</v>
      </c>
      <c r="C27" s="301">
        <f>'CWD 2026 Legados (sem desc.)'!H53</f>
        <v>44671783.994134992</v>
      </c>
      <c r="D27" s="301">
        <f>SUM(C24:C27)</f>
        <v>210478850.58376497</v>
      </c>
      <c r="E27" s="302">
        <f ca="1">'CWD 2026 Legados (com desc.)'!L258</f>
        <v>3.4766940870277221</v>
      </c>
      <c r="F27" s="301">
        <f t="shared" ca="1" si="12"/>
        <v>155310127.26938877</v>
      </c>
      <c r="G27" s="306">
        <f ca="1">SUM(F24:F27)</f>
        <v>704990800.03139269</v>
      </c>
      <c r="H27" s="307">
        <f t="shared" ca="1" si="13"/>
        <v>3.3494614688178617</v>
      </c>
      <c r="I27" s="363"/>
      <c r="J27"/>
    </row>
    <row r="28" spans="1:12" x14ac:dyDescent="0.35">
      <c r="A28" s="296" t="str">
        <f>'CWD 2026 Legados (com desc.)'!H259</f>
        <v>TEX14</v>
      </c>
      <c r="B28" s="296" t="str">
        <f>'CWD 2026 Legados (com desc.)'!I259</f>
        <v>PE-GUARAREMA (INTERCONEXÃO)</v>
      </c>
      <c r="C28" s="296">
        <f>'CWD 2026 Legados (sem desc.)'!H54</f>
        <v>0</v>
      </c>
      <c r="D28" s="296">
        <f>C28</f>
        <v>0</v>
      </c>
      <c r="E28" s="299">
        <f>'CWD 2026 Legados (com desc.)'!L259</f>
        <v>0</v>
      </c>
      <c r="F28" s="296">
        <f t="shared" si="12"/>
        <v>0</v>
      </c>
      <c r="G28" s="296">
        <f>F28</f>
        <v>0</v>
      </c>
      <c r="H28" s="300" t="str">
        <f t="shared" si="13"/>
        <v xml:space="preserve"> </v>
      </c>
      <c r="I28"/>
      <c r="J28"/>
    </row>
    <row r="29" spans="1:12" x14ac:dyDescent="0.35">
      <c r="A29" s="301" t="str">
        <f>'CWD 2026 Legados (com desc.)'!H260</f>
        <v>TEX15</v>
      </c>
      <c r="B29" s="301" t="str">
        <f>'CWD 2026 Legados (com desc.)'!I260</f>
        <v>PE-REPLAN (INTERCONEXÃO)</v>
      </c>
      <c r="C29" s="301">
        <f>'CWD 2026 Legados (sem desc.)'!H55</f>
        <v>95456835.593685001</v>
      </c>
      <c r="D29" s="301">
        <f t="shared" ref="D29:D30" si="14">C29</f>
        <v>95456835.593685001</v>
      </c>
      <c r="E29" s="302">
        <f ca="1">'CWD 2026 Legados (com desc.)'!L260</f>
        <v>0.3041488146259983</v>
      </c>
      <c r="F29" s="301">
        <f t="shared" ca="1" si="12"/>
        <v>29033083.393768094</v>
      </c>
      <c r="G29" s="301">
        <f t="shared" ref="G29:G30" ca="1" si="15">F29</f>
        <v>29033083.393768094</v>
      </c>
      <c r="H29" s="303">
        <f t="shared" ca="1" si="13"/>
        <v>0.3041488146259983</v>
      </c>
      <c r="I29" s="363"/>
      <c r="J29"/>
    </row>
    <row r="30" spans="1:12" x14ac:dyDescent="0.35">
      <c r="A30" s="296" t="str">
        <f>'CWD 2026 Legados (com desc.)'!H261</f>
        <v>TEX16</v>
      </c>
      <c r="B30" s="296" t="str">
        <f>'CWD 2026 Legados (com desc.)'!I261</f>
        <v>PE-TECAB (INTERCONEXÃO)</v>
      </c>
      <c r="C30" s="296">
        <f>'CWD 2026 Legados (sem desc.)'!H56</f>
        <v>2723059.0670000003</v>
      </c>
      <c r="D30" s="296">
        <f t="shared" si="14"/>
        <v>2723059.0670000003</v>
      </c>
      <c r="E30" s="299">
        <f ca="1">'CWD 2026 Legados (com desc.)'!L261</f>
        <v>0.2628198784819254</v>
      </c>
      <c r="F30" s="296">
        <f t="shared" ca="1" si="12"/>
        <v>715674.05308804521</v>
      </c>
      <c r="G30" s="296">
        <f t="shared" ca="1" si="15"/>
        <v>715674.05308804521</v>
      </c>
      <c r="H30" s="300">
        <f t="shared" ca="1" si="13"/>
        <v>0.2628198784819254</v>
      </c>
      <c r="I30" s="363"/>
      <c r="J30" s="66"/>
    </row>
    <row r="31" spans="1:12" x14ac:dyDescent="0.35">
      <c r="C31" s="65">
        <f>SUM(C15:C30)</f>
        <v>795010709.905985</v>
      </c>
      <c r="D31" s="65">
        <f>SUM(D15:D30)</f>
        <v>795010709.90598512</v>
      </c>
      <c r="F31" s="65">
        <f ca="1">SUM(F15:F30)</f>
        <v>2164818596.7587714</v>
      </c>
      <c r="G31" s="65">
        <f ca="1">SUM(G15:G30)</f>
        <v>2164818596.7587714</v>
      </c>
    </row>
    <row r="32" spans="1:12" x14ac:dyDescent="0.35">
      <c r="C32" s="65"/>
      <c r="D32" s="65"/>
      <c r="F32" s="65"/>
      <c r="G32" s="65"/>
    </row>
    <row r="33" spans="2:3" x14ac:dyDescent="0.35">
      <c r="C33" s="63" t="s">
        <v>257</v>
      </c>
    </row>
    <row r="34" spans="2:3" x14ac:dyDescent="0.35">
      <c r="B34" s="68" t="s">
        <v>58</v>
      </c>
      <c r="C34" s="66">
        <f ca="1">H18</f>
        <v>3.5657383776725684</v>
      </c>
    </row>
    <row r="35" spans="2:3" x14ac:dyDescent="0.35">
      <c r="B35" s="68" t="s">
        <v>69</v>
      </c>
      <c r="C35" s="66">
        <f ca="1">H23</f>
        <v>2.8300975493779981</v>
      </c>
    </row>
    <row r="36" spans="2:3" x14ac:dyDescent="0.35">
      <c r="B36" s="68" t="s">
        <v>258</v>
      </c>
      <c r="C36" s="66">
        <f ca="1">H27</f>
        <v>3.3494614688178617</v>
      </c>
    </row>
    <row r="37" spans="2:3" x14ac:dyDescent="0.35">
      <c r="B37" s="132" t="s">
        <v>269</v>
      </c>
      <c r="C37" s="66" t="str">
        <f>H28</f>
        <v xml:space="preserve"> </v>
      </c>
    </row>
    <row r="38" spans="2:3" x14ac:dyDescent="0.35">
      <c r="B38" s="132" t="s">
        <v>268</v>
      </c>
      <c r="C38" s="66">
        <f t="shared" ref="C38:C39" ca="1" si="16">H29</f>
        <v>0.3041488146259983</v>
      </c>
    </row>
    <row r="39" spans="2:3" x14ac:dyDescent="0.35">
      <c r="B39" s="132" t="s">
        <v>267</v>
      </c>
      <c r="C39" s="66">
        <f t="shared" ca="1" si="16"/>
        <v>0.2628198784819254</v>
      </c>
    </row>
  </sheetData>
  <pageMargins left="0.511811024" right="0.511811024" top="0.78740157499999996" bottom="0.78740157499999996" header="0.31496062000000002" footer="0.31496062000000002"/>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1121-38F2-4BDE-B7F5-15E06383D28B}">
  <sheetPr>
    <tabColor theme="5"/>
  </sheetPr>
  <dimension ref="A2:AA302"/>
  <sheetViews>
    <sheetView showGridLines="0" zoomScale="70" zoomScaleNormal="70" workbookViewId="0">
      <selection activeCell="D38" sqref="D3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6.5" x14ac:dyDescent="0.35">
      <c r="A5" s="206">
        <f>HLOOKUP($G$3,'Premissas (GASIG)'!$B$5:$F$13,9,FALSE)</f>
        <v>0.7</v>
      </c>
      <c r="B5" s="207" t="s">
        <v>112</v>
      </c>
      <c r="C5" s="208" t="s">
        <v>271</v>
      </c>
      <c r="D5" s="382">
        <f>$A$5*$D$4</f>
        <v>36.684532771966516</v>
      </c>
      <c r="E5" s="210" t="s">
        <v>113</v>
      </c>
      <c r="F5" s="211"/>
      <c r="G5" s="211"/>
      <c r="H5" s="235"/>
    </row>
    <row r="6" spans="1:9" ht="29" x14ac:dyDescent="0.35">
      <c r="A6" s="92"/>
      <c r="B6" s="212" t="s">
        <v>114</v>
      </c>
      <c r="C6" s="213" t="s">
        <v>272</v>
      </c>
      <c r="D6" s="383">
        <f>$D$34*'Premissas (GASIG)'!$F$20</f>
        <v>20379775</v>
      </c>
      <c r="E6" s="212" t="s">
        <v>115</v>
      </c>
      <c r="F6" s="230">
        <f>H34</f>
        <v>760210015.02972507</v>
      </c>
      <c r="G6" s="82" t="s">
        <v>116</v>
      </c>
    </row>
    <row r="7" spans="1:9" ht="17" thickBot="1" x14ac:dyDescent="0.4">
      <c r="A7" s="215"/>
      <c r="B7" s="216" t="s">
        <v>117</v>
      </c>
      <c r="C7" s="217" t="s">
        <v>273</v>
      </c>
      <c r="D7" s="218">
        <f>$D$5/$D$6*1000</f>
        <v>1.8000460148341441E-3</v>
      </c>
      <c r="E7" s="219" t="s">
        <v>118</v>
      </c>
      <c r="F7" s="384">
        <f>$D$5/$F$6*1000000</f>
        <v>4.8255787278114338E-2</v>
      </c>
      <c r="G7" s="228" t="s">
        <v>15</v>
      </c>
      <c r="I7" s="235"/>
    </row>
    <row r="8" spans="1:9" ht="16.5" x14ac:dyDescent="0.35">
      <c r="A8" s="206">
        <f>1-A5</f>
        <v>0.30000000000000004</v>
      </c>
      <c r="B8" s="207" t="s">
        <v>119</v>
      </c>
      <c r="C8" s="208" t="s">
        <v>274</v>
      </c>
      <c r="D8" s="382">
        <f>$A$8*$D$4</f>
        <v>15.721942616557083</v>
      </c>
      <c r="E8" s="210" t="s">
        <v>113</v>
      </c>
      <c r="F8" s="231"/>
      <c r="G8" s="229"/>
    </row>
    <row r="9" spans="1:9" ht="29" x14ac:dyDescent="0.35">
      <c r="B9" s="212" t="s">
        <v>120</v>
      </c>
      <c r="C9" s="213" t="s">
        <v>275</v>
      </c>
      <c r="D9" s="383">
        <f>$D$57*'Premissas (GASIG)'!$F$20</f>
        <v>18480315</v>
      </c>
      <c r="E9" s="212" t="s">
        <v>115</v>
      </c>
      <c r="F9" s="230">
        <f>H57</f>
        <v>689356018.10638499</v>
      </c>
      <c r="G9" s="82" t="s">
        <v>116</v>
      </c>
    </row>
    <row r="10" spans="1:9" ht="17" thickBot="1" x14ac:dyDescent="0.4">
      <c r="A10" s="225"/>
      <c r="B10" s="216" t="s">
        <v>121</v>
      </c>
      <c r="C10" s="217" t="s">
        <v>276</v>
      </c>
      <c r="D10" s="218">
        <f>$D$8/$D$9*1000</f>
        <v>8.507399693434383E-4</v>
      </c>
      <c r="E10" s="219" t="s">
        <v>118</v>
      </c>
      <c r="F10" s="384">
        <f>$D$8/$F$9*1000000</f>
        <v>2.2806709745922304E-2</v>
      </c>
      <c r="G10" s="228" t="s">
        <v>15</v>
      </c>
    </row>
    <row r="11" spans="1:9" ht="15" thickBot="1" x14ac:dyDescent="0.4">
      <c r="A11" s="220"/>
      <c r="B11" s="220" t="s">
        <v>122</v>
      </c>
      <c r="C11" s="226">
        <f>HLOOKUP($G$3,'Premissas (GASIG)'!$B$5:$F$8,4,FALSE)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(GASIG)'!C3</f>
        <v>20000</v>
      </c>
      <c r="D24" s="290">
        <f>'Oferta (GASIG)'!H3</f>
        <v>9427</v>
      </c>
      <c r="F24" s="104"/>
      <c r="G24" s="43">
        <f>IFERROR($C24*$H$19*'Premissas (GASIG)'!$F$20*1000," ")</f>
        <v>272305906.69999999</v>
      </c>
      <c r="H24" s="43">
        <f>IFERROR($D24*$H$19*'Premissas (GASIG)'!$F$20*1000," ")</f>
        <v>128351389.123045</v>
      </c>
      <c r="I24" s="93"/>
    </row>
    <row r="25" spans="1:9" x14ac:dyDescent="0.35">
      <c r="A25" s="2" t="s">
        <v>133</v>
      </c>
      <c r="B25" s="44" t="s">
        <v>26</v>
      </c>
      <c r="C25" s="290">
        <f>'Oferta (GASIG)'!C4</f>
        <v>20000</v>
      </c>
      <c r="D25" s="290">
        <f>'Oferta (GASIG)'!H4</f>
        <v>20000</v>
      </c>
      <c r="F25" s="104"/>
      <c r="G25" s="43">
        <f>IFERROR($C25*$H$19*'Premissas (GASIG)'!$F$20*1000," ")</f>
        <v>272305906.69999999</v>
      </c>
      <c r="H25" s="43">
        <f>IFERROR($D25*$H$19*'Premissas (GASIG)'!$F$20*1000," ")</f>
        <v>272305906.69999999</v>
      </c>
      <c r="I25" s="93"/>
    </row>
    <row r="26" spans="1:9" x14ac:dyDescent="0.35">
      <c r="A26" s="2" t="s">
        <v>134</v>
      </c>
      <c r="B26" s="44" t="s">
        <v>488</v>
      </c>
      <c r="C26" s="290">
        <f>'Oferta (GASIG)'!C5</f>
        <v>18200</v>
      </c>
      <c r="D26" s="290">
        <f>'Oferta (GASIG)'!H5</f>
        <v>13432</v>
      </c>
      <c r="E26" s="46"/>
      <c r="F26" s="104"/>
      <c r="G26" s="43">
        <f>IFERROR($C26*$H$19*'Premissas (GASIG)'!$F$20*1000," ")</f>
        <v>247798375.097</v>
      </c>
      <c r="H26" s="43">
        <f>IFERROR($D26*$H$19*'Premissas (GASIG)'!$F$20*1000," ")</f>
        <v>182880646.93972</v>
      </c>
      <c r="I26" s="93"/>
    </row>
    <row r="27" spans="1:9" x14ac:dyDescent="0.35">
      <c r="A27" s="2" t="s">
        <v>135</v>
      </c>
      <c r="B27" s="44" t="s">
        <v>463</v>
      </c>
      <c r="C27" s="290">
        <f>'Oferta (GASIG)'!C6</f>
        <v>1250</v>
      </c>
      <c r="D27" s="290">
        <f>'Oferta (GASIG)'!H6</f>
        <v>305</v>
      </c>
      <c r="E27" s="46"/>
      <c r="F27" s="104"/>
      <c r="G27" s="43">
        <f>IFERROR($C27*$H$19*'Premissas (GASIG)'!$F$20*1000," ")</f>
        <v>17019119.168749999</v>
      </c>
      <c r="H27" s="43">
        <f>IFERROR($D27*$H$19*'Premissas (GASIG)'!$F$20*1000," ")</f>
        <v>4152665.0771750002</v>
      </c>
      <c r="I27" s="93"/>
    </row>
    <row r="28" spans="1:9" x14ac:dyDescent="0.35">
      <c r="A28" s="2" t="s">
        <v>136</v>
      </c>
      <c r="B28" s="44" t="s">
        <v>27</v>
      </c>
      <c r="C28" s="290">
        <f>'Oferta (GASIG)'!C7</f>
        <v>5000</v>
      </c>
      <c r="D28" s="290">
        <f>'Oferta (GASIG)'!H7</f>
        <v>0</v>
      </c>
      <c r="E28" s="46"/>
      <c r="F28" s="104"/>
      <c r="G28" s="43">
        <f>IFERROR($C28*$H$19*'Premissas (GASIG)'!$F$20*1000," ")</f>
        <v>68076476.674999997</v>
      </c>
      <c r="H28" s="43">
        <f>IFERROR($D28*$H$19*'Premissas (GASIG)'!$F$20*1000," ")</f>
        <v>0</v>
      </c>
      <c r="I28" s="93"/>
    </row>
    <row r="29" spans="1:9" x14ac:dyDescent="0.35">
      <c r="A29" s="2" t="s">
        <v>239</v>
      </c>
      <c r="B29" s="44" t="s">
        <v>29</v>
      </c>
      <c r="C29" s="290">
        <f>'Oferta (GASIG)'!C8</f>
        <v>2200</v>
      </c>
      <c r="D29" s="290">
        <f>'Oferta (GASIG)'!H8</f>
        <v>0</v>
      </c>
      <c r="E29" s="46"/>
      <c r="F29" s="104"/>
      <c r="G29" s="43">
        <f>IFERROR($C29*$H$19*'Premissas (GASIG)'!$F$20*1000," ")</f>
        <v>29953649.736999996</v>
      </c>
      <c r="H29" s="43">
        <f>IFERROR($D29*$H$19*'Premissas (GASIG)'!$F$20*1000," ")</f>
        <v>0</v>
      </c>
      <c r="I29" s="93"/>
    </row>
    <row r="30" spans="1:9" x14ac:dyDescent="0.35">
      <c r="A30" s="2" t="s">
        <v>137</v>
      </c>
      <c r="B30" s="44" t="s">
        <v>24</v>
      </c>
      <c r="C30" s="290">
        <f>'Oferta (GASIG)'!C9</f>
        <v>25160</v>
      </c>
      <c r="D30" s="290">
        <f>'Oferta (GASIG)'!H9</f>
        <v>6266</v>
      </c>
      <c r="E30" s="46"/>
      <c r="F30" s="104"/>
      <c r="G30" s="43">
        <f>IFERROR($C30*$H$19*'Premissas (GASIG)'!$F$20*1000," ")</f>
        <v>342560830.6286</v>
      </c>
      <c r="H30" s="43">
        <f>IFERROR($D30*$H$19*'Premissas (GASIG)'!$F$20*1000," ")</f>
        <v>85313440.569109991</v>
      </c>
      <c r="I30" s="93"/>
    </row>
    <row r="31" spans="1:9" x14ac:dyDescent="0.35">
      <c r="A31" s="2" t="s">
        <v>240</v>
      </c>
      <c r="B31" s="44" t="s">
        <v>264</v>
      </c>
      <c r="C31" s="290">
        <f>'Oferta (GASIG)'!C10</f>
        <v>0</v>
      </c>
      <c r="D31" s="290">
        <f>'Oferta (GASIG)'!H10</f>
        <v>6000</v>
      </c>
      <c r="E31" s="46"/>
      <c r="F31" s="104"/>
      <c r="G31" s="43">
        <f>IFERROR($C31*$H$19*'Premissas (GASIG)'!$F$20*1000," ")</f>
        <v>0</v>
      </c>
      <c r="H31" s="43">
        <f>IFERROR($D31*$H$19*'Premissas (GASIG)'!$F$20*1000," ")</f>
        <v>81691772.010000005</v>
      </c>
      <c r="I31" s="93"/>
    </row>
    <row r="32" spans="1:9" x14ac:dyDescent="0.35">
      <c r="A32" s="2" t="s">
        <v>138</v>
      </c>
      <c r="B32" s="44" t="s">
        <v>266</v>
      </c>
      <c r="C32" s="290">
        <f>'Oferta (GASIG)'!C11</f>
        <v>0</v>
      </c>
      <c r="D32" s="290">
        <f>'Oferta (GASIG)'!H11</f>
        <v>205</v>
      </c>
      <c r="E32" s="46"/>
      <c r="F32" s="104"/>
      <c r="G32" s="43">
        <f>IFERROR($C32*$H$19*'Premissas (GASIG)'!$F$20*1000," ")</f>
        <v>0</v>
      </c>
      <c r="H32" s="43">
        <f>IFERROR($D32*$H$19*'Premissas (GASIG)'!$F$20*1000," ")</f>
        <v>2791135.5436749998</v>
      </c>
      <c r="I32" s="93"/>
    </row>
    <row r="33" spans="1:10" x14ac:dyDescent="0.35">
      <c r="A33" s="2" t="s">
        <v>139</v>
      </c>
      <c r="B33" s="44" t="s">
        <v>265</v>
      </c>
      <c r="C33" s="290">
        <f>'Oferta (GASIG)'!C12</f>
        <v>0</v>
      </c>
      <c r="D33" s="290">
        <f>'Oferta (GASIG)'!H12</f>
        <v>200</v>
      </c>
      <c r="E33" s="46"/>
      <c r="F33" s="104"/>
      <c r="G33" s="43">
        <f>IFERROR($C33*$H$19*'Premissas (GASIG)'!$F$20*1000," ")</f>
        <v>0</v>
      </c>
      <c r="H33" s="43">
        <f>IFERROR($D33*$H$19*'Premissas (GASIG)'!$F$20*1000," ")</f>
        <v>2723059.0670000003</v>
      </c>
      <c r="I33" s="93"/>
    </row>
    <row r="34" spans="1:10" x14ac:dyDescent="0.35">
      <c r="C34" s="105">
        <f>SUM(C24:C33)</f>
        <v>91810</v>
      </c>
      <c r="D34" s="105">
        <f>SUM(D24:D33)</f>
        <v>55835</v>
      </c>
      <c r="E34" s="105"/>
      <c r="F34" s="104"/>
      <c r="G34" s="105">
        <f>SUM(G24:G33)</f>
        <v>1250020264.7063498</v>
      </c>
      <c r="H34" s="105">
        <f>SUM(H24:H33)</f>
        <v>760210015.02972507</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(GASIG)'!C3</f>
        <v>864.5</v>
      </c>
      <c r="D41" s="290">
        <f>'Demanda (GASIG)'!H3</f>
        <v>633</v>
      </c>
      <c r="G41" s="43">
        <f>IFERROR($C41*$H$19*'Premissas (GASIG)'!$F$20*1000," ")</f>
        <v>11770422.817107499</v>
      </c>
      <c r="H41" s="43">
        <f>IFERROR($D41*$H$19*'Premissas (GASIG)'!$F$20*1000," ")</f>
        <v>8618481.9470549989</v>
      </c>
      <c r="I41" s="93"/>
    </row>
    <row r="42" spans="1:10" x14ac:dyDescent="0.35">
      <c r="A42" s="2" t="s">
        <v>42</v>
      </c>
      <c r="B42" s="44" t="s">
        <v>217</v>
      </c>
      <c r="C42" s="290">
        <f>'Demanda (GASIG)'!C4</f>
        <v>1825.9</v>
      </c>
      <c r="D42" s="290">
        <f>'Demanda (GASIG)'!H4</f>
        <v>1098</v>
      </c>
      <c r="G42" s="43">
        <f>IFERROR($C42*$H$19*'Premissas (GASIG)'!$F$20*1000," ")</f>
        <v>24860167.752176501</v>
      </c>
      <c r="H42" s="43">
        <f>IFERROR($D42*$H$19*'Premissas (GASIG)'!$F$20*1000," ")</f>
        <v>14949594.277829999</v>
      </c>
      <c r="I42" s="93"/>
    </row>
    <row r="43" spans="1:10" x14ac:dyDescent="0.35">
      <c r="A43" s="2" t="s">
        <v>43</v>
      </c>
      <c r="B43" s="44" t="s">
        <v>218</v>
      </c>
      <c r="C43" s="290">
        <f>'Demanda (GASIG)'!C5</f>
        <v>3040.95</v>
      </c>
      <c r="D43" s="290">
        <f>'Demanda (GASIG)'!H5</f>
        <v>2852</v>
      </c>
      <c r="E43" s="46"/>
      <c r="G43" s="43">
        <f>IFERROR($C43*$H$19*'Premissas (GASIG)'!$F$20*1000," ")</f>
        <v>41403432.348968253</v>
      </c>
      <c r="H43" s="43">
        <f>IFERROR($D43*$H$19*'Premissas (GASIG)'!$F$20*1000," ")</f>
        <v>38830822.295419998</v>
      </c>
      <c r="I43" s="93"/>
    </row>
    <row r="44" spans="1:10" x14ac:dyDescent="0.35">
      <c r="A44" s="2" t="s">
        <v>44</v>
      </c>
      <c r="B44" s="44" t="s">
        <v>219</v>
      </c>
      <c r="C44" s="290">
        <f>'Demanda (GASIG)'!C6</f>
        <v>1187.5</v>
      </c>
      <c r="D44" s="290">
        <f>'Demanda (GASIG)'!H6</f>
        <v>305</v>
      </c>
      <c r="E44" s="46"/>
      <c r="G44" s="43">
        <f>IFERROR($C44*$H$19*'Premissas (GASIG)'!$F$20*1000," ")</f>
        <v>16168163.210312499</v>
      </c>
      <c r="H44" s="43">
        <f>IFERROR($D44*$H$19*'Premissas (GASIG)'!$F$20*1000," ")</f>
        <v>4152665.0771750002</v>
      </c>
      <c r="I44" s="93"/>
    </row>
    <row r="45" spans="1:10" x14ac:dyDescent="0.35">
      <c r="A45" s="2" t="s">
        <v>45</v>
      </c>
      <c r="B45" s="44" t="s">
        <v>220</v>
      </c>
      <c r="C45" s="290">
        <f>'Demanda (GASIG)'!C7</f>
        <v>21185</v>
      </c>
      <c r="D45" s="290">
        <f>'Demanda (GASIG)'!H7</f>
        <v>13624</v>
      </c>
      <c r="E45" s="46"/>
      <c r="G45" s="43">
        <f>IFERROR($C45*$H$19*'Premissas (GASIG)'!$F$20*1000," ")</f>
        <v>288440031.67197496</v>
      </c>
      <c r="H45" s="43">
        <f>IFERROR($D45*$H$19*'Premissas (GASIG)'!$F$20*1000," ")</f>
        <v>185494783.64403999</v>
      </c>
      <c r="I45" s="93"/>
    </row>
    <row r="46" spans="1:10" x14ac:dyDescent="0.35">
      <c r="A46" s="2" t="s">
        <v>46</v>
      </c>
      <c r="B46" s="44" t="s">
        <v>221</v>
      </c>
      <c r="C46" s="290">
        <f>'Demanda (GASIG)'!C8</f>
        <v>11271.75</v>
      </c>
      <c r="D46" s="290">
        <f>'Demanda (GASIG)'!H8</f>
        <v>8403</v>
      </c>
      <c r="E46" s="46"/>
      <c r="G46" s="43">
        <f>IFERROR($C46*$H$19*'Premissas (GASIG)'!$F$20*1000," ")</f>
        <v>153468205.19228625</v>
      </c>
      <c r="H46" s="43">
        <f>IFERROR($D46*$H$19*'Premissas (GASIG)'!$F$20*1000," ")</f>
        <v>114409326.70000499</v>
      </c>
      <c r="I46" s="93"/>
    </row>
    <row r="47" spans="1:10" x14ac:dyDescent="0.35">
      <c r="A47" s="2" t="s">
        <v>47</v>
      </c>
      <c r="B47" s="44" t="s">
        <v>222</v>
      </c>
      <c r="C47" s="290">
        <f>'Demanda (GASIG)'!C9</f>
        <v>3249</v>
      </c>
      <c r="D47" s="290">
        <f>'Demanda (GASIG)'!H9</f>
        <v>2173</v>
      </c>
      <c r="E47" s="46"/>
      <c r="G47" s="43">
        <f>IFERROR($C47*$H$19*'Premissas (GASIG)'!$F$20*1000," ")</f>
        <v>44236094.543414995</v>
      </c>
      <c r="H47" s="43">
        <f>IFERROR($D47*$H$19*'Premissas (GASIG)'!$F$20*1000," ")</f>
        <v>29586036.762954999</v>
      </c>
      <c r="I47" s="93"/>
    </row>
    <row r="48" spans="1:10" x14ac:dyDescent="0.35">
      <c r="A48" s="2" t="s">
        <v>48</v>
      </c>
      <c r="B48" s="44" t="s">
        <v>223</v>
      </c>
      <c r="C48" s="290">
        <f>'Demanda (GASIG)'!C10</f>
        <v>498.75</v>
      </c>
      <c r="D48" s="290">
        <f>'Demanda (GASIG)'!H10</f>
        <v>283</v>
      </c>
      <c r="E48" s="46"/>
      <c r="G48" s="43">
        <f>IFERROR($C48*$H$19*'Premissas (GASIG)'!$F$20*1000," ")</f>
        <v>6790628.5483312495</v>
      </c>
      <c r="H48" s="43">
        <f>IFERROR($D48*$H$19*'Premissas (GASIG)'!$F$20*1000," ")</f>
        <v>3853128.5798049998</v>
      </c>
      <c r="I48" s="93"/>
    </row>
    <row r="49" spans="1:9" x14ac:dyDescent="0.35">
      <c r="A49" s="2" t="s">
        <v>49</v>
      </c>
      <c r="B49" s="44" t="s">
        <v>224</v>
      </c>
      <c r="C49" s="290">
        <f>'Demanda (GASIG)'!C11</f>
        <v>3321.2</v>
      </c>
      <c r="D49" s="290">
        <f>'Demanda (GASIG)'!H11</f>
        <v>2116</v>
      </c>
      <c r="E49" s="46"/>
      <c r="G49" s="43">
        <f>IFERROR($C49*$H$19*'Premissas (GASIG)'!$F$20*1000," ")</f>
        <v>45219118.866601996</v>
      </c>
      <c r="H49" s="43">
        <f>IFERROR($D49*$H$19*'Premissas (GASIG)'!$F$20*1000," ")</f>
        <v>28809964.928859998</v>
      </c>
      <c r="I49" s="93"/>
    </row>
    <row r="50" spans="1:9" x14ac:dyDescent="0.35">
      <c r="A50" s="2" t="s">
        <v>50</v>
      </c>
      <c r="B50" s="44" t="s">
        <v>225</v>
      </c>
      <c r="C50" s="290">
        <f>'Demanda (GASIG)'!C12</f>
        <v>14292.75</v>
      </c>
      <c r="D50" s="290">
        <f>'Demanda (GASIG)'!H12</f>
        <v>1050</v>
      </c>
      <c r="E50" s="46"/>
      <c r="G50" s="43">
        <f>IFERROR($C50*$H$19*'Premissas (GASIG)'!$F$20*1000," ")</f>
        <v>194600012.39932126</v>
      </c>
      <c r="H50" s="43">
        <f>IFERROR($D50*$H$19*'Premissas (GASIG)'!$F$20*1000," ")</f>
        <v>14296060.101749998</v>
      </c>
      <c r="I50" s="93"/>
    </row>
    <row r="51" spans="1:9" x14ac:dyDescent="0.35">
      <c r="A51" s="2" t="s">
        <v>51</v>
      </c>
      <c r="B51" s="44" t="s">
        <v>226</v>
      </c>
      <c r="C51" s="290">
        <f>'Demanda (GASIG)'!C13</f>
        <v>3971</v>
      </c>
      <c r="D51" s="290">
        <f>'Demanda (GASIG)'!H13</f>
        <v>3003</v>
      </c>
      <c r="E51" s="46"/>
      <c r="G51" s="43">
        <f>IFERROR($C51*$H$19*'Premissas (GASIG)'!$F$20*1000," ")</f>
        <v>54066337.775284998</v>
      </c>
      <c r="H51" s="43">
        <f>IFERROR($D51*$H$19*'Premissas (GASIG)'!$F$20*1000," ")</f>
        <v>40886731.891005002</v>
      </c>
      <c r="I51" s="93"/>
    </row>
    <row r="52" spans="1:9" x14ac:dyDescent="0.35">
      <c r="A52" s="2" t="s">
        <v>52</v>
      </c>
      <c r="B52" s="44" t="s">
        <v>227</v>
      </c>
      <c r="C52" s="290">
        <f>'Demanda (GASIG)'!C14</f>
        <v>9941.75</v>
      </c>
      <c r="D52" s="290">
        <f>'Demanda (GASIG)'!H14</f>
        <v>5584</v>
      </c>
      <c r="E52" s="46"/>
      <c r="G52" s="43">
        <f>IFERROR($C52*$H$19*'Premissas (GASIG)'!$F$20*1000," ")</f>
        <v>135359862.39673626</v>
      </c>
      <c r="H52" s="43">
        <f>IFERROR($D52*$H$19*'Premissas (GASIG)'!$F$20*1000," ")</f>
        <v>76027809.150639996</v>
      </c>
      <c r="I52" s="93"/>
    </row>
    <row r="53" spans="1:9" x14ac:dyDescent="0.35">
      <c r="A53" s="2" t="s">
        <v>53</v>
      </c>
      <c r="B53" s="44" t="s">
        <v>228</v>
      </c>
      <c r="C53" s="290">
        <f>'Demanda (GASIG)'!C15</f>
        <v>3809.5</v>
      </c>
      <c r="D53" s="290">
        <f>'Demanda (GASIG)'!H15</f>
        <v>2483</v>
      </c>
      <c r="E53" s="46"/>
      <c r="G53" s="43">
        <f>IFERROR($C53*$H$19*'Premissas (GASIG)'!$F$20*1000," ")</f>
        <v>51867467.578682497</v>
      </c>
      <c r="H53" s="43">
        <f>IFERROR($D53*$H$19*'Premissas (GASIG)'!$F$20*1000," ")</f>
        <v>33806778.316804998</v>
      </c>
      <c r="I53" s="93"/>
    </row>
    <row r="54" spans="1:9" x14ac:dyDescent="0.35">
      <c r="A54" s="2" t="s">
        <v>54</v>
      </c>
      <c r="B54" s="44" t="s">
        <v>269</v>
      </c>
      <c r="C54" s="290">
        <f>'Demanda (GASIG)'!C16</f>
        <v>0</v>
      </c>
      <c r="D54" s="290">
        <f>'Demanda (GASIG)'!H16</f>
        <v>0</v>
      </c>
      <c r="E54" s="46"/>
      <c r="G54" s="43">
        <f>IFERROR($C54*$H$19*'Premissas (GASIG)'!$F$20*1000," ")</f>
        <v>0</v>
      </c>
      <c r="H54" s="43">
        <f>IFERROR($D54*$H$19*'Premissas (GASIG)'!$F$20*1000," ")</f>
        <v>0</v>
      </c>
      <c r="I54" s="93"/>
    </row>
    <row r="55" spans="1:9" x14ac:dyDescent="0.35">
      <c r="A55" s="2" t="s">
        <v>55</v>
      </c>
      <c r="B55" s="44" t="s">
        <v>268</v>
      </c>
      <c r="C55" s="290">
        <f>'Demanda (GASIG)'!C17</f>
        <v>0</v>
      </c>
      <c r="D55" s="290">
        <f>'Demanda (GASIG)'!H17</f>
        <v>6824</v>
      </c>
      <c r="E55" s="46"/>
      <c r="G55" s="43">
        <f>IFERROR($C55*$H$19*'Premissas (GASIG)'!$F$20*1000," ")</f>
        <v>0</v>
      </c>
      <c r="H55" s="43">
        <f>IFERROR($D55*$H$19*'Premissas (GASIG)'!$F$20*1000," ")</f>
        <v>92910775.366039991</v>
      </c>
      <c r="I55" s="93"/>
    </row>
    <row r="56" spans="1:9" x14ac:dyDescent="0.35">
      <c r="A56" s="2" t="s">
        <v>56</v>
      </c>
      <c r="B56" s="44" t="s">
        <v>267</v>
      </c>
      <c r="C56" s="290">
        <f>'Demanda (GASIG)'!C18</f>
        <v>0</v>
      </c>
      <c r="D56" s="290">
        <f>'Demanda (GASIG)'!H18</f>
        <v>200</v>
      </c>
      <c r="E56" s="46"/>
      <c r="G56" s="43">
        <f>IFERROR($C56*$H$19*'Premissas (GASIG)'!$F$20*1000," ")</f>
        <v>0</v>
      </c>
      <c r="H56" s="43">
        <f>IFERROR($D56*$H$19*'Premissas (GASIG)'!$F$20*1000," ")</f>
        <v>2723059.0670000003</v>
      </c>
      <c r="I56" s="93"/>
    </row>
    <row r="57" spans="1:9" x14ac:dyDescent="0.35">
      <c r="C57" s="105">
        <f>SUM(C41:C56)</f>
        <v>78459.549999999988</v>
      </c>
      <c r="D57" s="105">
        <f>SUM(D41:D56)</f>
        <v>50631</v>
      </c>
      <c r="E57" s="105"/>
      <c r="G57" s="105">
        <f>SUM(G41:G56)</f>
        <v>1068249945.1011992</v>
      </c>
      <c r="H57" s="105">
        <f>SUM(H41:H56)</f>
        <v>689356018.10638499</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0.16883675114175695</v>
      </c>
      <c r="C99" s="9"/>
      <c r="D99" t="s">
        <v>304</v>
      </c>
      <c r="E99" s="110">
        <f>H41/$H$57</f>
        <v>1.2502221958878946E-2</v>
      </c>
      <c r="G99" s="109" t="s">
        <v>148</v>
      </c>
      <c r="H99" s="111">
        <f>H24/$H$34</f>
        <v>0.16883675114175695</v>
      </c>
      <c r="I99" s="111">
        <f>H25/$H$34</f>
        <v>0.35819826273842564</v>
      </c>
      <c r="J99" s="111">
        <f>$H26/$H$34</f>
        <v>0.2405659532551267</v>
      </c>
      <c r="K99" s="111">
        <f>$H27/$H$34</f>
        <v>5.4625235067609921E-3</v>
      </c>
      <c r="L99" s="111">
        <f>$H28/$H$34</f>
        <v>0</v>
      </c>
      <c r="M99" s="111">
        <f>$H29/$H$34</f>
        <v>0</v>
      </c>
      <c r="N99" s="111">
        <f>$H30/$H$34</f>
        <v>0.11222351571594875</v>
      </c>
      <c r="O99" s="111">
        <f>$H31/$H$34</f>
        <v>0.10745947882152772</v>
      </c>
      <c r="P99" s="111">
        <f>$H32/$H$34</f>
        <v>3.6715321930688629E-3</v>
      </c>
      <c r="Q99" s="111">
        <f>$H33/$H$34</f>
        <v>3.581982627384257E-3</v>
      </c>
      <c r="R99" s="111">
        <f>SUM(H99:Q99)</f>
        <v>0.99999999999999989</v>
      </c>
      <c r="S99" s="110"/>
      <c r="T99" s="110"/>
      <c r="U99" s="110"/>
      <c r="V99" s="110"/>
      <c r="W99" s="110"/>
    </row>
    <row r="100" spans="1:27" ht="16.5" x14ac:dyDescent="0.45">
      <c r="A100" t="s">
        <v>295</v>
      </c>
      <c r="B100" s="112">
        <f t="shared" ref="B100:B108" si="1">H25/$H$34</f>
        <v>0.35819826273842564</v>
      </c>
      <c r="C100" s="4"/>
      <c r="D100" t="s">
        <v>305</v>
      </c>
      <c r="E100" s="110">
        <f t="shared" ref="E100:E114" si="2">H42/$H$57</f>
        <v>2.1686318658529359E-2</v>
      </c>
    </row>
    <row r="101" spans="1:27" ht="16.5" x14ac:dyDescent="0.45">
      <c r="A101" t="s">
        <v>296</v>
      </c>
      <c r="B101" s="112">
        <f t="shared" si="1"/>
        <v>0.2405659532551267</v>
      </c>
      <c r="C101" s="4"/>
      <c r="D101" t="s">
        <v>306</v>
      </c>
      <c r="E101" s="110">
        <f t="shared" si="2"/>
        <v>5.6329126424522521E-2</v>
      </c>
      <c r="G101" s="110"/>
    </row>
    <row r="102" spans="1:27" ht="16.5" x14ac:dyDescent="0.45">
      <c r="A102" t="s">
        <v>297</v>
      </c>
      <c r="B102" s="112">
        <f t="shared" si="1"/>
        <v>5.4625235067609921E-3</v>
      </c>
      <c r="C102" s="4"/>
      <c r="D102" t="s">
        <v>307</v>
      </c>
      <c r="E102" s="110">
        <f t="shared" si="2"/>
        <v>6.0239774051470451E-3</v>
      </c>
      <c r="G102" s="110"/>
      <c r="H102" s="112"/>
      <c r="I102" s="112"/>
    </row>
    <row r="103" spans="1:27" ht="16.5" x14ac:dyDescent="0.45">
      <c r="A103" t="s">
        <v>298</v>
      </c>
      <c r="B103" s="112">
        <f t="shared" si="1"/>
        <v>0</v>
      </c>
      <c r="C103" s="4"/>
      <c r="D103" t="s">
        <v>308</v>
      </c>
      <c r="E103" s="110">
        <f t="shared" si="2"/>
        <v>0.26908415792696172</v>
      </c>
      <c r="G103" s="110"/>
      <c r="H103" s="112"/>
      <c r="I103" s="112"/>
    </row>
    <row r="104" spans="1:27" ht="16.5" x14ac:dyDescent="0.45">
      <c r="A104" t="s">
        <v>299</v>
      </c>
      <c r="B104" s="112">
        <f t="shared" si="1"/>
        <v>0</v>
      </c>
      <c r="C104" s="4"/>
      <c r="D104" t="s">
        <v>309</v>
      </c>
      <c r="E104" s="110">
        <f t="shared" si="2"/>
        <v>0.16596551519819872</v>
      </c>
      <c r="G104" s="110"/>
      <c r="H104" s="112"/>
      <c r="I104" s="112"/>
    </row>
    <row r="105" spans="1:27" ht="16.5" x14ac:dyDescent="0.45">
      <c r="A105" t="s">
        <v>300</v>
      </c>
      <c r="B105" s="112">
        <f t="shared" si="1"/>
        <v>0.11222351571594875</v>
      </c>
      <c r="C105" s="4"/>
      <c r="D105" t="s">
        <v>310</v>
      </c>
      <c r="E105" s="110">
        <f t="shared" si="2"/>
        <v>4.2918370168473857E-2</v>
      </c>
      <c r="G105" s="110"/>
      <c r="H105" s="112"/>
      <c r="I105" s="112"/>
    </row>
    <row r="106" spans="1:27" ht="16.5" x14ac:dyDescent="0.45">
      <c r="A106" t="s">
        <v>301</v>
      </c>
      <c r="B106" s="112">
        <f t="shared" si="1"/>
        <v>0.10745947882152772</v>
      </c>
      <c r="C106" s="4"/>
      <c r="D106" t="s">
        <v>311</v>
      </c>
      <c r="E106" s="110">
        <f t="shared" si="2"/>
        <v>5.5894610021528313E-3</v>
      </c>
      <c r="G106" s="110"/>
      <c r="H106" s="112"/>
      <c r="I106" s="112"/>
    </row>
    <row r="107" spans="1:27" ht="16.5" x14ac:dyDescent="0.45">
      <c r="A107" t="s">
        <v>302</v>
      </c>
      <c r="B107" s="112">
        <f t="shared" si="1"/>
        <v>3.6715321930688629E-3</v>
      </c>
      <c r="C107" s="4"/>
      <c r="D107" t="s">
        <v>312</v>
      </c>
      <c r="E107" s="110">
        <f t="shared" si="2"/>
        <v>4.1792577669807034E-2</v>
      </c>
      <c r="G107" s="110"/>
      <c r="H107" s="112"/>
      <c r="I107" s="112"/>
    </row>
    <row r="108" spans="1:27" ht="16.5" x14ac:dyDescent="0.45">
      <c r="A108" t="s">
        <v>303</v>
      </c>
      <c r="B108" s="112">
        <f t="shared" si="1"/>
        <v>3.581982627384257E-3</v>
      </c>
      <c r="D108" t="s">
        <v>313</v>
      </c>
      <c r="E108" s="110">
        <f t="shared" si="2"/>
        <v>2.0738282870178346E-2</v>
      </c>
      <c r="G108" s="110"/>
    </row>
    <row r="109" spans="1:27" ht="16.5" x14ac:dyDescent="0.45">
      <c r="B109" s="112">
        <f>SUM(B99:B108)</f>
        <v>0.99999999999999989</v>
      </c>
      <c r="D109" t="s">
        <v>314</v>
      </c>
      <c r="E109" s="110">
        <f t="shared" si="2"/>
        <v>5.9311489008710083E-2</v>
      </c>
      <c r="G109" s="110"/>
    </row>
    <row r="110" spans="1:27" ht="16.5" x14ac:dyDescent="0.45">
      <c r="B110" s="112"/>
      <c r="D110" t="s">
        <v>315</v>
      </c>
      <c r="E110" s="110">
        <f t="shared" si="2"/>
        <v>0.11028816337816752</v>
      </c>
      <c r="G110" s="110"/>
    </row>
    <row r="111" spans="1:27" ht="16.5" x14ac:dyDescent="0.45">
      <c r="B111" s="112"/>
      <c r="D111" t="s">
        <v>316</v>
      </c>
      <c r="E111" s="110">
        <f t="shared" si="2"/>
        <v>4.904110130157413E-2</v>
      </c>
    </row>
    <row r="112" spans="1:27" ht="16.5" x14ac:dyDescent="0.45">
      <c r="B112" s="112"/>
      <c r="D112" t="s">
        <v>317</v>
      </c>
      <c r="E112" s="110">
        <f t="shared" si="2"/>
        <v>0</v>
      </c>
    </row>
    <row r="113" spans="1:5" ht="16.5" x14ac:dyDescent="0.45">
      <c r="B113" s="112"/>
      <c r="D113" t="s">
        <v>318</v>
      </c>
      <c r="E113" s="110">
        <f t="shared" si="2"/>
        <v>0.13477908791056861</v>
      </c>
    </row>
    <row r="114" spans="1:5" ht="16.5" x14ac:dyDescent="0.45">
      <c r="B114" s="112"/>
      <c r="D114" t="s">
        <v>319</v>
      </c>
      <c r="E114" s="110">
        <f t="shared" si="2"/>
        <v>3.9501491181292096E-3</v>
      </c>
    </row>
    <row r="115" spans="1:5" x14ac:dyDescent="0.35">
      <c r="E115" s="110">
        <f>SUM(E99:E114)</f>
        <v>0.99999999999999989</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351.36630696608796</v>
      </c>
      <c r="C130" s="114"/>
      <c r="D130" t="s">
        <v>325</v>
      </c>
      <c r="E130" s="4">
        <f ca="1">SUMPRODUCT($H$99:$Q$99,$C67:$L67)</f>
        <v>337.67901051311895</v>
      </c>
    </row>
    <row r="131" spans="1:5" ht="16.5" x14ac:dyDescent="0.45">
      <c r="A131" t="s">
        <v>326</v>
      </c>
      <c r="B131" s="110">
        <f ca="1">SUMPRODUCT($E$99:$E$114,D$67:D$82)</f>
        <v>237.42916805382737</v>
      </c>
      <c r="C131" s="114"/>
      <c r="D131" t="s">
        <v>327</v>
      </c>
      <c r="E131" s="4">
        <f t="shared" ref="E131:E145" ca="1" si="3">SUMPRODUCT($H$99:$Q$99,$C68:$L68)</f>
        <v>434.84301051311894</v>
      </c>
    </row>
    <row r="132" spans="1:5" ht="16.5" x14ac:dyDescent="0.45">
      <c r="A132" t="s">
        <v>328</v>
      </c>
      <c r="B132" s="110">
        <f ca="1">SUMPRODUCT($E$99:$E$114,E$67:E$82)</f>
        <v>274.76063295082724</v>
      </c>
      <c r="C132" s="114"/>
      <c r="D132" t="s">
        <v>329</v>
      </c>
      <c r="E132" s="4">
        <f t="shared" ca="1" si="3"/>
        <v>552.00821051311902</v>
      </c>
    </row>
    <row r="133" spans="1:5" ht="16.5" x14ac:dyDescent="0.45">
      <c r="A133" t="s">
        <v>330</v>
      </c>
      <c r="B133" s="110">
        <f ca="1">SUMPRODUCT($E$99:$E$114,F$67:F$82)</f>
        <v>409.94607776263553</v>
      </c>
      <c r="C133" s="114"/>
      <c r="D133" t="s">
        <v>331</v>
      </c>
      <c r="E133" s="4">
        <f t="shared" ca="1" si="3"/>
        <v>564.99892639025688</v>
      </c>
    </row>
    <row r="134" spans="1:5" ht="16.5" x14ac:dyDescent="0.45">
      <c r="A134" t="s">
        <v>332</v>
      </c>
      <c r="B134" s="110">
        <f ca="1">SUMPRODUCT($E$99:$E$114,G$67:G$82)</f>
        <v>225.99651239227609</v>
      </c>
      <c r="C134" s="114"/>
      <c r="D134" t="s">
        <v>333</v>
      </c>
      <c r="E134" s="4">
        <f t="shared" ca="1" si="3"/>
        <v>183.46306603981967</v>
      </c>
    </row>
    <row r="135" spans="1:5" ht="16.5" x14ac:dyDescent="0.45">
      <c r="A135" t="s">
        <v>334</v>
      </c>
      <c r="B135" s="110">
        <f ca="1">SUMPRODUCT($E$99:$E$114,H$67:H$82)</f>
        <v>386.26987939931388</v>
      </c>
      <c r="C135" s="114"/>
      <c r="D135" t="s">
        <v>335</v>
      </c>
      <c r="E135" s="4">
        <f t="shared" ca="1" si="3"/>
        <v>163.6816219754634</v>
      </c>
    </row>
    <row r="136" spans="1:5" ht="16.5" x14ac:dyDescent="0.45">
      <c r="A136" t="s">
        <v>336</v>
      </c>
      <c r="B136" s="110">
        <f ca="1">SUMPRODUCT($E$99:$E$114,I$67:I$82)</f>
        <v>381.45579607223505</v>
      </c>
      <c r="D136" t="s">
        <v>337</v>
      </c>
      <c r="E136" s="4">
        <f t="shared" ca="1" si="3"/>
        <v>184.45908882242318</v>
      </c>
    </row>
    <row r="137" spans="1:5" ht="16.5" x14ac:dyDescent="0.45">
      <c r="A137" t="s">
        <v>338</v>
      </c>
      <c r="B137" s="110">
        <f ca="1">SUMPRODUCT($E$99:$E$114,J$67:J$82)</f>
        <v>304.947813625381</v>
      </c>
      <c r="D137" t="s">
        <v>339</v>
      </c>
      <c r="E137" s="4">
        <f t="shared" ca="1" si="3"/>
        <v>210.26279955225215</v>
      </c>
    </row>
    <row r="138" spans="1:5" ht="16.5" x14ac:dyDescent="0.45">
      <c r="A138" t="s">
        <v>340</v>
      </c>
      <c r="B138" s="110">
        <f ca="1">SUMPRODUCT($E$99:$E$114,K$67:K$82)</f>
        <v>409.94607776263553</v>
      </c>
      <c r="D138" t="s">
        <v>341</v>
      </c>
      <c r="E138" s="4">
        <f t="shared" ca="1" si="3"/>
        <v>169.16235059550459</v>
      </c>
    </row>
    <row r="139" spans="1:5" ht="16.5" x14ac:dyDescent="0.45">
      <c r="A139" t="s">
        <v>342</v>
      </c>
      <c r="B139" s="110">
        <f ca="1">SUMPRODUCT($E$99:$E$114,L$67:L$82)</f>
        <v>381.45579607223505</v>
      </c>
      <c r="D139" t="s">
        <v>343</v>
      </c>
      <c r="E139" s="4">
        <f t="shared" ca="1" si="3"/>
        <v>298.67790862063816</v>
      </c>
    </row>
    <row r="140" spans="1:5" ht="16.5" x14ac:dyDescent="0.45">
      <c r="B140" s="110"/>
      <c r="D140" t="s">
        <v>344</v>
      </c>
      <c r="E140" s="4">
        <f t="shared" ca="1" si="3"/>
        <v>280.68276856213242</v>
      </c>
    </row>
    <row r="141" spans="1:5" ht="16.5" x14ac:dyDescent="0.45">
      <c r="B141" s="110"/>
      <c r="D141" t="s">
        <v>345</v>
      </c>
      <c r="E141" s="4">
        <f t="shared" ca="1" si="3"/>
        <v>383.998450513119</v>
      </c>
    </row>
    <row r="142" spans="1:5" ht="16.5" x14ac:dyDescent="0.45">
      <c r="B142" s="110"/>
      <c r="D142" t="s">
        <v>346</v>
      </c>
      <c r="E142" s="4">
        <f t="shared" ca="1" si="3"/>
        <v>419.35444269723286</v>
      </c>
    </row>
    <row r="143" spans="1:5" ht="16.5" x14ac:dyDescent="0.45">
      <c r="B143" s="110"/>
      <c r="D143" t="s">
        <v>347</v>
      </c>
      <c r="E143" s="4">
        <f t="shared" si="3"/>
        <v>314.01744269723287</v>
      </c>
    </row>
    <row r="144" spans="1:5" ht="16.5" x14ac:dyDescent="0.45">
      <c r="B144" s="110"/>
      <c r="D144" t="s">
        <v>348</v>
      </c>
      <c r="E144" s="4">
        <f t="shared" si="3"/>
        <v>471.23292639025703</v>
      </c>
    </row>
    <row r="145" spans="1:5" ht="16.5" x14ac:dyDescent="0.45">
      <c r="B145" s="110"/>
      <c r="D145" t="s">
        <v>349</v>
      </c>
      <c r="E145" s="4">
        <f t="shared" si="3"/>
        <v>264.05156964269725</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0.20375105656645692</v>
      </c>
      <c r="C162" s="36"/>
      <c r="D162" t="s">
        <v>355</v>
      </c>
      <c r="E162" s="115">
        <f t="shared" ref="E162:E177" ca="1" si="4">($H41*$E130)/SUMPRODUCT($H$41:$H$56,$E$130:$E$145)</f>
        <v>1.4499867722212968E-2</v>
      </c>
    </row>
    <row r="163" spans="1:9" ht="16.5" x14ac:dyDescent="0.45">
      <c r="A163" t="s">
        <v>356</v>
      </c>
      <c r="B163" s="115">
        <f t="shared" ref="B163:B171" ca="1" si="5">($H25*$B131)/SUMPRODUCT($H$24:$H$33,$B$130:$B$139)</f>
        <v>0.29209916453710072</v>
      </c>
      <c r="C163" s="4"/>
      <c r="D163" t="s">
        <v>357</v>
      </c>
      <c r="E163" s="115">
        <f t="shared" ca="1" si="4"/>
        <v>3.2388519580195084E-2</v>
      </c>
    </row>
    <row r="164" spans="1:9" ht="16.5" x14ac:dyDescent="0.45">
      <c r="A164" t="s">
        <v>358</v>
      </c>
      <c r="B164" s="115">
        <f t="shared" ca="1" si="5"/>
        <v>0.22701859925975429</v>
      </c>
      <c r="C164" s="4"/>
      <c r="D164" t="s">
        <v>359</v>
      </c>
      <c r="E164" s="115">
        <f t="shared" ca="1" si="4"/>
        <v>0.10679509892242109</v>
      </c>
      <c r="H164" s="116"/>
      <c r="I164" s="116"/>
    </row>
    <row r="165" spans="1:9" ht="16.5" x14ac:dyDescent="0.45">
      <c r="A165" t="s">
        <v>360</v>
      </c>
      <c r="B165" s="115">
        <f t="shared" ca="1" si="5"/>
        <v>7.6911773055063047E-3</v>
      </c>
      <c r="C165" s="4"/>
      <c r="D165" t="s">
        <v>361</v>
      </c>
      <c r="E165" s="115">
        <f t="shared" ca="1" si="4"/>
        <v>1.1689709688169016E-2</v>
      </c>
    </row>
    <row r="166" spans="1:9" ht="16.5" x14ac:dyDescent="0.45">
      <c r="A166" t="s">
        <v>362</v>
      </c>
      <c r="B166" s="115">
        <f t="shared" ca="1" si="5"/>
        <v>0</v>
      </c>
      <c r="C166" s="4"/>
      <c r="D166" t="s">
        <v>363</v>
      </c>
      <c r="E166" s="115">
        <f t="shared" ca="1" si="4"/>
        <v>0.16955458798920761</v>
      </c>
    </row>
    <row r="167" spans="1:9" ht="16.5" x14ac:dyDescent="0.45">
      <c r="A167" t="s">
        <v>364</v>
      </c>
      <c r="B167" s="115">
        <f t="shared" ca="1" si="5"/>
        <v>0</v>
      </c>
      <c r="C167" s="4"/>
      <c r="D167" t="s">
        <v>365</v>
      </c>
      <c r="E167" s="115">
        <f t="shared" ca="1" si="4"/>
        <v>9.330191276979892E-2</v>
      </c>
    </row>
    <row r="168" spans="1:9" ht="16.5" x14ac:dyDescent="0.45">
      <c r="A168" t="s">
        <v>366</v>
      </c>
      <c r="B168" s="115">
        <f t="shared" ca="1" si="5"/>
        <v>0.14702827338162311</v>
      </c>
      <c r="C168" s="4"/>
      <c r="D168" t="s">
        <v>367</v>
      </c>
      <c r="E168" s="115">
        <f t="shared" ca="1" si="4"/>
        <v>2.7190428330695734E-2</v>
      </c>
    </row>
    <row r="169" spans="1:9" ht="16.5" x14ac:dyDescent="0.45">
      <c r="A169" t="s">
        <v>368</v>
      </c>
      <c r="B169" s="115">
        <f t="shared" ca="1" si="5"/>
        <v>0.11254935817388097</v>
      </c>
      <c r="C169" s="4"/>
      <c r="D169" t="s">
        <v>369</v>
      </c>
      <c r="E169" s="115">
        <f t="shared" ca="1" si="4"/>
        <v>4.0365017194711915E-3</v>
      </c>
    </row>
    <row r="170" spans="1:9" ht="16.5" x14ac:dyDescent="0.45">
      <c r="A170" t="s">
        <v>370</v>
      </c>
      <c r="B170" s="115">
        <f t="shared" ca="1" si="5"/>
        <v>5.1694798282911217E-3</v>
      </c>
      <c r="D170" t="s">
        <v>371</v>
      </c>
      <c r="E170" s="115">
        <f t="shared" ca="1" si="4"/>
        <v>2.4281507067596436E-2</v>
      </c>
    </row>
    <row r="171" spans="1:9" ht="16.5" x14ac:dyDescent="0.45">
      <c r="A171" t="s">
        <v>372</v>
      </c>
      <c r="B171" s="115">
        <f t="shared" ca="1" si="5"/>
        <v>4.69289094738663E-3</v>
      </c>
      <c r="D171" t="s">
        <v>373</v>
      </c>
      <c r="E171" s="115">
        <f t="shared" ca="1" si="4"/>
        <v>2.1273975977548671E-2</v>
      </c>
    </row>
    <row r="172" spans="1:9" ht="16.5" x14ac:dyDescent="0.45">
      <c r="B172" s="233">
        <f ca="1">SUM(B162:B171)</f>
        <v>1</v>
      </c>
      <c r="D172" t="s">
        <v>374</v>
      </c>
      <c r="E172" s="115">
        <f t="shared" ca="1" si="4"/>
        <v>5.7177787668925582E-2</v>
      </c>
    </row>
    <row r="173" spans="1:9" ht="16.5" x14ac:dyDescent="0.45">
      <c r="B173" s="115"/>
      <c r="D173" t="s">
        <v>375</v>
      </c>
      <c r="E173" s="115">
        <f t="shared" ca="1" si="4"/>
        <v>0.14545583417082544</v>
      </c>
    </row>
    <row r="174" spans="1:9" ht="16.5" x14ac:dyDescent="0.45">
      <c r="B174" s="115"/>
      <c r="D174" t="s">
        <v>376</v>
      </c>
      <c r="E174" s="115">
        <f t="shared" ca="1" si="4"/>
        <v>7.0634070038441896E-2</v>
      </c>
    </row>
    <row r="175" spans="1:9" ht="16.5" x14ac:dyDescent="0.45">
      <c r="B175" s="115"/>
      <c r="D175" t="s">
        <v>377</v>
      </c>
      <c r="E175" s="115">
        <f t="shared" ca="1" si="4"/>
        <v>0</v>
      </c>
    </row>
    <row r="176" spans="1:9" ht="16.5" x14ac:dyDescent="0.45">
      <c r="B176" s="115"/>
      <c r="D176" t="s">
        <v>378</v>
      </c>
      <c r="E176" s="115">
        <f t="shared" ca="1" si="4"/>
        <v>0.21813779062822558</v>
      </c>
    </row>
    <row r="177" spans="1:5" ht="16.5" x14ac:dyDescent="0.45">
      <c r="B177" s="115"/>
      <c r="D177" t="s">
        <v>379</v>
      </c>
      <c r="E177" s="115">
        <f t="shared" ca="1" si="4"/>
        <v>3.5824077262648227E-3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7.4745123119349923</v>
      </c>
      <c r="C193" s="47"/>
      <c r="D193" t="s">
        <v>383</v>
      </c>
      <c r="E193" s="6">
        <f t="shared" ref="E193:E208" ca="1" si="7">$E162*$D$8</f>
        <v>0.22796608827630055</v>
      </c>
    </row>
    <row r="194" spans="1:5" ht="16.5" x14ac:dyDescent="0.45">
      <c r="A194" t="s">
        <v>384</v>
      </c>
      <c r="B194" s="7">
        <f t="shared" ca="1" si="6"/>
        <v>10.715521374125311</v>
      </c>
      <c r="D194" t="s">
        <v>385</v>
      </c>
      <c r="E194" s="6">
        <f t="shared" ca="1" si="7"/>
        <v>0.50921044627506262</v>
      </c>
    </row>
    <row r="195" spans="1:5" ht="16.5" x14ac:dyDescent="0.45">
      <c r="A195" t="s">
        <v>386</v>
      </c>
      <c r="B195" s="7">
        <f t="shared" ca="1" si="6"/>
        <v>8.3280712443903901</v>
      </c>
      <c r="D195" t="s">
        <v>387</v>
      </c>
      <c r="E195" s="6">
        <f t="shared" ca="1" si="7"/>
        <v>1.6790264169878415</v>
      </c>
    </row>
    <row r="196" spans="1:5" ht="16.5" x14ac:dyDescent="0.45">
      <c r="A196" t="s">
        <v>388</v>
      </c>
      <c r="B196" s="7">
        <f t="shared" ca="1" si="6"/>
        <v>0.28214724591885115</v>
      </c>
      <c r="D196" t="s">
        <v>389</v>
      </c>
      <c r="E196" s="6">
        <f t="shared" ca="1" si="7"/>
        <v>0.18378494492160466</v>
      </c>
    </row>
    <row r="197" spans="1:5" ht="16.5" x14ac:dyDescent="0.45">
      <c r="A197" t="s">
        <v>390</v>
      </c>
      <c r="B197" s="7">
        <f t="shared" ca="1" si="6"/>
        <v>0</v>
      </c>
      <c r="D197" t="s">
        <v>391</v>
      </c>
      <c r="E197" s="6">
        <f t="shared" ca="1" si="7"/>
        <v>2.6657275027403009</v>
      </c>
    </row>
    <row r="198" spans="1:5" ht="16.5" x14ac:dyDescent="0.45">
      <c r="A198" t="s">
        <v>392</v>
      </c>
      <c r="B198" s="7">
        <f t="shared" ca="1" si="6"/>
        <v>0</v>
      </c>
      <c r="D198" t="s">
        <v>393</v>
      </c>
      <c r="E198" s="6">
        <f t="shared" ca="1" si="7"/>
        <v>1.4668873185817932</v>
      </c>
    </row>
    <row r="199" spans="1:5" ht="16.5" x14ac:dyDescent="0.45">
      <c r="A199" t="s">
        <v>394</v>
      </c>
      <c r="B199" s="7">
        <f t="shared" ca="1" si="6"/>
        <v>5.3936635132738049</v>
      </c>
      <c r="D199" t="s">
        <v>395</v>
      </c>
      <c r="E199" s="6">
        <f t="shared" ca="1" si="7"/>
        <v>0.42748635393480633</v>
      </c>
    </row>
    <row r="200" spans="1:5" ht="16.5" x14ac:dyDescent="0.45">
      <c r="A200" t="s">
        <v>396</v>
      </c>
      <c r="B200" s="7">
        <f t="shared" ca="1" si="6"/>
        <v>4.1288206183935339</v>
      </c>
      <c r="D200" t="s">
        <v>397</v>
      </c>
      <c r="E200" s="6">
        <f t="shared" ca="1" si="7"/>
        <v>6.3461648405160068E-2</v>
      </c>
    </row>
    <row r="201" spans="1:5" ht="16.5" x14ac:dyDescent="0.45">
      <c r="A201" t="s">
        <v>398</v>
      </c>
      <c r="B201" s="7">
        <f t="shared" ca="1" si="6"/>
        <v>0.18963995217496549</v>
      </c>
      <c r="D201" t="s">
        <v>399</v>
      </c>
      <c r="E201" s="6">
        <f t="shared" ca="1" si="7"/>
        <v>0.38175246076027641</v>
      </c>
    </row>
    <row r="202" spans="1:5" ht="16.5" x14ac:dyDescent="0.45">
      <c r="A202" t="s">
        <v>400</v>
      </c>
      <c r="B202" s="7">
        <f t="shared" ca="1" si="6"/>
        <v>0.17215651175466981</v>
      </c>
      <c r="D202" t="s">
        <v>401</v>
      </c>
      <c r="E202" s="6">
        <f t="shared" ca="1" si="7"/>
        <v>0.33446822954503408</v>
      </c>
    </row>
    <row r="203" spans="1:5" ht="16.5" x14ac:dyDescent="0.45">
      <c r="B203" s="7">
        <f ca="1">SUM(B193:B202)</f>
        <v>36.684532771966516</v>
      </c>
      <c r="D203" t="s">
        <v>402</v>
      </c>
      <c r="E203" s="6">
        <f t="shared" ca="1" si="7"/>
        <v>0.89894589667253322</v>
      </c>
    </row>
    <row r="204" spans="1:5" ht="16.5" x14ac:dyDescent="0.45">
      <c r="B204" s="7"/>
      <c r="D204" t="s">
        <v>403</v>
      </c>
      <c r="E204" s="6">
        <f t="shared" ca="1" si="7"/>
        <v>2.2868482780771604</v>
      </c>
    </row>
    <row r="205" spans="1:5" ht="16.5" x14ac:dyDescent="0.45">
      <c r="B205" s="7"/>
      <c r="D205" t="s">
        <v>404</v>
      </c>
      <c r="E205" s="6">
        <f t="shared" ca="1" si="7"/>
        <v>1.1105047959182575</v>
      </c>
    </row>
    <row r="206" spans="1:5" ht="16.5" x14ac:dyDescent="0.45">
      <c r="B206" s="7"/>
      <c r="D206" t="s">
        <v>405</v>
      </c>
      <c r="E206" s="6">
        <f t="shared" ca="1" si="7"/>
        <v>0</v>
      </c>
    </row>
    <row r="207" spans="1:5" ht="16.5" x14ac:dyDescent="0.45">
      <c r="B207" s="7"/>
      <c r="D207" t="s">
        <v>406</v>
      </c>
      <c r="E207" s="6">
        <f t="shared" ca="1" si="7"/>
        <v>3.4295498267595059</v>
      </c>
    </row>
    <row r="208" spans="1:5" ht="16.5" x14ac:dyDescent="0.45">
      <c r="B208" s="7"/>
      <c r="D208" t="s">
        <v>407</v>
      </c>
      <c r="E208" s="6">
        <f t="shared" ca="1" si="7"/>
        <v>5.632240870144628E-2</v>
      </c>
    </row>
    <row r="209" spans="1:5" x14ac:dyDescent="0.35">
      <c r="B209" s="7"/>
      <c r="E209" s="6">
        <f ca="1">SUM(E193:E208)</f>
        <v>15.721942616557085</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5.8234759771625816E-2</v>
      </c>
      <c r="D226" s="121"/>
      <c r="E226" s="8"/>
      <c r="F226" s="8"/>
      <c r="G226" s="122"/>
      <c r="H226" s="48" t="s">
        <v>415</v>
      </c>
      <c r="I226" s="48" t="str">
        <f t="shared" ref="I226:I241" si="8">B41</f>
        <v>NTS MG 1</v>
      </c>
      <c r="J226" s="12">
        <f ca="1">IFERROR($E193/$H41*1000000," ")</f>
        <v>2.6450840145252993E-2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3.935104274447717E-2</v>
      </c>
      <c r="D227" s="121"/>
      <c r="E227" s="8"/>
      <c r="F227" s="8"/>
      <c r="G227" s="122"/>
      <c r="H227" s="48" t="s">
        <v>417</v>
      </c>
      <c r="I227" s="48" t="str">
        <f t="shared" si="8"/>
        <v>NTS MG 2</v>
      </c>
      <c r="J227" s="12">
        <f t="shared" ref="J227:J241" ca="1" si="11">IFERROR($E194/$H42*1000000," ")</f>
        <v>3.4061823806831551E-2</v>
      </c>
      <c r="L227" s="21"/>
      <c r="M227" s="123"/>
      <c r="Q227" s="8"/>
      <c r="R227" s="124"/>
      <c r="S227" s="125"/>
      <c r="T227" s="125"/>
      <c r="U227" s="125"/>
    </row>
    <row r="228" spans="1:22" ht="16.5" x14ac:dyDescent="0.35">
      <c r="A228" s="48" t="s">
        <v>418</v>
      </c>
      <c r="B228" s="48" t="str">
        <f t="shared" si="9"/>
        <v>PR-ITABORAÍ</v>
      </c>
      <c r="C228" s="12">
        <f t="shared" ca="1" si="10"/>
        <v>4.5538286219730176E-2</v>
      </c>
      <c r="D228" s="121"/>
      <c r="E228" s="8"/>
      <c r="F228" s="8"/>
      <c r="G228" s="122"/>
      <c r="H228" s="48" t="s">
        <v>419</v>
      </c>
      <c r="I228" s="48" t="str">
        <f t="shared" si="8"/>
        <v>NTS MG 3</v>
      </c>
      <c r="J228" s="12">
        <f t="shared" ca="1" si="11"/>
        <v>4.3239527718831709E-2</v>
      </c>
      <c r="L228" s="21"/>
      <c r="M228" s="123"/>
      <c r="Q228" s="8"/>
      <c r="R228" s="124"/>
      <c r="S228" s="125"/>
      <c r="T228" s="125"/>
      <c r="U228" s="125"/>
    </row>
    <row r="229" spans="1:22" ht="16.5" x14ac:dyDescent="0.35">
      <c r="A229" s="48" t="s">
        <v>420</v>
      </c>
      <c r="B229" s="48" t="str">
        <f t="shared" si="9"/>
        <v>PR-GASPAJ (INTERCONEXÃO)</v>
      </c>
      <c r="C229" s="12">
        <f t="shared" ca="1" si="10"/>
        <v>6.7943655622425478E-2</v>
      </c>
      <c r="D229" s="121"/>
      <c r="E229" s="8"/>
      <c r="F229" s="8"/>
      <c r="G229" s="122"/>
      <c r="H229" s="48" t="s">
        <v>421</v>
      </c>
      <c r="I229" s="48" t="str">
        <f t="shared" si="8"/>
        <v>NTS MG 4</v>
      </c>
      <c r="J229" s="12">
        <f t="shared" ca="1" si="11"/>
        <v>4.4257107545651382E-2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1.4370902784284045E-2</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1.2821396304762357E-2</v>
      </c>
      <c r="L231" s="21"/>
      <c r="M231" s="123"/>
      <c r="Q231" s="8"/>
      <c r="R231" s="124"/>
      <c r="S231" s="125"/>
      <c r="T231" s="125"/>
      <c r="U231" s="125"/>
    </row>
    <row r="232" spans="1:22" ht="16.5" x14ac:dyDescent="0.35">
      <c r="A232" s="48" t="s">
        <v>426</v>
      </c>
      <c r="B232" s="48" t="str">
        <f t="shared" si="9"/>
        <v>PR-TECAB</v>
      </c>
      <c r="C232" s="12">
        <f t="shared" ca="1" si="10"/>
        <v>6.3221732440910672E-2</v>
      </c>
      <c r="D232" s="121"/>
      <c r="E232" s="8"/>
      <c r="F232" s="8"/>
      <c r="G232" s="122"/>
      <c r="H232" s="48" t="s">
        <v>427</v>
      </c>
      <c r="I232" s="48" t="str">
        <f t="shared" si="8"/>
        <v>NTS RJ 3</v>
      </c>
      <c r="J232" s="12">
        <f t="shared" ca="1" si="11"/>
        <v>1.4448922556267039E-2</v>
      </c>
      <c r="L232" s="21"/>
      <c r="M232" s="123"/>
      <c r="Q232" s="8"/>
      <c r="R232" s="124"/>
      <c r="S232" s="125"/>
      <c r="T232" s="125"/>
      <c r="U232" s="125"/>
    </row>
    <row r="233" spans="1:22" ht="16.5" x14ac:dyDescent="0.35">
      <c r="A233" s="48" t="s">
        <v>428</v>
      </c>
      <c r="B233" s="48" t="str">
        <f t="shared" si="9"/>
        <v>PR-GUARAREMA (INTERCONEXÃO)</v>
      </c>
      <c r="C233" s="12">
        <f t="shared" ca="1" si="10"/>
        <v>5.0541450097178933E-2</v>
      </c>
      <c r="D233" s="121"/>
      <c r="E233" s="8"/>
      <c r="F233" s="8"/>
      <c r="G233" s="122"/>
      <c r="H233" s="48" t="s">
        <v>429</v>
      </c>
      <c r="I233" s="48" t="str">
        <f t="shared" si="8"/>
        <v>NTS RJ 4</v>
      </c>
      <c r="J233" s="12">
        <f t="shared" ca="1" si="11"/>
        <v>1.6470161088777305E-2</v>
      </c>
      <c r="L233" s="21"/>
      <c r="M233" s="123"/>
      <c r="Q233" s="8"/>
      <c r="R233" s="124"/>
      <c r="S233" s="125"/>
      <c r="T233" s="125"/>
      <c r="U233" s="125"/>
    </row>
    <row r="234" spans="1:22" ht="16.5" x14ac:dyDescent="0.35">
      <c r="A234" s="48" t="s">
        <v>430</v>
      </c>
      <c r="B234" s="48" t="str">
        <f t="shared" si="9"/>
        <v>PR-REPLAN (INTERCONEXÃO)</v>
      </c>
      <c r="C234" s="12">
        <f t="shared" ca="1" si="10"/>
        <v>6.7943655622425478E-2</v>
      </c>
      <c r="D234" s="116"/>
      <c r="E234" s="8"/>
      <c r="F234" s="8"/>
      <c r="G234" s="116"/>
      <c r="H234" s="48" t="s">
        <v>431</v>
      </c>
      <c r="I234" s="48" t="str">
        <f t="shared" si="8"/>
        <v>NTS RJ 5</v>
      </c>
      <c r="J234" s="12">
        <f t="shared" ca="1" si="11"/>
        <v>1.3250708971806522E-2</v>
      </c>
      <c r="L234" s="21"/>
      <c r="Q234" s="8"/>
      <c r="R234" s="124"/>
      <c r="S234" s="125"/>
      <c r="T234" s="125"/>
      <c r="U234" s="125"/>
    </row>
    <row r="235" spans="1:22" ht="16.5" x14ac:dyDescent="0.35">
      <c r="A235" s="48" t="s">
        <v>432</v>
      </c>
      <c r="B235" s="48" t="str">
        <f t="shared" si="9"/>
        <v>PR-TECAB (INTERCONEXÃO)</v>
      </c>
      <c r="C235" s="12">
        <f t="shared" ca="1" si="10"/>
        <v>6.3221732440910658E-2</v>
      </c>
      <c r="D235" s="116"/>
      <c r="E235" s="8"/>
      <c r="F235" s="8"/>
      <c r="G235" s="116"/>
      <c r="H235" s="48" t="s">
        <v>433</v>
      </c>
      <c r="I235" s="48" t="str">
        <f t="shared" si="8"/>
        <v>NTS SP 1</v>
      </c>
      <c r="J235" s="12">
        <f t="shared" ca="1" si="11"/>
        <v>2.3395832639518034E-2</v>
      </c>
      <c r="L235" s="21"/>
      <c r="Q235" s="8"/>
      <c r="R235" s="124"/>
      <c r="S235" s="125"/>
      <c r="T235" s="125"/>
      <c r="U235" s="125"/>
    </row>
    <row r="236" spans="1:22" ht="16.5" x14ac:dyDescent="0.35">
      <c r="D236" s="116"/>
      <c r="E236" s="8"/>
      <c r="F236" s="8"/>
      <c r="G236" s="116"/>
      <c r="H236" s="48" t="s">
        <v>434</v>
      </c>
      <c r="I236" s="48" t="str">
        <f t="shared" si="8"/>
        <v>NTS SP 2</v>
      </c>
      <c r="J236" s="12">
        <f t="shared" ca="1" si="11"/>
        <v>2.1986249697552852E-2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3.0079102681310262E-2</v>
      </c>
      <c r="L237" s="21"/>
      <c r="Q237" s="8"/>
      <c r="R237" s="124"/>
      <c r="S237" s="125"/>
      <c r="T237" s="125"/>
      <c r="U237" s="125"/>
    </row>
    <row r="238" spans="1:22" ht="16.5" x14ac:dyDescent="0.35">
      <c r="D238" s="116"/>
      <c r="E238" s="8"/>
      <c r="F238" s="8"/>
      <c r="G238" s="116"/>
      <c r="H238" s="48" t="s">
        <v>436</v>
      </c>
      <c r="I238" s="48" t="str">
        <f t="shared" si="8"/>
        <v>NTS SP 4</v>
      </c>
      <c r="J238" s="12">
        <f t="shared" ca="1" si="11"/>
        <v>3.2848583958863573E-2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3.6912293684431441E-2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2.0683506055377929E-2</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1.1646951954325161E-2</v>
      </c>
      <c r="D245" s="12">
        <f t="shared" ref="D245:D254" si="13">$F$7*$C$11</f>
        <v>3.8604629822491472E-2</v>
      </c>
      <c r="E245" s="12">
        <f ca="1">IFERROR(C245+D245," ")</f>
        <v>5.0251581776816635E-2</v>
      </c>
      <c r="G245" s="123"/>
      <c r="H245" s="48" t="s">
        <v>415</v>
      </c>
      <c r="I245" s="48" t="str">
        <f t="shared" ref="I245:I260" si="14">I226</f>
        <v>NTS MG 1</v>
      </c>
      <c r="J245" s="12">
        <f ca="1">IF(H41=0," ",J226*(1-$C$11))</f>
        <v>5.2901680290505975E-3</v>
      </c>
      <c r="K245" s="12">
        <f t="shared" ref="K245:K260" si="15">$F$10*$C$11</f>
        <v>1.8245367796737844E-2</v>
      </c>
      <c r="L245" s="12">
        <f ca="1">IFERROR(J245+K245," ")</f>
        <v>2.3535535825788441E-2</v>
      </c>
    </row>
    <row r="246" spans="1:22" ht="16.5" x14ac:dyDescent="0.35">
      <c r="A246" s="48" t="s">
        <v>416</v>
      </c>
      <c r="B246" s="48" t="str">
        <f t="shared" si="12"/>
        <v>PR-GNLBGB</v>
      </c>
      <c r="C246" s="12">
        <f t="shared" ref="C246:C254" ca="1" si="16">IF(H25=0," ",C227*(1-$C$11))</f>
        <v>7.8702085488954326E-3</v>
      </c>
      <c r="D246" s="12">
        <f t="shared" si="13"/>
        <v>3.8604629822491472E-2</v>
      </c>
      <c r="E246" s="12">
        <f t="shared" ref="E246:E254" ca="1" si="17">IFERROR(C246+D246," ")</f>
        <v>4.6474838371386905E-2</v>
      </c>
      <c r="G246" s="123"/>
      <c r="H246" s="48" t="s">
        <v>417</v>
      </c>
      <c r="I246" s="48" t="str">
        <f t="shared" si="14"/>
        <v>NTS MG 2</v>
      </c>
      <c r="J246" s="12">
        <f t="shared" ref="J246:J247" ca="1" si="18">IF(H42=0," ",J227*(1-$C$11))</f>
        <v>6.812364761366309E-3</v>
      </c>
      <c r="K246" s="12">
        <f t="shared" si="15"/>
        <v>1.8245367796737844E-2</v>
      </c>
      <c r="L246" s="12">
        <f t="shared" ref="L246:L260" ca="1" si="19">IFERROR(J246+K246," ")</f>
        <v>2.5057732558104152E-2</v>
      </c>
    </row>
    <row r="247" spans="1:22" ht="16.5" x14ac:dyDescent="0.35">
      <c r="A247" s="48" t="s">
        <v>418</v>
      </c>
      <c r="B247" s="48" t="str">
        <f t="shared" si="12"/>
        <v>PR-ITABORAÍ</v>
      </c>
      <c r="C247" s="12">
        <f t="shared" ca="1" si="16"/>
        <v>9.1076572439460334E-3</v>
      </c>
      <c r="D247" s="12">
        <f t="shared" si="13"/>
        <v>3.8604629822491472E-2</v>
      </c>
      <c r="E247" s="12">
        <f t="shared" ca="1" si="17"/>
        <v>4.7712287066437507E-2</v>
      </c>
      <c r="G247" s="123"/>
      <c r="H247" s="48" t="s">
        <v>419</v>
      </c>
      <c r="I247" s="48" t="str">
        <f t="shared" si="14"/>
        <v>NTS MG 3</v>
      </c>
      <c r="J247" s="12">
        <f t="shared" ca="1" si="18"/>
        <v>8.6479055437663401E-3</v>
      </c>
      <c r="K247" s="12">
        <f t="shared" si="15"/>
        <v>1.8245367796737844E-2</v>
      </c>
      <c r="L247" s="12">
        <f t="shared" ca="1" si="19"/>
        <v>2.6893273340504183E-2</v>
      </c>
    </row>
    <row r="248" spans="1:22" ht="16.5" x14ac:dyDescent="0.35">
      <c r="A248" s="48" t="s">
        <v>420</v>
      </c>
      <c r="B248" s="48" t="str">
        <f t="shared" si="12"/>
        <v>PR-GASPAJ (INTERCONEXÃO)</v>
      </c>
      <c r="C248" s="12">
        <f t="shared" ca="1" si="16"/>
        <v>1.3588731124485092E-2</v>
      </c>
      <c r="D248" s="12">
        <f t="shared" si="13"/>
        <v>3.8604629822491472E-2</v>
      </c>
      <c r="E248" s="12">
        <f t="shared" ca="1" si="17"/>
        <v>5.2193360946976561E-2</v>
      </c>
      <c r="G248" s="123"/>
      <c r="H248" s="48" t="s">
        <v>421</v>
      </c>
      <c r="I248" s="48" t="str">
        <f t="shared" si="14"/>
        <v>NTS MG 4</v>
      </c>
      <c r="J248" s="12">
        <f ca="1">IF(H44=0," ",J229*(1-$C$11))</f>
        <v>8.8514215091302743E-3</v>
      </c>
      <c r="K248" s="12">
        <f t="shared" si="15"/>
        <v>1.8245367796737844E-2</v>
      </c>
      <c r="L248" s="12">
        <f t="shared" ca="1" si="19"/>
        <v>2.7096789305868119E-2</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2.8741805568568085E-3</v>
      </c>
      <c r="K249" s="12">
        <f t="shared" si="15"/>
        <v>1.8245367796737844E-2</v>
      </c>
      <c r="L249" s="12">
        <f t="shared" ca="1" si="19"/>
        <v>2.1119548353594652E-2</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2.5642792609524706E-3</v>
      </c>
      <c r="K250" s="12">
        <f t="shared" si="15"/>
        <v>1.8245367796737844E-2</v>
      </c>
      <c r="L250" s="12">
        <f t="shared" ca="1" si="19"/>
        <v>2.0809647057690315E-2</v>
      </c>
    </row>
    <row r="251" spans="1:22" ht="16.5" x14ac:dyDescent="0.35">
      <c r="A251" s="48" t="s">
        <v>426</v>
      </c>
      <c r="B251" s="48" t="str">
        <f t="shared" si="12"/>
        <v>PR-TECAB</v>
      </c>
      <c r="C251" s="12">
        <f t="shared" ca="1" si="16"/>
        <v>1.2644346488182131E-2</v>
      </c>
      <c r="D251" s="12">
        <f t="shared" si="13"/>
        <v>3.8604629822491472E-2</v>
      </c>
      <c r="E251" s="12">
        <f t="shared" ca="1" si="17"/>
        <v>5.12489763106736E-2</v>
      </c>
      <c r="G251" s="123"/>
      <c r="H251" s="48" t="s">
        <v>427</v>
      </c>
      <c r="I251" s="48" t="str">
        <f t="shared" si="14"/>
        <v>NTS RJ 3</v>
      </c>
      <c r="J251" s="12">
        <f t="shared" ca="1" si="20"/>
        <v>2.8897845112534071E-3</v>
      </c>
      <c r="K251" s="12">
        <f t="shared" si="15"/>
        <v>1.8245367796737844E-2</v>
      </c>
      <c r="L251" s="12">
        <f t="shared" ca="1" si="19"/>
        <v>2.1135152307991251E-2</v>
      </c>
    </row>
    <row r="252" spans="1:22" ht="16.5" x14ac:dyDescent="0.35">
      <c r="A252" s="48" t="s">
        <v>428</v>
      </c>
      <c r="B252" s="48" t="str">
        <f t="shared" si="12"/>
        <v>PR-GUARAREMA (INTERCONEXÃO)</v>
      </c>
      <c r="C252" s="12">
        <f t="shared" ca="1" si="16"/>
        <v>1.0108290019435785E-2</v>
      </c>
      <c r="D252" s="12">
        <f t="shared" si="13"/>
        <v>3.8604629822491472E-2</v>
      </c>
      <c r="E252" s="12">
        <f t="shared" ca="1" si="17"/>
        <v>4.8712919841927257E-2</v>
      </c>
      <c r="G252" s="123"/>
      <c r="H252" s="48" t="s">
        <v>429</v>
      </c>
      <c r="I252" s="48" t="str">
        <f t="shared" si="14"/>
        <v>NTS RJ 4</v>
      </c>
      <c r="J252" s="12">
        <f t="shared" ca="1" si="20"/>
        <v>3.2940322177554605E-3</v>
      </c>
      <c r="K252" s="12">
        <f t="shared" si="15"/>
        <v>1.8245367796737844E-2</v>
      </c>
      <c r="L252" s="12">
        <f t="shared" ca="1" si="19"/>
        <v>2.1539400014493306E-2</v>
      </c>
    </row>
    <row r="253" spans="1:22" ht="16.5" x14ac:dyDescent="0.35">
      <c r="A253" s="48" t="s">
        <v>430</v>
      </c>
      <c r="B253" s="48" t="str">
        <f t="shared" si="12"/>
        <v>PR-REPLAN (INTERCONEXÃO)</v>
      </c>
      <c r="C253" s="12">
        <f t="shared" ca="1" si="16"/>
        <v>1.3588731124485092E-2</v>
      </c>
      <c r="D253" s="12">
        <f t="shared" si="13"/>
        <v>3.8604629822491472E-2</v>
      </c>
      <c r="E253" s="12">
        <f t="shared" ca="1" si="17"/>
        <v>5.2193360946976561E-2</v>
      </c>
      <c r="G253" s="123"/>
      <c r="H253" s="48" t="s">
        <v>431</v>
      </c>
      <c r="I253" s="48" t="str">
        <f t="shared" si="14"/>
        <v>NTS RJ 5</v>
      </c>
      <c r="J253" s="12">
        <f t="shared" ca="1" si="20"/>
        <v>2.6501417943613037E-3</v>
      </c>
      <c r="K253" s="12">
        <f t="shared" si="15"/>
        <v>1.8245367796737844E-2</v>
      </c>
      <c r="L253" s="12">
        <f t="shared" ca="1" si="19"/>
        <v>2.0895509591099148E-2</v>
      </c>
    </row>
    <row r="254" spans="1:22" ht="16.5" x14ac:dyDescent="0.35">
      <c r="A254" s="48" t="s">
        <v>432</v>
      </c>
      <c r="B254" s="48" t="str">
        <f t="shared" si="12"/>
        <v>PR-TECAB (INTERCONEXÃO)</v>
      </c>
      <c r="C254" s="12">
        <f t="shared" ca="1" si="16"/>
        <v>1.2644346488182129E-2</v>
      </c>
      <c r="D254" s="12">
        <f t="shared" si="13"/>
        <v>3.8604629822491472E-2</v>
      </c>
      <c r="E254" s="12">
        <f t="shared" ca="1" si="17"/>
        <v>5.12489763106736E-2</v>
      </c>
      <c r="G254" s="123"/>
      <c r="H254" s="48" t="s">
        <v>433</v>
      </c>
      <c r="I254" s="48" t="str">
        <f t="shared" si="14"/>
        <v>NTS SP 1</v>
      </c>
      <c r="J254" s="12">
        <f t="shared" ca="1" si="20"/>
        <v>4.6791665279036056E-3</v>
      </c>
      <c r="K254" s="12">
        <f t="shared" si="15"/>
        <v>1.8245367796737844E-2</v>
      </c>
      <c r="L254" s="12">
        <f t="shared" ca="1" si="19"/>
        <v>2.2924534324641449E-2</v>
      </c>
    </row>
    <row r="255" spans="1:22" ht="16.5" x14ac:dyDescent="0.35">
      <c r="H255" s="48" t="s">
        <v>434</v>
      </c>
      <c r="I255" s="48" t="str">
        <f t="shared" si="14"/>
        <v>NTS SP 2</v>
      </c>
      <c r="J255" s="12">
        <f t="shared" ca="1" si="20"/>
        <v>4.3972499395105689E-3</v>
      </c>
      <c r="K255" s="12">
        <f t="shared" si="15"/>
        <v>1.8245367796737844E-2</v>
      </c>
      <c r="L255" s="12">
        <f t="shared" ca="1" si="19"/>
        <v>2.2642617736248413E-2</v>
      </c>
    </row>
    <row r="256" spans="1:22" ht="16.5" x14ac:dyDescent="0.35">
      <c r="H256" s="48" t="s">
        <v>435</v>
      </c>
      <c r="I256" s="48" t="str">
        <f t="shared" si="14"/>
        <v>NTS SP 3</v>
      </c>
      <c r="J256" s="12">
        <f t="shared" ca="1" si="20"/>
        <v>6.0158205362620511E-3</v>
      </c>
      <c r="K256" s="12">
        <f t="shared" si="15"/>
        <v>1.8245367796737844E-2</v>
      </c>
      <c r="L256" s="12">
        <f t="shared" ca="1" si="19"/>
        <v>2.4261188332999895E-2</v>
      </c>
    </row>
    <row r="257" spans="1:13" ht="16.5" x14ac:dyDescent="0.35">
      <c r="H257" s="48" t="s">
        <v>436</v>
      </c>
      <c r="I257" s="48" t="str">
        <f t="shared" si="14"/>
        <v>NTS SP 4</v>
      </c>
      <c r="J257" s="12">
        <f t="shared" ca="1" si="20"/>
        <v>6.5697167917727131E-3</v>
      </c>
      <c r="K257" s="12">
        <f t="shared" si="15"/>
        <v>1.8245367796737844E-2</v>
      </c>
      <c r="L257" s="12">
        <f t="shared" ca="1" si="19"/>
        <v>2.4815084588510557E-2</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7.382458736886287E-3</v>
      </c>
      <c r="K259" s="12">
        <f t="shared" si="15"/>
        <v>1.8245367796737844E-2</v>
      </c>
      <c r="L259" s="12">
        <f t="shared" ca="1" si="19"/>
        <v>2.562782653362413E-2</v>
      </c>
    </row>
    <row r="260" spans="1:13" ht="16.5" x14ac:dyDescent="0.35">
      <c r="H260" s="48" t="s">
        <v>439</v>
      </c>
      <c r="I260" s="48" t="str">
        <f t="shared" si="14"/>
        <v>PE-TECAB (INTERCONEXÃO)</v>
      </c>
      <c r="J260" s="12">
        <f t="shared" ca="1" si="20"/>
        <v>4.1367012110755845E-3</v>
      </c>
      <c r="K260" s="12">
        <f t="shared" si="15"/>
        <v>1.8245367796737844E-2</v>
      </c>
      <c r="L260" s="12">
        <f t="shared" ca="1" si="19"/>
        <v>2.2382069007813428E-2</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(GASIG)'!H11</f>
        <v>205</v>
      </c>
      <c r="D267" s="265">
        <f ca="1">E253</f>
        <v>5.2193360946976561E-2</v>
      </c>
      <c r="E267" s="268">
        <f ca="1">D267*(1-$C$262)</f>
        <v>5.2193360946976549E-3</v>
      </c>
      <c r="F267" s="266">
        <f ca="1">C267*E267*'Premissas (GASIG)'!$C$36*'Premissas (GASIG)'!$F$20*1000</f>
        <v>14567.874488296489</v>
      </c>
      <c r="L267" s="128"/>
    </row>
    <row r="268" spans="1:13" ht="18.5" x14ac:dyDescent="0.45">
      <c r="B268" s="247" t="s">
        <v>451</v>
      </c>
      <c r="C268" s="271">
        <f>'Oferta (GASIG)'!H10</f>
        <v>6000</v>
      </c>
      <c r="D268" s="265">
        <f ca="1">E252</f>
        <v>4.8712919841927257E-2</v>
      </c>
      <c r="E268" s="268">
        <f t="shared" ref="E268:E270" ca="1" si="21">D268*(1-$C$262)</f>
        <v>4.8712919841927245E-3</v>
      </c>
      <c r="F268" s="266">
        <f ca="1">C268*E268*'Premissas (GASIG)'!$C$36*'Premissas (GASIG)'!$F$20*1000</f>
        <v>397944.47416681261</v>
      </c>
      <c r="G268" s="129"/>
      <c r="K268" s="129"/>
      <c r="L268" s="128"/>
    </row>
    <row r="269" spans="1:13" ht="18.5" x14ac:dyDescent="0.45">
      <c r="B269" s="248" t="s">
        <v>452</v>
      </c>
      <c r="C269" s="271">
        <f>'Oferta (GASIG)'!H12</f>
        <v>200</v>
      </c>
      <c r="D269" s="265">
        <f ca="1">E254</f>
        <v>5.12489763106736E-2</v>
      </c>
      <c r="E269" s="268">
        <f t="shared" ca="1" si="21"/>
        <v>5.1248976310673587E-3</v>
      </c>
      <c r="F269" s="266">
        <f ca="1">C269*E269*'Premissas (GASIG)'!$C$36*'Premissas (GASIG)'!$F$20*1000</f>
        <v>13955.398961724792</v>
      </c>
      <c r="K269" s="129"/>
      <c r="L269" s="128"/>
    </row>
    <row r="270" spans="1:13" ht="18.5" x14ac:dyDescent="0.45">
      <c r="B270" s="248" t="s">
        <v>243</v>
      </c>
      <c r="C270" s="271">
        <f>'Oferta (GASIG)'!H6</f>
        <v>305</v>
      </c>
      <c r="D270" s="265">
        <f ca="1">E248</f>
        <v>5.2193360946976561E-2</v>
      </c>
      <c r="E270" s="268">
        <f t="shared" ca="1" si="21"/>
        <v>5.2193360946976549E-3</v>
      </c>
      <c r="F270" s="266">
        <f ca="1">C270*E270*'Premissas (GASIG)'!$C$36*'Premissas (GASIG)'!$F$20*1000</f>
        <v>21674.154726489898</v>
      </c>
      <c r="K270" s="129"/>
      <c r="L270" s="128"/>
    </row>
    <row r="271" spans="1:13" ht="18.5" x14ac:dyDescent="0.45">
      <c r="B271" s="246" t="s">
        <v>453</v>
      </c>
      <c r="C271" s="271">
        <f>'Demanda (GASIG)'!H17</f>
        <v>6824</v>
      </c>
      <c r="D271" s="265">
        <f ca="1">L259</f>
        <v>2.562782653362413E-2</v>
      </c>
      <c r="E271" s="268">
        <f ca="1">D271*(1-$C$262)</f>
        <v>2.5627826533624123E-3</v>
      </c>
      <c r="F271" s="266">
        <f ca="1">C271*E271*'Premissas (GASIG)'!$C$36*'Premissas (GASIG)'!$F$20*1000</f>
        <v>238110.12341853903</v>
      </c>
      <c r="K271" s="129"/>
      <c r="L271" s="128"/>
    </row>
    <row r="272" spans="1:13" ht="18.5" x14ac:dyDescent="0.45">
      <c r="B272" s="248" t="s">
        <v>454</v>
      </c>
      <c r="C272" s="271">
        <f>'Demanda (GASIG)'!H18</f>
        <v>200</v>
      </c>
      <c r="D272" s="265">
        <f ca="1">L260</f>
        <v>2.2382069007813428E-2</v>
      </c>
      <c r="E272" s="268">
        <f ca="1">D272*(1-$C$262)</f>
        <v>2.2382069007813423E-3</v>
      </c>
      <c r="F272" s="266">
        <f ca="1">C272*E272*'Premissas (GASIG)'!$C$36*'Premissas (GASIG)'!$F$20*1000</f>
        <v>6094.7695949946028</v>
      </c>
      <c r="K272" s="129"/>
      <c r="L272" s="128"/>
    </row>
    <row r="273" spans="2:13" ht="19" thickBot="1" x14ac:dyDescent="0.5">
      <c r="B273" s="248"/>
      <c r="C273" s="248"/>
      <c r="D273" s="248"/>
      <c r="E273" s="248"/>
      <c r="F273" s="267">
        <f ca="1">SUM(F267:F272)</f>
        <v>692346.79535685747</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5D-528B-450E-ADF7-BC9E974F0B2A}">
  <sheetPr>
    <tabColor theme="5"/>
  </sheetPr>
  <dimension ref="A2:AA303"/>
  <sheetViews>
    <sheetView showGridLines="0" zoomScale="70" zoomScaleNormal="70" workbookViewId="0">
      <selection activeCell="D38" sqref="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5" thickBot="1" x14ac:dyDescent="0.4">
      <c r="A5" s="211"/>
      <c r="B5" s="255" t="s">
        <v>460</v>
      </c>
      <c r="C5" s="208"/>
      <c r="D5" s="382">
        <f ca="1">D6+D9</f>
        <v>51.714128593166741</v>
      </c>
      <c r="E5" s="224" t="s">
        <v>111</v>
      </c>
      <c r="F5" s="273" t="s">
        <v>465</v>
      </c>
      <c r="G5" s="211"/>
      <c r="H5" s="235"/>
      <c r="I5" s="235"/>
    </row>
    <row r="6" spans="1:9" ht="16.5" x14ac:dyDescent="0.35">
      <c r="A6" s="206">
        <f>HLOOKUP($G$3,'Premissas (GASIG)'!$B$5:$F$13,9,FALSE)</f>
        <v>0.7</v>
      </c>
      <c r="B6" s="207" t="s">
        <v>112</v>
      </c>
      <c r="C6" s="208" t="s">
        <v>271</v>
      </c>
      <c r="D6" s="382">
        <f ca="1">($A$6*$D$4)-(SUM($F$268:$F$271)/10^6)</f>
        <v>36.236390869623193</v>
      </c>
      <c r="E6" s="210" t="s">
        <v>113</v>
      </c>
      <c r="F6" s="273" t="s">
        <v>458</v>
      </c>
      <c r="G6" s="211"/>
      <c r="H6" s="235"/>
    </row>
    <row r="7" spans="1:9" ht="29" x14ac:dyDescent="0.35">
      <c r="A7" s="92"/>
      <c r="B7" s="212" t="s">
        <v>114</v>
      </c>
      <c r="C7" s="213" t="s">
        <v>272</v>
      </c>
      <c r="D7" s="383">
        <f>$D$35*'Premissas (GASIG)'!$F$20</f>
        <v>17930625</v>
      </c>
      <c r="E7" s="212" t="s">
        <v>115</v>
      </c>
      <c r="F7" s="230">
        <f>H35</f>
        <v>668851383.33187509</v>
      </c>
      <c r="G7" s="82" t="s">
        <v>116</v>
      </c>
    </row>
    <row r="8" spans="1:9" ht="17" thickBot="1" x14ac:dyDescent="0.4">
      <c r="A8" s="215"/>
      <c r="B8" s="216" t="s">
        <v>117</v>
      </c>
      <c r="C8" s="217" t="s">
        <v>273</v>
      </c>
      <c r="D8" s="218">
        <f ca="1">$D$6/$D$7*1000</f>
        <v>2.0209217955103739E-3</v>
      </c>
      <c r="E8" s="219" t="s">
        <v>118</v>
      </c>
      <c r="F8" s="384">
        <f ca="1">$D$6/$F$7*1000000</f>
        <v>5.4177044067864603E-2</v>
      </c>
      <c r="G8" s="228" t="s">
        <v>15</v>
      </c>
      <c r="I8" s="235"/>
    </row>
    <row r="9" spans="1:9" ht="16.5" x14ac:dyDescent="0.35">
      <c r="A9" s="206">
        <f>1-A6</f>
        <v>0.30000000000000004</v>
      </c>
      <c r="B9" s="207" t="s">
        <v>119</v>
      </c>
      <c r="C9" s="208" t="s">
        <v>274</v>
      </c>
      <c r="D9" s="382">
        <f ca="1">($A$9*$D$4)-(SUM($F$272:$F$273)/10^6)</f>
        <v>15.47773772354355</v>
      </c>
      <c r="E9" s="210" t="s">
        <v>113</v>
      </c>
      <c r="F9" s="273" t="s">
        <v>459</v>
      </c>
      <c r="G9" s="229"/>
    </row>
    <row r="10" spans="1:9" ht="29" x14ac:dyDescent="0.35">
      <c r="B10" s="212" t="s">
        <v>120</v>
      </c>
      <c r="C10" s="213" t="s">
        <v>275</v>
      </c>
      <c r="D10" s="383">
        <f>$D$58*'Premissas (GASIG)'!$F$20</f>
        <v>15916555</v>
      </c>
      <c r="E10" s="212" t="s">
        <v>115</v>
      </c>
      <c r="F10" s="230">
        <f>H58</f>
        <v>593722183.67334497</v>
      </c>
      <c r="G10" s="82" t="s">
        <v>116</v>
      </c>
    </row>
    <row r="11" spans="1:9" ht="17" thickBot="1" x14ac:dyDescent="0.4">
      <c r="A11" s="225"/>
      <c r="B11" s="216" t="s">
        <v>121</v>
      </c>
      <c r="C11" s="217" t="s">
        <v>276</v>
      </c>
      <c r="D11" s="218">
        <f ca="1">$D$9/$D$10*1000</f>
        <v>9.7243013475865523E-4</v>
      </c>
      <c r="E11" s="219" t="s">
        <v>118</v>
      </c>
      <c r="F11" s="384">
        <f ca="1">$D$9/$F$10*1000000</f>
        <v>2.6068990091936868E-2</v>
      </c>
      <c r="G11" s="228" t="s">
        <v>15</v>
      </c>
    </row>
    <row r="12" spans="1:9" ht="15" thickBot="1" x14ac:dyDescent="0.4">
      <c r="A12" s="220"/>
      <c r="B12" s="220" t="s">
        <v>122</v>
      </c>
      <c r="C12" s="226">
        <f>HLOOKUP($G$3,'Premissas (GASIG)'!$B$5:$F$8,4,FALSE)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(GASIG)'!C3</f>
        <v>20000</v>
      </c>
      <c r="D25" s="290">
        <f>'Oferta (GASIG)'!H3</f>
        <v>9427</v>
      </c>
      <c r="F25" s="104"/>
      <c r="G25" s="43">
        <f>IFERROR($C25*$H$20*'Premissas (GASIG)'!$F$20*1000," ")</f>
        <v>272305906.69999999</v>
      </c>
      <c r="H25" s="43">
        <f>IFERROR($D25*$H$20*'Premissas (GASIG)'!$F$20*1000," ")</f>
        <v>128351389.123045</v>
      </c>
      <c r="I25" s="93"/>
    </row>
    <row r="26" spans="1:9" x14ac:dyDescent="0.35">
      <c r="A26" s="2" t="s">
        <v>133</v>
      </c>
      <c r="B26" s="44" t="s">
        <v>26</v>
      </c>
      <c r="C26" s="290">
        <f>'Oferta (GASIG)'!C4</f>
        <v>20000</v>
      </c>
      <c r="D26" s="290">
        <f>'Oferta (GASIG)'!H4</f>
        <v>20000</v>
      </c>
      <c r="F26" s="104"/>
      <c r="G26" s="43">
        <f>IFERROR($C26*$H$20*'Premissas (GASIG)'!$F$20*1000," ")</f>
        <v>272305906.69999999</v>
      </c>
      <c r="H26" s="43">
        <f>IFERROR($D26*$H$20*'Premissas (GASIG)'!$F$20*1000," ")</f>
        <v>272305906.69999999</v>
      </c>
      <c r="I26" s="93"/>
    </row>
    <row r="27" spans="1:9" x14ac:dyDescent="0.35">
      <c r="A27" s="2" t="s">
        <v>134</v>
      </c>
      <c r="B27" s="44" t="s">
        <v>488</v>
      </c>
      <c r="C27" s="290">
        <f>'Oferta (GASIG)'!C5</f>
        <v>18200</v>
      </c>
      <c r="D27" s="290">
        <f>'Oferta (GASIG)'!H5</f>
        <v>13432</v>
      </c>
      <c r="E27" s="46"/>
      <c r="F27" s="104"/>
      <c r="G27" s="43">
        <f>IFERROR($C27*$H$20*'Premissas (GASIG)'!$F$20*1000," ")</f>
        <v>247798375.097</v>
      </c>
      <c r="H27" s="43">
        <f>IFERROR($D27*$H$20*'Premissas (GASIG)'!$F$20*1000," ")</f>
        <v>182880646.93972</v>
      </c>
      <c r="I27" s="93"/>
    </row>
    <row r="28" spans="1:9" x14ac:dyDescent="0.35">
      <c r="A28" s="2" t="s">
        <v>135</v>
      </c>
      <c r="B28" s="44" t="s">
        <v>463</v>
      </c>
      <c r="C28" s="293"/>
      <c r="D28" s="293"/>
      <c r="E28" s="274" t="s">
        <v>461</v>
      </c>
      <c r="F28" s="104"/>
      <c r="G28" s="43">
        <f>IFERROR($C28*$H$20*'Premissas (GASIG)'!$F$20*1000," ")</f>
        <v>0</v>
      </c>
      <c r="H28" s="43">
        <f>IFERROR($D28*$H$20*'Premissas (GASIG)'!$F$20*1000," ")</f>
        <v>0</v>
      </c>
      <c r="I28" s="93"/>
    </row>
    <row r="29" spans="1:9" x14ac:dyDescent="0.35">
      <c r="A29" s="2" t="s">
        <v>136</v>
      </c>
      <c r="B29" s="44" t="s">
        <v>27</v>
      </c>
      <c r="C29" s="290">
        <f>'Oferta (GASIG)'!C7</f>
        <v>5000</v>
      </c>
      <c r="D29" s="290">
        <f>'Oferta (GASIG)'!H7</f>
        <v>0</v>
      </c>
      <c r="E29" s="46"/>
      <c r="F29" s="104"/>
      <c r="G29" s="43">
        <f>IFERROR($C29*$H$20*'Premissas (GASIG)'!$F$20*1000," ")</f>
        <v>68076476.674999997</v>
      </c>
      <c r="H29" s="43">
        <f>IFERROR($D29*$H$20*'Premissas (GASIG)'!$F$20*1000," ")</f>
        <v>0</v>
      </c>
      <c r="I29" s="93"/>
    </row>
    <row r="30" spans="1:9" x14ac:dyDescent="0.35">
      <c r="A30" s="2" t="s">
        <v>239</v>
      </c>
      <c r="B30" s="44" t="s">
        <v>29</v>
      </c>
      <c r="C30" s="290">
        <f>'Oferta (GASIG)'!C8</f>
        <v>2200</v>
      </c>
      <c r="D30" s="290">
        <f>'Oferta (GASIG)'!H8</f>
        <v>0</v>
      </c>
      <c r="E30" s="46"/>
      <c r="F30" s="104"/>
      <c r="G30" s="43">
        <f>IFERROR($C30*$H$20*'Premissas (GASIG)'!$F$20*1000," ")</f>
        <v>29953649.736999996</v>
      </c>
      <c r="H30" s="43">
        <f>IFERROR($D30*$H$20*'Premissas (GASIG)'!$F$20*1000," ")</f>
        <v>0</v>
      </c>
      <c r="I30" s="93"/>
    </row>
    <row r="31" spans="1:9" x14ac:dyDescent="0.35">
      <c r="A31" s="2" t="s">
        <v>137</v>
      </c>
      <c r="B31" s="44" t="s">
        <v>24</v>
      </c>
      <c r="C31" s="290">
        <f>'Oferta (GASIG)'!C9</f>
        <v>25160</v>
      </c>
      <c r="D31" s="290">
        <f>'Oferta (GASIG)'!H9</f>
        <v>6266</v>
      </c>
      <c r="E31" s="46"/>
      <c r="F31" s="104"/>
      <c r="G31" s="43">
        <f>IFERROR($C31*$H$20*'Premissas (GASIG)'!$F$20*1000," ")</f>
        <v>342560830.6286</v>
      </c>
      <c r="H31" s="43">
        <f>IFERROR($D31*$H$20*'Premissas (GASIG)'!$F$20*1000," ")</f>
        <v>85313440.569109991</v>
      </c>
      <c r="I31" s="93"/>
    </row>
    <row r="32" spans="1:9" x14ac:dyDescent="0.35">
      <c r="A32" s="2" t="s">
        <v>240</v>
      </c>
      <c r="B32" s="44" t="s">
        <v>264</v>
      </c>
      <c r="C32" s="249"/>
      <c r="D32" s="249"/>
      <c r="E32" s="274" t="s">
        <v>461</v>
      </c>
      <c r="F32" s="104"/>
      <c r="G32" s="43">
        <f>IFERROR($C32*$H$20*'Premissas (GASIG)'!$F$20*1000," ")</f>
        <v>0</v>
      </c>
      <c r="H32" s="43">
        <f>IFERROR($D32*$H$20*'Premissas (GASIG)'!$F$20*1000," ")</f>
        <v>0</v>
      </c>
      <c r="I32" s="93"/>
    </row>
    <row r="33" spans="1:10" x14ac:dyDescent="0.35">
      <c r="A33" s="2" t="s">
        <v>138</v>
      </c>
      <c r="B33" s="44" t="s">
        <v>266</v>
      </c>
      <c r="C33" s="249"/>
      <c r="D33" s="249"/>
      <c r="E33" s="274" t="s">
        <v>461</v>
      </c>
      <c r="F33" s="104"/>
      <c r="G33" s="43">
        <f>IFERROR($C33*$H$20*'Premissas (GASIG)'!$F$20*1000," ")</f>
        <v>0</v>
      </c>
      <c r="H33" s="43">
        <f>IFERROR($D33*$H$20*'Premissas (GASIG)'!$F$20*1000," ")</f>
        <v>0</v>
      </c>
      <c r="I33" s="93"/>
    </row>
    <row r="34" spans="1:10" x14ac:dyDescent="0.35">
      <c r="A34" s="2" t="s">
        <v>139</v>
      </c>
      <c r="B34" s="44" t="s">
        <v>265</v>
      </c>
      <c r="C34" s="249"/>
      <c r="D34" s="249"/>
      <c r="E34" s="274" t="s">
        <v>461</v>
      </c>
      <c r="F34" s="104"/>
      <c r="G34" s="43">
        <f>IFERROR($C34*$H$20*'Premissas (GASIG)'!$F$20*1000," ")</f>
        <v>0</v>
      </c>
      <c r="H34" s="43">
        <f>IFERROR($D34*$H$20*'Premissas (GASIG)'!$F$20*1000," ")</f>
        <v>0</v>
      </c>
      <c r="I34" s="93"/>
    </row>
    <row r="35" spans="1:10" x14ac:dyDescent="0.35">
      <c r="C35" s="105">
        <f>SUM(C25:C34)</f>
        <v>90560</v>
      </c>
      <c r="D35" s="105">
        <f>SUM(D25:D34)</f>
        <v>49125</v>
      </c>
      <c r="E35" s="105"/>
      <c r="F35" s="104"/>
      <c r="G35" s="105">
        <f>SUM(G25:G34)</f>
        <v>1233001145.5376</v>
      </c>
      <c r="H35" s="105">
        <f>SUM(H25:H34)</f>
        <v>668851383.33187509</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(GASIG)'!C3</f>
        <v>864.5</v>
      </c>
      <c r="D42" s="290">
        <f>'Demanda (GASIG)'!H3</f>
        <v>633</v>
      </c>
      <c r="G42" s="43">
        <f>IFERROR($C42*$H$20*'Premissas (GASIG)'!$F$20*1000," ")</f>
        <v>11770422.817107499</v>
      </c>
      <c r="H42" s="43">
        <f>IFERROR($D42*$H$20*'Premissas (GASIG)'!$F$20*1000," ")</f>
        <v>8618481.9470549989</v>
      </c>
      <c r="I42" s="93"/>
    </row>
    <row r="43" spans="1:10" x14ac:dyDescent="0.35">
      <c r="A43" s="2" t="s">
        <v>42</v>
      </c>
      <c r="B43" s="44" t="s">
        <v>217</v>
      </c>
      <c r="C43" s="290">
        <f>'Demanda (GASIG)'!C4</f>
        <v>1825.9</v>
      </c>
      <c r="D43" s="290">
        <f>'Demanda (GASIG)'!H4</f>
        <v>1098</v>
      </c>
      <c r="E43" s="46"/>
      <c r="G43" s="43">
        <f>IFERROR($C43*$H$20*'Premissas (GASIG)'!$F$20*1000," ")</f>
        <v>24860167.752176501</v>
      </c>
      <c r="H43" s="43">
        <f>IFERROR($D43*$H$20*'Premissas (GASIG)'!$F$20*1000," ")</f>
        <v>14949594.277829999</v>
      </c>
      <c r="I43" s="93"/>
    </row>
    <row r="44" spans="1:10" x14ac:dyDescent="0.35">
      <c r="A44" s="2" t="s">
        <v>43</v>
      </c>
      <c r="B44" s="44" t="s">
        <v>218</v>
      </c>
      <c r="C44" s="290">
        <f>'Demanda (GASIG)'!C5</f>
        <v>3040.95</v>
      </c>
      <c r="D44" s="290">
        <f>'Demanda (GASIG)'!H5</f>
        <v>2852</v>
      </c>
      <c r="E44" s="46"/>
      <c r="G44" s="43">
        <f>IFERROR($C44*$H$20*'Premissas (GASIG)'!$F$20*1000," ")</f>
        <v>41403432.348968253</v>
      </c>
      <c r="H44" s="43">
        <f>IFERROR($D44*$H$20*'Premissas (GASIG)'!$F$20*1000," ")</f>
        <v>38830822.295419998</v>
      </c>
      <c r="I44" s="93"/>
    </row>
    <row r="45" spans="1:10" x14ac:dyDescent="0.35">
      <c r="A45" s="2" t="s">
        <v>44</v>
      </c>
      <c r="B45" s="44" t="s">
        <v>219</v>
      </c>
      <c r="C45" s="290">
        <f>'Demanda (GASIG)'!C6</f>
        <v>1187.5</v>
      </c>
      <c r="D45" s="290">
        <f>'Demanda (GASIG)'!H6</f>
        <v>305</v>
      </c>
      <c r="E45" s="46"/>
      <c r="G45" s="43">
        <f>IFERROR($C45*$H$20*'Premissas (GASIG)'!$F$20*1000," ")</f>
        <v>16168163.210312499</v>
      </c>
      <c r="H45" s="43">
        <f>IFERROR($D45*$H$20*'Premissas (GASIG)'!$F$20*1000," ")</f>
        <v>4152665.0771750002</v>
      </c>
      <c r="I45" s="93"/>
    </row>
    <row r="46" spans="1:10" x14ac:dyDescent="0.35">
      <c r="A46" s="2" t="s">
        <v>45</v>
      </c>
      <c r="B46" s="44" t="s">
        <v>220</v>
      </c>
      <c r="C46" s="290">
        <f>'Demanda (GASIG)'!C7</f>
        <v>21185</v>
      </c>
      <c r="D46" s="290">
        <f>'Demanda (GASIG)'!H7</f>
        <v>13624</v>
      </c>
      <c r="E46" s="46"/>
      <c r="G46" s="43">
        <f>IFERROR($C46*$H$20*'Premissas (GASIG)'!$F$20*1000," ")</f>
        <v>288440031.67197496</v>
      </c>
      <c r="H46" s="43">
        <f>IFERROR($D46*$H$20*'Premissas (GASIG)'!$F$20*1000," ")</f>
        <v>185494783.64403999</v>
      </c>
      <c r="I46" s="93"/>
    </row>
    <row r="47" spans="1:10" x14ac:dyDescent="0.35">
      <c r="A47" s="2" t="s">
        <v>46</v>
      </c>
      <c r="B47" s="44" t="s">
        <v>221</v>
      </c>
      <c r="C47" s="290">
        <f>'Demanda (GASIG)'!C8</f>
        <v>11271.75</v>
      </c>
      <c r="D47" s="290">
        <f>'Demanda (GASIG)'!H8</f>
        <v>8403</v>
      </c>
      <c r="E47" s="46"/>
      <c r="G47" s="43">
        <f>IFERROR($C47*$H$20*'Premissas (GASIG)'!$F$20*1000," ")</f>
        <v>153468205.19228625</v>
      </c>
      <c r="H47" s="43">
        <f>IFERROR($D47*$H$20*'Premissas (GASIG)'!$F$20*1000," ")</f>
        <v>114409326.70000499</v>
      </c>
      <c r="I47" s="93"/>
    </row>
    <row r="48" spans="1:10" x14ac:dyDescent="0.35">
      <c r="A48" s="2" t="s">
        <v>47</v>
      </c>
      <c r="B48" s="44" t="s">
        <v>222</v>
      </c>
      <c r="C48" s="290">
        <f>'Demanda (GASIG)'!C9</f>
        <v>3249</v>
      </c>
      <c r="D48" s="290">
        <f>'Demanda (GASIG)'!H9</f>
        <v>2173</v>
      </c>
      <c r="E48" s="46"/>
      <c r="G48" s="43">
        <f>IFERROR($C48*$H$20*'Premissas (GASIG)'!$F$20*1000," ")</f>
        <v>44236094.543414995</v>
      </c>
      <c r="H48" s="43">
        <f>IFERROR($D48*$H$20*'Premissas (GASIG)'!$F$20*1000," ")</f>
        <v>29586036.762954999</v>
      </c>
      <c r="I48" s="93"/>
    </row>
    <row r="49" spans="1:9" x14ac:dyDescent="0.35">
      <c r="A49" s="2" t="s">
        <v>48</v>
      </c>
      <c r="B49" s="44" t="s">
        <v>223</v>
      </c>
      <c r="C49" s="290">
        <f>'Demanda (GASIG)'!C10</f>
        <v>498.75</v>
      </c>
      <c r="D49" s="290">
        <f>'Demanda (GASIG)'!H10</f>
        <v>283</v>
      </c>
      <c r="E49" s="46"/>
      <c r="G49" s="43">
        <f>IFERROR($C49*$H$20*'Premissas (GASIG)'!$F$20*1000," ")</f>
        <v>6790628.5483312495</v>
      </c>
      <c r="H49" s="43">
        <f>IFERROR($D49*$H$20*'Premissas (GASIG)'!$F$20*1000," ")</f>
        <v>3853128.5798049998</v>
      </c>
      <c r="I49" s="93"/>
    </row>
    <row r="50" spans="1:9" x14ac:dyDescent="0.35">
      <c r="A50" s="2" t="s">
        <v>49</v>
      </c>
      <c r="B50" s="44" t="s">
        <v>224</v>
      </c>
      <c r="C50" s="290">
        <f>'Demanda (GASIG)'!C11</f>
        <v>3321.2</v>
      </c>
      <c r="D50" s="290">
        <f>'Demanda (GASIG)'!H11</f>
        <v>2116</v>
      </c>
      <c r="E50" s="46"/>
      <c r="G50" s="43">
        <f>IFERROR($C50*$H$20*'Premissas (GASIG)'!$F$20*1000," ")</f>
        <v>45219118.866601996</v>
      </c>
      <c r="H50" s="43">
        <f>IFERROR($D50*$H$20*'Premissas (GASIG)'!$F$20*1000," ")</f>
        <v>28809964.928859998</v>
      </c>
      <c r="I50" s="93"/>
    </row>
    <row r="51" spans="1:9" x14ac:dyDescent="0.35">
      <c r="A51" s="2" t="s">
        <v>50</v>
      </c>
      <c r="B51" s="44" t="s">
        <v>225</v>
      </c>
      <c r="C51" s="290">
        <f>'Demanda (GASIG)'!C12</f>
        <v>14292.75</v>
      </c>
      <c r="D51" s="290">
        <f>'Demanda (GASIG)'!H12</f>
        <v>1050</v>
      </c>
      <c r="E51" s="46"/>
      <c r="G51" s="43">
        <f>IFERROR($C51*$H$20*'Premissas (GASIG)'!$F$20*1000," ")</f>
        <v>194600012.39932126</v>
      </c>
      <c r="H51" s="43">
        <f>IFERROR($D51*$H$20*'Premissas (GASIG)'!$F$20*1000," ")</f>
        <v>14296060.101749998</v>
      </c>
      <c r="I51" s="93"/>
    </row>
    <row r="52" spans="1:9" x14ac:dyDescent="0.35">
      <c r="A52" s="2" t="s">
        <v>51</v>
      </c>
      <c r="B52" s="44" t="s">
        <v>226</v>
      </c>
      <c r="C52" s="290">
        <f>'Demanda (GASIG)'!C13</f>
        <v>3971</v>
      </c>
      <c r="D52" s="290">
        <f>'Demanda (GASIG)'!H13</f>
        <v>3003</v>
      </c>
      <c r="E52" s="46"/>
      <c r="G52" s="43">
        <f>IFERROR($C52*$H$20*'Premissas (GASIG)'!$F$20*1000," ")</f>
        <v>54066337.775284998</v>
      </c>
      <c r="H52" s="43">
        <f>IFERROR($D52*$H$20*'Premissas (GASIG)'!$F$20*1000," ")</f>
        <v>40886731.891005002</v>
      </c>
      <c r="I52" s="93"/>
    </row>
    <row r="53" spans="1:9" x14ac:dyDescent="0.35">
      <c r="A53" s="2" t="s">
        <v>52</v>
      </c>
      <c r="B53" s="44" t="s">
        <v>227</v>
      </c>
      <c r="C53" s="290">
        <f>'Demanda (GASIG)'!C14</f>
        <v>9941.75</v>
      </c>
      <c r="D53" s="290">
        <f>'Demanda (GASIG)'!H14</f>
        <v>5584</v>
      </c>
      <c r="E53" s="46"/>
      <c r="G53" s="43">
        <f>IFERROR($C53*$H$20*'Premissas (GASIG)'!$F$20*1000," ")</f>
        <v>135359862.39673626</v>
      </c>
      <c r="H53" s="43">
        <f>IFERROR($D53*$H$20*'Premissas (GASIG)'!$F$20*1000," ")</f>
        <v>76027809.150639996</v>
      </c>
      <c r="I53" s="93"/>
    </row>
    <row r="54" spans="1:9" x14ac:dyDescent="0.35">
      <c r="A54" s="2" t="s">
        <v>53</v>
      </c>
      <c r="B54" s="44" t="s">
        <v>228</v>
      </c>
      <c r="C54" s="290">
        <f>'Demanda (GASIG)'!C15</f>
        <v>3809.5</v>
      </c>
      <c r="D54" s="290">
        <f>'Demanda (GASIG)'!H15</f>
        <v>2483</v>
      </c>
      <c r="E54" s="46"/>
      <c r="G54" s="43">
        <f>IFERROR($C54*$H$20*'Premissas (GASIG)'!$F$20*1000," ")</f>
        <v>51867467.578682497</v>
      </c>
      <c r="H54" s="43">
        <f>IFERROR($D54*$H$20*'Premissas (GASIG)'!$F$20*1000," ")</f>
        <v>33806778.316804998</v>
      </c>
      <c r="I54" s="93"/>
    </row>
    <row r="55" spans="1:9" x14ac:dyDescent="0.35">
      <c r="A55" s="2" t="s">
        <v>54</v>
      </c>
      <c r="B55" s="44" t="s">
        <v>269</v>
      </c>
      <c r="C55" s="249"/>
      <c r="D55" s="249"/>
      <c r="E55" s="274" t="s">
        <v>461</v>
      </c>
      <c r="G55" s="43">
        <f>IFERROR($C55*$H$20*'Premissas (GASIG)'!$F$20*1000," ")</f>
        <v>0</v>
      </c>
      <c r="H55" s="43">
        <f>IFERROR($D55*$H$20*'Premissas (GASIG)'!$F$20*1000," ")</f>
        <v>0</v>
      </c>
      <c r="I55" s="93"/>
    </row>
    <row r="56" spans="1:9" x14ac:dyDescent="0.35">
      <c r="A56" s="2" t="s">
        <v>55</v>
      </c>
      <c r="B56" s="44" t="s">
        <v>268</v>
      </c>
      <c r="C56" s="249"/>
      <c r="D56" s="249"/>
      <c r="E56" s="274" t="s">
        <v>461</v>
      </c>
      <c r="G56" s="43">
        <f>IFERROR($C56*$H$20*'Premissas (GASIG)'!$F$20*1000," ")</f>
        <v>0</v>
      </c>
      <c r="H56" s="43">
        <f>IFERROR($D56*$H$20*'Premissas (GASIG)'!$F$20*1000," ")</f>
        <v>0</v>
      </c>
      <c r="I56" s="93"/>
    </row>
    <row r="57" spans="1:9" x14ac:dyDescent="0.35">
      <c r="A57" s="2" t="s">
        <v>56</v>
      </c>
      <c r="B57" s="44" t="s">
        <v>267</v>
      </c>
      <c r="C57" s="249"/>
      <c r="D57" s="249"/>
      <c r="E57" s="274" t="s">
        <v>461</v>
      </c>
      <c r="G57" s="43">
        <f>IFERROR($C57*$H$20*'Premissas (GASIG)'!$F$20*1000," ")</f>
        <v>0</v>
      </c>
      <c r="H57" s="43">
        <f>IFERROR($D57*$H$20*'Premissas (GASIG)'!$F$20*1000," ")</f>
        <v>0</v>
      </c>
      <c r="I57" s="93"/>
    </row>
    <row r="58" spans="1:9" x14ac:dyDescent="0.35">
      <c r="C58" s="105">
        <f>SUM(C42:C57)</f>
        <v>78459.549999999988</v>
      </c>
      <c r="D58" s="105">
        <f>SUM(D42:D57)</f>
        <v>43607</v>
      </c>
      <c r="E58" s="105"/>
      <c r="G58" s="105">
        <f>SUM(G42:G57)</f>
        <v>1068249945.1011992</v>
      </c>
      <c r="H58" s="105">
        <f>SUM(H42:H57)</f>
        <v>593722183.67334497</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0.19189821882951652</v>
      </c>
      <c r="C100" s="9"/>
      <c r="D100" t="s">
        <v>304</v>
      </c>
      <c r="E100" s="110">
        <f>H42/$H$58</f>
        <v>1.4516018070493268E-2</v>
      </c>
      <c r="G100" s="109" t="s">
        <v>148</v>
      </c>
      <c r="H100" s="111">
        <f>H25/$H$35</f>
        <v>0.19189821882951652</v>
      </c>
      <c r="I100" s="111">
        <f>H26/$H$35</f>
        <v>0.40712468193384216</v>
      </c>
      <c r="J100" s="111">
        <f>$H27/$H$35</f>
        <v>0.2734249363867684</v>
      </c>
      <c r="K100" s="111">
        <f>$H28/$H$35</f>
        <v>0</v>
      </c>
      <c r="L100" s="111">
        <f>$H29/$H$35</f>
        <v>0</v>
      </c>
      <c r="M100" s="111">
        <f>$H30/$H$35</f>
        <v>0</v>
      </c>
      <c r="N100" s="111">
        <f>$H31/$H$35</f>
        <v>0.12755216284987275</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0.40712468193384216</v>
      </c>
      <c r="C101" s="4"/>
      <c r="D101" t="s">
        <v>305</v>
      </c>
      <c r="E101" s="110">
        <f t="shared" ref="E101:E115" si="2">H43/$H$58</f>
        <v>2.517944366730112E-2</v>
      </c>
      <c r="W101" s="113"/>
    </row>
    <row r="102" spans="1:27" ht="16.5" x14ac:dyDescent="0.45">
      <c r="A102" t="s">
        <v>296</v>
      </c>
      <c r="B102" s="110">
        <f t="shared" si="1"/>
        <v>0.2734249363867684</v>
      </c>
      <c r="C102" s="4"/>
      <c r="D102" t="s">
        <v>306</v>
      </c>
      <c r="E102" s="110">
        <f t="shared" si="2"/>
        <v>6.5402343660421497E-2</v>
      </c>
      <c r="G102" s="110"/>
      <c r="H102" s="112"/>
      <c r="I102" s="112"/>
    </row>
    <row r="103" spans="1:27" ht="16.5" x14ac:dyDescent="0.45">
      <c r="A103" t="s">
        <v>297</v>
      </c>
      <c r="B103" s="110">
        <f t="shared" si="1"/>
        <v>0</v>
      </c>
      <c r="C103" s="4"/>
      <c r="D103" t="s">
        <v>307</v>
      </c>
      <c r="E103" s="110">
        <f t="shared" si="2"/>
        <v>6.9942899075836453E-3</v>
      </c>
      <c r="G103" s="110"/>
      <c r="H103" s="112"/>
      <c r="I103" s="112"/>
    </row>
    <row r="104" spans="1:27" ht="16.5" x14ac:dyDescent="0.45">
      <c r="A104" t="s">
        <v>298</v>
      </c>
      <c r="B104" s="110">
        <f t="shared" si="1"/>
        <v>0</v>
      </c>
      <c r="C104" s="4"/>
      <c r="D104" t="s">
        <v>308</v>
      </c>
      <c r="E104" s="110">
        <f t="shared" si="2"/>
        <v>0.31242690393744121</v>
      </c>
      <c r="G104" s="110"/>
      <c r="H104" s="112"/>
      <c r="I104" s="112"/>
    </row>
    <row r="105" spans="1:27" ht="16.5" x14ac:dyDescent="0.45">
      <c r="A105" t="s">
        <v>299</v>
      </c>
      <c r="B105" s="110">
        <f t="shared" si="1"/>
        <v>0</v>
      </c>
      <c r="C105" s="4"/>
      <c r="D105" t="s">
        <v>309</v>
      </c>
      <c r="E105" s="110">
        <f t="shared" si="2"/>
        <v>0.19269841997844384</v>
      </c>
      <c r="G105" s="110"/>
      <c r="H105" s="112"/>
      <c r="I105" s="112"/>
    </row>
    <row r="106" spans="1:27" ht="16.5" x14ac:dyDescent="0.45">
      <c r="A106" t="s">
        <v>300</v>
      </c>
      <c r="B106" s="110">
        <f t="shared" si="1"/>
        <v>0.12755216284987275</v>
      </c>
      <c r="C106" s="4"/>
      <c r="D106" t="s">
        <v>310</v>
      </c>
      <c r="E106" s="110">
        <f t="shared" si="2"/>
        <v>4.9831449079276266E-2</v>
      </c>
      <c r="G106" s="110"/>
      <c r="H106" s="112"/>
      <c r="I106" s="112"/>
    </row>
    <row r="107" spans="1:27" ht="16.5" x14ac:dyDescent="0.45">
      <c r="A107" t="s">
        <v>301</v>
      </c>
      <c r="B107" s="110">
        <f t="shared" si="1"/>
        <v>0</v>
      </c>
      <c r="C107" s="4"/>
      <c r="D107" t="s">
        <v>311</v>
      </c>
      <c r="E107" s="110">
        <f t="shared" si="2"/>
        <v>6.4897837503153167E-3</v>
      </c>
      <c r="G107" s="110"/>
      <c r="H107" s="112"/>
      <c r="I107" s="112"/>
    </row>
    <row r="108" spans="1:27" ht="16.5" x14ac:dyDescent="0.45">
      <c r="A108" t="s">
        <v>302</v>
      </c>
      <c r="B108" s="110">
        <f t="shared" si="1"/>
        <v>0</v>
      </c>
      <c r="C108" s="4"/>
      <c r="D108" t="s">
        <v>312</v>
      </c>
      <c r="E108" s="110">
        <f t="shared" si="2"/>
        <v>4.8524319489990135E-2</v>
      </c>
      <c r="G108" s="110"/>
      <c r="H108" s="112"/>
      <c r="I108" s="112"/>
    </row>
    <row r="109" spans="1:27" ht="16.5" x14ac:dyDescent="0.45">
      <c r="A109" t="s">
        <v>303</v>
      </c>
      <c r="B109" s="110">
        <f t="shared" si="1"/>
        <v>0</v>
      </c>
      <c r="D109" t="s">
        <v>313</v>
      </c>
      <c r="E109" s="110">
        <f t="shared" si="2"/>
        <v>2.4078702960533858E-2</v>
      </c>
      <c r="G109" s="110"/>
    </row>
    <row r="110" spans="1:27" ht="16.5" x14ac:dyDescent="0.45">
      <c r="B110" s="110">
        <f>SUM(B100:B109)</f>
        <v>1</v>
      </c>
      <c r="D110" t="s">
        <v>314</v>
      </c>
      <c r="E110" s="110">
        <f t="shared" si="2"/>
        <v>6.8865090467126841E-2</v>
      </c>
      <c r="G110" s="110"/>
    </row>
    <row r="111" spans="1:27" ht="16.5" x14ac:dyDescent="0.45">
      <c r="B111" s="112"/>
      <c r="D111" t="s">
        <v>315</v>
      </c>
      <c r="E111" s="110">
        <f t="shared" si="2"/>
        <v>0.12805283555392483</v>
      </c>
      <c r="G111" s="110"/>
    </row>
    <row r="112" spans="1:27" ht="16.5" x14ac:dyDescent="0.45">
      <c r="B112" s="112"/>
      <c r="D112" t="s">
        <v>316</v>
      </c>
      <c r="E112" s="110">
        <f t="shared" si="2"/>
        <v>5.6940399477148164E-2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0.99999999999999989</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358.22292237484805</v>
      </c>
      <c r="C131" s="114"/>
      <c r="D131" t="s">
        <v>325</v>
      </c>
      <c r="E131" s="4">
        <f ca="1">SUMPRODUCT($H$100:$Q$100,$C68:$L68)</f>
        <v>325.89742294147584</v>
      </c>
    </row>
    <row r="132" spans="1:5" ht="16.5" x14ac:dyDescent="0.45">
      <c r="A132" t="s">
        <v>326</v>
      </c>
      <c r="B132" s="110">
        <f ca="1">SUMPRODUCT($E$100:$E$115,D$68:D$83)</f>
        <v>196.22408034795637</v>
      </c>
      <c r="C132" s="114"/>
      <c r="D132" t="s">
        <v>327</v>
      </c>
      <c r="E132" s="4">
        <f t="shared" ref="E132:E146" ca="1" si="3">SUMPRODUCT($H$100:$Q$100,$C69:$L69)</f>
        <v>423.06142294147577</v>
      </c>
    </row>
    <row r="133" spans="1:5" ht="16.5" x14ac:dyDescent="0.45">
      <c r="A133" t="s">
        <v>328</v>
      </c>
      <c r="B133" s="110">
        <f ca="1">SUMPRODUCT($E$100:$E$115,E$68:E$83)</f>
        <v>231.96050044564714</v>
      </c>
      <c r="C133" s="114"/>
      <c r="D133" t="s">
        <v>329</v>
      </c>
      <c r="E133" s="4">
        <f t="shared" ca="1" si="3"/>
        <v>540.22662294147563</v>
      </c>
    </row>
    <row r="134" spans="1:5" ht="16.5" x14ac:dyDescent="0.45">
      <c r="A134" t="s">
        <v>330</v>
      </c>
      <c r="B134" s="110">
        <f ca="1">SUMPRODUCT($E$100:$E$115,F$68:F$83)</f>
        <v>472.8469617997111</v>
      </c>
      <c r="C134" s="114"/>
      <c r="D134" t="s">
        <v>331</v>
      </c>
      <c r="E134" s="4">
        <f t="shared" ca="1" si="3"/>
        <v>594.01332916030526</v>
      </c>
    </row>
    <row r="135" spans="1:5" ht="16.5" x14ac:dyDescent="0.45">
      <c r="A135" t="s">
        <v>332</v>
      </c>
      <c r="B135" s="110">
        <f ca="1">SUMPRODUCT($E$100:$E$115,G$68:G$83)</f>
        <v>182.58998516140375</v>
      </c>
      <c r="C135" s="114"/>
      <c r="D135" t="s">
        <v>333</v>
      </c>
      <c r="E135" s="4">
        <f t="shared" ca="1" si="3"/>
        <v>150.39634942832907</v>
      </c>
    </row>
    <row r="136" spans="1:5" ht="16.5" x14ac:dyDescent="0.45">
      <c r="A136" t="s">
        <v>334</v>
      </c>
      <c r="B136" s="110">
        <f ca="1">SUMPRODUCT($E$100:$E$115,H$68:H$83)</f>
        <v>387.1539239082411</v>
      </c>
      <c r="C136" s="114"/>
      <c r="D136" t="s">
        <v>335</v>
      </c>
      <c r="E136" s="4">
        <f t="shared" ca="1" si="3"/>
        <v>141.46436647328241</v>
      </c>
    </row>
    <row r="137" spans="1:5" ht="16.5" x14ac:dyDescent="0.45">
      <c r="A137" t="s">
        <v>336</v>
      </c>
      <c r="B137" s="110">
        <f ca="1">SUMPRODUCT($E$100:$E$115,I$68:I$83)</f>
        <v>336.06213963201623</v>
      </c>
      <c r="D137" t="s">
        <v>337</v>
      </c>
      <c r="E137" s="4">
        <f t="shared" ca="1" si="3"/>
        <v>170.48428609465645</v>
      </c>
    </row>
    <row r="138" spans="1:5" ht="16.5" x14ac:dyDescent="0.45">
      <c r="A138" t="s">
        <v>338</v>
      </c>
      <c r="B138" s="110">
        <f ca="1">SUMPRODUCT($E$100:$E$115,J$68:J$83)</f>
        <v>309.83311302466728</v>
      </c>
      <c r="D138" t="s">
        <v>339</v>
      </c>
      <c r="E138" s="4">
        <f t="shared" ca="1" si="3"/>
        <v>208.29042754198468</v>
      </c>
    </row>
    <row r="139" spans="1:5" ht="16.5" x14ac:dyDescent="0.45">
      <c r="A139" t="s">
        <v>340</v>
      </c>
      <c r="B139" s="110">
        <f ca="1">SUMPRODUCT($E$100:$E$115,K$68:K$83)</f>
        <v>472.8469617997111</v>
      </c>
      <c r="D139" t="s">
        <v>341</v>
      </c>
      <c r="E139" s="4">
        <f t="shared" ca="1" si="3"/>
        <v>142.50855288549616</v>
      </c>
    </row>
    <row r="140" spans="1:5" ht="16.5" x14ac:dyDescent="0.45">
      <c r="A140" t="s">
        <v>342</v>
      </c>
      <c r="B140" s="110">
        <f ca="1">SUMPRODUCT($E$100:$E$115,L$68:L$83)</f>
        <v>336.06213963201623</v>
      </c>
      <c r="D140" t="s">
        <v>343</v>
      </c>
      <c r="E140" s="4">
        <f t="shared" ca="1" si="3"/>
        <v>319.58013943002538</v>
      </c>
    </row>
    <row r="141" spans="1:5" ht="16.5" x14ac:dyDescent="0.45">
      <c r="B141" s="110"/>
      <c r="D141" t="s">
        <v>344</v>
      </c>
      <c r="E141" s="4">
        <f t="shared" ca="1" si="3"/>
        <v>309.12510329431717</v>
      </c>
    </row>
    <row r="142" spans="1:5" ht="16.5" x14ac:dyDescent="0.45">
      <c r="B142" s="110"/>
      <c r="D142" t="s">
        <v>345</v>
      </c>
      <c r="E142" s="4">
        <f t="shared" ca="1" si="3"/>
        <v>421.85450406921115</v>
      </c>
    </row>
    <row r="143" spans="1:5" ht="16.5" x14ac:dyDescent="0.45">
      <c r="B143" s="110"/>
      <c r="D143" t="s">
        <v>346</v>
      </c>
      <c r="E143" s="4">
        <f t="shared" ca="1" si="3"/>
        <v>457.25720728753174</v>
      </c>
    </row>
    <row r="144" spans="1:5" ht="16.5" x14ac:dyDescent="0.45">
      <c r="B144" s="110"/>
      <c r="D144" t="s">
        <v>347</v>
      </c>
      <c r="E144" s="4">
        <f t="shared" si="3"/>
        <v>351.92020728753175</v>
      </c>
    </row>
    <row r="145" spans="1:5" ht="16.5" x14ac:dyDescent="0.45">
      <c r="B145" s="110"/>
      <c r="D145" t="s">
        <v>348</v>
      </c>
      <c r="E145" s="4">
        <f t="shared" si="3"/>
        <v>500.2473291603053</v>
      </c>
    </row>
    <row r="146" spans="1:5" ht="16.5" x14ac:dyDescent="0.45">
      <c r="B146" s="110"/>
      <c r="D146" t="s">
        <v>349</v>
      </c>
      <c r="E146" s="4">
        <f t="shared" si="3"/>
        <v>226.41983248854959</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0.26966320560822238</v>
      </c>
      <c r="C163" s="36"/>
      <c r="D163" t="s">
        <v>355</v>
      </c>
      <c r="E163" s="115">
        <f t="shared" ref="E163:E178" ca="1" si="4">($H42*$E131)/SUMPRODUCT($H$42:$H$57,$E$131:$E$146)</f>
        <v>1.8557770648623167E-2</v>
      </c>
    </row>
    <row r="164" spans="1:9" ht="16.5" x14ac:dyDescent="0.45">
      <c r="A164" t="s">
        <v>356</v>
      </c>
      <c r="B164" s="115">
        <f t="shared" ref="B164:B172" ca="1" si="5">($H26*$B132)/SUMPRODUCT($H$25:$H$34,$B$131:$B$140)</f>
        <v>0.31338421049624465</v>
      </c>
      <c r="C164" s="4"/>
      <c r="D164" t="s">
        <v>357</v>
      </c>
      <c r="E164" s="115">
        <f t="shared" ca="1" si="4"/>
        <v>4.1787552255840812E-2</v>
      </c>
    </row>
    <row r="165" spans="1:9" ht="16.5" x14ac:dyDescent="0.45">
      <c r="A165" t="s">
        <v>358</v>
      </c>
      <c r="B165" s="115">
        <f t="shared" ca="1" si="5"/>
        <v>0.24879951730023681</v>
      </c>
      <c r="C165" s="4"/>
      <c r="D165" t="s">
        <v>359</v>
      </c>
      <c r="E165" s="115">
        <f t="shared" ca="1" si="4"/>
        <v>0.13860109802104542</v>
      </c>
      <c r="H165" s="116"/>
      <c r="I165" s="116"/>
    </row>
    <row r="166" spans="1:9" ht="16.5" x14ac:dyDescent="0.45">
      <c r="A166" t="s">
        <v>360</v>
      </c>
      <c r="B166" s="115">
        <f t="shared" ca="1" si="5"/>
        <v>0</v>
      </c>
      <c r="C166" s="4"/>
      <c r="D166" t="s">
        <v>361</v>
      </c>
      <c r="E166" s="115">
        <f t="shared" ca="1" si="4"/>
        <v>1.6298108190877438E-2</v>
      </c>
    </row>
    <row r="167" spans="1:9" ht="16.5" x14ac:dyDescent="0.45">
      <c r="A167" t="s">
        <v>362</v>
      </c>
      <c r="B167" s="115">
        <f t="shared" ca="1" si="5"/>
        <v>0</v>
      </c>
      <c r="C167" s="4"/>
      <c r="D167" t="s">
        <v>363</v>
      </c>
      <c r="E167" s="115">
        <f t="shared" ca="1" si="4"/>
        <v>0.18432451357719548</v>
      </c>
    </row>
    <row r="168" spans="1:9" ht="16.5" x14ac:dyDescent="0.45">
      <c r="A168" t="s">
        <v>364</v>
      </c>
      <c r="B168" s="115">
        <f t="shared" ca="1" si="5"/>
        <v>0</v>
      </c>
      <c r="C168" s="4"/>
      <c r="D168" t="s">
        <v>365</v>
      </c>
      <c r="E168" s="115">
        <f t="shared" ca="1" si="4"/>
        <v>0.10693566864543616</v>
      </c>
    </row>
    <row r="169" spans="1:9" ht="16.5" x14ac:dyDescent="0.45">
      <c r="A169" t="s">
        <v>366</v>
      </c>
      <c r="B169" s="115">
        <f t="shared" ca="1" si="5"/>
        <v>0.16815306659529627</v>
      </c>
      <c r="C169" s="4"/>
      <c r="D169" t="s">
        <v>367</v>
      </c>
      <c r="E169" s="115">
        <f t="shared" ca="1" si="4"/>
        <v>3.3326157956752325E-2</v>
      </c>
    </row>
    <row r="170" spans="1:9" ht="16.5" x14ac:dyDescent="0.45">
      <c r="A170" t="s">
        <v>368</v>
      </c>
      <c r="B170" s="115">
        <f t="shared" ca="1" si="5"/>
        <v>0</v>
      </c>
      <c r="C170" s="4"/>
      <c r="D170" t="s">
        <v>369</v>
      </c>
      <c r="E170" s="115">
        <f t="shared" ca="1" si="4"/>
        <v>5.3026982431390573E-3</v>
      </c>
    </row>
    <row r="171" spans="1:9" ht="16.5" x14ac:dyDescent="0.45">
      <c r="A171" t="s">
        <v>370</v>
      </c>
      <c r="B171" s="115">
        <f t="shared" ca="1" si="5"/>
        <v>0</v>
      </c>
      <c r="D171" t="s">
        <v>371</v>
      </c>
      <c r="E171" s="115">
        <f t="shared" ca="1" si="4"/>
        <v>2.7126749701926276E-2</v>
      </c>
    </row>
    <row r="172" spans="1:9" ht="16.5" x14ac:dyDescent="0.45">
      <c r="A172" t="s">
        <v>372</v>
      </c>
      <c r="B172" s="115">
        <f t="shared" ca="1" si="5"/>
        <v>0</v>
      </c>
      <c r="D172" t="s">
        <v>373</v>
      </c>
      <c r="E172" s="115">
        <f t="shared" ca="1" si="4"/>
        <v>3.0186325292201045E-2</v>
      </c>
    </row>
    <row r="173" spans="1:9" ht="16.5" x14ac:dyDescent="0.45">
      <c r="B173" s="233">
        <f ca="1">SUM(B163:B172)</f>
        <v>1</v>
      </c>
      <c r="D173" t="s">
        <v>374</v>
      </c>
      <c r="E173" s="115">
        <f t="shared" ca="1" si="4"/>
        <v>8.3508517426384543E-2</v>
      </c>
    </row>
    <row r="174" spans="1:9" ht="16.5" x14ac:dyDescent="0.45">
      <c r="B174" s="115"/>
      <c r="D174" t="s">
        <v>375</v>
      </c>
      <c r="E174" s="115">
        <f t="shared" ca="1" si="4"/>
        <v>0.21190893398833097</v>
      </c>
    </row>
    <row r="175" spans="1:9" ht="16.5" x14ac:dyDescent="0.45">
      <c r="B175" s="115"/>
      <c r="D175" t="s">
        <v>376</v>
      </c>
      <c r="E175" s="115">
        <f t="shared" ca="1" si="4"/>
        <v>0.10213590605224708</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0.99999999999999967</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9.7716213215751111</v>
      </c>
      <c r="C194" s="47"/>
      <c r="D194" t="s">
        <v>383</v>
      </c>
      <c r="E194" s="6">
        <f t="shared" ref="E194:E209" ca="1" si="7">$E163*$D$9</f>
        <v>0.28723230683306405</v>
      </c>
    </row>
    <row r="195" spans="1:5" ht="16.5" x14ac:dyDescent="0.45">
      <c r="A195" t="s">
        <v>384</v>
      </c>
      <c r="B195" s="7">
        <f t="shared" ca="1" si="6"/>
        <v>11.355912743910192</v>
      </c>
      <c r="D195" t="s">
        <v>385</v>
      </c>
      <c r="E195" s="6">
        <f t="shared" ca="1" si="7"/>
        <v>0.64677677392477473</v>
      </c>
    </row>
    <row r="196" spans="1:5" ht="16.5" x14ac:dyDescent="0.45">
      <c r="A196" t="s">
        <v>386</v>
      </c>
      <c r="B196" s="7">
        <f t="shared" ca="1" si="6"/>
        <v>9.0155965570649581</v>
      </c>
      <c r="D196" t="s">
        <v>387</v>
      </c>
      <c r="E196" s="6">
        <f t="shared" ca="1" si="7"/>
        <v>2.1452314433648918</v>
      </c>
    </row>
    <row r="197" spans="1:5" ht="16.5" x14ac:dyDescent="0.45">
      <c r="A197" t="s">
        <v>388</v>
      </c>
      <c r="B197" s="7">
        <f t="shared" ca="1" si="6"/>
        <v>0</v>
      </c>
      <c r="D197" t="s">
        <v>389</v>
      </c>
      <c r="E197" s="6">
        <f t="shared" ca="1" si="7"/>
        <v>0.25225784396833784</v>
      </c>
    </row>
    <row r="198" spans="1:5" ht="16.5" x14ac:dyDescent="0.45">
      <c r="A198" t="s">
        <v>390</v>
      </c>
      <c r="B198" s="7">
        <f t="shared" ca="1" si="6"/>
        <v>0</v>
      </c>
      <c r="D198" t="s">
        <v>391</v>
      </c>
      <c r="E198" s="6">
        <f t="shared" ca="1" si="7"/>
        <v>2.8529264771675735</v>
      </c>
    </row>
    <row r="199" spans="1:5" ht="16.5" x14ac:dyDescent="0.45">
      <c r="A199" t="s">
        <v>392</v>
      </c>
      <c r="B199" s="7">
        <f t="shared" ca="1" si="6"/>
        <v>0</v>
      </c>
      <c r="D199" t="s">
        <v>393</v>
      </c>
      <c r="E199" s="6">
        <f t="shared" ca="1" si="7"/>
        <v>1.6551222325858204</v>
      </c>
    </row>
    <row r="200" spans="1:5" ht="16.5" x14ac:dyDescent="0.45">
      <c r="A200" t="s">
        <v>394</v>
      </c>
      <c r="B200" s="7">
        <f t="shared" ca="1" si="6"/>
        <v>6.0932602470729345</v>
      </c>
      <c r="D200" t="s">
        <v>395</v>
      </c>
      <c r="E200" s="6">
        <f t="shared" ca="1" si="7"/>
        <v>0.51581353218799653</v>
      </c>
    </row>
    <row r="201" spans="1:5" ht="16.5" x14ac:dyDescent="0.45">
      <c r="A201" t="s">
        <v>396</v>
      </c>
      <c r="B201" s="7">
        <f t="shared" ca="1" si="6"/>
        <v>0</v>
      </c>
      <c r="D201" t="s">
        <v>397</v>
      </c>
      <c r="E201" s="6">
        <f t="shared" ca="1" si="7"/>
        <v>8.2073772634401493E-2</v>
      </c>
    </row>
    <row r="202" spans="1:5" ht="16.5" x14ac:dyDescent="0.45">
      <c r="A202" t="s">
        <v>398</v>
      </c>
      <c r="B202" s="7">
        <f t="shared" ca="1" si="6"/>
        <v>0</v>
      </c>
      <c r="D202" t="s">
        <v>399</v>
      </c>
      <c r="E202" s="6">
        <f t="shared" ca="1" si="7"/>
        <v>0.41986071717862805</v>
      </c>
    </row>
    <row r="203" spans="1:5" ht="16.5" x14ac:dyDescent="0.45">
      <c r="A203" t="s">
        <v>400</v>
      </c>
      <c r="B203" s="7">
        <f t="shared" ca="1" si="6"/>
        <v>0</v>
      </c>
      <c r="D203" t="s">
        <v>401</v>
      </c>
      <c r="E203" s="6">
        <f t="shared" ca="1" si="7"/>
        <v>0.46721602571025689</v>
      </c>
    </row>
    <row r="204" spans="1:5" ht="16.5" x14ac:dyDescent="0.45">
      <c r="B204" s="7">
        <f ca="1">SUM(B194:B203)</f>
        <v>36.236390869623193</v>
      </c>
      <c r="D204" t="s">
        <v>402</v>
      </c>
      <c r="E204" s="6">
        <f t="shared" ca="1" si="7"/>
        <v>1.2925229304075461</v>
      </c>
    </row>
    <row r="205" spans="1:5" ht="16.5" x14ac:dyDescent="0.45">
      <c r="B205" s="7"/>
      <c r="D205" t="s">
        <v>403</v>
      </c>
      <c r="E205" s="6">
        <f t="shared" ca="1" si="7"/>
        <v>3.2798709015470902</v>
      </c>
    </row>
    <row r="206" spans="1:5" ht="16.5" x14ac:dyDescent="0.45">
      <c r="B206" s="7"/>
      <c r="D206" t="s">
        <v>404</v>
      </c>
      <c r="E206" s="6">
        <f t="shared" ca="1" si="7"/>
        <v>1.5808327660331647</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15.477737723543548</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7.6131792482646801E-2</v>
      </c>
      <c r="D227" s="121"/>
      <c r="E227" s="8"/>
      <c r="F227" s="8"/>
      <c r="G227" s="122"/>
      <c r="H227" s="48" t="s">
        <v>415</v>
      </c>
      <c r="I227" s="48" t="str">
        <f t="shared" ref="I227:I242" si="8">B42</f>
        <v>NTS MG 1</v>
      </c>
      <c r="J227" s="12">
        <f ca="1">IFERROR($E194/$H42*1000000," ")</f>
        <v>3.3327482565675449E-2</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4.1702777885097533E-2</v>
      </c>
      <c r="D228" s="121"/>
      <c r="E228" s="8"/>
      <c r="F228" s="8"/>
      <c r="G228" s="122"/>
      <c r="H228" s="48" t="s">
        <v>417</v>
      </c>
      <c r="I228" s="48" t="str">
        <f t="shared" si="8"/>
        <v>NTS MG 2</v>
      </c>
      <c r="J228" s="12">
        <f t="shared" ref="J228:J242" ca="1" si="11">IFERROR($E195/$H43*1000000," ")</f>
        <v>4.326383458338625E-2</v>
      </c>
      <c r="L228" s="21"/>
      <c r="M228" s="123"/>
      <c r="Q228" s="8"/>
      <c r="R228" s="124"/>
      <c r="S228" s="125"/>
      <c r="T228" s="125"/>
      <c r="U228" s="125"/>
    </row>
    <row r="229" spans="1:21" ht="16.5" x14ac:dyDescent="0.35">
      <c r="A229" s="48" t="s">
        <v>418</v>
      </c>
      <c r="B229" s="48" t="str">
        <f t="shared" si="9"/>
        <v>PR-ITABORAÍ</v>
      </c>
      <c r="C229" s="12">
        <f t="shared" ca="1" si="10"/>
        <v>4.9297707045167137E-2</v>
      </c>
      <c r="D229" s="121"/>
      <c r="E229" s="8"/>
      <c r="F229" s="8"/>
      <c r="G229" s="122"/>
      <c r="H229" s="48" t="s">
        <v>419</v>
      </c>
      <c r="I229" s="48" t="str">
        <f t="shared" si="8"/>
        <v>NTS MG 3</v>
      </c>
      <c r="J229" s="12">
        <f t="shared" ca="1" si="11"/>
        <v>5.5245583702663865E-2</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6.074601232708738E-2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1.5380090054943379E-2</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1.4466672257636388E-2</v>
      </c>
      <c r="L232" s="21"/>
      <c r="M232" s="123"/>
      <c r="Q232" s="8"/>
      <c r="R232" s="124"/>
      <c r="S232" s="125"/>
      <c r="T232" s="125"/>
      <c r="U232" s="125"/>
    </row>
    <row r="233" spans="1:21" ht="16.5" x14ac:dyDescent="0.35">
      <c r="A233" s="48" t="s">
        <v>426</v>
      </c>
      <c r="B233" s="48" t="str">
        <f t="shared" si="9"/>
        <v>PR-TECAB</v>
      </c>
      <c r="C233" s="12">
        <f t="shared" ca="1" si="10"/>
        <v>7.1422043307900085E-2</v>
      </c>
      <c r="D233" s="121"/>
      <c r="E233" s="8"/>
      <c r="F233" s="8"/>
      <c r="G233" s="122"/>
      <c r="H233" s="48" t="s">
        <v>427</v>
      </c>
      <c r="I233" s="48" t="str">
        <f t="shared" si="8"/>
        <v>NTS RJ 3</v>
      </c>
      <c r="J233" s="12">
        <f t="shared" ca="1" si="11"/>
        <v>1.7434357170604625E-2</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2.1300553805696024E-2</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1.4573454643745095E-2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3.2681453658205059E-2</v>
      </c>
      <c r="L236" s="21"/>
      <c r="Q236" s="8"/>
      <c r="R236" s="124"/>
      <c r="S236" s="125"/>
      <c r="T236" s="125"/>
      <c r="U236" s="125"/>
    </row>
    <row r="237" spans="1:21" ht="16.5" x14ac:dyDescent="0.35">
      <c r="D237" s="116"/>
      <c r="E237" s="8"/>
      <c r="F237" s="8"/>
      <c r="G237" s="116"/>
      <c r="H237" s="48" t="s">
        <v>434</v>
      </c>
      <c r="I237" s="48" t="str">
        <f t="shared" si="8"/>
        <v>NTS SP 2</v>
      </c>
      <c r="J237" s="12">
        <f t="shared" ca="1" si="11"/>
        <v>3.1612282778020188E-2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4.3140410570669196E-2</v>
      </c>
      <c r="L238" s="21"/>
      <c r="Q238" s="8"/>
      <c r="R238" s="124"/>
      <c r="S238" s="125"/>
      <c r="T238" s="125"/>
      <c r="U238" s="125"/>
    </row>
    <row r="239" spans="1:21" ht="16.5" x14ac:dyDescent="0.35">
      <c r="D239" s="116"/>
      <c r="E239" s="8"/>
      <c r="F239" s="8"/>
      <c r="G239" s="116"/>
      <c r="H239" s="48" t="s">
        <v>436</v>
      </c>
      <c r="I239" s="48" t="str">
        <f t="shared" si="8"/>
        <v>NTS SP 4</v>
      </c>
      <c r="J239" s="12">
        <f t="shared" ca="1" si="11"/>
        <v>4.6760822673462175E-2</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1.5226358496529356E-2</v>
      </c>
      <c r="D246" s="12">
        <f t="shared" ref="D246:D252" ca="1" si="13">$F$8*$C$12</f>
        <v>4.3341635254291688E-2</v>
      </c>
      <c r="E246" s="12">
        <f ca="1">IFERROR(C246+D246," ")</f>
        <v>5.8567993750821043E-2</v>
      </c>
      <c r="F246" s="256">
        <f ca="1">E246*H25</f>
        <v>7517283.3560676994</v>
      </c>
      <c r="G246" s="123"/>
      <c r="H246" s="48" t="s">
        <v>415</v>
      </c>
      <c r="I246" s="48" t="str">
        <f t="shared" ref="I246:I261" si="14">I227</f>
        <v>NTS MG 1</v>
      </c>
      <c r="J246" s="12">
        <f ca="1">IF(H42=0," ",J227*(1-$C$12))</f>
        <v>6.6654965131350882E-3</v>
      </c>
      <c r="K246" s="12">
        <f t="shared" ref="K246:K258" ca="1" si="15">$F$11*$C$12</f>
        <v>2.0855192073549494E-2</v>
      </c>
      <c r="L246" s="12">
        <f ca="1">IFERROR(J246+K246," ")</f>
        <v>2.7520688586684584E-2</v>
      </c>
      <c r="M246" s="256">
        <f ca="1">L246*H42</f>
        <v>237186.55775486364</v>
      </c>
      <c r="N246" s="131"/>
    </row>
    <row r="247" spans="1:22" ht="16.5" x14ac:dyDescent="0.35">
      <c r="A247" s="48" t="s">
        <v>416</v>
      </c>
      <c r="B247" s="48" t="str">
        <f t="shared" si="12"/>
        <v>PR-GNLBGB</v>
      </c>
      <c r="C247" s="12">
        <f t="shared" ref="C247:C255" ca="1" si="16">IF(H26=0," ",C228*(1-$C$12))</f>
        <v>8.3405555770195046E-3</v>
      </c>
      <c r="D247" s="12">
        <f t="shared" ca="1" si="13"/>
        <v>4.3341635254291688E-2</v>
      </c>
      <c r="E247" s="12">
        <f t="shared" ref="E247:E252" ca="1" si="17">IFERROR(C247+D247," ")</f>
        <v>5.1682190831311189E-2</v>
      </c>
      <c r="F247" s="256">
        <f t="shared" ref="F247:F252" ca="1" si="18">E247*H26</f>
        <v>14073365.83456262</v>
      </c>
      <c r="G247" s="123"/>
      <c r="H247" s="48" t="s">
        <v>417</v>
      </c>
      <c r="I247" s="48" t="str">
        <f t="shared" si="14"/>
        <v>NTS MG 2</v>
      </c>
      <c r="J247" s="12">
        <f t="shared" ref="J247:J248" ca="1" si="19">IF(H43=0," ",J228*(1-$C$12))</f>
        <v>8.6527669166772472E-3</v>
      </c>
      <c r="K247" s="12">
        <f t="shared" ca="1" si="15"/>
        <v>2.0855192073549494E-2</v>
      </c>
      <c r="L247" s="12">
        <f t="shared" ref="L247:L258" ca="1" si="20">IFERROR(J247+K247," ")</f>
        <v>2.9507958990226742E-2</v>
      </c>
      <c r="M247" s="256">
        <f t="shared" ref="M247:M258" ca="1" si="21">L247*H43</f>
        <v>441132.01487073599</v>
      </c>
    </row>
    <row r="248" spans="1:22" ht="16.5" x14ac:dyDescent="0.35">
      <c r="A248" s="48" t="s">
        <v>418</v>
      </c>
      <c r="B248" s="48" t="str">
        <f t="shared" si="12"/>
        <v>PR-ITABORAÍ</v>
      </c>
      <c r="C248" s="12">
        <f t="shared" ca="1" si="16"/>
        <v>9.8595414090334246E-3</v>
      </c>
      <c r="D248" s="12">
        <f t="shared" ca="1" si="13"/>
        <v>4.3341635254291688E-2</v>
      </c>
      <c r="E248" s="12">
        <f t="shared" ca="1" si="17"/>
        <v>5.3201176663325113E-2</v>
      </c>
      <c r="F248" s="256">
        <f t="shared" ca="1" si="18"/>
        <v>9729465.6061432306</v>
      </c>
      <c r="G248" s="123"/>
      <c r="H248" s="48" t="s">
        <v>419</v>
      </c>
      <c r="I248" s="48" t="str">
        <f t="shared" si="14"/>
        <v>NTS MG 3</v>
      </c>
      <c r="J248" s="12">
        <f t="shared" ca="1" si="19"/>
        <v>1.104911674053277E-2</v>
      </c>
      <c r="K248" s="12">
        <f t="shared" ca="1" si="15"/>
        <v>2.0855192073549494E-2</v>
      </c>
      <c r="L248" s="12">
        <f t="shared" ca="1" si="20"/>
        <v>3.1904308814082266E-2</v>
      </c>
      <c r="M248" s="256">
        <f t="shared" ca="1" si="21"/>
        <v>1238870.5460178305</v>
      </c>
    </row>
    <row r="249" spans="1:22" ht="16.5" x14ac:dyDescent="0.35">
      <c r="A249" s="48" t="s">
        <v>420</v>
      </c>
      <c r="B249" s="48" t="str">
        <f t="shared" si="12"/>
        <v>PR-GASPAJ (INTERCONEXÃO)</v>
      </c>
      <c r="C249" s="12" t="str">
        <f t="shared" si="16"/>
        <v xml:space="preserve"> </v>
      </c>
      <c r="D249" s="12">
        <f t="shared" ca="1" si="13"/>
        <v>4.3341635254291688E-2</v>
      </c>
      <c r="E249" s="127">
        <f ca="1">E271</f>
        <v>5.2193360946976549E-3</v>
      </c>
      <c r="F249" s="256">
        <f t="shared" ca="1" si="18"/>
        <v>0</v>
      </c>
      <c r="G249" s="123"/>
      <c r="H249" s="48" t="s">
        <v>421</v>
      </c>
      <c r="I249" s="48" t="str">
        <f t="shared" si="14"/>
        <v>NTS MG 4</v>
      </c>
      <c r="J249" s="12">
        <f ca="1">IF(H45=0," ",J230*(1-$C$12))</f>
        <v>1.2149202465417473E-2</v>
      </c>
      <c r="K249" s="12">
        <f t="shared" ca="1" si="15"/>
        <v>2.0855192073549494E-2</v>
      </c>
      <c r="L249" s="12">
        <f t="shared" ca="1" si="20"/>
        <v>3.3004394538966968E-2</v>
      </c>
      <c r="M249" s="256">
        <f t="shared" ca="1" si="21"/>
        <v>137056.19659527342</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3.0760180109886751E-3</v>
      </c>
      <c r="K250" s="12">
        <f t="shared" ca="1" si="15"/>
        <v>2.0855192073549494E-2</v>
      </c>
      <c r="L250" s="12">
        <f t="shared" ca="1" si="20"/>
        <v>2.393121008453817E-2</v>
      </c>
      <c r="M250" s="256">
        <f t="shared" ca="1" si="21"/>
        <v>4439114.6369714756</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2.8933344515272769E-3</v>
      </c>
      <c r="K251" s="12">
        <f t="shared" ca="1" si="15"/>
        <v>2.0855192073549494E-2</v>
      </c>
      <c r="L251" s="12">
        <f t="shared" ca="1" si="20"/>
        <v>2.3748526525076773E-2</v>
      </c>
      <c r="M251" s="256">
        <f t="shared" ca="1" si="21"/>
        <v>2717052.9298512428</v>
      </c>
    </row>
    <row r="252" spans="1:22" ht="16.5" x14ac:dyDescent="0.35">
      <c r="A252" s="48" t="s">
        <v>426</v>
      </c>
      <c r="B252" s="48" t="str">
        <f t="shared" si="12"/>
        <v>PR-TECAB</v>
      </c>
      <c r="C252" s="12">
        <f t="shared" ca="1" si="16"/>
        <v>1.4284408661580013E-2</v>
      </c>
      <c r="D252" s="12">
        <f t="shared" ca="1" si="13"/>
        <v>4.3341635254291688E-2</v>
      </c>
      <c r="E252" s="12">
        <f t="shared" ca="1" si="17"/>
        <v>5.76260439158717E-2</v>
      </c>
      <c r="F252" s="256">
        <f t="shared" ca="1" si="18"/>
        <v>4916276.0728496425</v>
      </c>
      <c r="G252" s="123"/>
      <c r="H252" s="48" t="s">
        <v>427</v>
      </c>
      <c r="I252" s="48" t="str">
        <f t="shared" si="14"/>
        <v>NTS RJ 3</v>
      </c>
      <c r="J252" s="12">
        <f t="shared" ca="1" si="22"/>
        <v>3.4868714341209244E-3</v>
      </c>
      <c r="K252" s="12">
        <f t="shared" ca="1" si="15"/>
        <v>2.0855192073549494E-2</v>
      </c>
      <c r="L252" s="12">
        <f t="shared" ca="1" si="20"/>
        <v>2.434206350767042E-2</v>
      </c>
      <c r="M252" s="256">
        <f t="shared" ca="1" si="21"/>
        <v>720185.1858241224</v>
      </c>
    </row>
    <row r="253" spans="1:22" ht="16.5" x14ac:dyDescent="0.35">
      <c r="A253" s="48" t="s">
        <v>428</v>
      </c>
      <c r="B253" s="48" t="str">
        <f t="shared" si="12"/>
        <v>PR-GUARAREMA (INTERCONEXÃO)</v>
      </c>
      <c r="C253" s="12" t="str">
        <f t="shared" si="16"/>
        <v xml:space="preserve"> </v>
      </c>
      <c r="D253" s="12"/>
      <c r="E253" s="127">
        <f ca="1">E269</f>
        <v>4.8712919841927245E-3</v>
      </c>
      <c r="F253" s="257"/>
      <c r="G253" s="123"/>
      <c r="H253" s="48" t="s">
        <v>429</v>
      </c>
      <c r="I253" s="48" t="str">
        <f t="shared" si="14"/>
        <v>NTS RJ 4</v>
      </c>
      <c r="J253" s="12">
        <f t="shared" ca="1" si="22"/>
        <v>4.2601107611392039E-3</v>
      </c>
      <c r="K253" s="12">
        <f t="shared" ca="1" si="15"/>
        <v>2.0855192073549494E-2</v>
      </c>
      <c r="L253" s="12">
        <f t="shared" ca="1" si="20"/>
        <v>2.5115302834688699E-2</v>
      </c>
      <c r="M253" s="256">
        <f t="shared" ca="1" si="21"/>
        <v>96772.491142796556</v>
      </c>
    </row>
    <row r="254" spans="1:22" ht="16.5" x14ac:dyDescent="0.35">
      <c r="A254" s="48" t="s">
        <v>430</v>
      </c>
      <c r="B254" s="48" t="str">
        <f t="shared" si="12"/>
        <v>PR-REPLAN (INTERCONEXÃO)</v>
      </c>
      <c r="C254" s="12" t="str">
        <f t="shared" si="16"/>
        <v xml:space="preserve"> </v>
      </c>
      <c r="D254" s="12"/>
      <c r="E254" s="127">
        <f ca="1">E268</f>
        <v>5.2193360946976549E-3</v>
      </c>
      <c r="F254" s="258">
        <f ca="1">SUM(F246:F252)</f>
        <v>36236390.869623199</v>
      </c>
      <c r="G254" s="123"/>
      <c r="H254" s="48" t="s">
        <v>431</v>
      </c>
      <c r="I254" s="48" t="str">
        <f t="shared" si="14"/>
        <v>NTS RJ 5</v>
      </c>
      <c r="J254" s="12">
        <f t="shared" ca="1" si="22"/>
        <v>2.9146909287490184E-3</v>
      </c>
      <c r="K254" s="12">
        <f t="shared" ca="1" si="15"/>
        <v>2.0855192073549494E-2</v>
      </c>
      <c r="L254" s="12">
        <f t="shared" ca="1" si="20"/>
        <v>2.3769883002298514E-2</v>
      </c>
      <c r="M254" s="256">
        <f t="shared" ca="1" si="21"/>
        <v>684809.49565932562</v>
      </c>
    </row>
    <row r="255" spans="1:22" ht="16.5" x14ac:dyDescent="0.35">
      <c r="A255" s="48" t="s">
        <v>432</v>
      </c>
      <c r="B255" s="48" t="str">
        <f t="shared" si="12"/>
        <v>PR-TECAB (INTERCONEXÃO)</v>
      </c>
      <c r="C255" s="12" t="str">
        <f t="shared" si="16"/>
        <v xml:space="preserve"> </v>
      </c>
      <c r="D255" s="12"/>
      <c r="E255" s="127">
        <f ca="1">E270</f>
        <v>5.1248976310673587E-3</v>
      </c>
      <c r="G255" s="123"/>
      <c r="H255" s="48" t="s">
        <v>433</v>
      </c>
      <c r="I255" s="48" t="str">
        <f t="shared" si="14"/>
        <v>NTS SP 1</v>
      </c>
      <c r="J255" s="12">
        <f t="shared" ca="1" si="22"/>
        <v>6.5362907316410101E-3</v>
      </c>
      <c r="K255" s="12">
        <f t="shared" ca="1" si="15"/>
        <v>2.0855192073549494E-2</v>
      </c>
      <c r="L255" s="12">
        <f t="shared" ca="1" si="20"/>
        <v>2.7391482805190506E-2</v>
      </c>
      <c r="M255" s="256">
        <f t="shared" ca="1" si="21"/>
        <v>391590.28445905511</v>
      </c>
    </row>
    <row r="256" spans="1:22" ht="16.5" x14ac:dyDescent="0.35">
      <c r="F256" s="131"/>
      <c r="H256" s="48" t="s">
        <v>434</v>
      </c>
      <c r="I256" s="48" t="str">
        <f t="shared" si="14"/>
        <v>NTS SP 2</v>
      </c>
      <c r="J256" s="12">
        <f t="shared" ca="1" si="22"/>
        <v>6.3224565556040365E-3</v>
      </c>
      <c r="K256" s="12">
        <f t="shared" ca="1" si="15"/>
        <v>2.0855192073549494E-2</v>
      </c>
      <c r="L256" s="12">
        <f t="shared" ca="1" si="20"/>
        <v>2.717764862915353E-2</v>
      </c>
      <c r="M256" s="256">
        <f t="shared" ca="1" si="21"/>
        <v>1111205.2329281401</v>
      </c>
    </row>
    <row r="257" spans="1:13" ht="16.5" x14ac:dyDescent="0.35">
      <c r="H257" s="48" t="s">
        <v>435</v>
      </c>
      <c r="I257" s="48" t="str">
        <f t="shared" si="14"/>
        <v>NTS SP 3</v>
      </c>
      <c r="J257" s="12">
        <f t="shared" ca="1" si="22"/>
        <v>8.6280821141338365E-3</v>
      </c>
      <c r="K257" s="12">
        <f t="shared" ca="1" si="15"/>
        <v>2.0855192073549494E-2</v>
      </c>
      <c r="L257" s="12">
        <f t="shared" ca="1" si="20"/>
        <v>2.9483274187683331E-2</v>
      </c>
      <c r="M257" s="256">
        <f t="shared" ca="1" si="21"/>
        <v>2241548.743077179</v>
      </c>
    </row>
    <row r="258" spans="1:13" ht="16.5" x14ac:dyDescent="0.35">
      <c r="H258" s="48" t="s">
        <v>436</v>
      </c>
      <c r="I258" s="48" t="str">
        <f t="shared" si="14"/>
        <v>NTS SP 4</v>
      </c>
      <c r="J258" s="12">
        <f t="shared" ca="1" si="22"/>
        <v>9.3521645346924323E-3</v>
      </c>
      <c r="K258" s="12">
        <f t="shared" ca="1" si="15"/>
        <v>2.0855192073549494E-2</v>
      </c>
      <c r="L258" s="12">
        <f t="shared" ca="1" si="20"/>
        <v>3.0207356608241927E-2</v>
      </c>
      <c r="M258" s="256">
        <f t="shared" ca="1" si="21"/>
        <v>1021213.4083915093</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2.5627826533624123E-3</v>
      </c>
      <c r="M260" s="258">
        <f ca="1">SUM(M246:M258)</f>
        <v>15477737.723543549</v>
      </c>
    </row>
    <row r="261" spans="1:13" ht="16.5" x14ac:dyDescent="0.35">
      <c r="H261" s="48" t="s">
        <v>439</v>
      </c>
      <c r="I261" s="48" t="str">
        <f t="shared" si="14"/>
        <v>PE-TECAB (INTERCONEXÃO)</v>
      </c>
      <c r="J261" s="12" t="str">
        <f t="shared" si="22"/>
        <v xml:space="preserve"> </v>
      </c>
      <c r="K261" s="12"/>
      <c r="L261" s="127">
        <f ca="1">E273</f>
        <v>2.2382069007813423E-3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(GASIG)'!H11</f>
        <v>205</v>
      </c>
      <c r="D268" s="265">
        <f ca="1">'CWD 2027 GASIG (sem desc.)'!D267</f>
        <v>5.2193360946976561E-2</v>
      </c>
      <c r="E268" s="268">
        <f ca="1">D268*(1-$C$263)</f>
        <v>5.2193360946976549E-3</v>
      </c>
      <c r="F268" s="266">
        <f ca="1">C268*E268*'Premissas (GASIG)'!$C$36*'Premissas (GASIG)'!$F$20*1000</f>
        <v>14567.874488296489</v>
      </c>
      <c r="L268" s="128"/>
    </row>
    <row r="269" spans="1:13" ht="18.5" x14ac:dyDescent="0.45">
      <c r="B269" s="247" t="s">
        <v>451</v>
      </c>
      <c r="C269" s="271">
        <f>'Oferta (GASIG)'!H10</f>
        <v>6000</v>
      </c>
      <c r="D269" s="265">
        <f ca="1">'CWD 2027 GASIG (sem desc.)'!D268</f>
        <v>4.8712919841927257E-2</v>
      </c>
      <c r="E269" s="268">
        <f t="shared" ref="E269:E271" ca="1" si="23">D269*(1-$C$263)</f>
        <v>4.8712919841927245E-3</v>
      </c>
      <c r="F269" s="266">
        <f ca="1">C269*E269*'Premissas (GASIG)'!$C$36*'Premissas (GASIG)'!$F$20*1000</f>
        <v>397944.47416681261</v>
      </c>
      <c r="G269" s="129"/>
      <c r="K269" s="129"/>
      <c r="L269" s="128"/>
    </row>
    <row r="270" spans="1:13" ht="18.5" x14ac:dyDescent="0.45">
      <c r="B270" s="248" t="s">
        <v>452</v>
      </c>
      <c r="C270" s="271">
        <f>'Oferta (GASIG)'!H12</f>
        <v>200</v>
      </c>
      <c r="D270" s="265">
        <f ca="1">'CWD 2027 GASIG (sem desc.)'!D269</f>
        <v>5.12489763106736E-2</v>
      </c>
      <c r="E270" s="268">
        <f t="shared" ca="1" si="23"/>
        <v>5.1248976310673587E-3</v>
      </c>
      <c r="F270" s="266">
        <f ca="1">C270*E270*'Premissas (GASIG)'!$C$36*'Premissas (GASIG)'!$F$20*1000</f>
        <v>13955.398961724792</v>
      </c>
      <c r="K270" s="129"/>
      <c r="L270" s="128"/>
    </row>
    <row r="271" spans="1:13" ht="18.5" x14ac:dyDescent="0.45">
      <c r="B271" s="248" t="s">
        <v>243</v>
      </c>
      <c r="C271" s="271">
        <f>'Oferta (GASIG)'!H6</f>
        <v>305</v>
      </c>
      <c r="D271" s="265">
        <f ca="1">'CWD 2027 GASIG (sem desc.)'!D270</f>
        <v>5.2193360946976561E-2</v>
      </c>
      <c r="E271" s="268">
        <f t="shared" ca="1" si="23"/>
        <v>5.2193360946976549E-3</v>
      </c>
      <c r="F271" s="266">
        <f ca="1">C271*E271*'Premissas (GASIG)'!$C$36*'Premissas (GASIG)'!$F$20*1000</f>
        <v>21674.154726489898</v>
      </c>
      <c r="K271" s="129"/>
      <c r="L271" s="128"/>
    </row>
    <row r="272" spans="1:13" ht="18.5" x14ac:dyDescent="0.45">
      <c r="B272" s="246" t="s">
        <v>453</v>
      </c>
      <c r="C272" s="271">
        <f>'Demanda (GASIG)'!H17</f>
        <v>6824</v>
      </c>
      <c r="D272" s="265">
        <f ca="1">'CWD 2027 GASIG (sem desc.)'!D271</f>
        <v>2.562782653362413E-2</v>
      </c>
      <c r="E272" s="268">
        <f ca="1">D272*(1-$C$263)</f>
        <v>2.5627826533624123E-3</v>
      </c>
      <c r="F272" s="266">
        <f ca="1">C272*E272*'Premissas (GASIG)'!$C$36*'Premissas (GASIG)'!$F$20*1000</f>
        <v>238110.12341853903</v>
      </c>
      <c r="K272" s="129"/>
      <c r="L272" s="128"/>
    </row>
    <row r="273" spans="2:13" ht="18.5" x14ac:dyDescent="0.45">
      <c r="B273" s="248" t="s">
        <v>454</v>
      </c>
      <c r="C273" s="271">
        <f>'Demanda (GASIG)'!H18</f>
        <v>200</v>
      </c>
      <c r="D273" s="265">
        <f ca="1">'CWD 2027 GASIG (sem desc.)'!D272</f>
        <v>2.2382069007813428E-2</v>
      </c>
      <c r="E273" s="268">
        <f ca="1">D273*(1-$C$263)</f>
        <v>2.2382069007813423E-3</v>
      </c>
      <c r="F273" s="266">
        <f ca="1">C273*E273*'Premissas (GASIG)'!$C$36*'Premissas (GASIG)'!$F$20*1000</f>
        <v>6094.7695949946028</v>
      </c>
      <c r="K273" s="129"/>
      <c r="L273" s="128"/>
    </row>
    <row r="274" spans="2:13" ht="19" thickBot="1" x14ac:dyDescent="0.5">
      <c r="B274" s="248"/>
      <c r="C274" s="269"/>
      <c r="D274" s="269"/>
      <c r="E274" s="269"/>
      <c r="F274" s="267">
        <f ca="1">SUM(F268:F273)</f>
        <v>692346.79535685747</v>
      </c>
      <c r="K274" s="129"/>
      <c r="L274" s="128"/>
    </row>
    <row r="275" spans="2:13" ht="15" thickTop="1" x14ac:dyDescent="0.35">
      <c r="K275" s="129"/>
      <c r="L275" s="128"/>
    </row>
    <row r="276" spans="2:13" x14ac:dyDescent="0.35">
      <c r="E276" t="s">
        <v>110</v>
      </c>
      <c r="F276" s="235">
        <f ca="1">F254+M260+F274</f>
        <v>52406475.388523601</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AC3-88F0-4D5D-866E-A3C5C25741D2}">
  <sheetPr>
    <tabColor theme="5"/>
  </sheetPr>
  <dimension ref="A1:V39"/>
  <sheetViews>
    <sheetView showGridLines="0" zoomScale="110" zoomScaleNormal="110" workbookViewId="0">
      <selection activeCell="D38" sqref="D3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2027 GASIG (com desc.)'!A246</f>
        <v>TEN1</v>
      </c>
      <c r="B2" s="320" t="str">
        <f>'CWD 2027 GASIG (com desc.)'!B246</f>
        <v>PR-CARAGUATATUBA</v>
      </c>
      <c r="C2" s="321">
        <f>'CWD 2027 GASIG (sem desc.)'!H24</f>
        <v>128351389.123045</v>
      </c>
      <c r="D2" s="322">
        <f ca="1">'CWD 2027 GASIG (com desc.)'!E246</f>
        <v>5.8567993750821043E-2</v>
      </c>
      <c r="E2" s="323">
        <f t="shared" ref="E2:E11" ca="1" si="0">IFERROR(C2*D2," ")</f>
        <v>7517283.3560676994</v>
      </c>
      <c r="F2" s="363"/>
      <c r="L2" s="68" t="s">
        <v>58</v>
      </c>
      <c r="M2" s="67">
        <f ca="1">IFERROR($D$2+$C34," ")</f>
        <v>8.9434966729296461E-2</v>
      </c>
      <c r="N2" s="67">
        <f ca="1">IFERROR($D$3+$C34," ")</f>
        <v>8.2549163809786608E-2</v>
      </c>
      <c r="O2" s="67">
        <f ca="1">IFERROR($D$4+$C34," ")</f>
        <v>8.4068149641800538E-2</v>
      </c>
      <c r="P2" s="67">
        <f ca="1">IFERROR($D$5+$C34," ")</f>
        <v>3.6086309073173076E-2</v>
      </c>
      <c r="Q2" s="67" t="str">
        <f ca="1">IFERROR($D$6+$C34," ")</f>
        <v xml:space="preserve"> </v>
      </c>
      <c r="R2" s="67" t="str">
        <f ca="1">IFERROR($D$7+$C34," ")</f>
        <v xml:space="preserve"> </v>
      </c>
      <c r="S2" s="67">
        <f ca="1">IFERROR($D$8+$C34," ")</f>
        <v>8.8493016894347118E-2</v>
      </c>
      <c r="T2" s="67">
        <f ca="1">IFERROR($D$9+$C34," ")</f>
        <v>3.5738264962668145E-2</v>
      </c>
      <c r="U2" s="67">
        <f ca="1">IFERROR($D$10+$C34," ")</f>
        <v>3.6086309073173076E-2</v>
      </c>
      <c r="V2" s="67">
        <f ca="1">IFERROR($D$11+$C34," ")</f>
        <v>3.599187060954278E-2</v>
      </c>
    </row>
    <row r="3" spans="1:22" s="62" customFormat="1" x14ac:dyDescent="0.35">
      <c r="A3" s="292" t="str">
        <f>'CWD 2027 GASIG (com desc.)'!A247</f>
        <v>TEN2</v>
      </c>
      <c r="B3" s="295" t="str">
        <f>'CWD 2027 GASIG (com desc.)'!B247</f>
        <v>PR-GNLBGB</v>
      </c>
      <c r="C3" s="296">
        <f>'CWD 2027 GASIG (sem desc.)'!H25</f>
        <v>272305906.69999999</v>
      </c>
      <c r="D3" s="297">
        <f ca="1">'CWD 2027 GASIG (com desc.)'!E247</f>
        <v>5.1682190831311189E-2</v>
      </c>
      <c r="E3" s="298">
        <f t="shared" ca="1" si="0"/>
        <v>14073365.83456262</v>
      </c>
      <c r="F3" s="363"/>
      <c r="L3" s="68" t="s">
        <v>69</v>
      </c>
      <c r="M3" s="67">
        <f t="shared" ref="M3:M7" ca="1" si="1">IFERROR($D$2+$C35," ")</f>
        <v>8.2474820387883202E-2</v>
      </c>
      <c r="N3" s="67">
        <f t="shared" ref="N3:N7" ca="1" si="2">IFERROR($D$3+$C35," ")</f>
        <v>7.5589017468373348E-2</v>
      </c>
      <c r="O3" s="67">
        <f t="shared" ref="O3:O7" ca="1" si="3">IFERROR($D$4+$C35," ")</f>
        <v>7.7108003300387279E-2</v>
      </c>
      <c r="P3" s="67">
        <f t="shared" ref="P3:P7" ca="1" si="4">IFERROR($D$5+$C35," ")</f>
        <v>2.9126162731759817E-2</v>
      </c>
      <c r="Q3" s="67" t="str">
        <f t="shared" ref="Q3:Q7" ca="1" si="5">IFERROR($D$6+$C35," ")</f>
        <v xml:space="preserve"> </v>
      </c>
      <c r="R3" s="67" t="str">
        <f t="shared" ref="R3:R7" ca="1" si="6">IFERROR($D$7+$C35," ")</f>
        <v xml:space="preserve"> </v>
      </c>
      <c r="S3" s="67">
        <f t="shared" ref="S3:S7" ca="1" si="7">IFERROR($D$8+$C35," ")</f>
        <v>8.1532870552933859E-2</v>
      </c>
      <c r="T3" s="67">
        <f t="shared" ref="T3:T7" ca="1" si="8">IFERROR($D$9+$C35," ")</f>
        <v>2.8778118621254886E-2</v>
      </c>
      <c r="U3" s="67">
        <f t="shared" ref="U3:U7" ca="1" si="9">IFERROR($D$10+$C35," ")</f>
        <v>2.9126162731759817E-2</v>
      </c>
      <c r="V3" s="67">
        <f t="shared" ref="V3:V7" ca="1" si="10">IFERROR($D$11+$C35," ")</f>
        <v>2.903172426812952E-2</v>
      </c>
    </row>
    <row r="4" spans="1:22" x14ac:dyDescent="0.35">
      <c r="A4" s="292" t="str">
        <f>'CWD 2027 GASIG (com desc.)'!A248</f>
        <v>TEN3</v>
      </c>
      <c r="B4" s="295" t="str">
        <f>'CWD 2027 GASIG (com desc.)'!B248</f>
        <v>PR-ITABORAÍ</v>
      </c>
      <c r="C4" s="296">
        <f>'CWD 2027 GASIG (sem desc.)'!H26</f>
        <v>182880646.93972</v>
      </c>
      <c r="D4" s="297">
        <f ca="1">'CWD 2027 GASIG (com desc.)'!E248</f>
        <v>5.3201176663325113E-2</v>
      </c>
      <c r="E4" s="296">
        <f t="shared" ca="1" si="0"/>
        <v>9729465.6061432306</v>
      </c>
      <c r="F4" s="363"/>
      <c r="L4" s="68" t="s">
        <v>258</v>
      </c>
      <c r="M4" s="67">
        <f t="shared" ca="1" si="1"/>
        <v>8.7447119600745679E-2</v>
      </c>
      <c r="N4" s="67">
        <f t="shared" ca="1" si="2"/>
        <v>8.0561316681235826E-2</v>
      </c>
      <c r="O4" s="67">
        <f t="shared" ca="1" si="3"/>
        <v>8.2080302513249742E-2</v>
      </c>
      <c r="P4" s="67">
        <f t="shared" ca="1" si="4"/>
        <v>3.4098461944622287E-2</v>
      </c>
      <c r="Q4" s="67" t="str">
        <f t="shared" ca="1" si="5"/>
        <v xml:space="preserve"> </v>
      </c>
      <c r="R4" s="67" t="str">
        <f t="shared" ca="1" si="6"/>
        <v xml:space="preserve"> </v>
      </c>
      <c r="S4" s="67">
        <f t="shared" ca="1" si="7"/>
        <v>8.6505169765796336E-2</v>
      </c>
      <c r="T4" s="67">
        <f t="shared" ca="1" si="8"/>
        <v>3.3750417834117356E-2</v>
      </c>
      <c r="U4" s="67">
        <f t="shared" ca="1" si="9"/>
        <v>3.4098461944622287E-2</v>
      </c>
      <c r="V4" s="67">
        <f t="shared" ca="1" si="10"/>
        <v>3.4004023480991991E-2</v>
      </c>
    </row>
    <row r="5" spans="1:22" ht="24" x14ac:dyDescent="0.35">
      <c r="A5" s="292" t="str">
        <f>'CWD 2027 GASIG (com desc.)'!A249</f>
        <v>TEN4</v>
      </c>
      <c r="B5" s="295" t="str">
        <f>'CWD 2027 GASIG (com desc.)'!B249</f>
        <v>PR-GASPAJ (INTERCONEXÃO)</v>
      </c>
      <c r="C5" s="296">
        <f>'CWD 2027 GASIG (sem desc.)'!H27</f>
        <v>4152665.0771750002</v>
      </c>
      <c r="D5" s="297">
        <f ca="1">'CWD 2027 GASIG (com desc.)'!E249</f>
        <v>5.2193360946976549E-3</v>
      </c>
      <c r="E5" s="296">
        <f t="shared" ca="1" si="0"/>
        <v>21674.154726489902</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2027 GASIG (com desc.)'!A250</f>
        <v>TEN5</v>
      </c>
      <c r="B6" s="295" t="str">
        <f>'CWD 2027 GASIG (com desc.)'!B250</f>
        <v>PR-REDUC</v>
      </c>
      <c r="C6" s="296">
        <f>'CWD 2027 GASIG (sem desc.)'!H28</f>
        <v>0</v>
      </c>
      <c r="D6" s="297" t="str">
        <f>'CWD 2027 GASIG (com desc.)'!E250</f>
        <v xml:space="preserve"> </v>
      </c>
      <c r="E6" s="296" t="str">
        <f t="shared" si="0"/>
        <v xml:space="preserve"> </v>
      </c>
      <c r="F6" s="363"/>
      <c r="L6" s="132" t="str">
        <f t="shared" ref="L6:L7" si="11">B29</f>
        <v>PE-REPLAN (INTERCONEXÃO)</v>
      </c>
      <c r="M6" s="67">
        <f t="shared" ca="1" si="1"/>
        <v>6.1130776404183455E-2</v>
      </c>
      <c r="N6" s="67">
        <f t="shared" ca="1" si="2"/>
        <v>5.4244973484673602E-2</v>
      </c>
      <c r="O6" s="67">
        <f t="shared" ca="1" si="3"/>
        <v>5.5763959316687525E-2</v>
      </c>
      <c r="P6" s="67">
        <f t="shared" ca="1" si="4"/>
        <v>7.7821187480600672E-3</v>
      </c>
      <c r="Q6" s="67" t="str">
        <f t="shared" ca="1" si="5"/>
        <v xml:space="preserve"> </v>
      </c>
      <c r="R6" s="67" t="str">
        <f t="shared" ca="1" si="6"/>
        <v xml:space="preserve"> </v>
      </c>
      <c r="S6" s="67">
        <f t="shared" ca="1" si="7"/>
        <v>6.0188826569234112E-2</v>
      </c>
      <c r="T6" s="67">
        <f t="shared" ca="1" si="8"/>
        <v>7.4340746375551369E-3</v>
      </c>
      <c r="U6" s="67">
        <f t="shared" ca="1" si="9"/>
        <v>7.7821187480600672E-3</v>
      </c>
      <c r="V6" s="67">
        <f t="shared" ca="1" si="10"/>
        <v>7.6876802844297711E-3</v>
      </c>
    </row>
    <row r="7" spans="1:22" x14ac:dyDescent="0.35">
      <c r="A7" s="292" t="str">
        <f>'CWD 2027 GASIG (com desc.)'!A251</f>
        <v>TEN6</v>
      </c>
      <c r="B7" s="295" t="str">
        <f>'CWD 2027 GASIG (com desc.)'!B251</f>
        <v>PR-RPBC</v>
      </c>
      <c r="C7" s="296">
        <f>'CWD 2027 GASIG (sem desc.)'!H29</f>
        <v>0</v>
      </c>
      <c r="D7" s="297" t="str">
        <f>'CWD 2027 GASIG (com desc.)'!E251</f>
        <v xml:space="preserve"> </v>
      </c>
      <c r="E7" s="296" t="str">
        <f t="shared" si="0"/>
        <v xml:space="preserve"> </v>
      </c>
      <c r="F7" s="363"/>
      <c r="L7" s="132" t="str">
        <f t="shared" si="11"/>
        <v>PE-TECAB (INTERCONEXÃO)</v>
      </c>
      <c r="M7" s="67">
        <f t="shared" ca="1" si="1"/>
        <v>6.0806200651602388E-2</v>
      </c>
      <c r="N7" s="67">
        <f t="shared" ca="1" si="2"/>
        <v>5.3920397732092534E-2</v>
      </c>
      <c r="O7" s="67">
        <f t="shared" ca="1" si="3"/>
        <v>5.5439383564106458E-2</v>
      </c>
      <c r="P7" s="67">
        <f t="shared" ca="1" si="4"/>
        <v>7.4575429954789971E-3</v>
      </c>
      <c r="Q7" s="67" t="str">
        <f t="shared" ca="1" si="5"/>
        <v xml:space="preserve"> </v>
      </c>
      <c r="R7" s="67" t="str">
        <f t="shared" ca="1" si="6"/>
        <v xml:space="preserve"> </v>
      </c>
      <c r="S7" s="67">
        <f t="shared" ca="1" si="7"/>
        <v>5.9864250816653045E-2</v>
      </c>
      <c r="T7" s="67">
        <f t="shared" ca="1" si="8"/>
        <v>7.1094988849740668E-3</v>
      </c>
      <c r="U7" s="67">
        <f t="shared" ca="1" si="9"/>
        <v>7.4575429954789971E-3</v>
      </c>
      <c r="V7" s="67">
        <f t="shared" ca="1" si="10"/>
        <v>7.363104531848701E-3</v>
      </c>
    </row>
    <row r="8" spans="1:22" x14ac:dyDescent="0.35">
      <c r="A8" s="292" t="str">
        <f>'CWD 2027 GASIG (com desc.)'!A252</f>
        <v>TEN7</v>
      </c>
      <c r="B8" s="295" t="str">
        <f>'CWD 2027 GASIG (com desc.)'!B252</f>
        <v>PR-TECAB</v>
      </c>
      <c r="C8" s="296">
        <f>'CWD 2027 GASIG (sem desc.)'!H30</f>
        <v>85313440.569109991</v>
      </c>
      <c r="D8" s="297">
        <f ca="1">'CWD 2027 GASIG (com desc.)'!E252</f>
        <v>5.76260439158717E-2</v>
      </c>
      <c r="E8" s="296">
        <f t="shared" ca="1" si="0"/>
        <v>4916276.0728496425</v>
      </c>
      <c r="F8" s="363"/>
      <c r="L8" s="61"/>
    </row>
    <row r="9" spans="1:22" x14ac:dyDescent="0.35">
      <c r="A9" s="292" t="str">
        <f>'CWD 2027 GASIG (com desc.)'!A253</f>
        <v>TEN8</v>
      </c>
      <c r="B9" s="295" t="str">
        <f>'CWD 2027 GASIG (com desc.)'!B253</f>
        <v>PR-GUARAREMA (INTERCONEXÃO)</v>
      </c>
      <c r="C9" s="296">
        <f>'CWD 2027 GASIG (sem desc.)'!H31</f>
        <v>81691772.010000005</v>
      </c>
      <c r="D9" s="297">
        <f ca="1">'CWD 2027 GASIG (com desc.)'!E253</f>
        <v>4.8712919841927245E-3</v>
      </c>
      <c r="E9" s="296">
        <f t="shared" ca="1" si="0"/>
        <v>397944.47416681261</v>
      </c>
      <c r="F9" s="363"/>
      <c r="L9" s="61"/>
    </row>
    <row r="10" spans="1:22" x14ac:dyDescent="0.35">
      <c r="A10" s="292" t="str">
        <f>'CWD 2027 GASIG (com desc.)'!A254</f>
        <v>TEN9</v>
      </c>
      <c r="B10" s="295" t="str">
        <f>'CWD 2027 GASIG (com desc.)'!B254</f>
        <v>PR-REPLAN (INTERCONEXÃO)</v>
      </c>
      <c r="C10" s="296">
        <f>'CWD 2027 GASIG (sem desc.)'!H32</f>
        <v>2791135.5436749998</v>
      </c>
      <c r="D10" s="297">
        <f ca="1">'CWD 2027 GASIG (com desc.)'!E254</f>
        <v>5.2193360946976549E-3</v>
      </c>
      <c r="E10" s="296">
        <f t="shared" ca="1" si="0"/>
        <v>14567.874488296489</v>
      </c>
      <c r="F10" s="363"/>
      <c r="L10" s="61"/>
    </row>
    <row r="11" spans="1:22" x14ac:dyDescent="0.35">
      <c r="A11" s="292" t="str">
        <f>'CWD 2027 GASIG (com desc.)'!A255</f>
        <v>TEN10</v>
      </c>
      <c r="B11" s="295" t="str">
        <f>'CWD 2027 GASIG (com desc.)'!B255</f>
        <v>PR-TECAB (INTERCONEXÃO)</v>
      </c>
      <c r="C11" s="296">
        <f>'CWD 2027 GASIG (sem desc.)'!H33</f>
        <v>2723059.0670000003</v>
      </c>
      <c r="D11" s="297">
        <f ca="1">'CWD 2027 GASIG (com desc.)'!E255</f>
        <v>5.1248976310673587E-3</v>
      </c>
      <c r="E11" s="296">
        <f t="shared" ca="1" si="0"/>
        <v>13955.398961724793</v>
      </c>
      <c r="F11" s="363"/>
      <c r="L11" s="61"/>
    </row>
    <row r="12" spans="1:22" x14ac:dyDescent="0.35">
      <c r="E12" s="65">
        <f ca="1">SUM(E2:E11)</f>
        <v>36684532.771966517</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2027 GASIG (com desc.)'!H246</f>
        <v>TEX1</v>
      </c>
      <c r="B15" s="296" t="str">
        <f>'CWD 2027 GASIG (com desc.)'!I246</f>
        <v>NTS MG 1</v>
      </c>
      <c r="C15" s="296">
        <f>'CWD 2027 GASIG (sem desc.)'!H41</f>
        <v>8618481.9470549989</v>
      </c>
      <c r="D15" s="296"/>
      <c r="E15" s="299">
        <f ca="1">'CWD 2027 GASIG (com desc.)'!L246</f>
        <v>2.7520688586684584E-2</v>
      </c>
      <c r="F15" s="305">
        <f ca="1">IFERROR(C15*E15," ")</f>
        <v>237186.55775486364</v>
      </c>
      <c r="G15" s="308"/>
      <c r="H15" s="314" t="str">
        <f>IFERROR(G15/D15," ")</f>
        <v xml:space="preserve"> </v>
      </c>
      <c r="I15" s="66"/>
      <c r="J15" s="66"/>
      <c r="L15" s="59"/>
    </row>
    <row r="16" spans="1:22" x14ac:dyDescent="0.35">
      <c r="A16" s="296" t="str">
        <f>'CWD 2027 GASIG (com desc.)'!H247</f>
        <v>TEX2</v>
      </c>
      <c r="B16" s="296" t="str">
        <f>'CWD 2027 GASIG (com desc.)'!I247</f>
        <v>NTS MG 2</v>
      </c>
      <c r="C16" s="296">
        <f>'CWD 2027 GASIG (sem desc.)'!H42</f>
        <v>14949594.277829999</v>
      </c>
      <c r="D16" s="296"/>
      <c r="E16" s="299">
        <f ca="1">'CWD 2027 GASIG (com desc.)'!L247</f>
        <v>2.9507958990226742E-2</v>
      </c>
      <c r="F16" s="305">
        <f t="shared" ref="F16:F30" ca="1" si="12">IFERROR(C16*E16," ")</f>
        <v>441132.01487073599</v>
      </c>
      <c r="G16" s="317"/>
      <c r="H16" s="315" t="str">
        <f t="shared" ref="H16:H30" si="13">IFERROR(G16/D16," ")</f>
        <v xml:space="preserve"> </v>
      </c>
      <c r="I16" s="66"/>
      <c r="J16" s="66"/>
      <c r="L16" s="59"/>
    </row>
    <row r="17" spans="1:12" x14ac:dyDescent="0.35">
      <c r="A17" s="296" t="str">
        <f>'CWD 2027 GASIG (com desc.)'!H248</f>
        <v>TEX3</v>
      </c>
      <c r="B17" s="296" t="str">
        <f>'CWD 2027 GASIG (com desc.)'!I248</f>
        <v>NTS MG 3</v>
      </c>
      <c r="C17" s="296">
        <f>'CWD 2027 GASIG (sem desc.)'!H43</f>
        <v>38830822.295419998</v>
      </c>
      <c r="D17" s="296"/>
      <c r="E17" s="299">
        <f ca="1">'CWD 2027 GASIG (com desc.)'!L248</f>
        <v>3.1904308814082266E-2</v>
      </c>
      <c r="F17" s="305">
        <f ca="1">IFERROR(C17*E17," ")</f>
        <v>1238870.5460178305</v>
      </c>
      <c r="G17" s="310"/>
      <c r="H17" s="316" t="str">
        <f t="shared" si="13"/>
        <v xml:space="preserve"> </v>
      </c>
      <c r="I17" s="66"/>
      <c r="J17" s="66"/>
      <c r="L17" s="59"/>
    </row>
    <row r="18" spans="1:12" x14ac:dyDescent="0.35">
      <c r="A18" s="301" t="str">
        <f>'CWD 2027 GASIG (com desc.)'!H249</f>
        <v>TEX4</v>
      </c>
      <c r="B18" s="301" t="str">
        <f>'CWD 2027 GASIG (com desc.)'!I249</f>
        <v>NTS MG 4</v>
      </c>
      <c r="C18" s="301">
        <f>'CWD 2027 GASIG (sem desc.)'!H44</f>
        <v>4152665.0771750002</v>
      </c>
      <c r="D18" s="301">
        <f>SUM(C15:C18)</f>
        <v>66551563.597479992</v>
      </c>
      <c r="E18" s="302">
        <f ca="1">'CWD 2027 GASIG (com desc.)'!L249</f>
        <v>3.3004394538966968E-2</v>
      </c>
      <c r="F18" s="301">
        <f ca="1">IFERROR(C18*E18," ")</f>
        <v>137056.19659527342</v>
      </c>
      <c r="G18" s="313">
        <f ca="1">SUM(F15:F18)</f>
        <v>2054245.3152387035</v>
      </c>
      <c r="H18" s="311">
        <f t="shared" ca="1" si="13"/>
        <v>3.0866972978475422E-2</v>
      </c>
      <c r="I18" s="363"/>
      <c r="J18"/>
      <c r="L18" s="59"/>
    </row>
    <row r="19" spans="1:12" x14ac:dyDescent="0.35">
      <c r="A19" s="296" t="str">
        <f>'CWD 2027 GASIG (com desc.)'!H250</f>
        <v>TEX5</v>
      </c>
      <c r="B19" s="296" t="str">
        <f>'CWD 2027 GASIG (com desc.)'!I250</f>
        <v>NTS RJ 1</v>
      </c>
      <c r="C19" s="296">
        <f>'CWD 2027 GASIG (sem desc.)'!H45</f>
        <v>185494783.64403999</v>
      </c>
      <c r="D19" s="296"/>
      <c r="E19" s="299">
        <f ca="1">'CWD 2027 GASIG (com desc.)'!L250</f>
        <v>2.393121008453817E-2</v>
      </c>
      <c r="F19" s="305">
        <f t="shared" ca="1" si="12"/>
        <v>4439114.6369714756</v>
      </c>
      <c r="G19" s="308"/>
      <c r="H19" s="314" t="str">
        <f t="shared" si="13"/>
        <v xml:space="preserve"> </v>
      </c>
      <c r="I19"/>
      <c r="J19"/>
      <c r="L19" s="59"/>
    </row>
    <row r="20" spans="1:12" x14ac:dyDescent="0.35">
      <c r="A20" s="296" t="str">
        <f>'CWD 2027 GASIG (com desc.)'!H251</f>
        <v>TEX6</v>
      </c>
      <c r="B20" s="296" t="str">
        <f>'CWD 2027 GASIG (com desc.)'!I251</f>
        <v>NTS RJ 2</v>
      </c>
      <c r="C20" s="296">
        <f>'CWD 2027 GASIG (sem desc.)'!H46</f>
        <v>114409326.70000499</v>
      </c>
      <c r="D20" s="296"/>
      <c r="E20" s="299">
        <f ca="1">'CWD 2027 GASIG (com desc.)'!L251</f>
        <v>2.3748526525076773E-2</v>
      </c>
      <c r="F20" s="305">
        <f t="shared" ca="1" si="12"/>
        <v>2717052.9298512428</v>
      </c>
      <c r="G20" s="309"/>
      <c r="H20" s="315" t="str">
        <f t="shared" si="13"/>
        <v xml:space="preserve"> </v>
      </c>
      <c r="I20"/>
      <c r="J20"/>
      <c r="L20" s="59"/>
    </row>
    <row r="21" spans="1:12" x14ac:dyDescent="0.35">
      <c r="A21" s="296" t="str">
        <f>'CWD 2027 GASIG (com desc.)'!H252</f>
        <v>TEX7</v>
      </c>
      <c r="B21" s="296" t="str">
        <f>'CWD 2027 GASIG (com desc.)'!I252</f>
        <v>NTS RJ 3</v>
      </c>
      <c r="C21" s="296">
        <f>'CWD 2027 GASIG (sem desc.)'!H47</f>
        <v>29586036.762954999</v>
      </c>
      <c r="D21" s="304"/>
      <c r="E21" s="299">
        <f ca="1">'CWD 2027 GASIG (com desc.)'!L252</f>
        <v>2.434206350767042E-2</v>
      </c>
      <c r="F21" s="305">
        <f t="shared" ca="1" si="12"/>
        <v>720185.1858241224</v>
      </c>
      <c r="G21" s="312"/>
      <c r="H21" s="315" t="str">
        <f t="shared" si="13"/>
        <v xml:space="preserve"> </v>
      </c>
      <c r="I21"/>
      <c r="J21"/>
      <c r="L21" s="59"/>
    </row>
    <row r="22" spans="1:12" x14ac:dyDescent="0.35">
      <c r="A22" s="296" t="str">
        <f>'CWD 2027 GASIG (com desc.)'!H253</f>
        <v>TEX8</v>
      </c>
      <c r="B22" s="296" t="str">
        <f>'CWD 2027 GASIG (com desc.)'!I253</f>
        <v>NTS RJ 4</v>
      </c>
      <c r="C22" s="296">
        <f>'CWD 2027 GASIG (sem desc.)'!H48</f>
        <v>3853128.5798049998</v>
      </c>
      <c r="D22" s="296"/>
      <c r="E22" s="299">
        <f ca="1">'CWD 2027 GASIG (com desc.)'!L253</f>
        <v>2.5115302834688699E-2</v>
      </c>
      <c r="F22" s="305">
        <f t="shared" ca="1" si="12"/>
        <v>96772.491142796556</v>
      </c>
      <c r="G22" s="310"/>
      <c r="H22" s="316" t="str">
        <f t="shared" si="13"/>
        <v xml:space="preserve"> </v>
      </c>
      <c r="I22"/>
      <c r="J22"/>
      <c r="L22" s="59"/>
    </row>
    <row r="23" spans="1:12" x14ac:dyDescent="0.35">
      <c r="A23" s="301" t="str">
        <f>'CWD 2027 GASIG (com desc.)'!H254</f>
        <v>TEX9</v>
      </c>
      <c r="B23" s="301" t="str">
        <f>'CWD 2027 GASIG (com desc.)'!I254</f>
        <v>NTS RJ 5</v>
      </c>
      <c r="C23" s="301">
        <f>'CWD 2027 GASIG (sem desc.)'!H49</f>
        <v>28809964.928859998</v>
      </c>
      <c r="D23" s="301">
        <f>SUM(C19:C23)</f>
        <v>362153240.61566502</v>
      </c>
      <c r="E23" s="302">
        <f ca="1">'CWD 2027 GASIG (com desc.)'!L254</f>
        <v>2.3769883002298514E-2</v>
      </c>
      <c r="F23" s="301">
        <f t="shared" ca="1" si="12"/>
        <v>684809.49565932562</v>
      </c>
      <c r="G23" s="313">
        <f ca="1">SUM(F19:F23)</f>
        <v>8657934.7394489627</v>
      </c>
      <c r="H23" s="311">
        <f t="shared" ca="1" si="13"/>
        <v>2.3906826637062163E-2</v>
      </c>
      <c r="I23" s="363"/>
      <c r="J23"/>
    </row>
    <row r="24" spans="1:12" x14ac:dyDescent="0.35">
      <c r="A24" s="296" t="str">
        <f>'CWD 2027 GASIG (com desc.)'!H255</f>
        <v>TEX10</v>
      </c>
      <c r="B24" s="296" t="str">
        <f>'CWD 2027 GASIG (com desc.)'!I255</f>
        <v>NTS SP 1</v>
      </c>
      <c r="C24" s="296">
        <f>'CWD 2027 GASIG (sem desc.)'!H50</f>
        <v>14296060.101749998</v>
      </c>
      <c r="D24" s="296"/>
      <c r="E24" s="299">
        <f ca="1">'CWD 2027 GASIG (com desc.)'!L255</f>
        <v>2.7391482805190506E-2</v>
      </c>
      <c r="F24" s="305">
        <f t="shared" ca="1" si="12"/>
        <v>391590.28445905511</v>
      </c>
      <c r="G24" s="308"/>
      <c r="H24" s="314" t="str">
        <f t="shared" si="13"/>
        <v xml:space="preserve"> </v>
      </c>
      <c r="I24"/>
      <c r="J24"/>
    </row>
    <row r="25" spans="1:12" x14ac:dyDescent="0.35">
      <c r="A25" s="296" t="str">
        <f>'CWD 2027 GASIG (com desc.)'!H256</f>
        <v>TEX11</v>
      </c>
      <c r="B25" s="296" t="str">
        <f>'CWD 2027 GASIG (com desc.)'!I256</f>
        <v>NTS SP 2</v>
      </c>
      <c r="C25" s="296">
        <f>'CWD 2027 GASIG (sem desc.)'!H51</f>
        <v>40886731.891005002</v>
      </c>
      <c r="D25" s="296"/>
      <c r="E25" s="299">
        <f ca="1">'CWD 2027 GASIG (com desc.)'!L256</f>
        <v>2.717764862915353E-2</v>
      </c>
      <c r="F25" s="305">
        <f t="shared" ca="1" si="12"/>
        <v>1111205.2329281401</v>
      </c>
      <c r="G25" s="309"/>
      <c r="H25" s="315" t="str">
        <f t="shared" si="13"/>
        <v xml:space="preserve"> </v>
      </c>
      <c r="I25"/>
      <c r="J25"/>
    </row>
    <row r="26" spans="1:12" x14ac:dyDescent="0.35">
      <c r="A26" s="296" t="str">
        <f>'CWD 2027 GASIG (com desc.)'!H257</f>
        <v>TEX12</v>
      </c>
      <c r="B26" s="296" t="str">
        <f>'CWD 2027 GASIG (com desc.)'!I257</f>
        <v>NTS SP 3</v>
      </c>
      <c r="C26" s="296">
        <f>'CWD 2027 GASIG (sem desc.)'!H52</f>
        <v>76027809.150639996</v>
      </c>
      <c r="D26" s="304"/>
      <c r="E26" s="299">
        <f ca="1">'CWD 2027 GASIG (com desc.)'!L257</f>
        <v>2.9483274187683331E-2</v>
      </c>
      <c r="F26" s="305">
        <f t="shared" ca="1" si="12"/>
        <v>2241548.743077179</v>
      </c>
      <c r="G26" s="318"/>
      <c r="H26" s="316" t="str">
        <f t="shared" si="13"/>
        <v xml:space="preserve"> </v>
      </c>
      <c r="I26"/>
      <c r="J26"/>
    </row>
    <row r="27" spans="1:12" x14ac:dyDescent="0.35">
      <c r="A27" s="301" t="str">
        <f>'CWD 2027 GASIG (com desc.)'!H258</f>
        <v>TEX13</v>
      </c>
      <c r="B27" s="301" t="str">
        <f>'CWD 2027 GASIG (com desc.)'!I258</f>
        <v>NTS SP 4</v>
      </c>
      <c r="C27" s="301">
        <f>'CWD 2027 GASIG (sem desc.)'!H53</f>
        <v>33806778.316804998</v>
      </c>
      <c r="D27" s="301">
        <f>SUM(C24:C27)</f>
        <v>165017379.46019998</v>
      </c>
      <c r="E27" s="302">
        <f ca="1">'CWD 2027 GASIG (com desc.)'!L258</f>
        <v>3.0207356608241927E-2</v>
      </c>
      <c r="F27" s="301">
        <f t="shared" ca="1" si="12"/>
        <v>1021213.4083915093</v>
      </c>
      <c r="G27" s="306">
        <f ca="1">SUM(F24:F27)</f>
        <v>4765557.6688558832</v>
      </c>
      <c r="H27" s="307">
        <f t="shared" ca="1" si="13"/>
        <v>2.8879125849924633E-2</v>
      </c>
      <c r="I27" s="363"/>
      <c r="J27"/>
    </row>
    <row r="28" spans="1:12" x14ac:dyDescent="0.35">
      <c r="A28" s="296" t="str">
        <f>'CWD 2027 GASIG (com desc.)'!H259</f>
        <v>TEX14</v>
      </c>
      <c r="B28" s="296" t="str">
        <f>'CWD 2027 GASIG (com desc.)'!I259</f>
        <v>PE-GUARAREMA (INTERCONEXÃO)</v>
      </c>
      <c r="C28" s="296">
        <f>'CWD 2027 GASIG (sem desc.)'!H54</f>
        <v>0</v>
      </c>
      <c r="D28" s="296">
        <f>C28</f>
        <v>0</v>
      </c>
      <c r="E28" s="299">
        <f>'CWD 2027 GASIG (com desc.)'!L259</f>
        <v>0</v>
      </c>
      <c r="F28" s="296">
        <f t="shared" si="12"/>
        <v>0</v>
      </c>
      <c r="G28" s="296">
        <f>F28</f>
        <v>0</v>
      </c>
      <c r="H28" s="300" t="str">
        <f t="shared" si="13"/>
        <v xml:space="preserve"> </v>
      </c>
      <c r="I28"/>
      <c r="J28"/>
    </row>
    <row r="29" spans="1:12" x14ac:dyDescent="0.35">
      <c r="A29" s="301" t="str">
        <f>'CWD 2027 GASIG (com desc.)'!H260</f>
        <v>TEX15</v>
      </c>
      <c r="B29" s="301" t="str">
        <f>'CWD 2027 GASIG (com desc.)'!I260</f>
        <v>PE-REPLAN (INTERCONEXÃO)</v>
      </c>
      <c r="C29" s="301">
        <f>'CWD 2027 GASIG (sem desc.)'!H55</f>
        <v>92910775.366039991</v>
      </c>
      <c r="D29" s="301">
        <f t="shared" ref="D29:D30" si="14">C29</f>
        <v>92910775.366039991</v>
      </c>
      <c r="E29" s="302">
        <f ca="1">'CWD 2027 GASIG (com desc.)'!L260</f>
        <v>2.5627826533624123E-3</v>
      </c>
      <c r="F29" s="301">
        <f t="shared" ca="1" si="12"/>
        <v>238110.12341853903</v>
      </c>
      <c r="G29" s="301">
        <f t="shared" ref="G29:G30" ca="1" si="15">F29</f>
        <v>238110.12341853903</v>
      </c>
      <c r="H29" s="303">
        <f t="shared" ca="1" si="13"/>
        <v>2.5627826533624123E-3</v>
      </c>
      <c r="I29" s="363"/>
      <c r="J29"/>
    </row>
    <row r="30" spans="1:12" x14ac:dyDescent="0.35">
      <c r="A30" s="296" t="str">
        <f>'CWD 2027 GASIG (com desc.)'!H261</f>
        <v>TEX16</v>
      </c>
      <c r="B30" s="296" t="str">
        <f>'CWD 2027 GASIG (com desc.)'!I261</f>
        <v>PE-TECAB (INTERCONEXÃO)</v>
      </c>
      <c r="C30" s="296">
        <f>'CWD 2027 GASIG (sem desc.)'!H56</f>
        <v>2723059.0670000003</v>
      </c>
      <c r="D30" s="296">
        <f t="shared" si="14"/>
        <v>2723059.0670000003</v>
      </c>
      <c r="E30" s="299">
        <f ca="1">'CWD 2027 GASIG (com desc.)'!L261</f>
        <v>2.2382069007813423E-3</v>
      </c>
      <c r="F30" s="296">
        <f t="shared" ca="1" si="12"/>
        <v>6094.7695949946037</v>
      </c>
      <c r="G30" s="296">
        <f t="shared" ca="1" si="15"/>
        <v>6094.7695949946037</v>
      </c>
      <c r="H30" s="300">
        <f t="shared" ca="1" si="13"/>
        <v>2.2382069007813423E-3</v>
      </c>
      <c r="I30" s="363"/>
      <c r="J30" s="66"/>
    </row>
    <row r="31" spans="1:12" x14ac:dyDescent="0.35">
      <c r="C31" s="65">
        <f>SUM(C15:C30)</f>
        <v>689356018.10638499</v>
      </c>
      <c r="D31" s="65">
        <f>SUM(D15:D30)</f>
        <v>689356018.10638499</v>
      </c>
      <c r="F31" s="65">
        <f ca="1">SUM(F15:F30)</f>
        <v>15721942.616557084</v>
      </c>
      <c r="G31" s="65">
        <f ca="1">SUM(G15:G30)</f>
        <v>15721942.616557084</v>
      </c>
    </row>
    <row r="32" spans="1:12" x14ac:dyDescent="0.35">
      <c r="C32" s="65"/>
      <c r="D32" s="65"/>
      <c r="F32" s="65"/>
      <c r="G32" s="65"/>
    </row>
    <row r="33" spans="2:3" x14ac:dyDescent="0.35">
      <c r="C33" s="63" t="s">
        <v>257</v>
      </c>
    </row>
    <row r="34" spans="2:3" x14ac:dyDescent="0.35">
      <c r="B34" s="68" t="s">
        <v>58</v>
      </c>
      <c r="C34" s="66">
        <f ca="1">H18</f>
        <v>3.0866972978475422E-2</v>
      </c>
    </row>
    <row r="35" spans="2:3" x14ac:dyDescent="0.35">
      <c r="B35" s="68" t="s">
        <v>69</v>
      </c>
      <c r="C35" s="66">
        <f ca="1">H23</f>
        <v>2.3906826637062163E-2</v>
      </c>
    </row>
    <row r="36" spans="2:3" x14ac:dyDescent="0.35">
      <c r="B36" s="68" t="s">
        <v>258</v>
      </c>
      <c r="C36" s="66">
        <f ca="1">H27</f>
        <v>2.8879125849924633E-2</v>
      </c>
    </row>
    <row r="37" spans="2:3" x14ac:dyDescent="0.35">
      <c r="B37" s="132" t="s">
        <v>269</v>
      </c>
      <c r="C37" s="66" t="str">
        <f>H28</f>
        <v xml:space="preserve"> </v>
      </c>
    </row>
    <row r="38" spans="2:3" x14ac:dyDescent="0.35">
      <c r="B38" s="132" t="s">
        <v>268</v>
      </c>
      <c r="C38" s="66">
        <f t="shared" ref="C38:C39" ca="1" si="16">H29</f>
        <v>2.5627826533624123E-3</v>
      </c>
    </row>
    <row r="39" spans="2:3" x14ac:dyDescent="0.35">
      <c r="B39" s="132" t="s">
        <v>267</v>
      </c>
      <c r="C39" s="66">
        <f t="shared" ca="1" si="16"/>
        <v>2.2382069007813423E-3</v>
      </c>
    </row>
  </sheetData>
  <pageMargins left="0.511811024" right="0.511811024" top="0.78740157499999996" bottom="0.78740157499999996" header="0.31496062000000002" footer="0.3149606200000000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D100-7A30-411A-9CE4-E5B86DB513A9}">
  <sheetPr codeName="Planilha20">
    <tabColor theme="1" tint="0.499984740745262"/>
  </sheetPr>
  <dimension ref="A2:AA302"/>
  <sheetViews>
    <sheetView showGridLines="0" zoomScale="70" zoomScaleNormal="70" workbookViewId="0">
      <selection activeCell="J48" sqref="J4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6.5" x14ac:dyDescent="0.35">
      <c r="A5" s="206">
        <f>HLOOKUP($G$3,'Premissas (Legados)'!$B$5:$F$13,9,FALSE)</f>
        <v>0.7</v>
      </c>
      <c r="B5" s="207" t="s">
        <v>112</v>
      </c>
      <c r="C5" s="208" t="s">
        <v>271</v>
      </c>
      <c r="D5" s="209">
        <f>$A$5*$D$4</f>
        <v>5051.2433924371298</v>
      </c>
      <c r="E5" s="210" t="s">
        <v>113</v>
      </c>
      <c r="F5" s="211"/>
      <c r="G5" s="211"/>
      <c r="H5" s="235"/>
    </row>
    <row r="6" spans="1:9" ht="29" x14ac:dyDescent="0.35">
      <c r="A6" s="92"/>
      <c r="B6" s="212" t="s">
        <v>114</v>
      </c>
      <c r="C6" s="213" t="s">
        <v>272</v>
      </c>
      <c r="D6" s="214">
        <f>$D$34*'Premissas (Legados)'!$F$20</f>
        <v>25258000</v>
      </c>
      <c r="E6" s="212" t="s">
        <v>115</v>
      </c>
      <c r="F6" s="230">
        <f>H34</f>
        <v>942178437.18200004</v>
      </c>
      <c r="G6" s="82" t="s">
        <v>116</v>
      </c>
    </row>
    <row r="7" spans="1:9" ht="17" thickBot="1" x14ac:dyDescent="0.4">
      <c r="A7" s="215"/>
      <c r="B7" s="216" t="s">
        <v>117</v>
      </c>
      <c r="C7" s="217" t="s">
        <v>273</v>
      </c>
      <c r="D7" s="218">
        <f>$D$5/$D$6*1000</f>
        <v>0.19998588140142251</v>
      </c>
      <c r="E7" s="219" t="s">
        <v>118</v>
      </c>
      <c r="F7" s="232">
        <f>$D$5/$F$6*1000000</f>
        <v>5.3612385861271674</v>
      </c>
      <c r="G7" s="228" t="s">
        <v>15</v>
      </c>
      <c r="I7" s="235"/>
    </row>
    <row r="8" spans="1:9" ht="16.5" x14ac:dyDescent="0.35">
      <c r="A8" s="206">
        <f>1-A5</f>
        <v>0.30000000000000004</v>
      </c>
      <c r="B8" s="207" t="s">
        <v>119</v>
      </c>
      <c r="C8" s="208" t="s">
        <v>274</v>
      </c>
      <c r="D8" s="209">
        <f>$A$8*$D$4</f>
        <v>2164.8185967587706</v>
      </c>
      <c r="E8" s="210" t="s">
        <v>113</v>
      </c>
      <c r="F8" s="231"/>
      <c r="G8" s="229"/>
    </row>
    <row r="9" spans="1:9" ht="29" x14ac:dyDescent="0.35">
      <c r="B9" s="212" t="s">
        <v>120</v>
      </c>
      <c r="C9" s="213" t="s">
        <v>275</v>
      </c>
      <c r="D9" s="214">
        <f>$D$57*'Premissas (Legados)'!$F$20</f>
        <v>21312715</v>
      </c>
      <c r="E9" s="212" t="s">
        <v>115</v>
      </c>
      <c r="F9" s="230">
        <f>H57</f>
        <v>795010709.905985</v>
      </c>
      <c r="G9" s="82" t="s">
        <v>116</v>
      </c>
    </row>
    <row r="10" spans="1:9" ht="17" thickBot="1" x14ac:dyDescent="0.4">
      <c r="A10" s="225"/>
      <c r="B10" s="216" t="s">
        <v>121</v>
      </c>
      <c r="C10" s="217" t="s">
        <v>276</v>
      </c>
      <c r="D10" s="218">
        <f>$D$8/$D$9*1000</f>
        <v>0.10157404144703153</v>
      </c>
      <c r="E10" s="219" t="s">
        <v>118</v>
      </c>
      <c r="F10" s="232">
        <f>$D$8/$F$9*1000000</f>
        <v>2.72300557688685</v>
      </c>
      <c r="G10" s="228" t="s">
        <v>15</v>
      </c>
    </row>
    <row r="11" spans="1:9" ht="15" thickBot="1" x14ac:dyDescent="0.4">
      <c r="A11" s="220"/>
      <c r="B11" s="220" t="s">
        <v>122</v>
      </c>
      <c r="C11" s="226">
        <f>HLOOKUP($G$3,'Premissas (Legados)'!$B$5:$F$8,4,FALSE)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(Legados)'!C3</f>
        <v>20000</v>
      </c>
      <c r="D24" s="290">
        <f>'Oferta (Legados)'!H3</f>
        <v>14178</v>
      </c>
      <c r="F24" s="104"/>
      <c r="G24" s="43">
        <f>IFERROR($C24*$H$19*'Premissas (Legados)'!$F$20*1000," ")</f>
        <v>272305906.69999999</v>
      </c>
      <c r="H24" s="43">
        <f>IFERROR($D24*$H$19*'Premissas (Legados)'!$F$20*1000," ")</f>
        <v>193037657.25962999</v>
      </c>
      <c r="I24" s="93"/>
    </row>
    <row r="25" spans="1:9" x14ac:dyDescent="0.35">
      <c r="A25" s="2" t="s">
        <v>133</v>
      </c>
      <c r="B25" s="44" t="s">
        <v>26</v>
      </c>
      <c r="C25" s="290">
        <f>'Oferta (Legados)'!C4</f>
        <v>20000</v>
      </c>
      <c r="D25" s="290">
        <f>'Oferta (Legados)'!H4</f>
        <v>20000</v>
      </c>
      <c r="F25" s="104"/>
      <c r="G25" s="43">
        <f>IFERROR($C25*$H$19*'Premissas (Legados)'!$F$20*1000," ")</f>
        <v>272305906.69999999</v>
      </c>
      <c r="H25" s="43">
        <f>IFERROR($D25*$H$19*'Premissas (Legados)'!$F$20*1000," ")</f>
        <v>272305906.69999999</v>
      </c>
      <c r="I25" s="93"/>
    </row>
    <row r="26" spans="1:9" x14ac:dyDescent="0.35">
      <c r="A26" s="2" t="s">
        <v>134</v>
      </c>
      <c r="B26" s="44" t="s">
        <v>488</v>
      </c>
      <c r="C26" s="290">
        <f>'Oferta (Legados)'!C5</f>
        <v>18200</v>
      </c>
      <c r="D26" s="290">
        <f>'Oferta (Legados)'!H5</f>
        <v>13432</v>
      </c>
      <c r="E26" s="46"/>
      <c r="F26" s="104"/>
      <c r="G26" s="43">
        <f>IFERROR($C26*$H$19*'Premissas (Legados)'!$F$20*1000," ")</f>
        <v>247798375.097</v>
      </c>
      <c r="H26" s="43">
        <f>IFERROR($D26*$H$19*'Premissas (Legados)'!$F$20*1000," ")</f>
        <v>182880646.93972</v>
      </c>
      <c r="I26" s="93"/>
    </row>
    <row r="27" spans="1:9" x14ac:dyDescent="0.35">
      <c r="A27" s="2" t="s">
        <v>135</v>
      </c>
      <c r="B27" s="44" t="s">
        <v>463</v>
      </c>
      <c r="C27" s="290">
        <f>'Oferta (Legados)'!C6</f>
        <v>1250</v>
      </c>
      <c r="D27" s="290">
        <f>'Oferta (Legados)'!H6</f>
        <v>335</v>
      </c>
      <c r="E27" s="46"/>
      <c r="F27" s="104"/>
      <c r="G27" s="43">
        <f>IFERROR($C27*$H$19*'Premissas (Legados)'!$F$20*1000," ")</f>
        <v>17019119.168749999</v>
      </c>
      <c r="H27" s="43">
        <f>IFERROR($D27*$H$19*'Premissas (Legados)'!$F$20*1000," ")</f>
        <v>4561123.937225</v>
      </c>
      <c r="I27" s="93"/>
    </row>
    <row r="28" spans="1:9" x14ac:dyDescent="0.35">
      <c r="A28" s="2" t="s">
        <v>136</v>
      </c>
      <c r="B28" s="44" t="s">
        <v>27</v>
      </c>
      <c r="C28" s="290">
        <f>'Oferta (Legados)'!C7</f>
        <v>5000</v>
      </c>
      <c r="D28" s="290">
        <f>'Oferta (Legados)'!H7</f>
        <v>0</v>
      </c>
      <c r="E28" s="46"/>
      <c r="F28" s="104"/>
      <c r="G28" s="43">
        <f>IFERROR($C28*$H$19*'Premissas (Legados)'!$F$20*1000," ")</f>
        <v>68076476.674999997</v>
      </c>
      <c r="H28" s="43">
        <f>IFERROR($D28*$H$19*'Premissas (Legados)'!$F$20*1000," ")</f>
        <v>0</v>
      </c>
      <c r="I28" s="93"/>
    </row>
    <row r="29" spans="1:9" x14ac:dyDescent="0.35">
      <c r="A29" s="2" t="s">
        <v>239</v>
      </c>
      <c r="B29" s="44" t="s">
        <v>29</v>
      </c>
      <c r="C29" s="290">
        <f>'Oferta (Legados)'!C8</f>
        <v>2200</v>
      </c>
      <c r="D29" s="290">
        <f>'Oferta (Legados)'!H8</f>
        <v>0</v>
      </c>
      <c r="E29" s="46"/>
      <c r="F29" s="104"/>
      <c r="G29" s="43">
        <f>IFERROR($C29*$H$19*'Premissas (Legados)'!$F$20*1000," ")</f>
        <v>29953649.736999996</v>
      </c>
      <c r="H29" s="43">
        <f>IFERROR($D29*$H$19*'Premissas (Legados)'!$F$20*1000," ")</f>
        <v>0</v>
      </c>
      <c r="I29" s="93"/>
    </row>
    <row r="30" spans="1:9" x14ac:dyDescent="0.35">
      <c r="A30" s="2" t="s">
        <v>137</v>
      </c>
      <c r="B30" s="44" t="s">
        <v>24</v>
      </c>
      <c r="C30" s="290">
        <f>'Oferta (Legados)'!C9</f>
        <v>25160</v>
      </c>
      <c r="D30" s="290">
        <f>'Oferta (Legados)'!H9</f>
        <v>14855</v>
      </c>
      <c r="E30" s="46"/>
      <c r="F30" s="104"/>
      <c r="G30" s="43">
        <f>IFERROR($C30*$H$19*'Premissas (Legados)'!$F$20*1000," ")</f>
        <v>342560830.6286</v>
      </c>
      <c r="H30" s="43">
        <f>IFERROR($D30*$H$19*'Premissas (Legados)'!$F$20*1000," ")</f>
        <v>202255212.20142499</v>
      </c>
      <c r="I30" s="93"/>
    </row>
    <row r="31" spans="1:9" x14ac:dyDescent="0.35">
      <c r="A31" s="2" t="s">
        <v>240</v>
      </c>
      <c r="B31" s="44" t="s">
        <v>264</v>
      </c>
      <c r="C31" s="290">
        <f>'Oferta (Legados)'!C10</f>
        <v>0</v>
      </c>
      <c r="D31" s="290">
        <f>'Oferta (Legados)'!H10</f>
        <v>6000</v>
      </c>
      <c r="E31" s="46"/>
      <c r="F31" s="104"/>
      <c r="G31" s="43">
        <f>IFERROR($C31*$H$19*'Premissas (Legados)'!$F$20*1000," ")</f>
        <v>0</v>
      </c>
      <c r="H31" s="43">
        <f>IFERROR($D31*$H$19*'Premissas (Legados)'!$F$20*1000," ")</f>
        <v>81691772.010000005</v>
      </c>
      <c r="I31" s="93"/>
    </row>
    <row r="32" spans="1:9" x14ac:dyDescent="0.35">
      <c r="A32" s="2" t="s">
        <v>138</v>
      </c>
      <c r="B32" s="44" t="s">
        <v>266</v>
      </c>
      <c r="C32" s="290">
        <f>'Oferta (Legados)'!C11</f>
        <v>0</v>
      </c>
      <c r="D32" s="290">
        <f>'Oferta (Legados)'!H11</f>
        <v>200</v>
      </c>
      <c r="E32" s="46"/>
      <c r="F32" s="104"/>
      <c r="G32" s="43">
        <f>IFERROR($C32*$H$19*'Premissas (Legados)'!$F$20*1000," ")</f>
        <v>0</v>
      </c>
      <c r="H32" s="43">
        <f>IFERROR($D32*$H$19*'Premissas (Legados)'!$F$20*1000," ")</f>
        <v>2723059.0670000003</v>
      </c>
      <c r="I32" s="93"/>
    </row>
    <row r="33" spans="1:10" x14ac:dyDescent="0.35">
      <c r="A33" s="2" t="s">
        <v>139</v>
      </c>
      <c r="B33" s="44" t="s">
        <v>265</v>
      </c>
      <c r="C33" s="290">
        <f>'Oferta (Legados)'!C12</f>
        <v>0</v>
      </c>
      <c r="D33" s="290">
        <f>'Oferta (Legados)'!H12</f>
        <v>200</v>
      </c>
      <c r="E33" s="46"/>
      <c r="F33" s="104"/>
      <c r="G33" s="43">
        <f>IFERROR($C33*$H$19*'Premissas (Legados)'!$F$20*1000," ")</f>
        <v>0</v>
      </c>
      <c r="H33" s="43">
        <f>IFERROR($D33*$H$19*'Premissas (Legados)'!$F$20*1000," ")</f>
        <v>2723059.0670000003</v>
      </c>
      <c r="I33" s="93"/>
    </row>
    <row r="34" spans="1:10" x14ac:dyDescent="0.35">
      <c r="C34" s="105">
        <f>SUM(C24:C33)</f>
        <v>91810</v>
      </c>
      <c r="D34" s="105">
        <f>SUM(D24:D33)</f>
        <v>69200</v>
      </c>
      <c r="E34" s="105"/>
      <c r="F34" s="104"/>
      <c r="G34" s="105">
        <f>SUM(G24:G33)</f>
        <v>1250020264.7063498</v>
      </c>
      <c r="H34" s="105">
        <f>SUM(H24:H33)</f>
        <v>942178437.18200004</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(Legados)'!C3</f>
        <v>864.5</v>
      </c>
      <c r="D41" s="290">
        <f>'Demanda (Legados)'!H3</f>
        <v>607</v>
      </c>
      <c r="G41" s="43">
        <f>IFERROR($C41*$H$19*'Premissas (Legados)'!$F$20*1000," ")</f>
        <v>11770422.817107499</v>
      </c>
      <c r="H41" s="43">
        <f>IFERROR($D41*$H$19*'Premissas (Legados)'!$F$20*1000," ")</f>
        <v>8264484.2683449984</v>
      </c>
      <c r="I41" s="93"/>
    </row>
    <row r="42" spans="1:10" x14ac:dyDescent="0.35">
      <c r="A42" s="2" t="s">
        <v>42</v>
      </c>
      <c r="B42" s="44" t="s">
        <v>217</v>
      </c>
      <c r="C42" s="290">
        <f>'Demanda (Legados)'!C4</f>
        <v>1825.9</v>
      </c>
      <c r="D42" s="290">
        <f>'Demanda (Legados)'!H4</f>
        <v>1678</v>
      </c>
      <c r="G42" s="43">
        <f>IFERROR($C42*$H$19*'Premissas (Legados)'!$F$20*1000," ")</f>
        <v>24860167.752176501</v>
      </c>
      <c r="H42" s="43">
        <f>IFERROR($D42*$H$19*'Premissas (Legados)'!$F$20*1000," ")</f>
        <v>22846465.572130002</v>
      </c>
      <c r="I42" s="93"/>
    </row>
    <row r="43" spans="1:10" x14ac:dyDescent="0.35">
      <c r="A43" s="2" t="s">
        <v>43</v>
      </c>
      <c r="B43" s="44" t="s">
        <v>218</v>
      </c>
      <c r="C43" s="290">
        <f>'Demanda (Legados)'!C5</f>
        <v>3040.95</v>
      </c>
      <c r="D43" s="290">
        <f>'Demanda (Legados)'!H5</f>
        <v>2737</v>
      </c>
      <c r="E43" s="46"/>
      <c r="G43" s="43">
        <f>IFERROR($C43*$H$19*'Premissas (Legados)'!$F$20*1000," ")</f>
        <v>41403432.348968253</v>
      </c>
      <c r="H43" s="43">
        <f>IFERROR($D43*$H$19*'Premissas (Legados)'!$F$20*1000," ")</f>
        <v>37265063.331895001</v>
      </c>
      <c r="I43" s="93"/>
    </row>
    <row r="44" spans="1:10" x14ac:dyDescent="0.35">
      <c r="A44" s="2" t="s">
        <v>44</v>
      </c>
      <c r="B44" s="44" t="s">
        <v>219</v>
      </c>
      <c r="C44" s="290">
        <f>'Demanda (Legados)'!C6</f>
        <v>1187.5</v>
      </c>
      <c r="D44" s="290">
        <f>'Demanda (Legados)'!H6</f>
        <v>335</v>
      </c>
      <c r="E44" s="46"/>
      <c r="G44" s="43">
        <f>IFERROR($C44*$H$19*'Premissas (Legados)'!$F$20*1000," ")</f>
        <v>16168163.210312499</v>
      </c>
      <c r="H44" s="43">
        <f>IFERROR($D44*$H$19*'Premissas (Legados)'!$F$20*1000," ")</f>
        <v>4561123.937225</v>
      </c>
      <c r="I44" s="93"/>
    </row>
    <row r="45" spans="1:10" x14ac:dyDescent="0.35">
      <c r="A45" s="2" t="s">
        <v>45</v>
      </c>
      <c r="B45" s="44" t="s">
        <v>220</v>
      </c>
      <c r="C45" s="290">
        <f>'Demanda (Legados)'!C7</f>
        <v>21185</v>
      </c>
      <c r="D45" s="290">
        <f>'Demanda (Legados)'!H7</f>
        <v>17793</v>
      </c>
      <c r="E45" s="46"/>
      <c r="G45" s="43">
        <f>IFERROR($C45*$H$19*'Premissas (Legados)'!$F$20*1000," ")</f>
        <v>288440031.67197496</v>
      </c>
      <c r="H45" s="43">
        <f>IFERROR($D45*$H$19*'Premissas (Legados)'!$F$20*1000," ")</f>
        <v>242256949.89565501</v>
      </c>
      <c r="I45" s="93"/>
    </row>
    <row r="46" spans="1:10" x14ac:dyDescent="0.35">
      <c r="A46" s="2" t="s">
        <v>46</v>
      </c>
      <c r="B46" s="44" t="s">
        <v>221</v>
      </c>
      <c r="C46" s="290">
        <f>'Demanda (Legados)'!C8</f>
        <v>11271.75</v>
      </c>
      <c r="D46" s="290">
        <f>'Demanda (Legados)'!H8</f>
        <v>8406</v>
      </c>
      <c r="E46" s="46"/>
      <c r="G46" s="43">
        <f>IFERROR($C46*$H$19*'Premissas (Legados)'!$F$20*1000," ")</f>
        <v>153468205.19228625</v>
      </c>
      <c r="H46" s="43">
        <f>IFERROR($D46*$H$19*'Premissas (Legados)'!$F$20*1000," ")</f>
        <v>114450172.58600999</v>
      </c>
      <c r="I46" s="93"/>
    </row>
    <row r="47" spans="1:10" x14ac:dyDescent="0.35">
      <c r="A47" s="2" t="s">
        <v>47</v>
      </c>
      <c r="B47" s="44" t="s">
        <v>222</v>
      </c>
      <c r="C47" s="290">
        <f>'Demanda (Legados)'!C9</f>
        <v>3249</v>
      </c>
      <c r="D47" s="290">
        <f>'Demanda (Legados)'!H9</f>
        <v>1714</v>
      </c>
      <c r="E47" s="46"/>
      <c r="G47" s="43">
        <f>IFERROR($C47*$H$19*'Premissas (Legados)'!$F$20*1000," ")</f>
        <v>44236094.543414995</v>
      </c>
      <c r="H47" s="43">
        <f>IFERROR($D47*$H$19*'Premissas (Legados)'!$F$20*1000," ")</f>
        <v>23336616.204189997</v>
      </c>
      <c r="I47" s="93"/>
    </row>
    <row r="48" spans="1:10" x14ac:dyDescent="0.35">
      <c r="A48" s="2" t="s">
        <v>48</v>
      </c>
      <c r="B48" s="44" t="s">
        <v>223</v>
      </c>
      <c r="C48" s="290">
        <f>'Demanda (Legados)'!C10</f>
        <v>498.75</v>
      </c>
      <c r="D48" s="290">
        <f>'Demanda (Legados)'!H10</f>
        <v>323</v>
      </c>
      <c r="E48" s="46"/>
      <c r="G48" s="43">
        <f>IFERROR($C48*$H$19*'Premissas (Legados)'!$F$20*1000," ")</f>
        <v>6790628.5483312495</v>
      </c>
      <c r="H48" s="43">
        <f>IFERROR($D48*$H$19*'Premissas (Legados)'!$F$20*1000," ")</f>
        <v>4397740.3932050001</v>
      </c>
      <c r="I48" s="93"/>
    </row>
    <row r="49" spans="1:9" x14ac:dyDescent="0.35">
      <c r="A49" s="2" t="s">
        <v>49</v>
      </c>
      <c r="B49" s="44" t="s">
        <v>224</v>
      </c>
      <c r="C49" s="290">
        <f>'Demanda (Legados)'!C11</f>
        <v>3321.2</v>
      </c>
      <c r="D49" s="290">
        <f>'Demanda (Legados)'!H11</f>
        <v>2128</v>
      </c>
      <c r="E49" s="46"/>
      <c r="G49" s="43">
        <f>IFERROR($C49*$H$19*'Premissas (Legados)'!$F$20*1000," ")</f>
        <v>45219118.866601996</v>
      </c>
      <c r="H49" s="43">
        <f>IFERROR($D49*$H$19*'Premissas (Legados)'!$F$20*1000," ")</f>
        <v>28973348.472879995</v>
      </c>
      <c r="I49" s="93"/>
    </row>
    <row r="50" spans="1:9" x14ac:dyDescent="0.35">
      <c r="A50" s="2" t="s">
        <v>50</v>
      </c>
      <c r="B50" s="44" t="s">
        <v>225</v>
      </c>
      <c r="C50" s="290">
        <f>'Demanda (Legados)'!C12</f>
        <v>14292.75</v>
      </c>
      <c r="D50" s="290">
        <f>'Demanda (Legados)'!H12</f>
        <v>1237</v>
      </c>
      <c r="E50" s="46"/>
      <c r="G50" s="43">
        <f>IFERROR($C50*$H$19*'Premissas (Legados)'!$F$20*1000," ")</f>
        <v>194600012.39932126</v>
      </c>
      <c r="H50" s="43">
        <f>IFERROR($D50*$H$19*'Premissas (Legados)'!$F$20*1000," ")</f>
        <v>16842120.329395</v>
      </c>
      <c r="I50" s="93"/>
    </row>
    <row r="51" spans="1:9" x14ac:dyDescent="0.35">
      <c r="A51" s="2" t="s">
        <v>51</v>
      </c>
      <c r="B51" s="44" t="s">
        <v>226</v>
      </c>
      <c r="C51" s="290">
        <f>'Demanda (Legados)'!C13</f>
        <v>3971</v>
      </c>
      <c r="D51" s="290">
        <f>'Demanda (Legados)'!H13</f>
        <v>2972</v>
      </c>
      <c r="E51" s="46"/>
      <c r="G51" s="43">
        <f>IFERROR($C51*$H$19*'Premissas (Legados)'!$F$20*1000," ")</f>
        <v>54066337.775284998</v>
      </c>
      <c r="H51" s="43">
        <f>IFERROR($D51*$H$19*'Premissas (Legados)'!$F$20*1000," ")</f>
        <v>40464657.735619992</v>
      </c>
      <c r="I51" s="93"/>
    </row>
    <row r="52" spans="1:9" x14ac:dyDescent="0.35">
      <c r="A52" s="2" t="s">
        <v>52</v>
      </c>
      <c r="B52" s="44" t="s">
        <v>227</v>
      </c>
      <c r="C52" s="290">
        <f>'Demanda (Legados)'!C14</f>
        <v>9941.75</v>
      </c>
      <c r="D52" s="290">
        <f>'Demanda (Legados)'!H14</f>
        <v>7969</v>
      </c>
      <c r="E52" s="46"/>
      <c r="G52" s="43">
        <f>IFERROR($C52*$H$19*'Premissas (Legados)'!$F$20*1000," ")</f>
        <v>135359862.39673626</v>
      </c>
      <c r="H52" s="43">
        <f>IFERROR($D52*$H$19*'Premissas (Legados)'!$F$20*1000," ")</f>
        <v>108500288.52461499</v>
      </c>
      <c r="I52" s="93"/>
    </row>
    <row r="53" spans="1:9" x14ac:dyDescent="0.35">
      <c r="A53" s="2" t="s">
        <v>53</v>
      </c>
      <c r="B53" s="44" t="s">
        <v>228</v>
      </c>
      <c r="C53" s="290">
        <f>'Demanda (Legados)'!C15</f>
        <v>3809.5</v>
      </c>
      <c r="D53" s="290">
        <f>'Demanda (Legados)'!H15</f>
        <v>3281</v>
      </c>
      <c r="E53" s="46"/>
      <c r="G53" s="43">
        <f>IFERROR($C53*$H$19*'Premissas (Legados)'!$F$20*1000," ")</f>
        <v>51867467.578682497</v>
      </c>
      <c r="H53" s="43">
        <f>IFERROR($D53*$H$19*'Premissas (Legados)'!$F$20*1000," ")</f>
        <v>44671783.994134992</v>
      </c>
      <c r="I53" s="93"/>
    </row>
    <row r="54" spans="1:9" x14ac:dyDescent="0.35">
      <c r="A54" s="2" t="s">
        <v>54</v>
      </c>
      <c r="B54" s="44" t="s">
        <v>269</v>
      </c>
      <c r="C54" s="290">
        <f>'Demanda (Legados)'!C16</f>
        <v>0</v>
      </c>
      <c r="D54" s="290">
        <f>'Demanda (Legados)'!H16</f>
        <v>0</v>
      </c>
      <c r="E54" s="46"/>
      <c r="G54" s="43">
        <f>IFERROR($C54*$H$19*'Premissas (Legados)'!$F$20*1000," ")</f>
        <v>0</v>
      </c>
      <c r="H54" s="43">
        <f>IFERROR($D54*$H$19*'Premissas (Legados)'!$F$20*1000," ")</f>
        <v>0</v>
      </c>
      <c r="I54" s="93"/>
    </row>
    <row r="55" spans="1:9" x14ac:dyDescent="0.35">
      <c r="A55" s="2" t="s">
        <v>55</v>
      </c>
      <c r="B55" s="44" t="s">
        <v>268</v>
      </c>
      <c r="C55" s="290">
        <f>'Demanda (Legados)'!C17</f>
        <v>0</v>
      </c>
      <c r="D55" s="290">
        <f>'Demanda (Legados)'!H17</f>
        <v>7011</v>
      </c>
      <c r="E55" s="46"/>
      <c r="G55" s="43">
        <f>IFERROR($C55*$H$19*'Premissas (Legados)'!$F$20*1000," ")</f>
        <v>0</v>
      </c>
      <c r="H55" s="43">
        <f>IFERROR($D55*$H$19*'Premissas (Legados)'!$F$20*1000," ")</f>
        <v>95456835.593685001</v>
      </c>
      <c r="I55" s="93"/>
    </row>
    <row r="56" spans="1:9" x14ac:dyDescent="0.35">
      <c r="A56" s="2" t="s">
        <v>56</v>
      </c>
      <c r="B56" s="44" t="s">
        <v>267</v>
      </c>
      <c r="C56" s="290">
        <f>'Demanda (Legados)'!C18</f>
        <v>0</v>
      </c>
      <c r="D56" s="290">
        <f>'Demanda (Legados)'!H18</f>
        <v>200</v>
      </c>
      <c r="E56" s="46"/>
      <c r="G56" s="43">
        <f>IFERROR($C56*$H$19*'Premissas (Legados)'!$F$20*1000," ")</f>
        <v>0</v>
      </c>
      <c r="H56" s="43">
        <f>IFERROR($D56*$H$19*'Premissas (Legados)'!$F$20*1000," ")</f>
        <v>2723059.0670000003</v>
      </c>
      <c r="I56" s="93"/>
    </row>
    <row r="57" spans="1:9" x14ac:dyDescent="0.35">
      <c r="C57" s="105">
        <f>SUM(C41:C56)</f>
        <v>78459.549999999988</v>
      </c>
      <c r="D57" s="105">
        <f>SUM(D41:D56)</f>
        <v>58391</v>
      </c>
      <c r="E57" s="105"/>
      <c r="G57" s="105">
        <f>SUM(G41:G56)</f>
        <v>1068249945.1011992</v>
      </c>
      <c r="H57" s="105">
        <f>SUM(H41:H56)</f>
        <v>795010709.905985</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0.2048843930635838</v>
      </c>
      <c r="C99" s="9"/>
      <c r="D99" t="s">
        <v>304</v>
      </c>
      <c r="E99" s="110">
        <f>H41/$H$57</f>
        <v>1.039543765306297E-2</v>
      </c>
      <c r="G99" s="109" t="s">
        <v>148</v>
      </c>
      <c r="H99" s="111">
        <f>H24/$H$34</f>
        <v>0.2048843930635838</v>
      </c>
      <c r="I99" s="111">
        <f>H25/$H$34</f>
        <v>0.28901734104046239</v>
      </c>
      <c r="J99" s="111">
        <f>$H26/$H$34</f>
        <v>0.19410404624277455</v>
      </c>
      <c r="K99" s="111">
        <f>$H27/$H$34</f>
        <v>4.8410404624277458E-3</v>
      </c>
      <c r="L99" s="111">
        <f>$H28/$H$34</f>
        <v>0</v>
      </c>
      <c r="M99" s="111">
        <f>$H29/$H$34</f>
        <v>0</v>
      </c>
      <c r="N99" s="111">
        <f>$H30/$H$34</f>
        <v>0.21466763005780345</v>
      </c>
      <c r="O99" s="111">
        <f>$H31/$H$34</f>
        <v>8.6705202312138727E-2</v>
      </c>
      <c r="P99" s="111">
        <f>$H32/$H$34</f>
        <v>2.8901734104046246E-3</v>
      </c>
      <c r="Q99" s="111">
        <f>$H33/$H$34</f>
        <v>2.8901734104046246E-3</v>
      </c>
      <c r="R99" s="111">
        <f>SUM(H99:Q99)</f>
        <v>0.99999999999999989</v>
      </c>
      <c r="S99" s="110"/>
      <c r="T99" s="110"/>
      <c r="U99" s="110"/>
      <c r="V99" s="110"/>
      <c r="W99" s="110"/>
    </row>
    <row r="100" spans="1:27" ht="16.5" x14ac:dyDescent="0.45">
      <c r="A100" t="s">
        <v>295</v>
      </c>
      <c r="B100" s="112">
        <f t="shared" ref="B100:B108" si="1">H25/$H$34</f>
        <v>0.28901734104046239</v>
      </c>
      <c r="C100" s="4"/>
      <c r="D100" t="s">
        <v>305</v>
      </c>
      <c r="E100" s="110">
        <f t="shared" ref="E100:E114" si="2">H42/$H$57</f>
        <v>2.8737305406655138E-2</v>
      </c>
    </row>
    <row r="101" spans="1:27" ht="16.5" x14ac:dyDescent="0.45">
      <c r="A101" t="s">
        <v>296</v>
      </c>
      <c r="B101" s="112">
        <f t="shared" si="1"/>
        <v>0.19410404624277455</v>
      </c>
      <c r="C101" s="4"/>
      <c r="D101" t="s">
        <v>306</v>
      </c>
      <c r="E101" s="110">
        <f t="shared" si="2"/>
        <v>4.6873662036957753E-2</v>
      </c>
      <c r="G101" s="110"/>
    </row>
    <row r="102" spans="1:27" ht="16.5" x14ac:dyDescent="0.45">
      <c r="A102" t="s">
        <v>297</v>
      </c>
      <c r="B102" s="112">
        <f t="shared" si="1"/>
        <v>4.8410404624277458E-3</v>
      </c>
      <c r="C102" s="4"/>
      <c r="D102" t="s">
        <v>307</v>
      </c>
      <c r="E102" s="110">
        <f t="shared" si="2"/>
        <v>5.7371855251665497E-3</v>
      </c>
      <c r="G102" s="110"/>
      <c r="H102" s="112"/>
      <c r="I102" s="112"/>
    </row>
    <row r="103" spans="1:27" ht="16.5" x14ac:dyDescent="0.45">
      <c r="A103" t="s">
        <v>298</v>
      </c>
      <c r="B103" s="112">
        <f t="shared" si="1"/>
        <v>0</v>
      </c>
      <c r="C103" s="4"/>
      <c r="D103" t="s">
        <v>308</v>
      </c>
      <c r="E103" s="110">
        <f t="shared" si="2"/>
        <v>0.30472161805757736</v>
      </c>
      <c r="G103" s="110"/>
      <c r="H103" s="112"/>
      <c r="I103" s="112"/>
    </row>
    <row r="104" spans="1:27" ht="16.5" x14ac:dyDescent="0.45">
      <c r="A104" t="s">
        <v>299</v>
      </c>
      <c r="B104" s="112">
        <f t="shared" si="1"/>
        <v>0</v>
      </c>
      <c r="C104" s="4"/>
      <c r="D104" t="s">
        <v>309</v>
      </c>
      <c r="E104" s="110">
        <f t="shared" si="2"/>
        <v>0.14396054186432841</v>
      </c>
      <c r="G104" s="110"/>
      <c r="H104" s="112"/>
      <c r="I104" s="112"/>
    </row>
    <row r="105" spans="1:27" ht="16.5" x14ac:dyDescent="0.45">
      <c r="A105" t="s">
        <v>300</v>
      </c>
      <c r="B105" s="112">
        <f t="shared" si="1"/>
        <v>0.21466763005780345</v>
      </c>
      <c r="C105" s="4"/>
      <c r="D105" t="s">
        <v>310</v>
      </c>
      <c r="E105" s="110">
        <f t="shared" si="2"/>
        <v>2.9353838776523776E-2</v>
      </c>
      <c r="G105" s="110"/>
      <c r="H105" s="112"/>
      <c r="I105" s="112"/>
    </row>
    <row r="106" spans="1:27" ht="16.5" x14ac:dyDescent="0.45">
      <c r="A106" t="s">
        <v>301</v>
      </c>
      <c r="B106" s="112">
        <f t="shared" si="1"/>
        <v>8.6705202312138727E-2</v>
      </c>
      <c r="C106" s="4"/>
      <c r="D106" t="s">
        <v>311</v>
      </c>
      <c r="E106" s="110">
        <f t="shared" si="2"/>
        <v>5.5316744018770016E-3</v>
      </c>
      <c r="G106" s="110"/>
      <c r="H106" s="112"/>
      <c r="I106" s="112"/>
    </row>
    <row r="107" spans="1:27" ht="16.5" x14ac:dyDescent="0.45">
      <c r="A107" t="s">
        <v>302</v>
      </c>
      <c r="B107" s="112">
        <f t="shared" si="1"/>
        <v>2.8901734104046246E-3</v>
      </c>
      <c r="C107" s="4"/>
      <c r="D107" t="s">
        <v>312</v>
      </c>
      <c r="E107" s="110">
        <f t="shared" si="2"/>
        <v>3.6443972530013177E-2</v>
      </c>
      <c r="G107" s="110"/>
      <c r="H107" s="112"/>
      <c r="I107" s="112"/>
    </row>
    <row r="108" spans="1:27" ht="16.5" x14ac:dyDescent="0.45">
      <c r="A108" t="s">
        <v>303</v>
      </c>
      <c r="B108" s="112">
        <f t="shared" si="1"/>
        <v>2.8901734104046246E-3</v>
      </c>
      <c r="D108" t="s">
        <v>313</v>
      </c>
      <c r="E108" s="110">
        <f t="shared" si="2"/>
        <v>2.1184771625764244E-2</v>
      </c>
      <c r="G108" s="110"/>
    </row>
    <row r="109" spans="1:27" ht="16.5" x14ac:dyDescent="0.45">
      <c r="B109" s="112">
        <f>SUM(B99:B108)</f>
        <v>0.99999999999999989</v>
      </c>
      <c r="D109" t="s">
        <v>314</v>
      </c>
      <c r="E109" s="110">
        <f t="shared" si="2"/>
        <v>5.0898254868044723E-2</v>
      </c>
      <c r="G109" s="110"/>
    </row>
    <row r="110" spans="1:27" ht="16.5" x14ac:dyDescent="0.45">
      <c r="B110" s="112"/>
      <c r="D110" t="s">
        <v>315</v>
      </c>
      <c r="E110" s="110">
        <f t="shared" si="2"/>
        <v>0.13647651179120068</v>
      </c>
      <c r="G110" s="110"/>
    </row>
    <row r="111" spans="1:27" ht="16.5" x14ac:dyDescent="0.45">
      <c r="B111" s="112"/>
      <c r="D111" t="s">
        <v>316</v>
      </c>
      <c r="E111" s="110">
        <f t="shared" si="2"/>
        <v>5.6190166292750587E-2</v>
      </c>
    </row>
    <row r="112" spans="1:27" ht="16.5" x14ac:dyDescent="0.45">
      <c r="B112" s="112"/>
      <c r="D112" t="s">
        <v>317</v>
      </c>
      <c r="E112" s="110">
        <f t="shared" si="2"/>
        <v>0</v>
      </c>
    </row>
    <row r="113" spans="1:5" ht="16.5" x14ac:dyDescent="0.45">
      <c r="B113" s="112"/>
      <c r="D113" t="s">
        <v>318</v>
      </c>
      <c r="E113" s="110">
        <f t="shared" si="2"/>
        <v>0.12006987378191845</v>
      </c>
    </row>
    <row r="114" spans="1:5" ht="16.5" x14ac:dyDescent="0.45">
      <c r="B114" s="112"/>
      <c r="D114" t="s">
        <v>319</v>
      </c>
      <c r="E114" s="110">
        <f t="shared" si="2"/>
        <v>3.4251853881591345E-3</v>
      </c>
    </row>
    <row r="115" spans="1:5" x14ac:dyDescent="0.35">
      <c r="E115" s="110">
        <f>SUM(E99:E114)</f>
        <v>1</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351.07719645892911</v>
      </c>
      <c r="C130" s="114"/>
      <c r="D130" t="s">
        <v>325</v>
      </c>
      <c r="E130" s="4">
        <f ca="1">SUMPRODUCT($H$99:$Q$99,$C67:$L67)</f>
        <v>357.00412231213869</v>
      </c>
    </row>
    <row r="131" spans="1:5" ht="16.5" x14ac:dyDescent="0.45">
      <c r="A131" t="s">
        <v>326</v>
      </c>
      <c r="B131" s="110">
        <f ca="1">SUMPRODUCT($E$99:$E$114,D$67:D$82)</f>
        <v>239.33429862421721</v>
      </c>
      <c r="C131" s="114"/>
      <c r="D131" t="s">
        <v>327</v>
      </c>
      <c r="E131" s="4">
        <f t="shared" ref="E131:E145" ca="1" si="3">SUMPRODUCT($H$99:$Q$99,$C68:$L68)</f>
        <v>454.16812231213868</v>
      </c>
    </row>
    <row r="132" spans="1:5" ht="16.5" x14ac:dyDescent="0.45">
      <c r="A132" t="s">
        <v>328</v>
      </c>
      <c r="B132" s="110">
        <f ca="1">SUMPRODUCT($E$99:$E$114,E$67:E$82)</f>
        <v>275.28400309122975</v>
      </c>
      <c r="C132" s="114"/>
      <c r="D132" t="s">
        <v>329</v>
      </c>
      <c r="E132" s="4">
        <f t="shared" ca="1" si="3"/>
        <v>571.33332231213876</v>
      </c>
    </row>
    <row r="133" spans="1:5" ht="16.5" x14ac:dyDescent="0.45">
      <c r="A133" t="s">
        <v>330</v>
      </c>
      <c r="B133" s="110">
        <f ca="1">SUMPRODUCT($E$99:$E$114,F$67:F$82)</f>
        <v>416.74052411102173</v>
      </c>
      <c r="C133" s="114"/>
      <c r="D133" t="s">
        <v>331</v>
      </c>
      <c r="E133" s="4">
        <f t="shared" ca="1" si="3"/>
        <v>579.38021858381501</v>
      </c>
    </row>
    <row r="134" spans="1:5" ht="16.5" x14ac:dyDescent="0.45">
      <c r="A134" t="s">
        <v>332</v>
      </c>
      <c r="B134" s="110">
        <f ca="1">SUMPRODUCT($E$99:$E$114,G$67:G$82)</f>
        <v>228.48236613347947</v>
      </c>
      <c r="C134" s="114"/>
      <c r="D134" t="s">
        <v>333</v>
      </c>
      <c r="E134" s="4">
        <f t="shared" ca="1" si="3"/>
        <v>194.79932900770709</v>
      </c>
    </row>
    <row r="135" spans="1:5" ht="16.5" x14ac:dyDescent="0.45">
      <c r="A135" t="s">
        <v>334</v>
      </c>
      <c r="B135" s="110">
        <f ca="1">SUMPRODUCT($E$99:$E$114,H$67:H$82)</f>
        <v>378.57832051686046</v>
      </c>
      <c r="C135" s="114"/>
      <c r="D135" t="s">
        <v>335</v>
      </c>
      <c r="E135" s="4">
        <f t="shared" ca="1" si="3"/>
        <v>184.55554997109826</v>
      </c>
    </row>
    <row r="136" spans="1:5" ht="16.5" x14ac:dyDescent="0.45">
      <c r="A136" t="s">
        <v>336</v>
      </c>
      <c r="B136" s="110">
        <f ca="1">SUMPRODUCT($E$99:$E$114,I$67:I$82)</f>
        <v>379.07406666267065</v>
      </c>
      <c r="D136" t="s">
        <v>337</v>
      </c>
      <c r="E136" s="4">
        <f t="shared" ca="1" si="3"/>
        <v>204.00459138150288</v>
      </c>
    </row>
    <row r="137" spans="1:5" ht="16.5" x14ac:dyDescent="0.45">
      <c r="A137" t="s">
        <v>338</v>
      </c>
      <c r="B137" s="110">
        <f ca="1">SUMPRODUCT($E$99:$E$114,J$67:J$82)</f>
        <v>302.16339752872875</v>
      </c>
      <c r="D137" t="s">
        <v>339</v>
      </c>
      <c r="E137" s="4">
        <f t="shared" ca="1" si="3"/>
        <v>228.12047916184969</v>
      </c>
    </row>
    <row r="138" spans="1:5" ht="16.5" x14ac:dyDescent="0.45">
      <c r="A138" t="s">
        <v>340</v>
      </c>
      <c r="B138" s="110">
        <f ca="1">SUMPRODUCT($E$99:$E$114,K$67:K$82)</f>
        <v>416.74052411102173</v>
      </c>
      <c r="D138" t="s">
        <v>341</v>
      </c>
      <c r="E138" s="4">
        <f t="shared" ca="1" si="3"/>
        <v>190.91491709537573</v>
      </c>
    </row>
    <row r="139" spans="1:5" ht="16.5" x14ac:dyDescent="0.45">
      <c r="A139" t="s">
        <v>342</v>
      </c>
      <c r="B139" s="110">
        <f ca="1">SUMPRODUCT($E$99:$E$114,L$67:L$82)</f>
        <v>379.07406666267065</v>
      </c>
      <c r="D139" t="s">
        <v>343</v>
      </c>
      <c r="E139" s="4">
        <f t="shared" ca="1" si="3"/>
        <v>309.33865624759142</v>
      </c>
    </row>
    <row r="140" spans="1:5" ht="16.5" x14ac:dyDescent="0.45">
      <c r="B140" s="110"/>
      <c r="D140" t="s">
        <v>344</v>
      </c>
      <c r="E140" s="4">
        <f t="shared" ca="1" si="3"/>
        <v>293.77436319845856</v>
      </c>
    </row>
    <row r="141" spans="1:5" ht="16.5" x14ac:dyDescent="0.45">
      <c r="B141" s="110"/>
      <c r="D141" t="s">
        <v>345</v>
      </c>
      <c r="E141" s="4">
        <f t="shared" ca="1" si="3"/>
        <v>398.37474843352601</v>
      </c>
    </row>
    <row r="142" spans="1:5" ht="16.5" x14ac:dyDescent="0.45">
      <c r="B142" s="110"/>
      <c r="D142" t="s">
        <v>346</v>
      </c>
      <c r="E142" s="4">
        <f t="shared" ca="1" si="3"/>
        <v>433.78864072254328</v>
      </c>
    </row>
    <row r="143" spans="1:5" ht="16.5" x14ac:dyDescent="0.45">
      <c r="B143" s="110"/>
      <c r="D143" t="s">
        <v>347</v>
      </c>
      <c r="E143" s="4">
        <f t="shared" si="3"/>
        <v>328.45164072254329</v>
      </c>
    </row>
    <row r="144" spans="1:5" ht="16.5" x14ac:dyDescent="0.45">
      <c r="B144" s="110"/>
      <c r="D144" t="s">
        <v>348</v>
      </c>
      <c r="E144" s="4">
        <f t="shared" si="3"/>
        <v>485.61421858381493</v>
      </c>
    </row>
    <row r="145" spans="1:5" ht="16.5" x14ac:dyDescent="0.45">
      <c r="B145" s="110"/>
      <c r="D145" t="s">
        <v>349</v>
      </c>
      <c r="E145" s="4">
        <f t="shared" si="3"/>
        <v>253.09049852601157</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0.23473834098152876</v>
      </c>
      <c r="C162" s="36"/>
      <c r="D162" t="s">
        <v>355</v>
      </c>
      <c r="E162" s="115">
        <f t="shared" ref="E162:E177" ca="1" si="4">($H41*$E130)/SUMPRODUCT($H$41:$H$56,$E$130:$E$145)</f>
        <v>1.2111238057669785E-2</v>
      </c>
    </row>
    <row r="163" spans="1:9" ht="16.5" x14ac:dyDescent="0.45">
      <c r="A163" t="s">
        <v>356</v>
      </c>
      <c r="B163" s="115">
        <f t="shared" ref="B163:B171" ca="1" si="5">($H25*$B131)/SUMPRODUCT($H$24:$H$33,$B$130:$B$139)</f>
        <v>0.22573628529229051</v>
      </c>
      <c r="C163" s="4"/>
      <c r="D163" t="s">
        <v>357</v>
      </c>
      <c r="E163" s="115">
        <f t="shared" ca="1" si="4"/>
        <v>4.2592705098004696E-2</v>
      </c>
    </row>
    <row r="164" spans="1:9" ht="16.5" x14ac:dyDescent="0.45">
      <c r="A164" t="s">
        <v>358</v>
      </c>
      <c r="B164" s="115">
        <f t="shared" ca="1" si="5"/>
        <v>0.17437655578040911</v>
      </c>
      <c r="C164" s="4"/>
      <c r="D164" t="s">
        <v>359</v>
      </c>
      <c r="E164" s="115">
        <f t="shared" ca="1" si="4"/>
        <v>8.739588219156931E-2</v>
      </c>
      <c r="H164" s="116"/>
      <c r="I164" s="116"/>
    </row>
    <row r="165" spans="1:9" ht="16.5" x14ac:dyDescent="0.45">
      <c r="A165" t="s">
        <v>360</v>
      </c>
      <c r="B165" s="115">
        <f t="shared" ca="1" si="5"/>
        <v>6.5838052796357346E-3</v>
      </c>
      <c r="C165" s="4"/>
      <c r="D165" t="s">
        <v>361</v>
      </c>
      <c r="E165" s="115">
        <f t="shared" ca="1" si="4"/>
        <v>1.0847635632317928E-2</v>
      </c>
    </row>
    <row r="166" spans="1:9" ht="16.5" x14ac:dyDescent="0.45">
      <c r="A166" t="s">
        <v>362</v>
      </c>
      <c r="B166" s="115">
        <f t="shared" ca="1" si="5"/>
        <v>0</v>
      </c>
      <c r="C166" s="4"/>
      <c r="D166" t="s">
        <v>363</v>
      </c>
      <c r="E166" s="115">
        <f t="shared" ca="1" si="4"/>
        <v>0.19371500140155865</v>
      </c>
    </row>
    <row r="167" spans="1:9" ht="16.5" x14ac:dyDescent="0.45">
      <c r="A167" t="s">
        <v>364</v>
      </c>
      <c r="B167" s="115">
        <f t="shared" ca="1" si="5"/>
        <v>0</v>
      </c>
      <c r="C167" s="4"/>
      <c r="D167" t="s">
        <v>365</v>
      </c>
      <c r="E167" s="115">
        <f t="shared" ca="1" si="4"/>
        <v>8.6704794694188722E-2</v>
      </c>
    </row>
    <row r="168" spans="1:9" ht="16.5" x14ac:dyDescent="0.45">
      <c r="A168" t="s">
        <v>366</v>
      </c>
      <c r="B168" s="115">
        <f t="shared" ca="1" si="5"/>
        <v>0.26556031047421974</v>
      </c>
      <c r="C168" s="4"/>
      <c r="D168" t="s">
        <v>367</v>
      </c>
      <c r="E168" s="115">
        <f t="shared" ca="1" si="4"/>
        <v>1.9542376593548079E-2</v>
      </c>
    </row>
    <row r="169" spans="1:9" ht="16.5" x14ac:dyDescent="0.45">
      <c r="A169" t="s">
        <v>368</v>
      </c>
      <c r="B169" s="115">
        <f t="shared" ca="1" si="5"/>
        <v>8.5498706163126312E-2</v>
      </c>
      <c r="C169" s="4"/>
      <c r="D169" t="s">
        <v>369</v>
      </c>
      <c r="E169" s="115">
        <f t="shared" ca="1" si="4"/>
        <v>4.1180670752854033E-3</v>
      </c>
    </row>
    <row r="170" spans="1:9" ht="16.5" x14ac:dyDescent="0.45">
      <c r="A170" t="s">
        <v>370</v>
      </c>
      <c r="B170" s="115">
        <f t="shared" ca="1" si="5"/>
        <v>3.9306300176929765E-3</v>
      </c>
      <c r="D170" t="s">
        <v>371</v>
      </c>
      <c r="E170" s="115">
        <f t="shared" ca="1" si="4"/>
        <v>2.2705867830664698E-2</v>
      </c>
    </row>
    <row r="171" spans="1:9" ht="16.5" x14ac:dyDescent="0.45">
      <c r="A171" t="s">
        <v>372</v>
      </c>
      <c r="B171" s="115">
        <f t="shared" ca="1" si="5"/>
        <v>3.5753660110968669E-3</v>
      </c>
      <c r="D171" t="s">
        <v>373</v>
      </c>
      <c r="E171" s="115">
        <f t="shared" ca="1" si="4"/>
        <v>2.1386046803818181E-2</v>
      </c>
    </row>
    <row r="172" spans="1:9" ht="16.5" x14ac:dyDescent="0.45">
      <c r="B172" s="233">
        <f ca="1">SUM(B162:B171)</f>
        <v>1</v>
      </c>
      <c r="D172" t="s">
        <v>374</v>
      </c>
      <c r="E172" s="115">
        <f t="shared" ca="1" si="4"/>
        <v>4.8796572425178604E-2</v>
      </c>
    </row>
    <row r="173" spans="1:9" ht="16.5" x14ac:dyDescent="0.45">
      <c r="B173" s="115"/>
      <c r="D173" t="s">
        <v>375</v>
      </c>
      <c r="E173" s="115">
        <f t="shared" ca="1" si="4"/>
        <v>0.1774280370170031</v>
      </c>
    </row>
    <row r="174" spans="1:9" ht="16.5" x14ac:dyDescent="0.45">
      <c r="B174" s="115"/>
      <c r="D174" t="s">
        <v>376</v>
      </c>
      <c r="E174" s="115">
        <f t="shared" ca="1" si="4"/>
        <v>7.9544658994103706E-2</v>
      </c>
    </row>
    <row r="175" spans="1:9" ht="16.5" x14ac:dyDescent="0.45">
      <c r="B175" s="115"/>
      <c r="D175" t="s">
        <v>377</v>
      </c>
      <c r="E175" s="115">
        <f t="shared" ca="1" si="4"/>
        <v>0</v>
      </c>
    </row>
    <row r="176" spans="1:9" ht="16.5" x14ac:dyDescent="0.45">
      <c r="B176" s="115"/>
      <c r="D176" t="s">
        <v>378</v>
      </c>
      <c r="E176" s="115">
        <f t="shared" ca="1" si="4"/>
        <v>0.19028211938899028</v>
      </c>
    </row>
    <row r="177" spans="1:5" ht="16.5" x14ac:dyDescent="0.45">
      <c r="B177" s="115"/>
      <c r="D177" t="s">
        <v>379</v>
      </c>
      <c r="E177" s="115">
        <f t="shared" ca="1" si="4"/>
        <v>2.8289967960988083E-3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1185.720493834601</v>
      </c>
      <c r="C193" s="47"/>
      <c r="D193" t="s">
        <v>383</v>
      </c>
      <c r="E193" s="6">
        <f t="shared" ref="E193:E208" ca="1" si="7">$E162*$D$8</f>
        <v>26.218633377016122</v>
      </c>
    </row>
    <row r="194" spans="1:5" ht="16.5" x14ac:dyDescent="0.45">
      <c r="A194" t="s">
        <v>384</v>
      </c>
      <c r="B194" s="7">
        <f t="shared" ca="1" si="6"/>
        <v>1140.2489195159853</v>
      </c>
      <c r="D194" t="s">
        <v>385</v>
      </c>
      <c r="E194" s="6">
        <f t="shared" ca="1" si="7"/>
        <v>92.205480082422667</v>
      </c>
    </row>
    <row r="195" spans="1:5" ht="16.5" x14ac:dyDescent="0.45">
      <c r="A195" t="s">
        <v>386</v>
      </c>
      <c r="B195" s="7">
        <f t="shared" ca="1" si="6"/>
        <v>880.81842518173619</v>
      </c>
      <c r="D195" t="s">
        <v>387</v>
      </c>
      <c r="E195" s="6">
        <f t="shared" ca="1" si="7"/>
        <v>189.19623104844791</v>
      </c>
    </row>
    <row r="196" spans="1:5" ht="16.5" x14ac:dyDescent="0.45">
      <c r="A196" t="s">
        <v>388</v>
      </c>
      <c r="B196" s="7">
        <f t="shared" ca="1" si="6"/>
        <v>33.256402915852696</v>
      </c>
      <c r="D196" t="s">
        <v>389</v>
      </c>
      <c r="E196" s="6">
        <f t="shared" ca="1" si="7"/>
        <v>23.483163347704938</v>
      </c>
    </row>
    <row r="197" spans="1:5" ht="16.5" x14ac:dyDescent="0.45">
      <c r="A197" t="s">
        <v>390</v>
      </c>
      <c r="B197" s="7">
        <f t="shared" ca="1" si="6"/>
        <v>0</v>
      </c>
      <c r="D197" t="s">
        <v>391</v>
      </c>
      <c r="E197" s="6">
        <f t="shared" ca="1" si="7"/>
        <v>419.35783750524547</v>
      </c>
    </row>
    <row r="198" spans="1:5" ht="16.5" x14ac:dyDescent="0.45">
      <c r="A198" t="s">
        <v>392</v>
      </c>
      <c r="B198" s="7">
        <f t="shared" ca="1" si="6"/>
        <v>0</v>
      </c>
      <c r="D198" t="s">
        <v>393</v>
      </c>
      <c r="E198" s="6">
        <f t="shared" ca="1" si="7"/>
        <v>187.70015198213093</v>
      </c>
    </row>
    <row r="199" spans="1:5" ht="16.5" x14ac:dyDescent="0.45">
      <c r="A199" t="s">
        <v>394</v>
      </c>
      <c r="B199" s="7">
        <f t="shared" ca="1" si="6"/>
        <v>1341.4097635764551</v>
      </c>
      <c r="D199" t="s">
        <v>395</v>
      </c>
      <c r="E199" s="6">
        <f t="shared" ca="1" si="7"/>
        <v>42.305700274576196</v>
      </c>
    </row>
    <row r="200" spans="1:5" ht="16.5" x14ac:dyDescent="0.45">
      <c r="A200" t="s">
        <v>396</v>
      </c>
      <c r="B200" s="7">
        <f t="shared" ca="1" si="6"/>
        <v>431.87477456841549</v>
      </c>
      <c r="D200" t="s">
        <v>397</v>
      </c>
      <c r="E200" s="6">
        <f t="shared" ca="1" si="7"/>
        <v>8.9148681872778415</v>
      </c>
    </row>
    <row r="201" spans="1:5" ht="16.5" x14ac:dyDescent="0.45">
      <c r="A201" t="s">
        <v>398</v>
      </c>
      <c r="B201" s="7">
        <f t="shared" ca="1" si="6"/>
        <v>19.854568904986685</v>
      </c>
      <c r="D201" t="s">
        <v>399</v>
      </c>
      <c r="E201" s="6">
        <f t="shared" ca="1" si="7"/>
        <v>49.15408493536966</v>
      </c>
    </row>
    <row r="202" spans="1:5" ht="16.5" x14ac:dyDescent="0.45">
      <c r="A202" t="s">
        <v>400</v>
      </c>
      <c r="B202" s="7">
        <f t="shared" ca="1" si="6"/>
        <v>18.060043939097348</v>
      </c>
      <c r="D202" t="s">
        <v>401</v>
      </c>
      <c r="E202" s="6">
        <f t="shared" ca="1" si="7"/>
        <v>46.296911832059067</v>
      </c>
    </row>
    <row r="203" spans="1:5" ht="16.5" x14ac:dyDescent="0.45">
      <c r="B203" s="7">
        <f ca="1">SUM(B193:B202)</f>
        <v>5051.2433924371308</v>
      </c>
      <c r="D203" t="s">
        <v>402</v>
      </c>
      <c r="E203" s="6">
        <f t="shared" ca="1" si="7"/>
        <v>105.63572744411286</v>
      </c>
    </row>
    <row r="204" spans="1:5" ht="16.5" x14ac:dyDescent="0.45">
      <c r="B204" s="7"/>
      <c r="D204" t="s">
        <v>403</v>
      </c>
      <c r="E204" s="6">
        <f t="shared" ca="1" si="7"/>
        <v>384.09951412081188</v>
      </c>
    </row>
    <row r="205" spans="1:5" ht="16.5" x14ac:dyDescent="0.45">
      <c r="B205" s="7"/>
      <c r="D205" t="s">
        <v>404</v>
      </c>
      <c r="E205" s="6">
        <f t="shared" ca="1" si="7"/>
        <v>172.19975706327051</v>
      </c>
    </row>
    <row r="206" spans="1:5" ht="16.5" x14ac:dyDescent="0.45">
      <c r="B206" s="7"/>
      <c r="D206" t="s">
        <v>405</v>
      </c>
      <c r="E206" s="6">
        <f t="shared" ca="1" si="7"/>
        <v>0</v>
      </c>
    </row>
    <row r="207" spans="1:5" ht="16.5" x14ac:dyDescent="0.45">
      <c r="B207" s="7"/>
      <c r="D207" t="s">
        <v>406</v>
      </c>
      <c r="E207" s="6">
        <f t="shared" ca="1" si="7"/>
        <v>411.92627068395882</v>
      </c>
    </row>
    <row r="208" spans="1:5" ht="16.5" x14ac:dyDescent="0.45">
      <c r="B208" s="7"/>
      <c r="D208" t="s">
        <v>407</v>
      </c>
      <c r="E208" s="6">
        <f t="shared" ca="1" si="7"/>
        <v>6.1242648743656796</v>
      </c>
    </row>
    <row r="209" spans="1:5" x14ac:dyDescent="0.35">
      <c r="B209" s="7"/>
      <c r="E209" s="6">
        <f ca="1">SUM(E193:E208)</f>
        <v>2164.8185967587706</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6.1424310192484448</v>
      </c>
      <c r="D226" s="121"/>
      <c r="E226" s="8"/>
      <c r="F226" s="8"/>
      <c r="G226" s="122"/>
      <c r="H226" s="48" t="s">
        <v>415</v>
      </c>
      <c r="I226" s="48" t="str">
        <f t="shared" ref="I226:I241" si="8">B41</f>
        <v>NTS MG 1</v>
      </c>
      <c r="J226" s="12">
        <f ca="1">IFERROR($E193/$H41*1000000," ")</f>
        <v>3.1724464014578522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4.1873822471732138</v>
      </c>
      <c r="D227" s="121"/>
      <c r="E227" s="8"/>
      <c r="F227" s="8"/>
      <c r="G227" s="122"/>
      <c r="H227" s="48" t="s">
        <v>417</v>
      </c>
      <c r="I227" s="48" t="str">
        <f t="shared" si="8"/>
        <v>NTS MG 2</v>
      </c>
      <c r="J227" s="12">
        <f t="shared" ref="J227:J241" ca="1" si="11">IFERROR($E194/$H42*1000000," ")</f>
        <v>4.0358750368329401</v>
      </c>
      <c r="L227" s="21"/>
      <c r="M227" s="123"/>
      <c r="Q227" s="8"/>
      <c r="R227" s="124"/>
      <c r="S227" s="125"/>
      <c r="T227" s="125"/>
      <c r="U227" s="125"/>
    </row>
    <row r="228" spans="1:22" ht="16.5" x14ac:dyDescent="0.35">
      <c r="A228" s="48" t="s">
        <v>418</v>
      </c>
      <c r="B228" s="48" t="str">
        <f t="shared" si="9"/>
        <v>PR-ITABORAÍ</v>
      </c>
      <c r="C228" s="12">
        <f t="shared" ca="1" si="10"/>
        <v>4.8163566780910729</v>
      </c>
      <c r="D228" s="121"/>
      <c r="E228" s="8"/>
      <c r="F228" s="8"/>
      <c r="G228" s="122"/>
      <c r="H228" s="48" t="s">
        <v>419</v>
      </c>
      <c r="I228" s="48" t="str">
        <f t="shared" si="8"/>
        <v>NTS MG 3</v>
      </c>
      <c r="J228" s="12">
        <f t="shared" ca="1" si="11"/>
        <v>5.077040373268753</v>
      </c>
      <c r="L228" s="21"/>
      <c r="M228" s="123"/>
      <c r="Q228" s="8"/>
      <c r="R228" s="124"/>
      <c r="S228" s="125"/>
      <c r="T228" s="125"/>
      <c r="U228" s="125"/>
    </row>
    <row r="229" spans="1:22" ht="16.5" x14ac:dyDescent="0.35">
      <c r="A229" s="48" t="s">
        <v>420</v>
      </c>
      <c r="B229" s="48" t="str">
        <f t="shared" si="9"/>
        <v>PR-GASPAJ (INTERCONEXÃO)</v>
      </c>
      <c r="C229" s="12">
        <f t="shared" ca="1" si="10"/>
        <v>7.2912736802512716</v>
      </c>
      <c r="D229" s="121"/>
      <c r="E229" s="8"/>
      <c r="F229" s="8"/>
      <c r="G229" s="122"/>
      <c r="H229" s="48" t="s">
        <v>421</v>
      </c>
      <c r="I229" s="48" t="str">
        <f t="shared" si="8"/>
        <v>NTS MG 4</v>
      </c>
      <c r="J229" s="12">
        <f t="shared" ca="1" si="11"/>
        <v>5.1485475226950657</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1.7310456425950687</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1.6400163297357471</v>
      </c>
      <c r="L231" s="21"/>
      <c r="M231" s="123"/>
      <c r="Q231" s="8"/>
      <c r="R231" s="124"/>
      <c r="S231" s="125"/>
      <c r="T231" s="125"/>
      <c r="U231" s="125"/>
    </row>
    <row r="232" spans="1:22" ht="16.5" x14ac:dyDescent="0.35">
      <c r="A232" s="48" t="s">
        <v>426</v>
      </c>
      <c r="B232" s="48" t="str">
        <f t="shared" si="9"/>
        <v>PR-TECAB</v>
      </c>
      <c r="C232" s="12">
        <f t="shared" ca="1" si="10"/>
        <v>6.6322630155041526</v>
      </c>
      <c r="D232" s="121"/>
      <c r="E232" s="8"/>
      <c r="F232" s="8"/>
      <c r="G232" s="122"/>
      <c r="H232" s="48" t="s">
        <v>427</v>
      </c>
      <c r="I232" s="48" t="str">
        <f t="shared" si="8"/>
        <v>NTS RJ 3</v>
      </c>
      <c r="J232" s="12">
        <f t="shared" ca="1" si="11"/>
        <v>1.8128463828864947</v>
      </c>
      <c r="L232" s="21"/>
      <c r="M232" s="123"/>
      <c r="Q232" s="8"/>
      <c r="R232" s="124"/>
      <c r="S232" s="125"/>
      <c r="T232" s="125"/>
      <c r="U232" s="125"/>
    </row>
    <row r="233" spans="1:22" ht="16.5" x14ac:dyDescent="0.35">
      <c r="A233" s="48" t="s">
        <v>428</v>
      </c>
      <c r="B233" s="48" t="str">
        <f t="shared" si="9"/>
        <v>PR-GUARAREMA (INTERCONEXÃO)</v>
      </c>
      <c r="C233" s="12">
        <f t="shared" ca="1" si="10"/>
        <v>5.2866373680270895</v>
      </c>
      <c r="D233" s="121"/>
      <c r="E233" s="8"/>
      <c r="F233" s="8"/>
      <c r="G233" s="122"/>
      <c r="H233" s="48" t="s">
        <v>429</v>
      </c>
      <c r="I233" s="48" t="str">
        <f t="shared" si="8"/>
        <v>NTS RJ 4</v>
      </c>
      <c r="J233" s="12">
        <f t="shared" ca="1" si="11"/>
        <v>2.0271474416844404</v>
      </c>
      <c r="L233" s="21"/>
      <c r="M233" s="123"/>
      <c r="Q233" s="8"/>
      <c r="R233" s="124"/>
      <c r="S233" s="125"/>
      <c r="T233" s="125"/>
      <c r="U233" s="125"/>
    </row>
    <row r="234" spans="1:22" ht="16.5" x14ac:dyDescent="0.35">
      <c r="A234" s="48" t="s">
        <v>430</v>
      </c>
      <c r="B234" s="48" t="str">
        <f t="shared" si="9"/>
        <v>PR-REPLAN (INTERCONEXÃO)</v>
      </c>
      <c r="C234" s="12">
        <f t="shared" ca="1" si="10"/>
        <v>7.2912736802512716</v>
      </c>
      <c r="D234" s="116"/>
      <c r="E234" s="8"/>
      <c r="F234" s="8"/>
      <c r="G234" s="116"/>
      <c r="H234" s="48" t="s">
        <v>431</v>
      </c>
      <c r="I234" s="48" t="str">
        <f t="shared" si="8"/>
        <v>NTS RJ 5</v>
      </c>
      <c r="J234" s="12">
        <f t="shared" ca="1" si="11"/>
        <v>1.6965275857355424</v>
      </c>
      <c r="L234" s="21"/>
      <c r="Q234" s="8"/>
      <c r="R234" s="124"/>
      <c r="S234" s="125"/>
      <c r="T234" s="125"/>
      <c r="U234" s="125"/>
    </row>
    <row r="235" spans="1:22" ht="16.5" x14ac:dyDescent="0.35">
      <c r="A235" s="48" t="s">
        <v>432</v>
      </c>
      <c r="B235" s="48" t="str">
        <f t="shared" si="9"/>
        <v>PR-TECAB (INTERCONEXÃO)</v>
      </c>
      <c r="C235" s="12">
        <f t="shared" ca="1" si="10"/>
        <v>6.6322630155041535</v>
      </c>
      <c r="D235" s="116"/>
      <c r="E235" s="8"/>
      <c r="F235" s="8"/>
      <c r="G235" s="116"/>
      <c r="H235" s="48" t="s">
        <v>433</v>
      </c>
      <c r="I235" s="48" t="str">
        <f t="shared" si="8"/>
        <v>NTS SP 1</v>
      </c>
      <c r="J235" s="12">
        <f t="shared" ca="1" si="11"/>
        <v>2.7488766809993535</v>
      </c>
      <c r="L235" s="21"/>
      <c r="Q235" s="8"/>
      <c r="R235" s="124"/>
      <c r="S235" s="125"/>
      <c r="T235" s="125"/>
      <c r="U235" s="125"/>
    </row>
    <row r="236" spans="1:22" ht="16.5" x14ac:dyDescent="0.35">
      <c r="D236" s="116"/>
      <c r="E236" s="8"/>
      <c r="F236" s="8"/>
      <c r="G236" s="116"/>
      <c r="H236" s="48" t="s">
        <v>434</v>
      </c>
      <c r="I236" s="48" t="str">
        <f t="shared" si="8"/>
        <v>NTS SP 2</v>
      </c>
      <c r="J236" s="12">
        <f t="shared" ca="1" si="11"/>
        <v>2.6105676744949817</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3.5400782739271048</v>
      </c>
      <c r="L237" s="21"/>
      <c r="Q237" s="8"/>
      <c r="R237" s="124"/>
      <c r="S237" s="125"/>
      <c r="T237" s="125"/>
      <c r="U237" s="125"/>
    </row>
    <row r="238" spans="1:22" ht="16.5" x14ac:dyDescent="0.35">
      <c r="D238" s="116"/>
      <c r="E238" s="8"/>
      <c r="F238" s="8"/>
      <c r="G238" s="116"/>
      <c r="H238" s="48" t="s">
        <v>436</v>
      </c>
      <c r="I238" s="48" t="str">
        <f t="shared" si="8"/>
        <v>NTS SP 4</v>
      </c>
      <c r="J238" s="12">
        <f t="shared" ca="1" si="11"/>
        <v>3.8547768113733447</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4.3153145410909692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2.2490385715770738</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1.2284862038496887</v>
      </c>
      <c r="D245" s="12">
        <f t="shared" ref="D245:D254" si="13">$F$7*$C$11</f>
        <v>4.2889908689017338</v>
      </c>
      <c r="E245" s="12">
        <f ca="1">IFERROR(C245+D245," ")</f>
        <v>5.5174770727514222</v>
      </c>
      <c r="G245" s="123"/>
      <c r="H245" s="48" t="s">
        <v>415</v>
      </c>
      <c r="I245" s="48" t="str">
        <f t="shared" ref="I245:I260" si="14">I226</f>
        <v>NTS MG 1</v>
      </c>
      <c r="J245" s="12">
        <f ca="1">IF(H41=0," ",J226*(1-$C$11))</f>
        <v>0.63448928029157026</v>
      </c>
      <c r="K245" s="12">
        <f t="shared" ref="K245:K260" si="15">$F$10*$C$11</f>
        <v>2.17840446150948</v>
      </c>
      <c r="L245" s="12">
        <f ca="1">IFERROR(J245+K245," ")</f>
        <v>2.8128937418010502</v>
      </c>
    </row>
    <row r="246" spans="1:22" ht="16.5" x14ac:dyDescent="0.35">
      <c r="A246" s="48" t="s">
        <v>416</v>
      </c>
      <c r="B246" s="48" t="str">
        <f t="shared" si="12"/>
        <v>PR-GNLBGB</v>
      </c>
      <c r="C246" s="12">
        <f t="shared" ref="C246:C254" ca="1" si="16">IF(H25=0," ",C227*(1-$C$11))</f>
        <v>0.83747644943464261</v>
      </c>
      <c r="D246" s="12">
        <f t="shared" si="13"/>
        <v>4.2889908689017338</v>
      </c>
      <c r="E246" s="12">
        <f t="shared" ref="E246:E254" ca="1" si="17">IFERROR(C246+D246," ")</f>
        <v>5.1264673183363767</v>
      </c>
      <c r="G246" s="123"/>
      <c r="H246" s="48" t="s">
        <v>417</v>
      </c>
      <c r="I246" s="48" t="str">
        <f t="shared" si="14"/>
        <v>NTS MG 2</v>
      </c>
      <c r="J246" s="12">
        <f t="shared" ref="J246:J247" ca="1" si="18">IF(H42=0," ",J227*(1-$C$11))</f>
        <v>0.80717500736658787</v>
      </c>
      <c r="K246" s="12">
        <f t="shared" si="15"/>
        <v>2.17840446150948</v>
      </c>
      <c r="L246" s="12">
        <f t="shared" ref="L246:L260" ca="1" si="19">IFERROR(J246+K246," ")</f>
        <v>2.9855794688760677</v>
      </c>
    </row>
    <row r="247" spans="1:22" ht="16.5" x14ac:dyDescent="0.35">
      <c r="A247" s="48" t="s">
        <v>418</v>
      </c>
      <c r="B247" s="48" t="str">
        <f t="shared" si="12"/>
        <v>PR-ITABORAÍ</v>
      </c>
      <c r="C247" s="12">
        <f t="shared" ca="1" si="16"/>
        <v>0.96327133561821432</v>
      </c>
      <c r="D247" s="12">
        <f t="shared" si="13"/>
        <v>4.2889908689017338</v>
      </c>
      <c r="E247" s="12">
        <f t="shared" ca="1" si="17"/>
        <v>5.2522622045199476</v>
      </c>
      <c r="G247" s="123"/>
      <c r="H247" s="48" t="s">
        <v>419</v>
      </c>
      <c r="I247" s="48" t="str">
        <f t="shared" si="14"/>
        <v>NTS MG 3</v>
      </c>
      <c r="J247" s="12">
        <f t="shared" ca="1" si="18"/>
        <v>1.0154080746537504</v>
      </c>
      <c r="K247" s="12">
        <f t="shared" si="15"/>
        <v>2.17840446150948</v>
      </c>
      <c r="L247" s="12">
        <f t="shared" ca="1" si="19"/>
        <v>3.1938125361632306</v>
      </c>
    </row>
    <row r="248" spans="1:22" ht="16.5" x14ac:dyDescent="0.35">
      <c r="A248" s="48" t="s">
        <v>420</v>
      </c>
      <c r="B248" s="48" t="str">
        <f t="shared" si="12"/>
        <v>PR-GASPAJ (INTERCONEXÃO)</v>
      </c>
      <c r="C248" s="12">
        <f t="shared" ca="1" si="16"/>
        <v>1.458254736050254</v>
      </c>
      <c r="D248" s="12">
        <f t="shared" si="13"/>
        <v>4.2889908689017338</v>
      </c>
      <c r="E248" s="12">
        <f t="shared" ca="1" si="17"/>
        <v>5.7472456049519876</v>
      </c>
      <c r="G248" s="123"/>
      <c r="H248" s="48" t="s">
        <v>421</v>
      </c>
      <c r="I248" s="48" t="str">
        <f t="shared" si="14"/>
        <v>NTS MG 4</v>
      </c>
      <c r="J248" s="12">
        <f ca="1">IF(H44=0," ",J229*(1-$C$11))</f>
        <v>1.029709504539013</v>
      </c>
      <c r="K248" s="12">
        <f t="shared" si="15"/>
        <v>2.17840446150948</v>
      </c>
      <c r="L248" s="12">
        <f t="shared" ca="1" si="19"/>
        <v>3.2081139660484927</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0.34620912851901364</v>
      </c>
      <c r="K249" s="12">
        <f t="shared" si="15"/>
        <v>2.17840446150948</v>
      </c>
      <c r="L249" s="12">
        <f t="shared" ca="1" si="19"/>
        <v>2.5246135900284936</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0.32800326594714935</v>
      </c>
      <c r="K250" s="12">
        <f t="shared" si="15"/>
        <v>2.17840446150948</v>
      </c>
      <c r="L250" s="12">
        <f t="shared" ca="1" si="19"/>
        <v>2.5064077274566294</v>
      </c>
    </row>
    <row r="251" spans="1:22" ht="16.5" x14ac:dyDescent="0.35">
      <c r="A251" s="48" t="s">
        <v>426</v>
      </c>
      <c r="B251" s="48" t="str">
        <f t="shared" si="12"/>
        <v>PR-TECAB</v>
      </c>
      <c r="C251" s="12">
        <f t="shared" ca="1" si="16"/>
        <v>1.3264526031008301</v>
      </c>
      <c r="D251" s="12">
        <f t="shared" si="13"/>
        <v>4.2889908689017338</v>
      </c>
      <c r="E251" s="12">
        <f t="shared" ca="1" si="17"/>
        <v>5.6154434720025641</v>
      </c>
      <c r="G251" s="123"/>
      <c r="H251" s="48" t="s">
        <v>427</v>
      </c>
      <c r="I251" s="48" t="str">
        <f t="shared" si="14"/>
        <v>NTS RJ 3</v>
      </c>
      <c r="J251" s="12">
        <f t="shared" ca="1" si="20"/>
        <v>0.36256927657729887</v>
      </c>
      <c r="K251" s="12">
        <f t="shared" si="15"/>
        <v>2.17840446150948</v>
      </c>
      <c r="L251" s="12">
        <f t="shared" ca="1" si="19"/>
        <v>2.540973738086779</v>
      </c>
    </row>
    <row r="252" spans="1:22" ht="16.5" x14ac:dyDescent="0.35">
      <c r="A252" s="48" t="s">
        <v>428</v>
      </c>
      <c r="B252" s="48" t="str">
        <f t="shared" si="12"/>
        <v>PR-GUARAREMA (INTERCONEXÃO)</v>
      </c>
      <c r="C252" s="12">
        <f t="shared" ca="1" si="16"/>
        <v>1.0573274736054177</v>
      </c>
      <c r="D252" s="12">
        <f t="shared" si="13"/>
        <v>4.2889908689017338</v>
      </c>
      <c r="E252" s="12">
        <f t="shared" ca="1" si="17"/>
        <v>5.3463183425071517</v>
      </c>
      <c r="G252" s="123"/>
      <c r="H252" s="48" t="s">
        <v>429</v>
      </c>
      <c r="I252" s="48" t="str">
        <f t="shared" si="14"/>
        <v>NTS RJ 4</v>
      </c>
      <c r="J252" s="12">
        <f t="shared" ca="1" si="20"/>
        <v>0.40542948833688797</v>
      </c>
      <c r="K252" s="12">
        <f t="shared" si="15"/>
        <v>2.17840446150948</v>
      </c>
      <c r="L252" s="12">
        <f t="shared" ca="1" si="19"/>
        <v>2.583833949846368</v>
      </c>
    </row>
    <row r="253" spans="1:22" ht="16.5" x14ac:dyDescent="0.35">
      <c r="A253" s="48" t="s">
        <v>430</v>
      </c>
      <c r="B253" s="48" t="str">
        <f t="shared" si="12"/>
        <v>PR-REPLAN (INTERCONEXÃO)</v>
      </c>
      <c r="C253" s="12">
        <f t="shared" ca="1" si="16"/>
        <v>1.458254736050254</v>
      </c>
      <c r="D253" s="12">
        <f t="shared" si="13"/>
        <v>4.2889908689017338</v>
      </c>
      <c r="E253" s="12">
        <f t="shared" ca="1" si="17"/>
        <v>5.7472456049519876</v>
      </c>
      <c r="G253" s="123"/>
      <c r="H253" s="48" t="s">
        <v>431</v>
      </c>
      <c r="I253" s="48" t="str">
        <f t="shared" si="14"/>
        <v>NTS RJ 5</v>
      </c>
      <c r="J253" s="12">
        <f t="shared" ca="1" si="20"/>
        <v>0.33930551714710838</v>
      </c>
      <c r="K253" s="12">
        <f t="shared" si="15"/>
        <v>2.17840446150948</v>
      </c>
      <c r="L253" s="12">
        <f t="shared" ca="1" si="19"/>
        <v>2.5177099786565882</v>
      </c>
    </row>
    <row r="254" spans="1:22" ht="16.5" x14ac:dyDescent="0.35">
      <c r="A254" s="48" t="s">
        <v>432</v>
      </c>
      <c r="B254" s="48" t="str">
        <f t="shared" si="12"/>
        <v>PR-TECAB (INTERCONEXÃO)</v>
      </c>
      <c r="C254" s="12">
        <f t="shared" ca="1" si="16"/>
        <v>1.3264526031008304</v>
      </c>
      <c r="D254" s="12">
        <f t="shared" si="13"/>
        <v>4.2889908689017338</v>
      </c>
      <c r="E254" s="12">
        <f t="shared" ca="1" si="17"/>
        <v>5.6154434720025641</v>
      </c>
      <c r="G254" s="123"/>
      <c r="H254" s="48" t="s">
        <v>433</v>
      </c>
      <c r="I254" s="48" t="str">
        <f t="shared" si="14"/>
        <v>NTS SP 1</v>
      </c>
      <c r="J254" s="12">
        <f t="shared" ca="1" si="20"/>
        <v>0.54977533619987062</v>
      </c>
      <c r="K254" s="12">
        <f t="shared" si="15"/>
        <v>2.17840446150948</v>
      </c>
      <c r="L254" s="12">
        <f t="shared" ca="1" si="19"/>
        <v>2.7281797977093505</v>
      </c>
    </row>
    <row r="255" spans="1:22" ht="16.5" x14ac:dyDescent="0.35">
      <c r="H255" s="48" t="s">
        <v>434</v>
      </c>
      <c r="I255" s="48" t="str">
        <f t="shared" si="14"/>
        <v>NTS SP 2</v>
      </c>
      <c r="J255" s="12">
        <f t="shared" ca="1" si="20"/>
        <v>0.52211353489899626</v>
      </c>
      <c r="K255" s="12">
        <f t="shared" si="15"/>
        <v>2.17840446150948</v>
      </c>
      <c r="L255" s="12">
        <f t="shared" ca="1" si="19"/>
        <v>2.7005179964084762</v>
      </c>
    </row>
    <row r="256" spans="1:22" ht="16.5" x14ac:dyDescent="0.35">
      <c r="H256" s="48" t="s">
        <v>435</v>
      </c>
      <c r="I256" s="48" t="str">
        <f t="shared" si="14"/>
        <v>NTS SP 3</v>
      </c>
      <c r="J256" s="12">
        <f t="shared" ca="1" si="20"/>
        <v>0.70801565478542083</v>
      </c>
      <c r="K256" s="12">
        <f t="shared" si="15"/>
        <v>2.17840446150948</v>
      </c>
      <c r="L256" s="12">
        <f t="shared" ca="1" si="19"/>
        <v>2.886420116294901</v>
      </c>
    </row>
    <row r="257" spans="1:13" ht="16.5" x14ac:dyDescent="0.35">
      <c r="H257" s="48" t="s">
        <v>436</v>
      </c>
      <c r="I257" s="48" t="str">
        <f t="shared" si="14"/>
        <v>NTS SP 4</v>
      </c>
      <c r="J257" s="12">
        <f t="shared" ca="1" si="20"/>
        <v>0.77095536227466877</v>
      </c>
      <c r="K257" s="12">
        <f t="shared" si="15"/>
        <v>2.17840446150948</v>
      </c>
      <c r="L257" s="12">
        <f t="shared" ca="1" si="19"/>
        <v>2.9493598237841487</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0.86306290821819365</v>
      </c>
      <c r="K259" s="12">
        <f t="shared" si="15"/>
        <v>2.17840446150948</v>
      </c>
      <c r="L259" s="12">
        <f t="shared" ca="1" si="19"/>
        <v>3.0414673697276737</v>
      </c>
    </row>
    <row r="260" spans="1:13" ht="16.5" x14ac:dyDescent="0.35">
      <c r="H260" s="48" t="s">
        <v>439</v>
      </c>
      <c r="I260" s="48" t="str">
        <f t="shared" si="14"/>
        <v>PE-TECAB (INTERCONEXÃO)</v>
      </c>
      <c r="J260" s="12">
        <f t="shared" ca="1" si="20"/>
        <v>0.44980771431541466</v>
      </c>
      <c r="K260" s="12">
        <f t="shared" si="15"/>
        <v>2.17840446150948</v>
      </c>
      <c r="L260" s="12">
        <f t="shared" ca="1" si="19"/>
        <v>2.6282121758248946</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(Legados)'!H11</f>
        <v>200</v>
      </c>
      <c r="D267" s="265">
        <f ca="1">E253</f>
        <v>5.7472456049519876</v>
      </c>
      <c r="E267" s="268">
        <f ca="1">D267*(1-$C$262)</f>
        <v>0.5747245604951986</v>
      </c>
      <c r="F267" s="266">
        <f ca="1">C267*E267*'Premissas (Legados)'!$C$44*'Premissas (Legados)'!$F$20*1000</f>
        <v>1565008.9254840408</v>
      </c>
      <c r="L267" s="128"/>
    </row>
    <row r="268" spans="1:13" ht="18.5" x14ac:dyDescent="0.45">
      <c r="B268" s="247" t="s">
        <v>451</v>
      </c>
      <c r="C268" s="271">
        <f>'Oferta (Legados)'!H10</f>
        <v>6000</v>
      </c>
      <c r="D268" s="265">
        <f ca="1">E252</f>
        <v>5.3463183425071517</v>
      </c>
      <c r="E268" s="268">
        <f t="shared" ref="E268:E270" ca="1" si="21">D268*(1-$C$262)</f>
        <v>0.53463183425071503</v>
      </c>
      <c r="F268" s="266">
        <f ca="1">C268*E268*'Premissas (Legados)'!$C$44*'Premissas (Legados)'!$F$20*1000</f>
        <v>43675021.91289752</v>
      </c>
      <c r="G268" s="129"/>
      <c r="K268" s="129"/>
      <c r="L268" s="128"/>
    </row>
    <row r="269" spans="1:13" ht="18.5" x14ac:dyDescent="0.45">
      <c r="B269" s="248" t="s">
        <v>452</v>
      </c>
      <c r="C269" s="271">
        <f>'Oferta (Legados)'!H12</f>
        <v>200</v>
      </c>
      <c r="D269" s="265">
        <f ca="1">E254</f>
        <v>5.6154434720025641</v>
      </c>
      <c r="E269" s="268">
        <f t="shared" ca="1" si="21"/>
        <v>0.56154434720025626</v>
      </c>
      <c r="F269" s="266">
        <f ca="1">C269*E269*'Premissas (Legados)'!$C$44*'Premissas (Legados)'!$F$20*1000</f>
        <v>1529118.4261662541</v>
      </c>
      <c r="K269" s="129"/>
      <c r="L269" s="128"/>
    </row>
    <row r="270" spans="1:13" ht="18.5" x14ac:dyDescent="0.45">
      <c r="B270" s="248" t="s">
        <v>243</v>
      </c>
      <c r="C270" s="271">
        <f>'Oferta (Legados)'!H6</f>
        <v>335</v>
      </c>
      <c r="D270" s="265">
        <f ca="1">E248</f>
        <v>5.7472456049519876</v>
      </c>
      <c r="E270" s="268">
        <f t="shared" ca="1" si="21"/>
        <v>0.5747245604951986</v>
      </c>
      <c r="F270" s="266">
        <f ca="1">C270*E270*'Premissas (Legados)'!$C$44*'Premissas (Legados)'!$F$20*1000</f>
        <v>2621389.9501857678</v>
      </c>
      <c r="K270" s="129"/>
      <c r="L270" s="128"/>
    </row>
    <row r="271" spans="1:13" ht="18.5" x14ac:dyDescent="0.45">
      <c r="B271" s="246" t="s">
        <v>453</v>
      </c>
      <c r="C271" s="271">
        <f>'Demanda (Legados)'!H17</f>
        <v>7011</v>
      </c>
      <c r="D271" s="265">
        <f ca="1">L259</f>
        <v>3.0414673697276737</v>
      </c>
      <c r="E271" s="268">
        <f ca="1">D271*(1-$C$262)</f>
        <v>0.30414673697276728</v>
      </c>
      <c r="F271" s="266">
        <f ca="1">C271*E271*'Premissas (Legados)'!$C$44*'Premissas (Legados)'!$F$20*1000</f>
        <v>29032885.067565199</v>
      </c>
      <c r="K271" s="129"/>
      <c r="L271" s="128"/>
    </row>
    <row r="272" spans="1:13" ht="18.5" x14ac:dyDescent="0.45">
      <c r="B272" s="248" t="s">
        <v>454</v>
      </c>
      <c r="C272" s="271">
        <f>'Demanda (Legados)'!H18</f>
        <v>200</v>
      </c>
      <c r="D272" s="265">
        <f ca="1">L260</f>
        <v>2.6282121758248946</v>
      </c>
      <c r="E272" s="268">
        <f ca="1">D272*(1-$C$262)</f>
        <v>0.26282121758248939</v>
      </c>
      <c r="F272" s="266">
        <f ca="1">C272*E272*'Premissas (Legados)'!$C$44*'Premissas (Legados)'!$F$20*1000</f>
        <v>715677.69953797746</v>
      </c>
      <c r="K272" s="129"/>
      <c r="L272" s="128"/>
    </row>
    <row r="273" spans="2:13" ht="19" thickBot="1" x14ac:dyDescent="0.5">
      <c r="B273" s="248"/>
      <c r="C273" s="248"/>
      <c r="D273" s="248"/>
      <c r="E273" s="248"/>
      <c r="F273" s="267">
        <f ca="1">SUM(F267:F272)</f>
        <v>79139101.981836751</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2E0F-622A-4250-8C06-DE00C30D076B}">
  <sheetPr>
    <tabColor theme="5"/>
  </sheetPr>
  <dimension ref="A1:AJ38"/>
  <sheetViews>
    <sheetView showGridLines="0" topLeftCell="A13" zoomScaleNormal="100" workbookViewId="0">
      <selection activeCell="E26" sqref="E26"/>
    </sheetView>
  </sheetViews>
  <sheetFormatPr defaultColWidth="8.81640625" defaultRowHeight="13" x14ac:dyDescent="0.3"/>
  <cols>
    <col min="1" max="1" width="50.26953125" style="139" customWidth="1"/>
    <col min="2" max="2" width="11.1796875" style="139" customWidth="1"/>
    <col min="3" max="3" width="13.453125" style="139" customWidth="1"/>
    <col min="4" max="4" width="14" style="139" bestFit="1" customWidth="1"/>
    <col min="5" max="5" width="12" style="139" customWidth="1"/>
    <col min="6" max="6" width="11.1796875" style="139" customWidth="1"/>
    <col min="7" max="32" width="9.81640625" style="139" hidden="1" customWidth="1"/>
    <col min="33" max="33" width="11" style="139" bestFit="1" customWidth="1"/>
    <col min="34" max="34" width="12.1796875" style="139" bestFit="1" customWidth="1"/>
    <col min="35" max="35" width="8.81640625" style="139"/>
    <col min="36" max="36" width="29.81640625" style="139" bestFit="1" customWidth="1"/>
    <col min="37" max="16384" width="8.81640625" style="139"/>
  </cols>
  <sheetData>
    <row r="1" spans="1:36" s="137" customFormat="1" x14ac:dyDescent="0.3">
      <c r="A1" s="136"/>
    </row>
    <row r="2" spans="1:36" x14ac:dyDescent="0.3">
      <c r="A2" s="138"/>
    </row>
    <row r="3" spans="1:36" s="137" customFormat="1" ht="20.25" customHeight="1" x14ac:dyDescent="0.3">
      <c r="A3" s="409" t="s">
        <v>0</v>
      </c>
      <c r="B3" s="410"/>
      <c r="C3" s="410"/>
      <c r="D3" s="410"/>
      <c r="E3" s="410"/>
      <c r="F3" s="410"/>
      <c r="AG3" s="139"/>
    </row>
    <row r="4" spans="1:36" s="137" customFormat="1" ht="15" customHeight="1" x14ac:dyDescent="0.3">
      <c r="AG4" s="139"/>
    </row>
    <row r="5" spans="1:36" s="137" customFormat="1" ht="15" customHeight="1" x14ac:dyDescent="0.3">
      <c r="A5" s="140" t="s">
        <v>1</v>
      </c>
      <c r="B5" s="142">
        <v>2021</v>
      </c>
      <c r="C5" s="142">
        <f>B5+1</f>
        <v>2022</v>
      </c>
      <c r="D5" s="142">
        <f>C5+1</f>
        <v>2023</v>
      </c>
      <c r="E5" s="142">
        <f>D5+1</f>
        <v>2024</v>
      </c>
      <c r="F5" s="141">
        <f>E5+1</f>
        <v>2025</v>
      </c>
      <c r="AG5" s="139"/>
    </row>
    <row r="6" spans="1:36" s="143" customFormat="1" ht="15" customHeight="1" x14ac:dyDescent="0.3">
      <c r="A6" s="139"/>
      <c r="AJ6" s="139"/>
    </row>
    <row r="7" spans="1:36" s="143" customFormat="1" ht="15" customHeight="1" x14ac:dyDescent="0.3">
      <c r="A7" s="144" t="s">
        <v>2</v>
      </c>
      <c r="B7" s="145"/>
      <c r="C7" s="145"/>
      <c r="D7" s="145"/>
      <c r="E7" s="145"/>
      <c r="F7" s="145"/>
      <c r="AJ7" s="139"/>
    </row>
    <row r="8" spans="1:36" s="143" customFormat="1" ht="15" customHeight="1" x14ac:dyDescent="0.3">
      <c r="A8" s="146" t="s">
        <v>3</v>
      </c>
      <c r="B8" s="147">
        <v>0.8</v>
      </c>
      <c r="C8" s="147">
        <v>0.8</v>
      </c>
      <c r="D8" s="148">
        <v>0.8</v>
      </c>
      <c r="E8" s="148">
        <v>0.8</v>
      </c>
      <c r="F8" s="171">
        <v>0.8</v>
      </c>
    </row>
    <row r="9" spans="1:36" s="143" customFormat="1" ht="15" customHeight="1" x14ac:dyDescent="0.3">
      <c r="A9" s="146" t="s">
        <v>4</v>
      </c>
      <c r="B9" s="149">
        <f>1-B8</f>
        <v>0.19999999999999996</v>
      </c>
      <c r="C9" s="149">
        <f>1-C8</f>
        <v>0.19999999999999996</v>
      </c>
      <c r="D9" s="149">
        <f>1-D8</f>
        <v>0.19999999999999996</v>
      </c>
      <c r="E9" s="149">
        <f>1-E8</f>
        <v>0.19999999999999996</v>
      </c>
      <c r="F9" s="172">
        <f>1-F8</f>
        <v>0.19999999999999996</v>
      </c>
    </row>
    <row r="10" spans="1:36" s="143" customFormat="1" ht="15" customHeight="1" x14ac:dyDescent="0.3"/>
    <row r="11" spans="1:36" s="143" customFormat="1" ht="15" customHeight="1" x14ac:dyDescent="0.3"/>
    <row r="12" spans="1:36" s="143" customFormat="1" ht="15" customHeight="1" x14ac:dyDescent="0.3">
      <c r="A12" s="144" t="s">
        <v>5</v>
      </c>
      <c r="B12" s="145"/>
      <c r="C12" s="145"/>
      <c r="D12" s="145"/>
      <c r="E12" s="145"/>
      <c r="F12" s="145"/>
    </row>
    <row r="13" spans="1:36" s="143" customFormat="1" ht="15" customHeight="1" x14ac:dyDescent="0.3">
      <c r="A13" s="150" t="s">
        <v>6</v>
      </c>
      <c r="B13" s="148">
        <v>0.7</v>
      </c>
      <c r="C13" s="148">
        <v>0.7</v>
      </c>
      <c r="D13" s="148">
        <v>0.7</v>
      </c>
      <c r="E13" s="148">
        <v>0.7</v>
      </c>
      <c r="F13" s="148">
        <v>0.7</v>
      </c>
    </row>
    <row r="14" spans="1:36" s="143" customFormat="1" ht="15" customHeight="1" x14ac:dyDescent="0.3">
      <c r="A14" s="150" t="s">
        <v>7</v>
      </c>
      <c r="B14" s="151">
        <f>1-B13</f>
        <v>0.30000000000000004</v>
      </c>
      <c r="C14" s="151">
        <f>1-C13</f>
        <v>0.30000000000000004</v>
      </c>
      <c r="D14" s="151">
        <f>1-D13</f>
        <v>0.30000000000000004</v>
      </c>
      <c r="E14" s="151">
        <f>1-E13</f>
        <v>0.30000000000000004</v>
      </c>
      <c r="F14" s="151">
        <f>1-F13</f>
        <v>0.30000000000000004</v>
      </c>
    </row>
    <row r="15" spans="1:36" s="143" customFormat="1" ht="15" customHeight="1" x14ac:dyDescent="0.3"/>
    <row r="16" spans="1:36" s="137" customFormat="1" ht="15" customHeight="1" x14ac:dyDescent="0.3">
      <c r="B16" s="143"/>
      <c r="AH16" s="152"/>
    </row>
    <row r="17" spans="1:32" s="137" customFormat="1" ht="15" customHeight="1" x14ac:dyDescent="0.3">
      <c r="A17" s="144" t="s">
        <v>8</v>
      </c>
      <c r="B17" s="145"/>
      <c r="C17" s="145"/>
      <c r="D17" s="145"/>
      <c r="E17" s="145"/>
      <c r="F17" s="145"/>
      <c r="G17" s="153">
        <v>2025</v>
      </c>
      <c r="H17" s="154">
        <v>2026</v>
      </c>
      <c r="I17" s="154">
        <v>2027</v>
      </c>
      <c r="J17" s="154">
        <v>2028</v>
      </c>
      <c r="K17" s="154">
        <v>2029</v>
      </c>
      <c r="L17" s="154">
        <v>2030</v>
      </c>
      <c r="M17" s="154">
        <v>2031</v>
      </c>
      <c r="N17" s="154">
        <v>2032</v>
      </c>
      <c r="O17" s="154">
        <v>2033</v>
      </c>
      <c r="P17" s="154">
        <v>2034</v>
      </c>
      <c r="Q17" s="154">
        <v>2035</v>
      </c>
      <c r="R17" s="154">
        <v>2036</v>
      </c>
      <c r="S17" s="154">
        <v>2037</v>
      </c>
      <c r="T17" s="154">
        <v>2038</v>
      </c>
      <c r="U17" s="154">
        <v>2039</v>
      </c>
      <c r="V17" s="154">
        <v>2040</v>
      </c>
      <c r="W17" s="154">
        <v>2041</v>
      </c>
      <c r="X17" s="154">
        <v>2042</v>
      </c>
      <c r="Y17" s="154">
        <v>2043</v>
      </c>
      <c r="Z17" s="154">
        <v>2044</v>
      </c>
      <c r="AA17" s="154">
        <v>2045</v>
      </c>
      <c r="AB17" s="154">
        <v>2046</v>
      </c>
      <c r="AC17" s="154">
        <v>2047</v>
      </c>
      <c r="AD17" s="154">
        <v>2048</v>
      </c>
      <c r="AE17" s="154">
        <v>2049</v>
      </c>
      <c r="AF17" s="154">
        <v>2050</v>
      </c>
    </row>
    <row r="18" spans="1:32" s="137" customFormat="1" ht="15" customHeight="1" x14ac:dyDescent="0.3">
      <c r="A18" s="155" t="s">
        <v>444</v>
      </c>
      <c r="B18" s="156">
        <v>9400</v>
      </c>
      <c r="C18" s="156">
        <f>+B18</f>
        <v>9400</v>
      </c>
      <c r="D18" s="156">
        <f>+C18</f>
        <v>9400</v>
      </c>
      <c r="E18" s="156">
        <f>+D18</f>
        <v>9400</v>
      </c>
      <c r="F18" s="156">
        <f>+E18</f>
        <v>9400</v>
      </c>
      <c r="G18" s="157">
        <f>+F18</f>
        <v>9400</v>
      </c>
      <c r="H18" s="158">
        <f t="shared" ref="H18:AF18" si="0">+G18</f>
        <v>9400</v>
      </c>
      <c r="I18" s="158">
        <f t="shared" si="0"/>
        <v>9400</v>
      </c>
      <c r="J18" s="158">
        <f t="shared" si="0"/>
        <v>9400</v>
      </c>
      <c r="K18" s="158">
        <f t="shared" si="0"/>
        <v>9400</v>
      </c>
      <c r="L18" s="158">
        <f t="shared" si="0"/>
        <v>9400</v>
      </c>
      <c r="M18" s="158">
        <f t="shared" si="0"/>
        <v>9400</v>
      </c>
      <c r="N18" s="158">
        <f t="shared" si="0"/>
        <v>9400</v>
      </c>
      <c r="O18" s="158">
        <f t="shared" si="0"/>
        <v>9400</v>
      </c>
      <c r="P18" s="158">
        <f t="shared" si="0"/>
        <v>9400</v>
      </c>
      <c r="Q18" s="158">
        <f t="shared" si="0"/>
        <v>9400</v>
      </c>
      <c r="R18" s="158">
        <f t="shared" si="0"/>
        <v>9400</v>
      </c>
      <c r="S18" s="158">
        <f t="shared" si="0"/>
        <v>9400</v>
      </c>
      <c r="T18" s="158">
        <f t="shared" si="0"/>
        <v>9400</v>
      </c>
      <c r="U18" s="158">
        <f t="shared" si="0"/>
        <v>9400</v>
      </c>
      <c r="V18" s="158">
        <f t="shared" si="0"/>
        <v>9400</v>
      </c>
      <c r="W18" s="158">
        <f t="shared" si="0"/>
        <v>9400</v>
      </c>
      <c r="X18" s="158">
        <f t="shared" si="0"/>
        <v>9400</v>
      </c>
      <c r="Y18" s="158">
        <f t="shared" si="0"/>
        <v>9400</v>
      </c>
      <c r="Z18" s="158">
        <f t="shared" si="0"/>
        <v>9400</v>
      </c>
      <c r="AA18" s="158">
        <f t="shared" si="0"/>
        <v>9400</v>
      </c>
      <c r="AB18" s="158">
        <f t="shared" si="0"/>
        <v>9400</v>
      </c>
      <c r="AC18" s="158">
        <f t="shared" si="0"/>
        <v>9400</v>
      </c>
      <c r="AD18" s="158">
        <f t="shared" si="0"/>
        <v>9400</v>
      </c>
      <c r="AE18" s="158">
        <f t="shared" si="0"/>
        <v>9400</v>
      </c>
      <c r="AF18" s="158">
        <f t="shared" si="0"/>
        <v>9400</v>
      </c>
    </row>
    <row r="19" spans="1:32" s="137" customFormat="1" ht="15" customHeight="1" x14ac:dyDescent="0.3">
      <c r="A19" s="159" t="s">
        <v>9</v>
      </c>
      <c r="B19" s="160">
        <v>37.302179000000002</v>
      </c>
      <c r="C19" s="160">
        <v>37.302179000000002</v>
      </c>
      <c r="D19" s="160">
        <v>37.302179000000002</v>
      </c>
      <c r="E19" s="160">
        <v>37.302179000000002</v>
      </c>
      <c r="F19" s="160">
        <v>37.302179000000002</v>
      </c>
      <c r="G19" s="161">
        <f t="shared" ref="G19:AF19" si="1">G18/251996</f>
        <v>3.7302179399673008E-2</v>
      </c>
      <c r="H19" s="162">
        <f t="shared" si="1"/>
        <v>3.7302179399673008E-2</v>
      </c>
      <c r="I19" s="162">
        <f t="shared" si="1"/>
        <v>3.7302179399673008E-2</v>
      </c>
      <c r="J19" s="162">
        <f t="shared" si="1"/>
        <v>3.7302179399673008E-2</v>
      </c>
      <c r="K19" s="162">
        <f t="shared" si="1"/>
        <v>3.7302179399673008E-2</v>
      </c>
      <c r="L19" s="162">
        <f t="shared" si="1"/>
        <v>3.7302179399673008E-2</v>
      </c>
      <c r="M19" s="162">
        <f t="shared" si="1"/>
        <v>3.7302179399673008E-2</v>
      </c>
      <c r="N19" s="162">
        <f t="shared" si="1"/>
        <v>3.7302179399673008E-2</v>
      </c>
      <c r="O19" s="162">
        <f t="shared" si="1"/>
        <v>3.7302179399673008E-2</v>
      </c>
      <c r="P19" s="162">
        <f t="shared" si="1"/>
        <v>3.7302179399673008E-2</v>
      </c>
      <c r="Q19" s="162">
        <f t="shared" si="1"/>
        <v>3.7302179399673008E-2</v>
      </c>
      <c r="R19" s="162">
        <f t="shared" si="1"/>
        <v>3.7302179399673008E-2</v>
      </c>
      <c r="S19" s="162">
        <f t="shared" si="1"/>
        <v>3.7302179399673008E-2</v>
      </c>
      <c r="T19" s="162">
        <f t="shared" si="1"/>
        <v>3.7302179399673008E-2</v>
      </c>
      <c r="U19" s="162">
        <f t="shared" si="1"/>
        <v>3.7302179399673008E-2</v>
      </c>
      <c r="V19" s="162">
        <f t="shared" si="1"/>
        <v>3.7302179399673008E-2</v>
      </c>
      <c r="W19" s="162">
        <f t="shared" si="1"/>
        <v>3.7302179399673008E-2</v>
      </c>
      <c r="X19" s="162">
        <f t="shared" si="1"/>
        <v>3.7302179399673008E-2</v>
      </c>
      <c r="Y19" s="162">
        <f t="shared" si="1"/>
        <v>3.7302179399673008E-2</v>
      </c>
      <c r="Z19" s="162">
        <f t="shared" si="1"/>
        <v>3.7302179399673008E-2</v>
      </c>
      <c r="AA19" s="162">
        <f t="shared" si="1"/>
        <v>3.7302179399673008E-2</v>
      </c>
      <c r="AB19" s="162">
        <f t="shared" si="1"/>
        <v>3.7302179399673008E-2</v>
      </c>
      <c r="AC19" s="162">
        <f t="shared" si="1"/>
        <v>3.7302179399673008E-2</v>
      </c>
      <c r="AD19" s="162">
        <f t="shared" si="1"/>
        <v>3.7302179399673008E-2</v>
      </c>
      <c r="AE19" s="162">
        <f t="shared" si="1"/>
        <v>3.7302179399673008E-2</v>
      </c>
      <c r="AF19" s="162">
        <f t="shared" si="1"/>
        <v>3.7302179399673008E-2</v>
      </c>
    </row>
    <row r="20" spans="1:32" s="137" customFormat="1" ht="15" customHeight="1" x14ac:dyDescent="0.3">
      <c r="A20" s="155" t="s">
        <v>10</v>
      </c>
      <c r="B20" s="156">
        <v>365</v>
      </c>
      <c r="C20" s="156">
        <v>365</v>
      </c>
      <c r="D20" s="156">
        <v>365</v>
      </c>
      <c r="E20" s="156">
        <v>366</v>
      </c>
      <c r="F20" s="156">
        <v>365</v>
      </c>
      <c r="G20" s="163">
        <v>365</v>
      </c>
      <c r="H20" s="164">
        <v>365</v>
      </c>
      <c r="I20" s="164">
        <v>365</v>
      </c>
      <c r="J20" s="164">
        <v>366</v>
      </c>
      <c r="K20" s="164">
        <v>365</v>
      </c>
      <c r="L20" s="164">
        <v>365</v>
      </c>
      <c r="M20" s="164">
        <v>365</v>
      </c>
      <c r="N20" s="164">
        <v>366</v>
      </c>
      <c r="O20" s="164">
        <v>365</v>
      </c>
      <c r="P20" s="164">
        <v>365</v>
      </c>
      <c r="Q20" s="164">
        <v>365</v>
      </c>
      <c r="R20" s="164">
        <v>366</v>
      </c>
      <c r="S20" s="164">
        <v>365</v>
      </c>
      <c r="T20" s="164">
        <v>365</v>
      </c>
      <c r="U20" s="164">
        <v>365</v>
      </c>
      <c r="V20" s="164">
        <v>366</v>
      </c>
      <c r="W20" s="164">
        <v>365</v>
      </c>
      <c r="X20" s="164">
        <v>365</v>
      </c>
      <c r="Y20" s="164">
        <v>365</v>
      </c>
      <c r="Z20" s="164">
        <v>366</v>
      </c>
      <c r="AA20" s="164">
        <v>365</v>
      </c>
      <c r="AB20" s="164">
        <v>365</v>
      </c>
      <c r="AC20" s="164">
        <v>365</v>
      </c>
      <c r="AD20" s="164">
        <v>366</v>
      </c>
      <c r="AE20" s="164">
        <v>260</v>
      </c>
      <c r="AF20" s="164">
        <v>365</v>
      </c>
    </row>
    <row r="21" spans="1:32" ht="15" customHeight="1" x14ac:dyDescent="0.3">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row>
    <row r="22" spans="1:32" ht="15" customHeight="1" thickBot="1" x14ac:dyDescent="0.3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row>
    <row r="23" spans="1:32" ht="15" customHeight="1" thickBot="1" x14ac:dyDescent="0.35">
      <c r="A23" s="166" t="s">
        <v>11</v>
      </c>
      <c r="B23" s="167">
        <v>1</v>
      </c>
    </row>
    <row r="24" spans="1:32" ht="15" customHeight="1" x14ac:dyDescent="0.3">
      <c r="A24" s="168" t="s">
        <v>210</v>
      </c>
    </row>
    <row r="27" spans="1:32" ht="15" customHeight="1" x14ac:dyDescent="0.3">
      <c r="A27" s="411" t="s">
        <v>235</v>
      </c>
      <c r="B27" s="412"/>
      <c r="C27" s="412"/>
      <c r="D27" s="412"/>
      <c r="E27" s="371"/>
    </row>
    <row r="28" spans="1:32" x14ac:dyDescent="0.3">
      <c r="A28" s="85"/>
      <c r="B28" s="85"/>
      <c r="C28" s="85"/>
      <c r="D28" s="284" t="s">
        <v>527</v>
      </c>
    </row>
    <row r="29" spans="1:32" x14ac:dyDescent="0.3">
      <c r="A29" s="413" t="s">
        <v>530</v>
      </c>
      <c r="B29" s="86" t="s">
        <v>12</v>
      </c>
      <c r="C29" s="277" t="s">
        <v>13</v>
      </c>
      <c r="D29" s="86" t="s">
        <v>468</v>
      </c>
    </row>
    <row r="30" spans="1:32" x14ac:dyDescent="0.3">
      <c r="A30" s="413"/>
      <c r="B30" s="86" t="s">
        <v>14</v>
      </c>
      <c r="C30" s="278" t="s">
        <v>15</v>
      </c>
      <c r="D30" s="86" t="s">
        <v>16</v>
      </c>
    </row>
    <row r="31" spans="1:32" x14ac:dyDescent="0.3">
      <c r="A31" s="375" t="s">
        <v>531</v>
      </c>
      <c r="B31" s="376"/>
      <c r="C31" s="377"/>
      <c r="D31" s="378">
        <f>52.4064753885236*10^3</f>
        <v>52406.475388523606</v>
      </c>
      <c r="E31" s="379"/>
      <c r="F31" s="380"/>
    </row>
    <row r="32" spans="1:32" ht="13.5" thickBot="1" x14ac:dyDescent="0.35">
      <c r="D32" s="89">
        <f>D31</f>
        <v>52406.475388523606</v>
      </c>
      <c r="E32" s="281"/>
    </row>
    <row r="33" spans="1:5" ht="13.5" thickTop="1" x14ac:dyDescent="0.3"/>
    <row r="34" spans="1:5" x14ac:dyDescent="0.3">
      <c r="A34" s="85"/>
      <c r="B34" s="276"/>
      <c r="C34" s="85"/>
      <c r="E34" s="280"/>
    </row>
    <row r="35" spans="1:5" x14ac:dyDescent="0.3">
      <c r="A35" s="85"/>
      <c r="B35" s="85"/>
      <c r="C35" s="85"/>
      <c r="D35" s="85"/>
      <c r="E35" s="280"/>
    </row>
    <row r="36" spans="1:5" x14ac:dyDescent="0.3">
      <c r="A36" s="170" t="s">
        <v>22</v>
      </c>
      <c r="B36" s="170"/>
      <c r="C36" s="282">
        <v>3.7302178999999998E-2</v>
      </c>
      <c r="D36" s="85"/>
      <c r="E36" s="280"/>
    </row>
    <row r="37" spans="1:5" x14ac:dyDescent="0.3">
      <c r="A37" s="85"/>
      <c r="B37" s="85"/>
      <c r="C37" s="85"/>
      <c r="D37" s="85"/>
    </row>
    <row r="38" spans="1:5" x14ac:dyDescent="0.3">
      <c r="A38" s="85"/>
      <c r="B38" s="85"/>
      <c r="C38" s="85"/>
      <c r="D38" s="85"/>
    </row>
  </sheetData>
  <mergeCells count="3">
    <mergeCell ref="A3:F3"/>
    <mergeCell ref="A27:D27"/>
    <mergeCell ref="A29:A30"/>
  </mergeCells>
  <printOptions gridLines="1"/>
  <pageMargins left="0.7" right="0.7" top="0.75" bottom="0.75" header="0.3" footer="0.3"/>
  <pageSetup paperSize="9" scale="80"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FF96-DEB0-4D41-83E9-D41233F5D881}">
  <sheetPr codeName="Planilha21">
    <tabColor theme="1" tint="0.499984740745262"/>
  </sheetPr>
  <dimension ref="A2:AA303"/>
  <sheetViews>
    <sheetView showGridLines="0" zoomScale="70" zoomScaleNormal="70" workbookViewId="0">
      <selection activeCell="J48" sqref="J4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5" thickBot="1" x14ac:dyDescent="0.4">
      <c r="A5" s="211"/>
      <c r="B5" s="255" t="s">
        <v>460</v>
      </c>
      <c r="C5" s="208"/>
      <c r="D5" s="209">
        <f ca="1">D6+D9</f>
        <v>7136.9228872140638</v>
      </c>
      <c r="E5" s="224" t="s">
        <v>111</v>
      </c>
      <c r="F5" s="273" t="s">
        <v>465</v>
      </c>
      <c r="G5" s="211"/>
      <c r="H5" s="235"/>
      <c r="I5" s="235"/>
    </row>
    <row r="6" spans="1:9" ht="16.5" x14ac:dyDescent="0.35">
      <c r="A6" s="206">
        <f>HLOOKUP($G$3,'Premissas (Legados)'!$B$5:$F$13,9,FALSE)</f>
        <v>0.7</v>
      </c>
      <c r="B6" s="207" t="s">
        <v>112</v>
      </c>
      <c r="C6" s="208" t="s">
        <v>271</v>
      </c>
      <c r="D6" s="209">
        <f ca="1">($A$6*$D$4)-(SUM($F$268:$F$271)/10^6)</f>
        <v>5001.8528532223963</v>
      </c>
      <c r="E6" s="210" t="s">
        <v>113</v>
      </c>
      <c r="F6" s="273" t="s">
        <v>458</v>
      </c>
      <c r="G6" s="211"/>
      <c r="H6" s="235"/>
    </row>
    <row r="7" spans="1:9" ht="29" x14ac:dyDescent="0.35">
      <c r="A7" s="92"/>
      <c r="B7" s="212" t="s">
        <v>114</v>
      </c>
      <c r="C7" s="213" t="s">
        <v>272</v>
      </c>
      <c r="D7" s="214">
        <f>$D$35*'Premissas (Legados)'!$F$20</f>
        <v>22799725</v>
      </c>
      <c r="E7" s="212" t="s">
        <v>115</v>
      </c>
      <c r="F7" s="230">
        <f>H35</f>
        <v>850479423.100775</v>
      </c>
      <c r="G7" s="82" t="s">
        <v>116</v>
      </c>
    </row>
    <row r="8" spans="1:9" ht="17" thickBot="1" x14ac:dyDescent="0.4">
      <c r="A8" s="215"/>
      <c r="B8" s="216" t="s">
        <v>117</v>
      </c>
      <c r="C8" s="217" t="s">
        <v>273</v>
      </c>
      <c r="D8" s="218">
        <f ca="1">$D$6/$D$7*1000</f>
        <v>0.21938215716296561</v>
      </c>
      <c r="E8" s="219" t="s">
        <v>118</v>
      </c>
      <c r="F8" s="232">
        <f ca="1">$D$6/$F$7*1000000</f>
        <v>5.8812156030607659</v>
      </c>
      <c r="G8" s="228" t="s">
        <v>15</v>
      </c>
      <c r="I8" s="235"/>
    </row>
    <row r="9" spans="1:9" ht="16.5" x14ac:dyDescent="0.35">
      <c r="A9" s="206">
        <f>1-A6</f>
        <v>0.30000000000000004</v>
      </c>
      <c r="B9" s="207" t="s">
        <v>119</v>
      </c>
      <c r="C9" s="208" t="s">
        <v>274</v>
      </c>
      <c r="D9" s="209">
        <f ca="1">($A$9*$D$4)-(SUM($F$272:$F$273)/10^6)</f>
        <v>2135.0700339916675</v>
      </c>
      <c r="E9" s="210" t="s">
        <v>113</v>
      </c>
      <c r="F9" s="273" t="s">
        <v>459</v>
      </c>
      <c r="G9" s="229"/>
    </row>
    <row r="10" spans="1:9" ht="29" x14ac:dyDescent="0.35">
      <c r="B10" s="212" t="s">
        <v>120</v>
      </c>
      <c r="C10" s="213" t="s">
        <v>275</v>
      </c>
      <c r="D10" s="214">
        <f>$D$58*'Premissas (Legados)'!$F$20</f>
        <v>18680700</v>
      </c>
      <c r="E10" s="212" t="s">
        <v>115</v>
      </c>
      <c r="F10" s="230">
        <f>H58</f>
        <v>696830815.24529994</v>
      </c>
      <c r="G10" s="82" t="s">
        <v>116</v>
      </c>
    </row>
    <row r="11" spans="1:9" ht="17" thickBot="1" x14ac:dyDescent="0.4">
      <c r="A11" s="225"/>
      <c r="B11" s="216" t="s">
        <v>121</v>
      </c>
      <c r="C11" s="217" t="s">
        <v>276</v>
      </c>
      <c r="D11" s="218">
        <f ca="1">$D$9/$D$10*1000</f>
        <v>0.11429282810556711</v>
      </c>
      <c r="E11" s="219" t="s">
        <v>118</v>
      </c>
      <c r="F11" s="232">
        <f ca="1">$D$9/$F$10*1000000</f>
        <v>3.063971895732073</v>
      </c>
      <c r="G11" s="228" t="s">
        <v>15</v>
      </c>
    </row>
    <row r="12" spans="1:9" ht="15" thickBot="1" x14ac:dyDescent="0.4">
      <c r="A12" s="220"/>
      <c r="B12" s="220" t="s">
        <v>122</v>
      </c>
      <c r="C12" s="226">
        <f>HLOOKUP($G$3,'Premissas (Legados)'!$B$5:$F$8,4,FALSE)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(Legados)'!C3</f>
        <v>20000</v>
      </c>
      <c r="D25" s="290">
        <f>'Oferta (Legados)'!H3</f>
        <v>14178</v>
      </c>
      <c r="F25" s="104"/>
      <c r="G25" s="43">
        <f>IFERROR($C25*$H$20*'Premissas (Legados)'!$F$20*1000," ")</f>
        <v>272305906.69999999</v>
      </c>
      <c r="H25" s="43">
        <f>IFERROR($D25*$H$20*'Premissas (Legados)'!$F$20*1000," ")</f>
        <v>193037657.25962999</v>
      </c>
      <c r="I25" s="93"/>
    </row>
    <row r="26" spans="1:9" x14ac:dyDescent="0.35">
      <c r="A26" s="2" t="s">
        <v>133</v>
      </c>
      <c r="B26" s="44" t="s">
        <v>26</v>
      </c>
      <c r="C26" s="290">
        <f>'Oferta (Legados)'!C4</f>
        <v>20000</v>
      </c>
      <c r="D26" s="290">
        <f>'Oferta (Legados)'!H4</f>
        <v>20000</v>
      </c>
      <c r="F26" s="104"/>
      <c r="G26" s="43">
        <f>IFERROR($C26*$H$20*'Premissas (Legados)'!$F$20*1000," ")</f>
        <v>272305906.69999999</v>
      </c>
      <c r="H26" s="43">
        <f>IFERROR($D26*$H$20*'Premissas (Legados)'!$F$20*1000," ")</f>
        <v>272305906.69999999</v>
      </c>
      <c r="I26" s="93"/>
    </row>
    <row r="27" spans="1:9" x14ac:dyDescent="0.35">
      <c r="A27" s="2" t="s">
        <v>134</v>
      </c>
      <c r="B27" s="44" t="s">
        <v>488</v>
      </c>
      <c r="C27" s="290">
        <f>'Oferta (Legados)'!C5</f>
        <v>18200</v>
      </c>
      <c r="D27" s="290">
        <f>'Oferta (Legados)'!H5</f>
        <v>13432</v>
      </c>
      <c r="E27" s="46"/>
      <c r="F27" s="104"/>
      <c r="G27" s="43">
        <f>IFERROR($C27*$H$20*'Premissas (Legados)'!$F$20*1000," ")</f>
        <v>247798375.097</v>
      </c>
      <c r="H27" s="43">
        <f>IFERROR($D27*$H$20*'Premissas (Legados)'!$F$20*1000," ")</f>
        <v>182880646.93972</v>
      </c>
      <c r="I27" s="93"/>
    </row>
    <row r="28" spans="1:9" x14ac:dyDescent="0.35">
      <c r="A28" s="2" t="s">
        <v>135</v>
      </c>
      <c r="B28" s="44" t="s">
        <v>463</v>
      </c>
      <c r="C28" s="293"/>
      <c r="D28" s="293"/>
      <c r="E28" s="274" t="s">
        <v>461</v>
      </c>
      <c r="F28" s="104"/>
      <c r="G28" s="43">
        <f>IFERROR($C28*$H$20*'Premissas (Legados)'!$F$20*1000," ")</f>
        <v>0</v>
      </c>
      <c r="H28" s="43">
        <f>IFERROR($D28*$H$20*'Premissas (Legados)'!$F$20*1000," ")</f>
        <v>0</v>
      </c>
      <c r="I28" s="93"/>
    </row>
    <row r="29" spans="1:9" x14ac:dyDescent="0.35">
      <c r="A29" s="2" t="s">
        <v>136</v>
      </c>
      <c r="B29" s="44" t="s">
        <v>27</v>
      </c>
      <c r="C29" s="290">
        <f>'Oferta (Legados)'!C7</f>
        <v>5000</v>
      </c>
      <c r="D29" s="290">
        <f>'Oferta (Legados)'!H7</f>
        <v>0</v>
      </c>
      <c r="E29" s="46"/>
      <c r="F29" s="104"/>
      <c r="G29" s="43">
        <f>IFERROR($C29*$H$20*'Premissas (Legados)'!$F$20*1000," ")</f>
        <v>68076476.674999997</v>
      </c>
      <c r="H29" s="43">
        <f>IFERROR($D29*$H$20*'Premissas (Legados)'!$F$20*1000," ")</f>
        <v>0</v>
      </c>
      <c r="I29" s="93"/>
    </row>
    <row r="30" spans="1:9" x14ac:dyDescent="0.35">
      <c r="A30" s="2" t="s">
        <v>239</v>
      </c>
      <c r="B30" s="44" t="s">
        <v>29</v>
      </c>
      <c r="C30" s="290">
        <f>'Oferta (Legados)'!C8</f>
        <v>2200</v>
      </c>
      <c r="D30" s="290">
        <f>'Oferta (Legados)'!H8</f>
        <v>0</v>
      </c>
      <c r="E30" s="46"/>
      <c r="F30" s="104"/>
      <c r="G30" s="43">
        <f>IFERROR($C30*$H$20*'Premissas (Legados)'!$F$20*1000," ")</f>
        <v>29953649.736999996</v>
      </c>
      <c r="H30" s="43">
        <f>IFERROR($D30*$H$20*'Premissas (Legados)'!$F$20*1000," ")</f>
        <v>0</v>
      </c>
      <c r="I30" s="93"/>
    </row>
    <row r="31" spans="1:9" x14ac:dyDescent="0.35">
      <c r="A31" s="2" t="s">
        <v>137</v>
      </c>
      <c r="B31" s="44" t="s">
        <v>24</v>
      </c>
      <c r="C31" s="290">
        <f>'Oferta (Legados)'!C9</f>
        <v>25160</v>
      </c>
      <c r="D31" s="290">
        <f>'Oferta (Legados)'!H9</f>
        <v>14855</v>
      </c>
      <c r="E31" s="46"/>
      <c r="F31" s="104"/>
      <c r="G31" s="43">
        <f>IFERROR($C31*$H$20*'Premissas (Legados)'!$F$20*1000," ")</f>
        <v>342560830.6286</v>
      </c>
      <c r="H31" s="43">
        <f>IFERROR($D31*$H$20*'Premissas (Legados)'!$F$20*1000," ")</f>
        <v>202255212.20142499</v>
      </c>
      <c r="I31" s="93"/>
    </row>
    <row r="32" spans="1:9" x14ac:dyDescent="0.35">
      <c r="A32" s="2" t="s">
        <v>240</v>
      </c>
      <c r="B32" s="44" t="s">
        <v>264</v>
      </c>
      <c r="C32" s="249"/>
      <c r="D32" s="249"/>
      <c r="E32" s="274" t="s">
        <v>461</v>
      </c>
      <c r="F32" s="104"/>
      <c r="G32" s="43">
        <f>IFERROR($C32*$H$20*'Premissas (Legados)'!$F$20*1000," ")</f>
        <v>0</v>
      </c>
      <c r="H32" s="43">
        <f>IFERROR($D32*$H$20*'Premissas (Legados)'!$F$20*1000," ")</f>
        <v>0</v>
      </c>
      <c r="I32" s="93"/>
    </row>
    <row r="33" spans="1:10" x14ac:dyDescent="0.35">
      <c r="A33" s="2" t="s">
        <v>138</v>
      </c>
      <c r="B33" s="44" t="s">
        <v>266</v>
      </c>
      <c r="C33" s="249"/>
      <c r="D33" s="249"/>
      <c r="E33" s="274" t="s">
        <v>461</v>
      </c>
      <c r="F33" s="104"/>
      <c r="G33" s="43">
        <f>IFERROR($C33*$H$20*'Premissas (Legados)'!$F$20*1000," ")</f>
        <v>0</v>
      </c>
      <c r="H33" s="43">
        <f>IFERROR($D33*$H$20*'Premissas (Legados)'!$F$20*1000," ")</f>
        <v>0</v>
      </c>
      <c r="I33" s="93"/>
    </row>
    <row r="34" spans="1:10" x14ac:dyDescent="0.35">
      <c r="A34" s="2" t="s">
        <v>139</v>
      </c>
      <c r="B34" s="44" t="s">
        <v>265</v>
      </c>
      <c r="C34" s="249"/>
      <c r="D34" s="249"/>
      <c r="E34" s="274" t="s">
        <v>461</v>
      </c>
      <c r="F34" s="104"/>
      <c r="G34" s="43">
        <f>IFERROR($C34*$H$20*'Premissas (Legados)'!$F$20*1000," ")</f>
        <v>0</v>
      </c>
      <c r="H34" s="43">
        <f>IFERROR($D34*$H$20*'Premissas (Legados)'!$F$20*1000," ")</f>
        <v>0</v>
      </c>
      <c r="I34" s="93"/>
    </row>
    <row r="35" spans="1:10" x14ac:dyDescent="0.35">
      <c r="C35" s="105">
        <f>SUM(C25:C34)</f>
        <v>90560</v>
      </c>
      <c r="D35" s="105">
        <f>SUM(D25:D34)</f>
        <v>62465</v>
      </c>
      <c r="E35" s="105"/>
      <c r="F35" s="104"/>
      <c r="G35" s="105">
        <f>SUM(G25:G34)</f>
        <v>1233001145.5376</v>
      </c>
      <c r="H35" s="105">
        <f>SUM(H25:H34)</f>
        <v>850479423.100775</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(Legados)'!C3</f>
        <v>864.5</v>
      </c>
      <c r="D42" s="290">
        <f>'Demanda (Legados)'!H3</f>
        <v>607</v>
      </c>
      <c r="G42" s="43">
        <f>IFERROR($C42*$H$20*'Premissas (Legados)'!$F$20*1000," ")</f>
        <v>11770422.817107499</v>
      </c>
      <c r="H42" s="43">
        <f>IFERROR($D42*$H$20*'Premissas (Legados)'!$F$20*1000," ")</f>
        <v>8264484.2683449984</v>
      </c>
      <c r="I42" s="93"/>
    </row>
    <row r="43" spans="1:10" x14ac:dyDescent="0.35">
      <c r="A43" s="2" t="s">
        <v>42</v>
      </c>
      <c r="B43" s="44" t="s">
        <v>217</v>
      </c>
      <c r="C43" s="290">
        <f>'Demanda (Legados)'!C4</f>
        <v>1825.9</v>
      </c>
      <c r="D43" s="290">
        <f>'Demanda (Legados)'!H4</f>
        <v>1678</v>
      </c>
      <c r="E43" s="46"/>
      <c r="G43" s="43">
        <f>IFERROR($C43*$H$20*'Premissas (Legados)'!$F$20*1000," ")</f>
        <v>24860167.752176501</v>
      </c>
      <c r="H43" s="43">
        <f>IFERROR($D43*$H$20*'Premissas (Legados)'!$F$20*1000," ")</f>
        <v>22846465.572130002</v>
      </c>
      <c r="I43" s="93"/>
    </row>
    <row r="44" spans="1:10" x14ac:dyDescent="0.35">
      <c r="A44" s="2" t="s">
        <v>43</v>
      </c>
      <c r="B44" s="44" t="s">
        <v>218</v>
      </c>
      <c r="C44" s="290">
        <f>'Demanda (Legados)'!C5</f>
        <v>3040.95</v>
      </c>
      <c r="D44" s="290">
        <f>'Demanda (Legados)'!H5</f>
        <v>2737</v>
      </c>
      <c r="E44" s="46"/>
      <c r="G44" s="43">
        <f>IFERROR($C44*$H$20*'Premissas (Legados)'!$F$20*1000," ")</f>
        <v>41403432.348968253</v>
      </c>
      <c r="H44" s="43">
        <f>IFERROR($D44*$H$20*'Premissas (Legados)'!$F$20*1000," ")</f>
        <v>37265063.331895001</v>
      </c>
      <c r="I44" s="93"/>
    </row>
    <row r="45" spans="1:10" x14ac:dyDescent="0.35">
      <c r="A45" s="2" t="s">
        <v>44</v>
      </c>
      <c r="B45" s="44" t="s">
        <v>219</v>
      </c>
      <c r="C45" s="290">
        <f>'Demanda (Legados)'!C6</f>
        <v>1187.5</v>
      </c>
      <c r="D45" s="290">
        <f>'Demanda (Legados)'!H6</f>
        <v>335</v>
      </c>
      <c r="E45" s="46"/>
      <c r="G45" s="43">
        <f>IFERROR($C45*$H$20*'Premissas (Legados)'!$F$20*1000," ")</f>
        <v>16168163.210312499</v>
      </c>
      <c r="H45" s="43">
        <f>IFERROR($D45*$H$20*'Premissas (Legados)'!$F$20*1000," ")</f>
        <v>4561123.937225</v>
      </c>
      <c r="I45" s="93"/>
    </row>
    <row r="46" spans="1:10" x14ac:dyDescent="0.35">
      <c r="A46" s="2" t="s">
        <v>45</v>
      </c>
      <c r="B46" s="44" t="s">
        <v>220</v>
      </c>
      <c r="C46" s="290">
        <f>'Demanda (Legados)'!C7</f>
        <v>21185</v>
      </c>
      <c r="D46" s="290">
        <f>'Demanda (Legados)'!H7</f>
        <v>17793</v>
      </c>
      <c r="E46" s="46"/>
      <c r="G46" s="43">
        <f>IFERROR($C46*$H$20*'Premissas (Legados)'!$F$20*1000," ")</f>
        <v>288440031.67197496</v>
      </c>
      <c r="H46" s="43">
        <f>IFERROR($D46*$H$20*'Premissas (Legados)'!$F$20*1000," ")</f>
        <v>242256949.89565501</v>
      </c>
      <c r="I46" s="93"/>
    </row>
    <row r="47" spans="1:10" x14ac:dyDescent="0.35">
      <c r="A47" s="2" t="s">
        <v>46</v>
      </c>
      <c r="B47" s="44" t="s">
        <v>221</v>
      </c>
      <c r="C47" s="290">
        <f>'Demanda (Legados)'!C8</f>
        <v>11271.75</v>
      </c>
      <c r="D47" s="290">
        <f>'Demanda (Legados)'!H8</f>
        <v>8406</v>
      </c>
      <c r="E47" s="46"/>
      <c r="G47" s="43">
        <f>IFERROR($C47*$H$20*'Premissas (Legados)'!$F$20*1000," ")</f>
        <v>153468205.19228625</v>
      </c>
      <c r="H47" s="43">
        <f>IFERROR($D47*$H$20*'Premissas (Legados)'!$F$20*1000," ")</f>
        <v>114450172.58600999</v>
      </c>
      <c r="I47" s="93"/>
    </row>
    <row r="48" spans="1:10" x14ac:dyDescent="0.35">
      <c r="A48" s="2" t="s">
        <v>47</v>
      </c>
      <c r="B48" s="44" t="s">
        <v>222</v>
      </c>
      <c r="C48" s="290">
        <f>'Demanda (Legados)'!C9</f>
        <v>3249</v>
      </c>
      <c r="D48" s="290">
        <f>'Demanda (Legados)'!H9</f>
        <v>1714</v>
      </c>
      <c r="E48" s="46"/>
      <c r="G48" s="43">
        <f>IFERROR($C48*$H$20*'Premissas (Legados)'!$F$20*1000," ")</f>
        <v>44236094.543414995</v>
      </c>
      <c r="H48" s="43">
        <f>IFERROR($D48*$H$20*'Premissas (Legados)'!$F$20*1000," ")</f>
        <v>23336616.204189997</v>
      </c>
      <c r="I48" s="93"/>
    </row>
    <row r="49" spans="1:9" x14ac:dyDescent="0.35">
      <c r="A49" s="2" t="s">
        <v>48</v>
      </c>
      <c r="B49" s="44" t="s">
        <v>223</v>
      </c>
      <c r="C49" s="290">
        <f>'Demanda (Legados)'!C10</f>
        <v>498.75</v>
      </c>
      <c r="D49" s="290">
        <f>'Demanda (Legados)'!H10</f>
        <v>323</v>
      </c>
      <c r="E49" s="46"/>
      <c r="G49" s="43">
        <f>IFERROR($C49*$H$20*'Premissas (Legados)'!$F$20*1000," ")</f>
        <v>6790628.5483312495</v>
      </c>
      <c r="H49" s="43">
        <f>IFERROR($D49*$H$20*'Premissas (Legados)'!$F$20*1000," ")</f>
        <v>4397740.3932050001</v>
      </c>
      <c r="I49" s="93"/>
    </row>
    <row r="50" spans="1:9" x14ac:dyDescent="0.35">
      <c r="A50" s="2" t="s">
        <v>49</v>
      </c>
      <c r="B50" s="44" t="s">
        <v>224</v>
      </c>
      <c r="C50" s="290">
        <f>'Demanda (Legados)'!C11</f>
        <v>3321.2</v>
      </c>
      <c r="D50" s="290">
        <f>'Demanda (Legados)'!H11</f>
        <v>2128</v>
      </c>
      <c r="E50" s="46"/>
      <c r="G50" s="43">
        <f>IFERROR($C50*$H$20*'Premissas (Legados)'!$F$20*1000," ")</f>
        <v>45219118.866601996</v>
      </c>
      <c r="H50" s="43">
        <f>IFERROR($D50*$H$20*'Premissas (Legados)'!$F$20*1000," ")</f>
        <v>28973348.472879995</v>
      </c>
      <c r="I50" s="93"/>
    </row>
    <row r="51" spans="1:9" x14ac:dyDescent="0.35">
      <c r="A51" s="2" t="s">
        <v>50</v>
      </c>
      <c r="B51" s="44" t="s">
        <v>225</v>
      </c>
      <c r="C51" s="290">
        <f>'Demanda (Legados)'!C12</f>
        <v>14292.75</v>
      </c>
      <c r="D51" s="290">
        <f>'Demanda (Legados)'!H12</f>
        <v>1237</v>
      </c>
      <c r="E51" s="46"/>
      <c r="G51" s="43">
        <f>IFERROR($C51*$H$20*'Premissas (Legados)'!$F$20*1000," ")</f>
        <v>194600012.39932126</v>
      </c>
      <c r="H51" s="43">
        <f>IFERROR($D51*$H$20*'Premissas (Legados)'!$F$20*1000," ")</f>
        <v>16842120.329395</v>
      </c>
      <c r="I51" s="93"/>
    </row>
    <row r="52" spans="1:9" x14ac:dyDescent="0.35">
      <c r="A52" s="2" t="s">
        <v>51</v>
      </c>
      <c r="B52" s="44" t="s">
        <v>226</v>
      </c>
      <c r="C52" s="290">
        <f>'Demanda (Legados)'!C13</f>
        <v>3971</v>
      </c>
      <c r="D52" s="290">
        <f>'Demanda (Legados)'!H13</f>
        <v>2972</v>
      </c>
      <c r="E52" s="46"/>
      <c r="G52" s="43">
        <f>IFERROR($C52*$H$20*'Premissas (Legados)'!$F$20*1000," ")</f>
        <v>54066337.775284998</v>
      </c>
      <c r="H52" s="43">
        <f>IFERROR($D52*$H$20*'Premissas (Legados)'!$F$20*1000," ")</f>
        <v>40464657.735619992</v>
      </c>
      <c r="I52" s="93"/>
    </row>
    <row r="53" spans="1:9" x14ac:dyDescent="0.35">
      <c r="A53" s="2" t="s">
        <v>52</v>
      </c>
      <c r="B53" s="44" t="s">
        <v>227</v>
      </c>
      <c r="C53" s="290">
        <f>'Demanda (Legados)'!C14</f>
        <v>9941.75</v>
      </c>
      <c r="D53" s="290">
        <f>'Demanda (Legados)'!H14</f>
        <v>7969</v>
      </c>
      <c r="E53" s="46"/>
      <c r="G53" s="43">
        <f>IFERROR($C53*$H$20*'Premissas (Legados)'!$F$20*1000," ")</f>
        <v>135359862.39673626</v>
      </c>
      <c r="H53" s="43">
        <f>IFERROR($D53*$H$20*'Premissas (Legados)'!$F$20*1000," ")</f>
        <v>108500288.52461499</v>
      </c>
      <c r="I53" s="93"/>
    </row>
    <row r="54" spans="1:9" x14ac:dyDescent="0.35">
      <c r="A54" s="2" t="s">
        <v>53</v>
      </c>
      <c r="B54" s="44" t="s">
        <v>228</v>
      </c>
      <c r="C54" s="290">
        <f>'Demanda (Legados)'!C15</f>
        <v>3809.5</v>
      </c>
      <c r="D54" s="290">
        <f>'Demanda (Legados)'!H15</f>
        <v>3281</v>
      </c>
      <c r="E54" s="46"/>
      <c r="G54" s="43">
        <f>IFERROR($C54*$H$20*'Premissas (Legados)'!$F$20*1000," ")</f>
        <v>51867467.578682497</v>
      </c>
      <c r="H54" s="43">
        <f>IFERROR($D54*$H$20*'Premissas (Legados)'!$F$20*1000," ")</f>
        <v>44671783.994134992</v>
      </c>
      <c r="I54" s="93"/>
    </row>
    <row r="55" spans="1:9" x14ac:dyDescent="0.35">
      <c r="A55" s="2" t="s">
        <v>54</v>
      </c>
      <c r="B55" s="44" t="s">
        <v>269</v>
      </c>
      <c r="C55" s="249"/>
      <c r="D55" s="249"/>
      <c r="E55" s="274" t="s">
        <v>461</v>
      </c>
      <c r="G55" s="43">
        <f>IFERROR($C55*$H$20*'Premissas (Legados)'!$F$20*1000," ")</f>
        <v>0</v>
      </c>
      <c r="H55" s="43">
        <f>IFERROR($D55*$H$20*'Premissas (Legados)'!$F$20*1000," ")</f>
        <v>0</v>
      </c>
      <c r="I55" s="93"/>
    </row>
    <row r="56" spans="1:9" x14ac:dyDescent="0.35">
      <c r="A56" s="2" t="s">
        <v>55</v>
      </c>
      <c r="B56" s="44" t="s">
        <v>268</v>
      </c>
      <c r="C56" s="249"/>
      <c r="D56" s="249"/>
      <c r="E56" s="274" t="s">
        <v>461</v>
      </c>
      <c r="G56" s="43">
        <f>IFERROR($C56*$H$20*'Premissas (Legados)'!$F$20*1000," ")</f>
        <v>0</v>
      </c>
      <c r="H56" s="43">
        <f>IFERROR($D56*$H$20*'Premissas (Legados)'!$F$20*1000," ")</f>
        <v>0</v>
      </c>
      <c r="I56" s="93"/>
    </row>
    <row r="57" spans="1:9" x14ac:dyDescent="0.35">
      <c r="A57" s="2" t="s">
        <v>56</v>
      </c>
      <c r="B57" s="44" t="s">
        <v>267</v>
      </c>
      <c r="C57" s="249"/>
      <c r="D57" s="249"/>
      <c r="E57" s="274" t="s">
        <v>461</v>
      </c>
      <c r="G57" s="43">
        <f>IFERROR($C57*$H$20*'Premissas (Legados)'!$F$20*1000," ")</f>
        <v>0</v>
      </c>
      <c r="H57" s="43">
        <f>IFERROR($D57*$H$20*'Premissas (Legados)'!$F$20*1000," ")</f>
        <v>0</v>
      </c>
      <c r="I57" s="93"/>
    </row>
    <row r="58" spans="1:9" x14ac:dyDescent="0.35">
      <c r="C58" s="105">
        <f>SUM(C42:C57)</f>
        <v>78459.549999999988</v>
      </c>
      <c r="D58" s="105">
        <f>SUM(D42:D57)</f>
        <v>51180</v>
      </c>
      <c r="E58" s="105"/>
      <c r="G58" s="105">
        <f>SUM(G42:G57)</f>
        <v>1068249945.1011992</v>
      </c>
      <c r="H58" s="105">
        <f>SUM(H42:H57)</f>
        <v>696830815.24529994</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0.22697510605939325</v>
      </c>
      <c r="C100" s="9"/>
      <c r="D100" t="s">
        <v>304</v>
      </c>
      <c r="E100" s="110">
        <f>H42/$H$58</f>
        <v>1.1860101602188354E-2</v>
      </c>
      <c r="G100" s="109" t="s">
        <v>148</v>
      </c>
      <c r="H100" s="111">
        <f>H25/$H$35</f>
        <v>0.22697510605939325</v>
      </c>
      <c r="I100" s="111">
        <f>H26/$H$35</f>
        <v>0.32017930040822862</v>
      </c>
      <c r="J100" s="111">
        <f>$H27/$H$35</f>
        <v>0.21503241815416635</v>
      </c>
      <c r="K100" s="111">
        <f>$H28/$H$35</f>
        <v>0</v>
      </c>
      <c r="L100" s="111">
        <f>$H29/$H$35</f>
        <v>0</v>
      </c>
      <c r="M100" s="111">
        <f>$H30/$H$35</f>
        <v>0</v>
      </c>
      <c r="N100" s="111">
        <f>$H31/$H$35</f>
        <v>0.23781317537821178</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0.32017930040822862</v>
      </c>
      <c r="C101" s="4"/>
      <c r="D101" t="s">
        <v>305</v>
      </c>
      <c r="E101" s="110">
        <f t="shared" ref="E101:E115" si="2">H43/$H$58</f>
        <v>3.2786244626807355E-2</v>
      </c>
      <c r="W101" s="113"/>
    </row>
    <row r="102" spans="1:27" ht="16.5" x14ac:dyDescent="0.45">
      <c r="A102" t="s">
        <v>296</v>
      </c>
      <c r="B102" s="110">
        <f t="shared" si="1"/>
        <v>0.21503241815416635</v>
      </c>
      <c r="C102" s="4"/>
      <c r="D102" t="s">
        <v>306</v>
      </c>
      <c r="E102" s="110">
        <f t="shared" si="2"/>
        <v>5.3477921062915205E-2</v>
      </c>
      <c r="G102" s="110"/>
      <c r="H102" s="112"/>
      <c r="I102" s="112"/>
    </row>
    <row r="103" spans="1:27" ht="16.5" x14ac:dyDescent="0.45">
      <c r="A103" t="s">
        <v>297</v>
      </c>
      <c r="B103" s="110">
        <f t="shared" si="1"/>
        <v>0</v>
      </c>
      <c r="C103" s="4"/>
      <c r="D103" t="s">
        <v>307</v>
      </c>
      <c r="E103" s="110">
        <f t="shared" si="2"/>
        <v>6.5455255959359134E-3</v>
      </c>
      <c r="G103" s="110"/>
      <c r="H103" s="112"/>
      <c r="I103" s="112"/>
    </row>
    <row r="104" spans="1:27" ht="16.5" x14ac:dyDescent="0.45">
      <c r="A104" t="s">
        <v>298</v>
      </c>
      <c r="B104" s="110">
        <f t="shared" si="1"/>
        <v>0</v>
      </c>
      <c r="C104" s="4"/>
      <c r="D104" t="s">
        <v>308</v>
      </c>
      <c r="E104" s="110">
        <f t="shared" si="2"/>
        <v>0.34765533411488869</v>
      </c>
      <c r="G104" s="110"/>
      <c r="H104" s="112"/>
      <c r="I104" s="112"/>
    </row>
    <row r="105" spans="1:27" ht="16.5" x14ac:dyDescent="0.45">
      <c r="A105" t="s">
        <v>299</v>
      </c>
      <c r="B105" s="110">
        <f t="shared" si="1"/>
        <v>0</v>
      </c>
      <c r="C105" s="4"/>
      <c r="D105" t="s">
        <v>309</v>
      </c>
      <c r="E105" s="110">
        <f t="shared" si="2"/>
        <v>0.1642438452520516</v>
      </c>
      <c r="G105" s="110"/>
      <c r="H105" s="112"/>
      <c r="I105" s="112"/>
    </row>
    <row r="106" spans="1:27" ht="16.5" x14ac:dyDescent="0.45">
      <c r="A106" t="s">
        <v>300</v>
      </c>
      <c r="B106" s="110">
        <f t="shared" si="1"/>
        <v>0.23781317537821178</v>
      </c>
      <c r="C106" s="4"/>
      <c r="D106" t="s">
        <v>310</v>
      </c>
      <c r="E106" s="110">
        <f t="shared" si="2"/>
        <v>3.3489644392340756E-2</v>
      </c>
      <c r="G106" s="110"/>
      <c r="H106" s="112"/>
      <c r="I106" s="112"/>
    </row>
    <row r="107" spans="1:27" ht="16.5" x14ac:dyDescent="0.45">
      <c r="A107" t="s">
        <v>301</v>
      </c>
      <c r="B107" s="110">
        <f t="shared" si="1"/>
        <v>0</v>
      </c>
      <c r="C107" s="4"/>
      <c r="D107" t="s">
        <v>311</v>
      </c>
      <c r="E107" s="110">
        <f t="shared" si="2"/>
        <v>6.311059007424776E-3</v>
      </c>
      <c r="G107" s="110"/>
      <c r="H107" s="112"/>
      <c r="I107" s="112"/>
    </row>
    <row r="108" spans="1:27" ht="16.5" x14ac:dyDescent="0.45">
      <c r="A108" t="s">
        <v>302</v>
      </c>
      <c r="B108" s="110">
        <f t="shared" si="1"/>
        <v>0</v>
      </c>
      <c r="C108" s="4"/>
      <c r="D108" t="s">
        <v>312</v>
      </c>
      <c r="E108" s="110">
        <f t="shared" si="2"/>
        <v>4.1578741695974988E-2</v>
      </c>
      <c r="G108" s="110"/>
      <c r="H108" s="112"/>
      <c r="I108" s="112"/>
    </row>
    <row r="109" spans="1:27" ht="16.5" x14ac:dyDescent="0.45">
      <c r="A109" t="s">
        <v>303</v>
      </c>
      <c r="B109" s="110">
        <f t="shared" si="1"/>
        <v>0</v>
      </c>
      <c r="D109" t="s">
        <v>313</v>
      </c>
      <c r="E109" s="110">
        <f t="shared" si="2"/>
        <v>2.4169597499023057E-2</v>
      </c>
      <c r="G109" s="110"/>
    </row>
    <row r="110" spans="1:27" ht="16.5" x14ac:dyDescent="0.45">
      <c r="B110" s="110">
        <f>SUM(B100:B109)</f>
        <v>1</v>
      </c>
      <c r="D110" t="s">
        <v>314</v>
      </c>
      <c r="E110" s="110">
        <f t="shared" si="2"/>
        <v>5.8069558421258299E-2</v>
      </c>
      <c r="G110" s="110"/>
    </row>
    <row r="111" spans="1:27" ht="16.5" x14ac:dyDescent="0.45">
      <c r="B111" s="112"/>
      <c r="D111" t="s">
        <v>315</v>
      </c>
      <c r="E111" s="110">
        <f t="shared" si="2"/>
        <v>0.155705353653771</v>
      </c>
      <c r="G111" s="110"/>
    </row>
    <row r="112" spans="1:27" ht="16.5" x14ac:dyDescent="0.45">
      <c r="B112" s="112"/>
      <c r="D112" t="s">
        <v>316</v>
      </c>
      <c r="E112" s="110">
        <f t="shared" si="2"/>
        <v>6.4107073075420087E-2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1</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357.06304582714608</v>
      </c>
      <c r="C131" s="114"/>
      <c r="D131" t="s">
        <v>325</v>
      </c>
      <c r="E131" s="4">
        <f ca="1">SUMPRODUCT($H$100:$Q$100,$C68:$L68)</f>
        <v>349.73716863843754</v>
      </c>
    </row>
    <row r="132" spans="1:5" ht="16.5" x14ac:dyDescent="0.45">
      <c r="A132" t="s">
        <v>326</v>
      </c>
      <c r="B132" s="110">
        <f ca="1">SUMPRODUCT($E$100:$E$115,D$68:D$83)</f>
        <v>203.52647278168561</v>
      </c>
      <c r="C132" s="114"/>
      <c r="D132" t="s">
        <v>327</v>
      </c>
      <c r="E132" s="4">
        <f t="shared" ref="E132:E146" ca="1" si="3">SUMPRODUCT($H$100:$Q$100,$C69:$L69)</f>
        <v>446.90116863843753</v>
      </c>
    </row>
    <row r="133" spans="1:5" ht="16.5" x14ac:dyDescent="0.45">
      <c r="A133" t="s">
        <v>328</v>
      </c>
      <c r="B133" s="110">
        <f ca="1">SUMPRODUCT($E$100:$E$115,E$68:E$83)</f>
        <v>237.87828895076203</v>
      </c>
      <c r="C133" s="114"/>
      <c r="D133" t="s">
        <v>329</v>
      </c>
      <c r="E133" s="4">
        <f t="shared" ca="1" si="3"/>
        <v>564.06636863843744</v>
      </c>
    </row>
    <row r="134" spans="1:5" ht="16.5" x14ac:dyDescent="0.45">
      <c r="A134" t="s">
        <v>330</v>
      </c>
      <c r="B134" s="110">
        <f ca="1">SUMPRODUCT($E$100:$E$115,F$68:F$83)</f>
        <v>472.7892446925884</v>
      </c>
      <c r="C134" s="114"/>
      <c r="D134" t="s">
        <v>331</v>
      </c>
      <c r="E134" s="4">
        <f t="shared" ca="1" si="3"/>
        <v>603.93751246297927</v>
      </c>
    </row>
    <row r="135" spans="1:5" ht="16.5" x14ac:dyDescent="0.45">
      <c r="A135" t="s">
        <v>332</v>
      </c>
      <c r="B135" s="110">
        <f ca="1">SUMPRODUCT($E$100:$E$115,G$68:G$83)</f>
        <v>190.83048821610006</v>
      </c>
      <c r="C135" s="114"/>
      <c r="D135" t="s">
        <v>333</v>
      </c>
      <c r="E135" s="4">
        <f t="shared" ca="1" si="3"/>
        <v>169.86431666800075</v>
      </c>
    </row>
    <row r="136" spans="1:5" ht="16.5" x14ac:dyDescent="0.45">
      <c r="A136" t="s">
        <v>334</v>
      </c>
      <c r="B136" s="110">
        <f ca="1">SUMPRODUCT($E$100:$E$115,H$68:H$83)</f>
        <v>378.29690127588907</v>
      </c>
      <c r="C136" s="114"/>
      <c r="D136" t="s">
        <v>335</v>
      </c>
      <c r="E136" s="4">
        <f t="shared" ca="1" si="3"/>
        <v>169.21651801809011</v>
      </c>
    </row>
    <row r="137" spans="1:5" ht="16.5" x14ac:dyDescent="0.45">
      <c r="A137" t="s">
        <v>336</v>
      </c>
      <c r="B137" s="110">
        <f ca="1">SUMPRODUCT($E$100:$E$115,I$68:I$83)</f>
        <v>338.96092212778433</v>
      </c>
      <c r="D137" t="s">
        <v>337</v>
      </c>
      <c r="E137" s="4">
        <f t="shared" ca="1" si="3"/>
        <v>195.01579010005605</v>
      </c>
    </row>
    <row r="138" spans="1:5" ht="16.5" x14ac:dyDescent="0.45">
      <c r="A138" t="s">
        <v>338</v>
      </c>
      <c r="B138" s="110">
        <f ca="1">SUMPRODUCT($E$100:$E$115,J$68:J$83)</f>
        <v>306.07333005275507</v>
      </c>
      <c r="D138" t="s">
        <v>339</v>
      </c>
      <c r="E138" s="4">
        <f t="shared" ca="1" si="3"/>
        <v>228.43966377971662</v>
      </c>
    </row>
    <row r="139" spans="1:5" ht="16.5" x14ac:dyDescent="0.45">
      <c r="A139" t="s">
        <v>340</v>
      </c>
      <c r="B139" s="110">
        <f ca="1">SUMPRODUCT($E$100:$E$115,K$68:K$83)</f>
        <v>472.7892446925884</v>
      </c>
      <c r="D139" t="s">
        <v>341</v>
      </c>
      <c r="E139" s="4">
        <f t="shared" ca="1" si="3"/>
        <v>172.16662515808852</v>
      </c>
    </row>
    <row r="140" spans="1:5" ht="16.5" x14ac:dyDescent="0.45">
      <c r="A140" t="s">
        <v>342</v>
      </c>
      <c r="B140" s="110">
        <f ca="1">SUMPRODUCT($E$100:$E$115,L$68:L$83)</f>
        <v>338.96092212778433</v>
      </c>
      <c r="D140" t="s">
        <v>343</v>
      </c>
      <c r="E140" s="4">
        <f t="shared" ca="1" si="3"/>
        <v>326.95705215987618</v>
      </c>
    </row>
    <row r="141" spans="1:5" ht="16.5" x14ac:dyDescent="0.45">
      <c r="B141" s="110"/>
      <c r="D141" t="s">
        <v>344</v>
      </c>
      <c r="E141" s="4">
        <f t="shared" ca="1" si="3"/>
        <v>317.57796299260923</v>
      </c>
    </row>
    <row r="142" spans="1:5" ht="16.5" x14ac:dyDescent="0.45">
      <c r="B142" s="110"/>
      <c r="D142" t="s">
        <v>345</v>
      </c>
      <c r="E142" s="4">
        <f t="shared" ca="1" si="3"/>
        <v>429.71513150724411</v>
      </c>
    </row>
    <row r="143" spans="1:5" ht="16.5" x14ac:dyDescent="0.45">
      <c r="B143" s="110"/>
      <c r="D143" t="s">
        <v>346</v>
      </c>
      <c r="E143" s="4">
        <f t="shared" ca="1" si="3"/>
        <v>465.1721514127911</v>
      </c>
    </row>
    <row r="144" spans="1:5" ht="16.5" x14ac:dyDescent="0.45">
      <c r="B144" s="110"/>
      <c r="D144" t="s">
        <v>347</v>
      </c>
      <c r="E144" s="4">
        <f t="shared" si="3"/>
        <v>359.83515141279116</v>
      </c>
    </row>
    <row r="145" spans="1:5" ht="16.5" x14ac:dyDescent="0.45">
      <c r="B145" s="110"/>
      <c r="D145" t="s">
        <v>348</v>
      </c>
      <c r="E145" s="4">
        <f t="shared" si="3"/>
        <v>510.17151246297925</v>
      </c>
    </row>
    <row r="146" spans="1:5" ht="16.5" x14ac:dyDescent="0.45">
      <c r="B146" s="110"/>
      <c r="D146" t="s">
        <v>349</v>
      </c>
      <c r="E146" s="4">
        <f t="shared" si="3"/>
        <v>222.14599500520291</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0.29155784534685902</v>
      </c>
      <c r="C163" s="36"/>
      <c r="D163" t="s">
        <v>355</v>
      </c>
      <c r="E163" s="115">
        <f t="shared" ref="E163:E178" ca="1" si="4">($H42*$E131)/SUMPRODUCT($H$42:$H$57,$E$131:$E$146)</f>
        <v>1.4922163645101363E-2</v>
      </c>
    </row>
    <row r="164" spans="1:9" ht="16.5" x14ac:dyDescent="0.45">
      <c r="A164" t="s">
        <v>356</v>
      </c>
      <c r="B164" s="115">
        <f t="shared" ref="B164:B172" ca="1" si="5">($H26*$B132)/SUMPRODUCT($H$25:$H$34,$B$131:$B$140)</f>
        <v>0.23443138673243474</v>
      </c>
      <c r="C164" s="4"/>
      <c r="D164" t="s">
        <v>357</v>
      </c>
      <c r="E164" s="115">
        <f t="shared" ca="1" si="4"/>
        <v>5.2711425881726219E-2</v>
      </c>
    </row>
    <row r="165" spans="1:9" ht="16.5" x14ac:dyDescent="0.45">
      <c r="A165" t="s">
        <v>358</v>
      </c>
      <c r="B165" s="115">
        <f t="shared" ca="1" si="5"/>
        <v>0.18401801593464256</v>
      </c>
      <c r="C165" s="4"/>
      <c r="D165" t="s">
        <v>359</v>
      </c>
      <c r="E165" s="115">
        <f t="shared" ca="1" si="4"/>
        <v>0.1085191345251184</v>
      </c>
      <c r="H165" s="116"/>
      <c r="I165" s="116"/>
    </row>
    <row r="166" spans="1:9" ht="16.5" x14ac:dyDescent="0.45">
      <c r="A166" t="s">
        <v>360</v>
      </c>
      <c r="B166" s="115">
        <f t="shared" ca="1" si="5"/>
        <v>0</v>
      </c>
      <c r="C166" s="4"/>
      <c r="D166" t="s">
        <v>361</v>
      </c>
      <c r="E166" s="115">
        <f t="shared" ca="1" si="4"/>
        <v>1.4221261765878918E-2</v>
      </c>
    </row>
    <row r="167" spans="1:9" ht="16.5" x14ac:dyDescent="0.45">
      <c r="A167" t="s">
        <v>362</v>
      </c>
      <c r="B167" s="115">
        <f t="shared" ca="1" si="5"/>
        <v>0</v>
      </c>
      <c r="C167" s="4"/>
      <c r="D167" t="s">
        <v>363</v>
      </c>
      <c r="E167" s="115">
        <f t="shared" ca="1" si="4"/>
        <v>0.21244800278046597</v>
      </c>
    </row>
    <row r="168" spans="1:9" ht="16.5" x14ac:dyDescent="0.45">
      <c r="A168" t="s">
        <v>364</v>
      </c>
      <c r="B168" s="115">
        <f t="shared" ca="1" si="5"/>
        <v>0</v>
      </c>
      <c r="C168" s="4"/>
      <c r="D168" t="s">
        <v>365</v>
      </c>
      <c r="E168" s="115">
        <f t="shared" ca="1" si="4"/>
        <v>9.9984679193766884E-2</v>
      </c>
    </row>
    <row r="169" spans="1:9" ht="16.5" x14ac:dyDescent="0.45">
      <c r="A169" t="s">
        <v>366</v>
      </c>
      <c r="B169" s="115">
        <f t="shared" ca="1" si="5"/>
        <v>0.28999275198606372</v>
      </c>
      <c r="C169" s="4"/>
      <c r="D169" t="s">
        <v>367</v>
      </c>
      <c r="E169" s="115">
        <f t="shared" ca="1" si="4"/>
        <v>2.3495349625964782E-2</v>
      </c>
    </row>
    <row r="170" spans="1:9" ht="16.5" x14ac:dyDescent="0.45">
      <c r="A170" t="s">
        <v>368</v>
      </c>
      <c r="B170" s="115">
        <f t="shared" ca="1" si="5"/>
        <v>0</v>
      </c>
      <c r="C170" s="4"/>
      <c r="D170" t="s">
        <v>369</v>
      </c>
      <c r="E170" s="115">
        <f t="shared" ca="1" si="4"/>
        <v>5.1865115830961204E-3</v>
      </c>
    </row>
    <row r="171" spans="1:9" ht="16.5" x14ac:dyDescent="0.45">
      <c r="A171" t="s">
        <v>370</v>
      </c>
      <c r="B171" s="115">
        <f t="shared" ca="1" si="5"/>
        <v>0</v>
      </c>
      <c r="D171" t="s">
        <v>371</v>
      </c>
      <c r="E171" s="115">
        <f t="shared" ca="1" si="4"/>
        <v>2.5752648939438086E-2</v>
      </c>
    </row>
    <row r="172" spans="1:9" ht="16.5" x14ac:dyDescent="0.45">
      <c r="A172" t="s">
        <v>372</v>
      </c>
      <c r="B172" s="115">
        <f t="shared" ca="1" si="5"/>
        <v>0</v>
      </c>
      <c r="D172" t="s">
        <v>373</v>
      </c>
      <c r="E172" s="115">
        <f t="shared" ca="1" si="4"/>
        <v>2.8429009346505361E-2</v>
      </c>
    </row>
    <row r="173" spans="1:9" ht="16.5" x14ac:dyDescent="0.45">
      <c r="B173" s="233">
        <f ca="1">SUM(B163:B172)</f>
        <v>1</v>
      </c>
      <c r="D173" t="s">
        <v>374</v>
      </c>
      <c r="E173" s="115">
        <f t="shared" ca="1" si="4"/>
        <v>6.6343821110713977E-2</v>
      </c>
    </row>
    <row r="174" spans="1:9" ht="16.5" x14ac:dyDescent="0.45">
      <c r="B174" s="115"/>
      <c r="D174" t="s">
        <v>375</v>
      </c>
      <c r="E174" s="115">
        <f t="shared" ca="1" si="4"/>
        <v>0.24070537654825597</v>
      </c>
    </row>
    <row r="175" spans="1:9" ht="16.5" x14ac:dyDescent="0.45">
      <c r="B175" s="115"/>
      <c r="D175" t="s">
        <v>376</v>
      </c>
      <c r="E175" s="115">
        <f t="shared" ca="1" si="4"/>
        <v>0.10728061505396796</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1458.3294406275609</v>
      </c>
      <c r="C194" s="47"/>
      <c r="D194" t="s">
        <v>383</v>
      </c>
      <c r="E194" s="6">
        <f t="shared" ref="E194:E209" ca="1" si="7">$E163*$D$9</f>
        <v>31.859864440975795</v>
      </c>
    </row>
    <row r="195" spans="1:5" ht="16.5" x14ac:dyDescent="0.45">
      <c r="A195" t="s">
        <v>384</v>
      </c>
      <c r="B195" s="7">
        <f t="shared" ca="1" si="6"/>
        <v>1172.5913006125118</v>
      </c>
      <c r="D195" t="s">
        <v>385</v>
      </c>
      <c r="E195" s="6">
        <f t="shared" ca="1" si="7"/>
        <v>112.54258584904646</v>
      </c>
    </row>
    <row r="196" spans="1:5" ht="16.5" x14ac:dyDescent="0.45">
      <c r="A196" t="s">
        <v>386</v>
      </c>
      <c r="B196" s="7">
        <f t="shared" ca="1" si="6"/>
        <v>920.43103804701627</v>
      </c>
      <c r="D196" t="s">
        <v>387</v>
      </c>
      <c r="E196" s="6">
        <f t="shared" ca="1" si="7"/>
        <v>231.69595223929088</v>
      </c>
    </row>
    <row r="197" spans="1:5" ht="16.5" x14ac:dyDescent="0.45">
      <c r="A197" t="s">
        <v>388</v>
      </c>
      <c r="B197" s="7">
        <f t="shared" ca="1" si="6"/>
        <v>0</v>
      </c>
      <c r="D197" t="s">
        <v>389</v>
      </c>
      <c r="E197" s="6">
        <f t="shared" ca="1" si="7"/>
        <v>30.363389841879503</v>
      </c>
    </row>
    <row r="198" spans="1:5" ht="16.5" x14ac:dyDescent="0.45">
      <c r="A198" t="s">
        <v>390</v>
      </c>
      <c r="B198" s="7">
        <f t="shared" ca="1" si="6"/>
        <v>0</v>
      </c>
      <c r="D198" t="s">
        <v>391</v>
      </c>
      <c r="E198" s="6">
        <f t="shared" ca="1" si="7"/>
        <v>453.59136451795132</v>
      </c>
    </row>
    <row r="199" spans="1:5" ht="16.5" x14ac:dyDescent="0.45">
      <c r="A199" t="s">
        <v>392</v>
      </c>
      <c r="B199" s="7">
        <f t="shared" ca="1" si="6"/>
        <v>0</v>
      </c>
      <c r="D199" t="s">
        <v>393</v>
      </c>
      <c r="E199" s="6">
        <f t="shared" ca="1" si="7"/>
        <v>213.47429240488182</v>
      </c>
    </row>
    <row r="200" spans="1:5" ht="16.5" x14ac:dyDescent="0.45">
      <c r="A200" t="s">
        <v>394</v>
      </c>
      <c r="B200" s="7">
        <f t="shared" ca="1" si="6"/>
        <v>1450.5010739353077</v>
      </c>
      <c r="D200" t="s">
        <v>395</v>
      </c>
      <c r="E200" s="6">
        <f t="shared" ca="1" si="7"/>
        <v>50.164216924554744</v>
      </c>
    </row>
    <row r="201" spans="1:5" ht="16.5" x14ac:dyDescent="0.45">
      <c r="A201" t="s">
        <v>396</v>
      </c>
      <c r="B201" s="7">
        <f t="shared" ca="1" si="6"/>
        <v>0</v>
      </c>
      <c r="D201" t="s">
        <v>397</v>
      </c>
      <c r="E201" s="6">
        <f t="shared" ca="1" si="7"/>
        <v>11.073565462019211</v>
      </c>
    </row>
    <row r="202" spans="1:5" ht="16.5" x14ac:dyDescent="0.45">
      <c r="A202" t="s">
        <v>398</v>
      </c>
      <c r="B202" s="7">
        <f t="shared" ca="1" si="6"/>
        <v>0</v>
      </c>
      <c r="D202" t="s">
        <v>399</v>
      </c>
      <c r="E202" s="6">
        <f t="shared" ca="1" si="7"/>
        <v>54.983709046501552</v>
      </c>
    </row>
    <row r="203" spans="1:5" ht="16.5" x14ac:dyDescent="0.45">
      <c r="A203" t="s">
        <v>400</v>
      </c>
      <c r="B203" s="7">
        <f t="shared" ca="1" si="6"/>
        <v>0</v>
      </c>
      <c r="D203" t="s">
        <v>401</v>
      </c>
      <c r="E203" s="6">
        <f t="shared" ca="1" si="7"/>
        <v>60.697925951792634</v>
      </c>
    </row>
    <row r="204" spans="1:5" ht="16.5" x14ac:dyDescent="0.45">
      <c r="B204" s="7">
        <f ca="1">SUM(B194:B203)</f>
        <v>5001.8528532223963</v>
      </c>
      <c r="D204" t="s">
        <v>402</v>
      </c>
      <c r="E204" s="6">
        <f t="shared" ca="1" si="7"/>
        <v>141.64870439398919</v>
      </c>
    </row>
    <row r="205" spans="1:5" ht="16.5" x14ac:dyDescent="0.45">
      <c r="B205" s="7"/>
      <c r="D205" t="s">
        <v>403</v>
      </c>
      <c r="E205" s="6">
        <f t="shared" ca="1" si="7"/>
        <v>513.922836488862</v>
      </c>
    </row>
    <row r="206" spans="1:5" ht="16.5" x14ac:dyDescent="0.45">
      <c r="B206" s="7"/>
      <c r="D206" t="s">
        <v>404</v>
      </c>
      <c r="E206" s="6">
        <f t="shared" ca="1" si="7"/>
        <v>229.05162642992238</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2135.0700339916675</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7.5546370657935951</v>
      </c>
      <c r="D227" s="121"/>
      <c r="E227" s="8"/>
      <c r="F227" s="8"/>
      <c r="G227" s="122"/>
      <c r="H227" s="48" t="s">
        <v>415</v>
      </c>
      <c r="I227" s="48" t="str">
        <f t="shared" ref="I227:I242" si="8">B42</f>
        <v>NTS MG 1</v>
      </c>
      <c r="J227" s="12">
        <f ca="1">IFERROR($E194/$H42*1000000," ")</f>
        <v>3.8550335878799946</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4.3061544820045272</v>
      </c>
      <c r="D228" s="121"/>
      <c r="E228" s="8"/>
      <c r="F228" s="8"/>
      <c r="G228" s="122"/>
      <c r="H228" s="48" t="s">
        <v>417</v>
      </c>
      <c r="I228" s="48" t="str">
        <f t="shared" si="8"/>
        <v>NTS MG 2</v>
      </c>
      <c r="J228" s="12">
        <f t="shared" ref="J228:J242" ca="1" si="11">IFERROR($E195/$H43*1000000," ")</f>
        <v>4.9260392376112287</v>
      </c>
      <c r="L228" s="21"/>
      <c r="M228" s="123"/>
      <c r="Q228" s="8"/>
      <c r="R228" s="124"/>
      <c r="S228" s="125"/>
      <c r="T228" s="125"/>
      <c r="U228" s="125"/>
    </row>
    <row r="229" spans="1:21" ht="16.5" x14ac:dyDescent="0.35">
      <c r="A229" s="48" t="s">
        <v>418</v>
      </c>
      <c r="B229" s="48" t="str">
        <f t="shared" si="9"/>
        <v>PR-ITABORAÍ</v>
      </c>
      <c r="C229" s="12">
        <f t="shared" ca="1" si="10"/>
        <v>5.0329603129105456</v>
      </c>
      <c r="D229" s="121"/>
      <c r="E229" s="8"/>
      <c r="F229" s="8"/>
      <c r="G229" s="122"/>
      <c r="H229" s="48" t="s">
        <v>419</v>
      </c>
      <c r="I229" s="48" t="str">
        <f t="shared" si="8"/>
        <v>NTS MG 3</v>
      </c>
      <c r="J229" s="12">
        <f t="shared" ca="1" si="11"/>
        <v>6.2175112967266406</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6.656997323416884</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1.8723564575271106</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1.8652159938374457</v>
      </c>
      <c r="L232" s="21"/>
      <c r="M232" s="123"/>
      <c r="Q232" s="8"/>
      <c r="R232" s="124"/>
      <c r="S232" s="125"/>
      <c r="T232" s="125"/>
      <c r="U232" s="125"/>
    </row>
    <row r="233" spans="1:21" ht="16.5" x14ac:dyDescent="0.35">
      <c r="A233" s="48" t="s">
        <v>426</v>
      </c>
      <c r="B233" s="48" t="str">
        <f t="shared" si="9"/>
        <v>PR-TECAB</v>
      </c>
      <c r="C233" s="12">
        <f t="shared" ca="1" si="10"/>
        <v>7.1716375471736207</v>
      </c>
      <c r="D233" s="121"/>
      <c r="E233" s="8"/>
      <c r="F233" s="8"/>
      <c r="G233" s="122"/>
      <c r="H233" s="48" t="s">
        <v>427</v>
      </c>
      <c r="I233" s="48" t="str">
        <f t="shared" si="8"/>
        <v>NTS RJ 3</v>
      </c>
      <c r="J233" s="12">
        <f t="shared" ca="1" si="11"/>
        <v>2.1495925752743861</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2.5180125409697003</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1.8977340191786292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3.6039361294584107</v>
      </c>
      <c r="L236" s="21"/>
      <c r="Q236" s="8"/>
      <c r="R236" s="124"/>
      <c r="S236" s="125"/>
      <c r="T236" s="125"/>
      <c r="U236" s="125"/>
    </row>
    <row r="237" spans="1:21" ht="16.5" x14ac:dyDescent="0.35">
      <c r="D237" s="116"/>
      <c r="E237" s="8"/>
      <c r="F237" s="8"/>
      <c r="G237" s="116"/>
      <c r="H237" s="48" t="s">
        <v>434</v>
      </c>
      <c r="I237" s="48" t="str">
        <f t="shared" si="8"/>
        <v>NTS SP 2</v>
      </c>
      <c r="J237" s="12">
        <f t="shared" ca="1" si="11"/>
        <v>3.5005536268085002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4.736603408868084</v>
      </c>
      <c r="L238" s="21"/>
      <c r="Q238" s="8"/>
      <c r="R238" s="124"/>
      <c r="S238" s="125"/>
      <c r="T238" s="125"/>
      <c r="U238" s="125"/>
    </row>
    <row r="239" spans="1:21" ht="16.5" x14ac:dyDescent="0.35">
      <c r="D239" s="116"/>
      <c r="E239" s="8"/>
      <c r="F239" s="8"/>
      <c r="G239" s="116"/>
      <c r="H239" s="48" t="s">
        <v>436</v>
      </c>
      <c r="I239" s="48" t="str">
        <f t="shared" si="8"/>
        <v>NTS SP 4</v>
      </c>
      <c r="J239" s="12">
        <f t="shared" ca="1" si="11"/>
        <v>5.1274340523314414</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1.5109274131587187</v>
      </c>
      <c r="D246" s="12">
        <f t="shared" ref="D246:D252" ca="1" si="13">$F$8*$C$12</f>
        <v>4.7049724824486132</v>
      </c>
      <c r="E246" s="12">
        <f ca="1">IFERROR(C246+D246," ")</f>
        <v>6.2158998956073317</v>
      </c>
      <c r="F246" s="256">
        <f ca="1">E246*H25</f>
        <v>1199902753.608418</v>
      </c>
      <c r="G246" s="123"/>
      <c r="H246" s="48" t="s">
        <v>415</v>
      </c>
      <c r="I246" s="48" t="str">
        <f t="shared" ref="I246:I261" si="14">I227</f>
        <v>NTS MG 1</v>
      </c>
      <c r="J246" s="12">
        <f ca="1">IF(H42=0," ",J227*(1-$C$12))</f>
        <v>0.7710067175759987</v>
      </c>
      <c r="K246" s="12">
        <f t="shared" ref="K246:K258" ca="1" si="15">$F$11*$C$12</f>
        <v>2.4511775165856586</v>
      </c>
      <c r="L246" s="12">
        <f ca="1">IFERROR(J246+K246," ")</f>
        <v>3.2221842341616576</v>
      </c>
      <c r="M246" s="256">
        <f ca="1">L246*H42</f>
        <v>26629690.912938297</v>
      </c>
      <c r="N246" s="131"/>
    </row>
    <row r="247" spans="1:22" ht="16.5" x14ac:dyDescent="0.35">
      <c r="A247" s="48" t="s">
        <v>416</v>
      </c>
      <c r="B247" s="48" t="str">
        <f t="shared" si="12"/>
        <v>PR-GNLBGB</v>
      </c>
      <c r="C247" s="12">
        <f t="shared" ref="C247:C255" ca="1" si="16">IF(H26=0," ",C228*(1-$C$12))</f>
        <v>0.86123089640090522</v>
      </c>
      <c r="D247" s="12">
        <f t="shared" ca="1" si="13"/>
        <v>4.7049724824486132</v>
      </c>
      <c r="E247" s="12">
        <f t="shared" ref="E247:E252" ca="1" si="17">IFERROR(C247+D247," ")</f>
        <v>5.5662033788495187</v>
      </c>
      <c r="F247" s="256">
        <f t="shared" ref="F247:F252" ca="1" si="18">E247*H26</f>
        <v>1515710057.9542217</v>
      </c>
      <c r="G247" s="123"/>
      <c r="H247" s="48" t="s">
        <v>417</v>
      </c>
      <c r="I247" s="48" t="str">
        <f t="shared" si="14"/>
        <v>NTS MG 2</v>
      </c>
      <c r="J247" s="12">
        <f t="shared" ref="J247:J248" ca="1" si="19">IF(H43=0," ",J228*(1-$C$12))</f>
        <v>0.98520784752224555</v>
      </c>
      <c r="K247" s="12">
        <f t="shared" ca="1" si="15"/>
        <v>2.4511775165856586</v>
      </c>
      <c r="L247" s="12">
        <f t="shared" ref="L247:L258" ca="1" si="20">IFERROR(J247+K247," ")</f>
        <v>3.4363853641079043</v>
      </c>
      <c r="M247" s="256">
        <f t="shared" ref="M247:M258" ca="1" si="21">L247*H43</f>
        <v>78509259.913662657</v>
      </c>
    </row>
    <row r="248" spans="1:22" ht="16.5" x14ac:dyDescent="0.35">
      <c r="A248" s="48" t="s">
        <v>418</v>
      </c>
      <c r="B248" s="48" t="str">
        <f t="shared" si="12"/>
        <v>PR-ITABORAÍ</v>
      </c>
      <c r="C248" s="12">
        <f t="shared" ca="1" si="16"/>
        <v>1.006592062582109</v>
      </c>
      <c r="D248" s="12">
        <f t="shared" ca="1" si="13"/>
        <v>4.7049724824486132</v>
      </c>
      <c r="E248" s="12">
        <f t="shared" ca="1" si="17"/>
        <v>5.711564545030722</v>
      </c>
      <c r="F248" s="256">
        <f t="shared" ca="1" si="18"/>
        <v>1044534619.033186</v>
      </c>
      <c r="G248" s="123"/>
      <c r="H248" s="48" t="s">
        <v>419</v>
      </c>
      <c r="I248" s="48" t="str">
        <f t="shared" si="14"/>
        <v>NTS MG 3</v>
      </c>
      <c r="J248" s="12">
        <f t="shared" ca="1" si="19"/>
        <v>1.2435022593453278</v>
      </c>
      <c r="K248" s="12">
        <f t="shared" ca="1" si="15"/>
        <v>2.4511775165856586</v>
      </c>
      <c r="L248" s="12">
        <f t="shared" ca="1" si="20"/>
        <v>3.6946797759309864</v>
      </c>
      <c r="M248" s="256">
        <f t="shared" ca="1" si="21"/>
        <v>137682475.84113985</v>
      </c>
    </row>
    <row r="249" spans="1:22" ht="16.5" x14ac:dyDescent="0.35">
      <c r="A249" s="48" t="s">
        <v>420</v>
      </c>
      <c r="B249" s="48" t="str">
        <f t="shared" si="12"/>
        <v>PR-GASPAJ (INTERCONEXÃO)</v>
      </c>
      <c r="C249" s="12" t="str">
        <f t="shared" si="16"/>
        <v xml:space="preserve"> </v>
      </c>
      <c r="D249" s="12">
        <f t="shared" ca="1" si="13"/>
        <v>4.7049724824486132</v>
      </c>
      <c r="E249" s="127">
        <f ca="1">E271</f>
        <v>0.5747245604951986</v>
      </c>
      <c r="F249" s="256">
        <f t="shared" ca="1" si="18"/>
        <v>0</v>
      </c>
      <c r="G249" s="123"/>
      <c r="H249" s="48" t="s">
        <v>421</v>
      </c>
      <c r="I249" s="48" t="str">
        <f t="shared" si="14"/>
        <v>NTS MG 4</v>
      </c>
      <c r="J249" s="12">
        <f ca="1">IF(H45=0," ",J230*(1-$C$12))</f>
        <v>1.3313994646833764</v>
      </c>
      <c r="K249" s="12">
        <f t="shared" ca="1" si="15"/>
        <v>2.4511775165856586</v>
      </c>
      <c r="L249" s="12">
        <f t="shared" ca="1" si="20"/>
        <v>3.7825769812690351</v>
      </c>
      <c r="M249" s="256">
        <f t="shared" ca="1" si="21"/>
        <v>17252802.413662475</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0.37447129150542202</v>
      </c>
      <c r="K250" s="12">
        <f t="shared" ca="1" si="15"/>
        <v>2.4511775165856586</v>
      </c>
      <c r="L250" s="12">
        <f t="shared" ca="1" si="20"/>
        <v>2.8256488080910804</v>
      </c>
      <c r="M250" s="256">
        <f t="shared" ca="1" si="21"/>
        <v>684533061.72443819</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0.37304319876748909</v>
      </c>
      <c r="K251" s="12">
        <f t="shared" ca="1" si="15"/>
        <v>2.4511775165856586</v>
      </c>
      <c r="L251" s="12">
        <f t="shared" ca="1" si="20"/>
        <v>2.8242207153531478</v>
      </c>
      <c r="M251" s="256">
        <f t="shared" ca="1" si="21"/>
        <v>323232548.29315239</v>
      </c>
    </row>
    <row r="252" spans="1:22" ht="16.5" x14ac:dyDescent="0.35">
      <c r="A252" s="48" t="s">
        <v>426</v>
      </c>
      <c r="B252" s="48" t="str">
        <f t="shared" si="12"/>
        <v>PR-TECAB</v>
      </c>
      <c r="C252" s="12">
        <f t="shared" ca="1" si="16"/>
        <v>1.4343275094347239</v>
      </c>
      <c r="D252" s="12">
        <f t="shared" ca="1" si="13"/>
        <v>4.7049724824486132</v>
      </c>
      <c r="E252" s="12">
        <f t="shared" ca="1" si="17"/>
        <v>6.1392999918833375</v>
      </c>
      <c r="F252" s="256">
        <f t="shared" ca="1" si="18"/>
        <v>1241705422.6265712</v>
      </c>
      <c r="G252" s="123"/>
      <c r="H252" s="48" t="s">
        <v>427</v>
      </c>
      <c r="I252" s="48" t="str">
        <f t="shared" si="14"/>
        <v>NTS RJ 3</v>
      </c>
      <c r="J252" s="12">
        <f t="shared" ca="1" si="22"/>
        <v>0.4299185150548771</v>
      </c>
      <c r="K252" s="12">
        <f t="shared" ca="1" si="15"/>
        <v>2.4511775165856586</v>
      </c>
      <c r="L252" s="12">
        <f t="shared" ca="1" si="20"/>
        <v>2.8810960316405358</v>
      </c>
      <c r="M252" s="256">
        <f t="shared" ca="1" si="21"/>
        <v>67235032.337810025</v>
      </c>
    </row>
    <row r="253" spans="1:22" ht="16.5" x14ac:dyDescent="0.35">
      <c r="A253" s="48" t="s">
        <v>428</v>
      </c>
      <c r="B253" s="48" t="str">
        <f t="shared" si="12"/>
        <v>PR-GUARAREMA (INTERCONEXÃO)</v>
      </c>
      <c r="C253" s="12" t="str">
        <f t="shared" si="16"/>
        <v xml:space="preserve"> </v>
      </c>
      <c r="D253" s="12"/>
      <c r="E253" s="127">
        <f ca="1">E269</f>
        <v>0.53463183425071503</v>
      </c>
      <c r="F253" s="257"/>
      <c r="G253" s="123"/>
      <c r="H253" s="48" t="s">
        <v>429</v>
      </c>
      <c r="I253" s="48" t="str">
        <f t="shared" si="14"/>
        <v>NTS RJ 4</v>
      </c>
      <c r="J253" s="12">
        <f t="shared" ca="1" si="22"/>
        <v>0.50360250819393992</v>
      </c>
      <c r="K253" s="12">
        <f t="shared" ca="1" si="15"/>
        <v>2.4511775165856586</v>
      </c>
      <c r="L253" s="12">
        <f t="shared" ca="1" si="20"/>
        <v>2.9547800247795983</v>
      </c>
      <c r="M253" s="256">
        <f t="shared" ca="1" si="21"/>
        <v>12994355.468008511</v>
      </c>
    </row>
    <row r="254" spans="1:22" ht="16.5" x14ac:dyDescent="0.35">
      <c r="A254" s="48" t="s">
        <v>430</v>
      </c>
      <c r="B254" s="48" t="str">
        <f t="shared" si="12"/>
        <v>PR-REPLAN (INTERCONEXÃO)</v>
      </c>
      <c r="C254" s="12" t="str">
        <f t="shared" si="16"/>
        <v xml:space="preserve"> </v>
      </c>
      <c r="D254" s="12"/>
      <c r="E254" s="127">
        <f ca="1">E268</f>
        <v>0.5747245604951986</v>
      </c>
      <c r="F254" s="258">
        <f ca="1">SUM(F246:F252)</f>
        <v>5001852853.2223969</v>
      </c>
      <c r="G254" s="123"/>
      <c r="H254" s="48" t="s">
        <v>431</v>
      </c>
      <c r="I254" s="48" t="str">
        <f t="shared" si="14"/>
        <v>NTS RJ 5</v>
      </c>
      <c r="J254" s="12">
        <f t="shared" ca="1" si="22"/>
        <v>0.37954680383572575</v>
      </c>
      <c r="K254" s="12">
        <f t="shared" ca="1" si="15"/>
        <v>2.4511775165856586</v>
      </c>
      <c r="L254" s="12">
        <f t="shared" ca="1" si="20"/>
        <v>2.8307243204213846</v>
      </c>
      <c r="M254" s="256">
        <f t="shared" ca="1" si="21"/>
        <v>82015562.16622518</v>
      </c>
    </row>
    <row r="255" spans="1:22" ht="16.5" x14ac:dyDescent="0.35">
      <c r="A255" s="48" t="s">
        <v>432</v>
      </c>
      <c r="B255" s="48" t="str">
        <f t="shared" si="12"/>
        <v>PR-TECAB (INTERCONEXÃO)</v>
      </c>
      <c r="C255" s="12" t="str">
        <f t="shared" si="16"/>
        <v xml:space="preserve"> </v>
      </c>
      <c r="D255" s="12"/>
      <c r="E255" s="127">
        <f ca="1">E270</f>
        <v>0.56154434720025626</v>
      </c>
      <c r="G255" s="123"/>
      <c r="H255" s="48" t="s">
        <v>433</v>
      </c>
      <c r="I255" s="48" t="str">
        <f t="shared" si="14"/>
        <v>NTS SP 1</v>
      </c>
      <c r="J255" s="12">
        <f t="shared" ca="1" si="22"/>
        <v>0.72078722589168198</v>
      </c>
      <c r="K255" s="12">
        <f t="shared" ca="1" si="15"/>
        <v>2.4511775165856586</v>
      </c>
      <c r="L255" s="12">
        <f t="shared" ca="1" si="20"/>
        <v>3.1719647424773405</v>
      </c>
      <c r="M255" s="256">
        <f t="shared" ca="1" si="21"/>
        <v>53422611.873401791</v>
      </c>
    </row>
    <row r="256" spans="1:22" ht="16.5" x14ac:dyDescent="0.35">
      <c r="F256" s="131"/>
      <c r="H256" s="48" t="s">
        <v>434</v>
      </c>
      <c r="I256" s="48" t="str">
        <f t="shared" si="14"/>
        <v>NTS SP 2</v>
      </c>
      <c r="J256" s="12">
        <f t="shared" ca="1" si="22"/>
        <v>0.70011072536169994</v>
      </c>
      <c r="K256" s="12">
        <f t="shared" ca="1" si="15"/>
        <v>2.4511775165856586</v>
      </c>
      <c r="L256" s="12">
        <f t="shared" ca="1" si="20"/>
        <v>3.1512882419473587</v>
      </c>
      <c r="M256" s="256">
        <f t="shared" ca="1" si="21"/>
        <v>127515800.13668351</v>
      </c>
    </row>
    <row r="257" spans="1:13" ht="16.5" x14ac:dyDescent="0.35">
      <c r="H257" s="48" t="s">
        <v>435</v>
      </c>
      <c r="I257" s="48" t="str">
        <f t="shared" si="14"/>
        <v>NTS SP 3</v>
      </c>
      <c r="J257" s="12">
        <f t="shared" ca="1" si="22"/>
        <v>0.94732068177361661</v>
      </c>
      <c r="K257" s="12">
        <f t="shared" ca="1" si="15"/>
        <v>2.4511775165856586</v>
      </c>
      <c r="L257" s="12">
        <f t="shared" ca="1" si="20"/>
        <v>3.3984981983592752</v>
      </c>
      <c r="M257" s="256">
        <f t="shared" ca="1" si="21"/>
        <v>368738035.07236558</v>
      </c>
    </row>
    <row r="258" spans="1:13" ht="16.5" x14ac:dyDescent="0.35">
      <c r="H258" s="48" t="s">
        <v>436</v>
      </c>
      <c r="I258" s="48" t="str">
        <f t="shared" si="14"/>
        <v>NTS SP 4</v>
      </c>
      <c r="J258" s="12">
        <f t="shared" ca="1" si="22"/>
        <v>1.025486810466288</v>
      </c>
      <c r="K258" s="12">
        <f t="shared" ca="1" si="15"/>
        <v>2.4511775165856586</v>
      </c>
      <c r="L258" s="12">
        <f t="shared" ca="1" si="20"/>
        <v>3.4766643270519468</v>
      </c>
      <c r="M258" s="256">
        <f t="shared" ca="1" si="21"/>
        <v>155308797.83817926</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0.30414673697276728</v>
      </c>
      <c r="M260" s="258">
        <f ca="1">SUM(M246:M258)</f>
        <v>2135070033.9916677</v>
      </c>
    </row>
    <row r="261" spans="1:13" ht="16.5" x14ac:dyDescent="0.35">
      <c r="H261" s="48" t="s">
        <v>439</v>
      </c>
      <c r="I261" s="48" t="str">
        <f t="shared" si="14"/>
        <v>PE-TECAB (INTERCONEXÃO)</v>
      </c>
      <c r="J261" s="12" t="str">
        <f t="shared" si="22"/>
        <v xml:space="preserve"> </v>
      </c>
      <c r="K261" s="12"/>
      <c r="L261" s="127">
        <f ca="1">E273</f>
        <v>0.26282121758248939</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(Legados)'!H11</f>
        <v>200</v>
      </c>
      <c r="D268" s="265">
        <f ca="1">'CWD 2027 Legados (sem desc.)'!D267</f>
        <v>5.7472456049519876</v>
      </c>
      <c r="E268" s="268">
        <f ca="1">D268*(1-$C$263)</f>
        <v>0.5747245604951986</v>
      </c>
      <c r="F268" s="266">
        <f ca="1">C268*E268*'Premissas (Legados)'!$C$44*'Premissas (Legados)'!$F$20*1000</f>
        <v>1565008.9254840408</v>
      </c>
      <c r="L268" s="128"/>
    </row>
    <row r="269" spans="1:13" ht="18.5" x14ac:dyDescent="0.45">
      <c r="B269" s="247" t="s">
        <v>451</v>
      </c>
      <c r="C269" s="271">
        <f>'Oferta (Legados)'!H10</f>
        <v>6000</v>
      </c>
      <c r="D269" s="265">
        <f ca="1">'CWD 2027 Legados (sem desc.)'!D268</f>
        <v>5.3463183425071517</v>
      </c>
      <c r="E269" s="268">
        <f t="shared" ref="E269:E271" ca="1" si="23">D269*(1-$C$263)</f>
        <v>0.53463183425071503</v>
      </c>
      <c r="F269" s="266">
        <f ca="1">C269*E269*'Premissas (Legados)'!$C$44*'Premissas (Legados)'!$F$20*1000</f>
        <v>43675021.91289752</v>
      </c>
      <c r="G269" s="129"/>
      <c r="K269" s="129"/>
      <c r="L269" s="128"/>
    </row>
    <row r="270" spans="1:13" ht="18.5" x14ac:dyDescent="0.45">
      <c r="B270" s="248" t="s">
        <v>452</v>
      </c>
      <c r="C270" s="271">
        <f>'Oferta (Legados)'!H12</f>
        <v>200</v>
      </c>
      <c r="D270" s="265">
        <f ca="1">'CWD 2027 Legados (sem desc.)'!D269</f>
        <v>5.6154434720025641</v>
      </c>
      <c r="E270" s="268">
        <f t="shared" ca="1" si="23"/>
        <v>0.56154434720025626</v>
      </c>
      <c r="F270" s="266">
        <f ca="1">C270*E270*'Premissas (Legados)'!$C$44*'Premissas (Legados)'!$F$20*1000</f>
        <v>1529118.4261662541</v>
      </c>
      <c r="K270" s="129"/>
      <c r="L270" s="128"/>
    </row>
    <row r="271" spans="1:13" ht="18.5" x14ac:dyDescent="0.45">
      <c r="B271" s="248" t="s">
        <v>243</v>
      </c>
      <c r="C271" s="271">
        <f>'Oferta (Legados)'!H6</f>
        <v>335</v>
      </c>
      <c r="D271" s="265">
        <f ca="1">'CWD 2027 Legados (sem desc.)'!D270</f>
        <v>5.7472456049519876</v>
      </c>
      <c r="E271" s="268">
        <f t="shared" ca="1" si="23"/>
        <v>0.5747245604951986</v>
      </c>
      <c r="F271" s="266">
        <f ca="1">C271*E271*'Premissas (Legados)'!$C$44*'Premissas (Legados)'!$F$20*1000</f>
        <v>2621389.9501857678</v>
      </c>
      <c r="K271" s="129"/>
      <c r="L271" s="128"/>
    </row>
    <row r="272" spans="1:13" ht="18.5" x14ac:dyDescent="0.45">
      <c r="B272" s="246" t="s">
        <v>453</v>
      </c>
      <c r="C272" s="271">
        <f>'Demanda (Legados)'!H17</f>
        <v>7011</v>
      </c>
      <c r="D272" s="265">
        <f ca="1">'CWD 2027 Legados (sem desc.)'!D271</f>
        <v>3.0414673697276737</v>
      </c>
      <c r="E272" s="268">
        <f ca="1">D272*(1-$C$263)</f>
        <v>0.30414673697276728</v>
      </c>
      <c r="F272" s="266">
        <f ca="1">C272*E272*'Premissas (Legados)'!$C$44*'Premissas (Legados)'!$F$20*1000</f>
        <v>29032885.067565199</v>
      </c>
      <c r="K272" s="129"/>
      <c r="L272" s="128"/>
    </row>
    <row r="273" spans="2:13" ht="18.5" x14ac:dyDescent="0.45">
      <c r="B273" s="248" t="s">
        <v>454</v>
      </c>
      <c r="C273" s="271">
        <f>'Demanda (Legados)'!H18</f>
        <v>200</v>
      </c>
      <c r="D273" s="265">
        <f ca="1">'CWD 2027 Legados (sem desc.)'!D272</f>
        <v>2.6282121758248946</v>
      </c>
      <c r="E273" s="268">
        <f ca="1">D273*(1-$C$263)</f>
        <v>0.26282121758248939</v>
      </c>
      <c r="F273" s="266">
        <f ca="1">C273*E273*'Premissas (Legados)'!$C$44*'Premissas (Legados)'!$F$20*1000</f>
        <v>715677.69953797746</v>
      </c>
      <c r="K273" s="129"/>
      <c r="L273" s="128"/>
    </row>
    <row r="274" spans="2:13" ht="19" thickBot="1" x14ac:dyDescent="0.5">
      <c r="B274" s="248"/>
      <c r="C274" s="269"/>
      <c r="D274" s="269"/>
      <c r="E274" s="269"/>
      <c r="F274" s="267">
        <f ca="1">SUM(F268:F273)</f>
        <v>79139101.981836751</v>
      </c>
      <c r="K274" s="129"/>
      <c r="L274" s="128"/>
    </row>
    <row r="275" spans="2:13" ht="15" thickTop="1" x14ac:dyDescent="0.35">
      <c r="K275" s="129"/>
      <c r="L275" s="128"/>
    </row>
    <row r="276" spans="2:13" x14ac:dyDescent="0.35">
      <c r="E276" t="s">
        <v>110</v>
      </c>
      <c r="F276" s="235">
        <f ca="1">F254+M260+F274</f>
        <v>7216061989.1959009</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FEAF-AC0A-4717-8F92-53A008D4DE91}">
  <sheetPr codeName="Planilha22">
    <tabColor theme="1" tint="0.499984740745262"/>
  </sheetPr>
  <dimension ref="A1:V39"/>
  <sheetViews>
    <sheetView showGridLines="0" zoomScale="110" zoomScaleNormal="110" workbookViewId="0">
      <selection activeCell="J48" sqref="J4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2027 Legados (com desc.)'!A246</f>
        <v>TEN1</v>
      </c>
      <c r="B2" s="320" t="str">
        <f>'CWD 2027 Legados (com desc.)'!B246</f>
        <v>PR-CARAGUATATUBA</v>
      </c>
      <c r="C2" s="321">
        <f>'CWD 2027 Legados (sem desc.)'!H24</f>
        <v>193037657.25962999</v>
      </c>
      <c r="D2" s="322">
        <f ca="1">'CWD 2027 Legados (com desc.)'!E246</f>
        <v>6.2158998956073317</v>
      </c>
      <c r="E2" s="323">
        <f t="shared" ref="E2:E11" ca="1" si="0">IFERROR(C2*D2," ")</f>
        <v>1199902753.608418</v>
      </c>
      <c r="F2" s="363"/>
      <c r="L2" s="68" t="s">
        <v>58</v>
      </c>
      <c r="M2" s="67">
        <f ca="1">IFERROR($D$2+$C34," ")</f>
        <v>9.7816311456647203</v>
      </c>
      <c r="N2" s="67">
        <f ca="1">IFERROR($D$3+$C34," ")</f>
        <v>9.1319346289069063</v>
      </c>
      <c r="O2" s="67">
        <f ca="1">IFERROR($D$4+$C34," ")</f>
        <v>9.2772957950881096</v>
      </c>
      <c r="P2" s="67">
        <f ca="1">IFERROR($D$5+$C34," ")</f>
        <v>4.140455810552587</v>
      </c>
      <c r="Q2" s="67" t="str">
        <f ca="1">IFERROR($D$6+$C34," ")</f>
        <v xml:space="preserve"> </v>
      </c>
      <c r="R2" s="67" t="str">
        <f ca="1">IFERROR($D$7+$C34," ")</f>
        <v xml:space="preserve"> </v>
      </c>
      <c r="S2" s="67">
        <f ca="1">IFERROR($D$8+$C34," ")</f>
        <v>9.7050312419407252</v>
      </c>
      <c r="T2" s="67">
        <f ca="1">IFERROR($D$9+$C34," ")</f>
        <v>4.1003630843081034</v>
      </c>
      <c r="U2" s="67">
        <f ca="1">IFERROR($D$10+$C34," ")</f>
        <v>4.140455810552587</v>
      </c>
      <c r="V2" s="67">
        <f ca="1">IFERROR($D$11+$C34," ")</f>
        <v>4.1272755972576443</v>
      </c>
    </row>
    <row r="3" spans="1:22" s="62" customFormat="1" x14ac:dyDescent="0.35">
      <c r="A3" s="292" t="str">
        <f>'CWD 2027 Legados (com desc.)'!A247</f>
        <v>TEN2</v>
      </c>
      <c r="B3" s="295" t="str">
        <f>'CWD 2027 Legados (com desc.)'!B247</f>
        <v>PR-GNLBGB</v>
      </c>
      <c r="C3" s="296">
        <f>'CWD 2027 Legados (sem desc.)'!H25</f>
        <v>272305906.69999999</v>
      </c>
      <c r="D3" s="297">
        <f ca="1">'CWD 2027 Legados (com desc.)'!E247</f>
        <v>5.5662033788495187</v>
      </c>
      <c r="E3" s="298">
        <f t="shared" ca="1" si="0"/>
        <v>1515710057.9542217</v>
      </c>
      <c r="F3" s="363"/>
      <c r="L3" s="68" t="s">
        <v>69</v>
      </c>
      <c r="M3" s="67">
        <f t="shared" ref="M3:M7" ca="1" si="1">IFERROR($D$2+$C35," ")</f>
        <v>9.0460126105235332</v>
      </c>
      <c r="N3" s="67">
        <f t="shared" ref="N3:N7" ca="1" si="2">IFERROR($D$3+$C35," ")</f>
        <v>8.3963160937657193</v>
      </c>
      <c r="O3" s="67">
        <f t="shared" ref="O3:O7" ca="1" si="3">IFERROR($D$4+$C35," ")</f>
        <v>8.5416772599469226</v>
      </c>
      <c r="P3" s="67">
        <f t="shared" ref="P3:P7" ca="1" si="4">IFERROR($D$5+$C35," ")</f>
        <v>3.4048372754114</v>
      </c>
      <c r="Q3" s="67" t="str">
        <f t="shared" ref="Q3:Q7" ca="1" si="5">IFERROR($D$6+$C35," ")</f>
        <v xml:space="preserve"> </v>
      </c>
      <c r="R3" s="67" t="str">
        <f t="shared" ref="R3:R7" ca="1" si="6">IFERROR($D$7+$C35," ")</f>
        <v xml:space="preserve"> </v>
      </c>
      <c r="S3" s="67">
        <f t="shared" ref="S3:S7" ca="1" si="7">IFERROR($D$8+$C35," ")</f>
        <v>8.9694127067995382</v>
      </c>
      <c r="T3" s="67">
        <f t="shared" ref="T3:T7" ca="1" si="8">IFERROR($D$9+$C35," ")</f>
        <v>3.3647445491669163</v>
      </c>
      <c r="U3" s="67">
        <f t="shared" ref="U3:U7" ca="1" si="9">IFERROR($D$10+$C35," ")</f>
        <v>3.4048372754114</v>
      </c>
      <c r="V3" s="67">
        <f t="shared" ref="V3:V7" ca="1" si="10">IFERROR($D$11+$C35," ")</f>
        <v>3.3916570621164577</v>
      </c>
    </row>
    <row r="4" spans="1:22" x14ac:dyDescent="0.35">
      <c r="A4" s="292" t="str">
        <f>'CWD 2027 Legados (com desc.)'!A248</f>
        <v>TEN3</v>
      </c>
      <c r="B4" s="295" t="str">
        <f>'CWD 2027 Legados (com desc.)'!B248</f>
        <v>PR-ITABORAÍ</v>
      </c>
      <c r="C4" s="296">
        <f>'CWD 2027 Legados (sem desc.)'!H26</f>
        <v>182880646.93972</v>
      </c>
      <c r="D4" s="297">
        <f ca="1">'CWD 2027 Legados (com desc.)'!E248</f>
        <v>5.711564545030722</v>
      </c>
      <c r="E4" s="296">
        <f t="shared" ca="1" si="0"/>
        <v>1044534619.033186</v>
      </c>
      <c r="F4" s="363"/>
      <c r="L4" s="68" t="s">
        <v>258</v>
      </c>
      <c r="M4" s="67">
        <f t="shared" ca="1" si="1"/>
        <v>9.5653349716985741</v>
      </c>
      <c r="N4" s="67">
        <f t="shared" ca="1" si="2"/>
        <v>8.9156384549407619</v>
      </c>
      <c r="O4" s="67">
        <f t="shared" ca="1" si="3"/>
        <v>9.0609996211219652</v>
      </c>
      <c r="P4" s="67">
        <f t="shared" ca="1" si="4"/>
        <v>3.9241596365864408</v>
      </c>
      <c r="Q4" s="67" t="str">
        <f t="shared" ca="1" si="5"/>
        <v xml:space="preserve"> </v>
      </c>
      <c r="R4" s="67" t="str">
        <f t="shared" ca="1" si="6"/>
        <v xml:space="preserve"> </v>
      </c>
      <c r="S4" s="67">
        <f t="shared" ca="1" si="7"/>
        <v>9.4887350679745808</v>
      </c>
      <c r="T4" s="67">
        <f t="shared" ca="1" si="8"/>
        <v>3.8840669103419572</v>
      </c>
      <c r="U4" s="67">
        <f t="shared" ca="1" si="9"/>
        <v>3.9241596365864408</v>
      </c>
      <c r="V4" s="67">
        <f t="shared" ca="1" si="10"/>
        <v>3.9109794232914985</v>
      </c>
    </row>
    <row r="5" spans="1:22" ht="24" x14ac:dyDescent="0.35">
      <c r="A5" s="292" t="str">
        <f>'CWD 2027 Legados (com desc.)'!A249</f>
        <v>TEN4</v>
      </c>
      <c r="B5" s="295" t="str">
        <f>'CWD 2027 Legados (com desc.)'!B249</f>
        <v>PR-GASPAJ (INTERCONEXÃO)</v>
      </c>
      <c r="C5" s="296">
        <f>'CWD 2027 Legados (sem desc.)'!H27</f>
        <v>4561123.937225</v>
      </c>
      <c r="D5" s="297">
        <f ca="1">'CWD 2027 Legados (com desc.)'!E249</f>
        <v>0.5747245604951986</v>
      </c>
      <c r="E5" s="296">
        <f t="shared" ca="1" si="0"/>
        <v>2621389.9501857678</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2027 Legados (com desc.)'!A250</f>
        <v>TEN5</v>
      </c>
      <c r="B6" s="295" t="str">
        <f>'CWD 2027 Legados (com desc.)'!B250</f>
        <v>PR-REDUC</v>
      </c>
      <c r="C6" s="296">
        <f>'CWD 2027 Legados (sem desc.)'!H28</f>
        <v>0</v>
      </c>
      <c r="D6" s="297" t="str">
        <f>'CWD 2027 Legados (com desc.)'!E250</f>
        <v xml:space="preserve"> </v>
      </c>
      <c r="E6" s="296" t="str">
        <f t="shared" si="0"/>
        <v xml:space="preserve"> </v>
      </c>
      <c r="F6" s="363"/>
      <c r="L6" s="132" t="str">
        <f t="shared" ref="L6:L7" si="11">B29</f>
        <v>PE-REPLAN (INTERCONEXÃO)</v>
      </c>
      <c r="M6" s="67">
        <f t="shared" ca="1" si="1"/>
        <v>6.5200466325800992</v>
      </c>
      <c r="N6" s="67">
        <f t="shared" ca="1" si="2"/>
        <v>5.8703501158222862</v>
      </c>
      <c r="O6" s="67">
        <f t="shared" ca="1" si="3"/>
        <v>6.0157112820034895</v>
      </c>
      <c r="P6" s="67">
        <f t="shared" ca="1" si="4"/>
        <v>0.87887129746796588</v>
      </c>
      <c r="Q6" s="67" t="str">
        <f t="shared" ca="1" si="5"/>
        <v xml:space="preserve"> </v>
      </c>
      <c r="R6" s="67" t="str">
        <f t="shared" ca="1" si="6"/>
        <v xml:space="preserve"> </v>
      </c>
      <c r="S6" s="67">
        <f t="shared" ca="1" si="7"/>
        <v>6.443446728856105</v>
      </c>
      <c r="T6" s="67">
        <f t="shared" ca="1" si="8"/>
        <v>0.83877857122348232</v>
      </c>
      <c r="U6" s="67">
        <f t="shared" ca="1" si="9"/>
        <v>0.87887129746796588</v>
      </c>
      <c r="V6" s="67">
        <f t="shared" ca="1" si="10"/>
        <v>0.86569108417302354</v>
      </c>
    </row>
    <row r="7" spans="1:22" x14ac:dyDescent="0.35">
      <c r="A7" s="292" t="str">
        <f>'CWD 2027 Legados (com desc.)'!A251</f>
        <v>TEN6</v>
      </c>
      <c r="B7" s="295" t="str">
        <f>'CWD 2027 Legados (com desc.)'!B251</f>
        <v>PR-RPBC</v>
      </c>
      <c r="C7" s="296">
        <f>'CWD 2027 Legados (sem desc.)'!H29</f>
        <v>0</v>
      </c>
      <c r="D7" s="297" t="str">
        <f>'CWD 2027 Legados (com desc.)'!E251</f>
        <v xml:space="preserve"> </v>
      </c>
      <c r="E7" s="296" t="str">
        <f t="shared" si="0"/>
        <v xml:space="preserve"> </v>
      </c>
      <c r="F7" s="363"/>
      <c r="L7" s="132" t="str">
        <f t="shared" si="11"/>
        <v>PE-TECAB (INTERCONEXÃO)</v>
      </c>
      <c r="M7" s="67">
        <f t="shared" ca="1" si="1"/>
        <v>6.4787211131898212</v>
      </c>
      <c r="N7" s="67">
        <f t="shared" ca="1" si="2"/>
        <v>5.8290245964320082</v>
      </c>
      <c r="O7" s="67">
        <f t="shared" ca="1" si="3"/>
        <v>5.9743857626132115</v>
      </c>
      <c r="P7" s="67">
        <f t="shared" ca="1" si="4"/>
        <v>0.83754577807768804</v>
      </c>
      <c r="Q7" s="67" t="str">
        <f t="shared" ca="1" si="5"/>
        <v xml:space="preserve"> </v>
      </c>
      <c r="R7" s="67" t="str">
        <f t="shared" ca="1" si="6"/>
        <v xml:space="preserve"> </v>
      </c>
      <c r="S7" s="67">
        <f t="shared" ca="1" si="7"/>
        <v>6.4021212094658271</v>
      </c>
      <c r="T7" s="67">
        <f t="shared" ca="1" si="8"/>
        <v>0.79745305183320436</v>
      </c>
      <c r="U7" s="67">
        <f t="shared" ca="1" si="9"/>
        <v>0.83754577807768804</v>
      </c>
      <c r="V7" s="67">
        <f t="shared" ca="1" si="10"/>
        <v>0.8243655647827457</v>
      </c>
    </row>
    <row r="8" spans="1:22" x14ac:dyDescent="0.35">
      <c r="A8" s="292" t="str">
        <f>'CWD 2027 Legados (com desc.)'!A252</f>
        <v>TEN7</v>
      </c>
      <c r="B8" s="295" t="str">
        <f>'CWD 2027 Legados (com desc.)'!B252</f>
        <v>PR-TECAB</v>
      </c>
      <c r="C8" s="296">
        <f>'CWD 2027 Legados (sem desc.)'!H30</f>
        <v>202255212.20142499</v>
      </c>
      <c r="D8" s="297">
        <f ca="1">'CWD 2027 Legados (com desc.)'!E252</f>
        <v>6.1392999918833375</v>
      </c>
      <c r="E8" s="296">
        <f t="shared" ca="1" si="0"/>
        <v>1241705422.6265712</v>
      </c>
      <c r="F8" s="363"/>
      <c r="L8" s="61"/>
    </row>
    <row r="9" spans="1:22" x14ac:dyDescent="0.35">
      <c r="A9" s="292" t="str">
        <f>'CWD 2027 Legados (com desc.)'!A253</f>
        <v>TEN8</v>
      </c>
      <c r="B9" s="295" t="str">
        <f>'CWD 2027 Legados (com desc.)'!B253</f>
        <v>PR-GUARAREMA (INTERCONEXÃO)</v>
      </c>
      <c r="C9" s="296">
        <f>'CWD 2027 Legados (sem desc.)'!H31</f>
        <v>81691772.010000005</v>
      </c>
      <c r="D9" s="297">
        <f ca="1">'CWD 2027 Legados (com desc.)'!E253</f>
        <v>0.53463183425071503</v>
      </c>
      <c r="E9" s="296">
        <f t="shared" ca="1" si="0"/>
        <v>43675021.912897527</v>
      </c>
      <c r="F9" s="363"/>
      <c r="L9" s="61"/>
    </row>
    <row r="10" spans="1:22" x14ac:dyDescent="0.35">
      <c r="A10" s="292" t="str">
        <f>'CWD 2027 Legados (com desc.)'!A254</f>
        <v>TEN9</v>
      </c>
      <c r="B10" s="295" t="str">
        <f>'CWD 2027 Legados (com desc.)'!B254</f>
        <v>PR-REPLAN (INTERCONEXÃO)</v>
      </c>
      <c r="C10" s="296">
        <f>'CWD 2027 Legados (sem desc.)'!H32</f>
        <v>2723059.0670000003</v>
      </c>
      <c r="D10" s="297">
        <f ca="1">'CWD 2027 Legados (com desc.)'!E254</f>
        <v>0.5747245604951986</v>
      </c>
      <c r="E10" s="296">
        <f t="shared" ca="1" si="0"/>
        <v>1565008.9254840408</v>
      </c>
      <c r="F10" s="363"/>
      <c r="L10" s="61"/>
    </row>
    <row r="11" spans="1:22" x14ac:dyDescent="0.35">
      <c r="A11" s="292" t="str">
        <f>'CWD 2027 Legados (com desc.)'!A255</f>
        <v>TEN10</v>
      </c>
      <c r="B11" s="295" t="str">
        <f>'CWD 2027 Legados (com desc.)'!B255</f>
        <v>PR-TECAB (INTERCONEXÃO)</v>
      </c>
      <c r="C11" s="296">
        <f>'CWD 2027 Legados (sem desc.)'!H33</f>
        <v>2723059.0670000003</v>
      </c>
      <c r="D11" s="297">
        <f ca="1">'CWD 2027 Legados (com desc.)'!E255</f>
        <v>0.56154434720025626</v>
      </c>
      <c r="E11" s="296">
        <f t="shared" ca="1" si="0"/>
        <v>1529118.4261662541</v>
      </c>
      <c r="F11" s="363"/>
      <c r="L11" s="61"/>
    </row>
    <row r="12" spans="1:22" x14ac:dyDescent="0.35">
      <c r="E12" s="65">
        <f ca="1">SUM(E2:E11)</f>
        <v>5051243392.43713</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2027 Legados (com desc.)'!H246</f>
        <v>TEX1</v>
      </c>
      <c r="B15" s="296" t="str">
        <f>'CWD 2027 Legados (com desc.)'!I246</f>
        <v>NTS MG 1</v>
      </c>
      <c r="C15" s="296">
        <f>'CWD 2027 Legados (sem desc.)'!H41</f>
        <v>8264484.2683449984</v>
      </c>
      <c r="D15" s="296"/>
      <c r="E15" s="299">
        <f ca="1">'CWD 2027 Legados (com desc.)'!L246</f>
        <v>3.2221842341616576</v>
      </c>
      <c r="F15" s="305">
        <f ca="1">IFERROR(C15*E15," ")</f>
        <v>26629690.912938297</v>
      </c>
      <c r="G15" s="308"/>
      <c r="H15" s="314" t="str">
        <f>IFERROR(G15/D15," ")</f>
        <v xml:space="preserve"> </v>
      </c>
      <c r="I15" s="66"/>
      <c r="J15" s="66"/>
      <c r="L15" s="59"/>
    </row>
    <row r="16" spans="1:22" x14ac:dyDescent="0.35">
      <c r="A16" s="296" t="str">
        <f>'CWD 2027 Legados (com desc.)'!H247</f>
        <v>TEX2</v>
      </c>
      <c r="B16" s="296" t="str">
        <f>'CWD 2027 Legados (com desc.)'!I247</f>
        <v>NTS MG 2</v>
      </c>
      <c r="C16" s="296">
        <f>'CWD 2027 Legados (sem desc.)'!H42</f>
        <v>22846465.572130002</v>
      </c>
      <c r="D16" s="296"/>
      <c r="E16" s="299">
        <f ca="1">'CWD 2027 Legados (com desc.)'!L247</f>
        <v>3.4363853641079043</v>
      </c>
      <c r="F16" s="305">
        <f t="shared" ref="F16:F30" ca="1" si="12">IFERROR(C16*E16," ")</f>
        <v>78509259.913662657</v>
      </c>
      <c r="G16" s="317"/>
      <c r="H16" s="315" t="str">
        <f t="shared" ref="H16:H30" si="13">IFERROR(G16/D16," ")</f>
        <v xml:space="preserve"> </v>
      </c>
      <c r="I16" s="66"/>
      <c r="J16" s="66"/>
      <c r="L16" s="59"/>
    </row>
    <row r="17" spans="1:12" x14ac:dyDescent="0.35">
      <c r="A17" s="296" t="str">
        <f>'CWD 2027 Legados (com desc.)'!H248</f>
        <v>TEX3</v>
      </c>
      <c r="B17" s="296" t="str">
        <f>'CWD 2027 Legados (com desc.)'!I248</f>
        <v>NTS MG 3</v>
      </c>
      <c r="C17" s="296">
        <f>'CWD 2027 Legados (sem desc.)'!H43</f>
        <v>37265063.331895001</v>
      </c>
      <c r="D17" s="296"/>
      <c r="E17" s="299">
        <f ca="1">'CWD 2027 Legados (com desc.)'!L248</f>
        <v>3.6946797759309864</v>
      </c>
      <c r="F17" s="305">
        <f ca="1">IFERROR(C17*E17," ")</f>
        <v>137682475.84113985</v>
      </c>
      <c r="G17" s="310"/>
      <c r="H17" s="316" t="str">
        <f t="shared" si="13"/>
        <v xml:space="preserve"> </v>
      </c>
      <c r="I17" s="66"/>
      <c r="J17" s="66"/>
      <c r="L17" s="59"/>
    </row>
    <row r="18" spans="1:12" x14ac:dyDescent="0.35">
      <c r="A18" s="301" t="str">
        <f>'CWD 2027 Legados (com desc.)'!H249</f>
        <v>TEX4</v>
      </c>
      <c r="B18" s="301" t="str">
        <f>'CWD 2027 Legados (com desc.)'!I249</f>
        <v>NTS MG 4</v>
      </c>
      <c r="C18" s="301">
        <f>'CWD 2027 Legados (sem desc.)'!H44</f>
        <v>4561123.937225</v>
      </c>
      <c r="D18" s="301">
        <f>SUM(C15:C18)</f>
        <v>72937137.109595001</v>
      </c>
      <c r="E18" s="302">
        <f ca="1">'CWD 2027 Legados (com desc.)'!L249</f>
        <v>3.7825769812690351</v>
      </c>
      <c r="F18" s="301">
        <f ca="1">IFERROR(C18*E18," ")</f>
        <v>17252802.413662475</v>
      </c>
      <c r="G18" s="313">
        <f ca="1">SUM(F15:F18)</f>
        <v>260074229.08140329</v>
      </c>
      <c r="H18" s="311">
        <f t="shared" ca="1" si="13"/>
        <v>3.5657312500573881</v>
      </c>
      <c r="I18" s="363"/>
      <c r="J18"/>
      <c r="L18" s="59"/>
    </row>
    <row r="19" spans="1:12" x14ac:dyDescent="0.35">
      <c r="A19" s="296" t="str">
        <f>'CWD 2027 Legados (com desc.)'!H250</f>
        <v>TEX5</v>
      </c>
      <c r="B19" s="296" t="str">
        <f>'CWD 2027 Legados (com desc.)'!I250</f>
        <v>NTS RJ 1</v>
      </c>
      <c r="C19" s="296">
        <f>'CWD 2027 Legados (sem desc.)'!H45</f>
        <v>242256949.89565501</v>
      </c>
      <c r="D19" s="296"/>
      <c r="E19" s="299">
        <f ca="1">'CWD 2027 Legados (com desc.)'!L250</f>
        <v>2.8256488080910804</v>
      </c>
      <c r="F19" s="305">
        <f t="shared" ca="1" si="12"/>
        <v>684533061.72443819</v>
      </c>
      <c r="G19" s="308"/>
      <c r="H19" s="314" t="str">
        <f t="shared" si="13"/>
        <v xml:space="preserve"> </v>
      </c>
      <c r="I19"/>
      <c r="J19"/>
      <c r="L19" s="59"/>
    </row>
    <row r="20" spans="1:12" x14ac:dyDescent="0.35">
      <c r="A20" s="296" t="str">
        <f>'CWD 2027 Legados (com desc.)'!H251</f>
        <v>TEX6</v>
      </c>
      <c r="B20" s="296" t="str">
        <f>'CWD 2027 Legados (com desc.)'!I251</f>
        <v>NTS RJ 2</v>
      </c>
      <c r="C20" s="296">
        <f>'CWD 2027 Legados (sem desc.)'!H46</f>
        <v>114450172.58600999</v>
      </c>
      <c r="D20" s="296"/>
      <c r="E20" s="299">
        <f ca="1">'CWD 2027 Legados (com desc.)'!L251</f>
        <v>2.8242207153531478</v>
      </c>
      <c r="F20" s="305">
        <f t="shared" ca="1" si="12"/>
        <v>323232548.29315239</v>
      </c>
      <c r="G20" s="309"/>
      <c r="H20" s="315" t="str">
        <f t="shared" si="13"/>
        <v xml:space="preserve"> </v>
      </c>
      <c r="I20"/>
      <c r="J20"/>
      <c r="L20" s="59"/>
    </row>
    <row r="21" spans="1:12" x14ac:dyDescent="0.35">
      <c r="A21" s="296" t="str">
        <f>'CWD 2027 Legados (com desc.)'!H252</f>
        <v>TEX7</v>
      </c>
      <c r="B21" s="296" t="str">
        <f>'CWD 2027 Legados (com desc.)'!I252</f>
        <v>NTS RJ 3</v>
      </c>
      <c r="C21" s="296">
        <f>'CWD 2027 Legados (sem desc.)'!H47</f>
        <v>23336616.204189997</v>
      </c>
      <c r="D21" s="304"/>
      <c r="E21" s="299">
        <f ca="1">'CWD 2027 Legados (com desc.)'!L252</f>
        <v>2.8810960316405358</v>
      </c>
      <c r="F21" s="305">
        <f t="shared" ca="1" si="12"/>
        <v>67235032.337810025</v>
      </c>
      <c r="G21" s="312"/>
      <c r="H21" s="315" t="str">
        <f t="shared" si="13"/>
        <v xml:space="preserve"> </v>
      </c>
      <c r="I21"/>
      <c r="J21"/>
      <c r="L21" s="59"/>
    </row>
    <row r="22" spans="1:12" x14ac:dyDescent="0.35">
      <c r="A22" s="296" t="str">
        <f>'CWD 2027 Legados (com desc.)'!H253</f>
        <v>TEX8</v>
      </c>
      <c r="B22" s="296" t="str">
        <f>'CWD 2027 Legados (com desc.)'!I253</f>
        <v>NTS RJ 4</v>
      </c>
      <c r="C22" s="296">
        <f>'CWD 2027 Legados (sem desc.)'!H48</f>
        <v>4397740.3932050001</v>
      </c>
      <c r="D22" s="296"/>
      <c r="E22" s="299">
        <f ca="1">'CWD 2027 Legados (com desc.)'!L253</f>
        <v>2.9547800247795983</v>
      </c>
      <c r="F22" s="305">
        <f t="shared" ca="1" si="12"/>
        <v>12994355.468008511</v>
      </c>
      <c r="G22" s="310"/>
      <c r="H22" s="316" t="str">
        <f t="shared" si="13"/>
        <v xml:space="preserve"> </v>
      </c>
      <c r="I22"/>
      <c r="J22"/>
      <c r="L22" s="59"/>
    </row>
    <row r="23" spans="1:12" x14ac:dyDescent="0.35">
      <c r="A23" s="301" t="str">
        <f>'CWD 2027 Legados (com desc.)'!H254</f>
        <v>TEX9</v>
      </c>
      <c r="B23" s="301" t="str">
        <f>'CWD 2027 Legados (com desc.)'!I254</f>
        <v>NTS RJ 5</v>
      </c>
      <c r="C23" s="301">
        <f>'CWD 2027 Legados (sem desc.)'!H49</f>
        <v>28973348.472879995</v>
      </c>
      <c r="D23" s="301">
        <f>SUM(C19:C23)</f>
        <v>413414827.55194002</v>
      </c>
      <c r="E23" s="302">
        <f ca="1">'CWD 2027 Legados (com desc.)'!L254</f>
        <v>2.8307243204213846</v>
      </c>
      <c r="F23" s="301">
        <f t="shared" ca="1" si="12"/>
        <v>82015562.16622518</v>
      </c>
      <c r="G23" s="313">
        <f ca="1">SUM(F19:F23)</f>
        <v>1170010559.9896343</v>
      </c>
      <c r="H23" s="311">
        <f t="shared" ca="1" si="13"/>
        <v>2.8301127149162015</v>
      </c>
      <c r="I23" s="363"/>
      <c r="J23"/>
    </row>
    <row r="24" spans="1:12" x14ac:dyDescent="0.35">
      <c r="A24" s="296" t="str">
        <f>'CWD 2027 Legados (com desc.)'!H255</f>
        <v>TEX10</v>
      </c>
      <c r="B24" s="296" t="str">
        <f>'CWD 2027 Legados (com desc.)'!I255</f>
        <v>NTS SP 1</v>
      </c>
      <c r="C24" s="296">
        <f>'CWD 2027 Legados (sem desc.)'!H50</f>
        <v>16842120.329395</v>
      </c>
      <c r="D24" s="296"/>
      <c r="E24" s="299">
        <f ca="1">'CWD 2027 Legados (com desc.)'!L255</f>
        <v>3.1719647424773405</v>
      </c>
      <c r="F24" s="305">
        <f t="shared" ca="1" si="12"/>
        <v>53422611.873401791</v>
      </c>
      <c r="G24" s="308"/>
      <c r="H24" s="314" t="str">
        <f t="shared" si="13"/>
        <v xml:space="preserve"> </v>
      </c>
      <c r="I24"/>
      <c r="J24"/>
    </row>
    <row r="25" spans="1:12" x14ac:dyDescent="0.35">
      <c r="A25" s="296" t="str">
        <f>'CWD 2027 Legados (com desc.)'!H256</f>
        <v>TEX11</v>
      </c>
      <c r="B25" s="296" t="str">
        <f>'CWD 2027 Legados (com desc.)'!I256</f>
        <v>NTS SP 2</v>
      </c>
      <c r="C25" s="296">
        <f>'CWD 2027 Legados (sem desc.)'!H51</f>
        <v>40464657.735619992</v>
      </c>
      <c r="D25" s="296"/>
      <c r="E25" s="299">
        <f ca="1">'CWD 2027 Legados (com desc.)'!L256</f>
        <v>3.1512882419473587</v>
      </c>
      <c r="F25" s="305">
        <f t="shared" ca="1" si="12"/>
        <v>127515800.13668351</v>
      </c>
      <c r="G25" s="309"/>
      <c r="H25" s="315" t="str">
        <f t="shared" si="13"/>
        <v xml:space="preserve"> </v>
      </c>
      <c r="I25"/>
      <c r="J25"/>
    </row>
    <row r="26" spans="1:12" x14ac:dyDescent="0.35">
      <c r="A26" s="296" t="str">
        <f>'CWD 2027 Legados (com desc.)'!H257</f>
        <v>TEX12</v>
      </c>
      <c r="B26" s="296" t="str">
        <f>'CWD 2027 Legados (com desc.)'!I257</f>
        <v>NTS SP 3</v>
      </c>
      <c r="C26" s="296">
        <f>'CWD 2027 Legados (sem desc.)'!H52</f>
        <v>108500288.52461499</v>
      </c>
      <c r="D26" s="304"/>
      <c r="E26" s="299">
        <f ca="1">'CWD 2027 Legados (com desc.)'!L257</f>
        <v>3.3984981983592752</v>
      </c>
      <c r="F26" s="305">
        <f t="shared" ca="1" si="12"/>
        <v>368738035.07236558</v>
      </c>
      <c r="G26" s="318"/>
      <c r="H26" s="316" t="str">
        <f t="shared" si="13"/>
        <v xml:space="preserve"> </v>
      </c>
      <c r="I26"/>
      <c r="J26"/>
    </row>
    <row r="27" spans="1:12" x14ac:dyDescent="0.35">
      <c r="A27" s="301" t="str">
        <f>'CWD 2027 Legados (com desc.)'!H258</f>
        <v>TEX13</v>
      </c>
      <c r="B27" s="301" t="str">
        <f>'CWD 2027 Legados (com desc.)'!I258</f>
        <v>NTS SP 4</v>
      </c>
      <c r="C27" s="301">
        <f>'CWD 2027 Legados (sem desc.)'!H53</f>
        <v>44671783.994134992</v>
      </c>
      <c r="D27" s="301">
        <f>SUM(C24:C27)</f>
        <v>210478850.58376497</v>
      </c>
      <c r="E27" s="302">
        <f ca="1">'CWD 2027 Legados (com desc.)'!L258</f>
        <v>3.4766643270519468</v>
      </c>
      <c r="F27" s="301">
        <f t="shared" ca="1" si="12"/>
        <v>155308797.83817926</v>
      </c>
      <c r="G27" s="306">
        <f ca="1">SUM(F24:F27)</f>
        <v>704985244.9206301</v>
      </c>
      <c r="H27" s="307">
        <f t="shared" ca="1" si="13"/>
        <v>3.3494350760912424</v>
      </c>
      <c r="I27" s="363"/>
      <c r="J27"/>
    </row>
    <row r="28" spans="1:12" x14ac:dyDescent="0.35">
      <c r="A28" s="296" t="str">
        <f>'CWD 2027 Legados (com desc.)'!H259</f>
        <v>TEX14</v>
      </c>
      <c r="B28" s="296" t="str">
        <f>'CWD 2027 Legados (com desc.)'!I259</f>
        <v>PE-GUARAREMA (INTERCONEXÃO)</v>
      </c>
      <c r="C28" s="296">
        <f>'CWD 2027 Legados (sem desc.)'!H54</f>
        <v>0</v>
      </c>
      <c r="D28" s="296">
        <f>C28</f>
        <v>0</v>
      </c>
      <c r="E28" s="299">
        <f>'CWD 2027 Legados (com desc.)'!L259</f>
        <v>0</v>
      </c>
      <c r="F28" s="296">
        <f t="shared" si="12"/>
        <v>0</v>
      </c>
      <c r="G28" s="296">
        <f>F28</f>
        <v>0</v>
      </c>
      <c r="H28" s="300" t="str">
        <f t="shared" si="13"/>
        <v xml:space="preserve"> </v>
      </c>
      <c r="I28"/>
      <c r="J28"/>
    </row>
    <row r="29" spans="1:12" x14ac:dyDescent="0.35">
      <c r="A29" s="301" t="str">
        <f>'CWD 2027 Legados (com desc.)'!H260</f>
        <v>TEX15</v>
      </c>
      <c r="B29" s="301" t="str">
        <f>'CWD 2027 Legados (com desc.)'!I260</f>
        <v>PE-REPLAN (INTERCONEXÃO)</v>
      </c>
      <c r="C29" s="301">
        <f>'CWD 2027 Legados (sem desc.)'!H55</f>
        <v>95456835.593685001</v>
      </c>
      <c r="D29" s="301">
        <f t="shared" ref="D29:D30" si="14">C29</f>
        <v>95456835.593685001</v>
      </c>
      <c r="E29" s="302">
        <f ca="1">'CWD 2027 Legados (com desc.)'!L260</f>
        <v>0.30414673697276728</v>
      </c>
      <c r="F29" s="301">
        <f t="shared" ca="1" si="12"/>
        <v>29032885.067565203</v>
      </c>
      <c r="G29" s="301">
        <f t="shared" ref="G29:G30" ca="1" si="15">F29</f>
        <v>29032885.067565203</v>
      </c>
      <c r="H29" s="303">
        <f t="shared" ca="1" si="13"/>
        <v>0.30414673697276728</v>
      </c>
      <c r="I29" s="363"/>
      <c r="J29"/>
    </row>
    <row r="30" spans="1:12" x14ac:dyDescent="0.35">
      <c r="A30" s="296" t="str">
        <f>'CWD 2027 Legados (com desc.)'!H261</f>
        <v>TEX16</v>
      </c>
      <c r="B30" s="296" t="str">
        <f>'CWD 2027 Legados (com desc.)'!I261</f>
        <v>PE-TECAB (INTERCONEXÃO)</v>
      </c>
      <c r="C30" s="296">
        <f>'CWD 2027 Legados (sem desc.)'!H56</f>
        <v>2723059.0670000003</v>
      </c>
      <c r="D30" s="296">
        <f t="shared" si="14"/>
        <v>2723059.0670000003</v>
      </c>
      <c r="E30" s="299">
        <f ca="1">'CWD 2027 Legados (com desc.)'!L261</f>
        <v>0.26282121758248939</v>
      </c>
      <c r="F30" s="296">
        <f t="shared" ca="1" si="12"/>
        <v>715677.69953797758</v>
      </c>
      <c r="G30" s="296">
        <f t="shared" ca="1" si="15"/>
        <v>715677.69953797758</v>
      </c>
      <c r="H30" s="300">
        <f t="shared" ca="1" si="13"/>
        <v>0.26282121758248939</v>
      </c>
      <c r="I30" s="363"/>
      <c r="J30" s="66"/>
    </row>
    <row r="31" spans="1:12" x14ac:dyDescent="0.35">
      <c r="C31" s="65">
        <f>SUM(C15:C30)</f>
        <v>795010709.905985</v>
      </c>
      <c r="D31" s="65">
        <f>SUM(D15:D30)</f>
        <v>795010709.90598512</v>
      </c>
      <c r="F31" s="65">
        <f ca="1">SUM(F15:F30)</f>
        <v>2164818596.7587705</v>
      </c>
      <c r="G31" s="65">
        <f ca="1">SUM(G15:G30)</f>
        <v>2164818596.7587705</v>
      </c>
    </row>
    <row r="32" spans="1:12" x14ac:dyDescent="0.35">
      <c r="C32" s="65"/>
      <c r="D32" s="65"/>
      <c r="F32" s="65"/>
      <c r="G32" s="65"/>
    </row>
    <row r="33" spans="2:3" x14ac:dyDescent="0.35">
      <c r="C33" s="63" t="s">
        <v>257</v>
      </c>
    </row>
    <row r="34" spans="2:3" x14ac:dyDescent="0.35">
      <c r="B34" s="68" t="s">
        <v>58</v>
      </c>
      <c r="C34" s="66">
        <f ca="1">H18</f>
        <v>3.5657312500573881</v>
      </c>
    </row>
    <row r="35" spans="2:3" x14ac:dyDescent="0.35">
      <c r="B35" s="68" t="s">
        <v>69</v>
      </c>
      <c r="C35" s="66">
        <f ca="1">H23</f>
        <v>2.8301127149162015</v>
      </c>
    </row>
    <row r="36" spans="2:3" x14ac:dyDescent="0.35">
      <c r="B36" s="68" t="s">
        <v>258</v>
      </c>
      <c r="C36" s="66">
        <f ca="1">H27</f>
        <v>3.3494350760912424</v>
      </c>
    </row>
    <row r="37" spans="2:3" x14ac:dyDescent="0.35">
      <c r="B37" s="132" t="s">
        <v>269</v>
      </c>
      <c r="C37" s="66" t="str">
        <f>H28</f>
        <v xml:space="preserve"> </v>
      </c>
    </row>
    <row r="38" spans="2:3" x14ac:dyDescent="0.35">
      <c r="B38" s="132" t="s">
        <v>268</v>
      </c>
      <c r="C38" s="66">
        <f t="shared" ref="C38:C39" ca="1" si="16">H29</f>
        <v>0.30414673697276728</v>
      </c>
    </row>
    <row r="39" spans="2:3" x14ac:dyDescent="0.35">
      <c r="B39" s="132" t="s">
        <v>267</v>
      </c>
      <c r="C39" s="66">
        <f t="shared" ca="1" si="16"/>
        <v>0.26282121758248939</v>
      </c>
    </row>
  </sheetData>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F77-630B-424E-AF56-288E162EA6B7}">
  <sheetPr>
    <tabColor theme="5"/>
  </sheetPr>
  <dimension ref="A2:AA302"/>
  <sheetViews>
    <sheetView showGridLines="0" topLeftCell="A12" zoomScale="70" zoomScaleNormal="70" workbookViewId="0">
      <selection activeCell="D38" sqref="D3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6.5" x14ac:dyDescent="0.35">
      <c r="A5" s="206">
        <f>HLOOKUP($G$3,'Premissas (GASIG)'!$B$5:$F$13,9,FALSE)</f>
        <v>0.7</v>
      </c>
      <c r="B5" s="207" t="s">
        <v>112</v>
      </c>
      <c r="C5" s="208" t="s">
        <v>271</v>
      </c>
      <c r="D5" s="382">
        <f>$A$5*$D$4</f>
        <v>36.684532771966516</v>
      </c>
      <c r="E5" s="210" t="s">
        <v>113</v>
      </c>
      <c r="F5" s="211"/>
      <c r="G5" s="211"/>
      <c r="H5" s="235"/>
    </row>
    <row r="6" spans="1:9" ht="29" x14ac:dyDescent="0.35">
      <c r="A6" s="92"/>
      <c r="B6" s="212" t="s">
        <v>114</v>
      </c>
      <c r="C6" s="213" t="s">
        <v>272</v>
      </c>
      <c r="D6" s="383">
        <f>$D$34*'Premissas (GASIG)'!$F$20</f>
        <v>20385615</v>
      </c>
      <c r="E6" s="212" t="s">
        <v>115</v>
      </c>
      <c r="F6" s="230">
        <f>H34</f>
        <v>760427859.75508499</v>
      </c>
      <c r="G6" s="82" t="s">
        <v>116</v>
      </c>
    </row>
    <row r="7" spans="1:9" ht="17" thickBot="1" x14ac:dyDescent="0.4">
      <c r="A7" s="215"/>
      <c r="B7" s="216" t="s">
        <v>117</v>
      </c>
      <c r="C7" s="217" t="s">
        <v>273</v>
      </c>
      <c r="D7" s="218">
        <f>$D$5/$D$6*1000</f>
        <v>1.7995303439197943E-3</v>
      </c>
      <c r="E7" s="219" t="s">
        <v>118</v>
      </c>
      <c r="F7" s="384">
        <f>$D$5/$F$6*1000000</f>
        <v>4.824196312820745E-2</v>
      </c>
      <c r="G7" s="228" t="s">
        <v>15</v>
      </c>
      <c r="I7" s="235"/>
    </row>
    <row r="8" spans="1:9" ht="16.5" x14ac:dyDescent="0.35">
      <c r="A8" s="206">
        <f>1-A5</f>
        <v>0.30000000000000004</v>
      </c>
      <c r="B8" s="207" t="s">
        <v>119</v>
      </c>
      <c r="C8" s="208" t="s">
        <v>274</v>
      </c>
      <c r="D8" s="382">
        <f>$A$8*$D$4</f>
        <v>15.721942616557083</v>
      </c>
      <c r="E8" s="210" t="s">
        <v>113</v>
      </c>
      <c r="F8" s="231"/>
      <c r="G8" s="229"/>
    </row>
    <row r="9" spans="1:9" ht="29" x14ac:dyDescent="0.35">
      <c r="B9" s="212" t="s">
        <v>120</v>
      </c>
      <c r="C9" s="213" t="s">
        <v>275</v>
      </c>
      <c r="D9" s="383">
        <f>$D$57*'Premissas (GASIG)'!$F$20</f>
        <v>18480315</v>
      </c>
      <c r="E9" s="212" t="s">
        <v>115</v>
      </c>
      <c r="F9" s="230">
        <f>H57</f>
        <v>689356018.10638499</v>
      </c>
      <c r="G9" s="82" t="s">
        <v>116</v>
      </c>
    </row>
    <row r="10" spans="1:9" ht="17" thickBot="1" x14ac:dyDescent="0.4">
      <c r="A10" s="225"/>
      <c r="B10" s="216" t="s">
        <v>121</v>
      </c>
      <c r="C10" s="217" t="s">
        <v>276</v>
      </c>
      <c r="D10" s="218">
        <f>$D$8/$D$9*1000</f>
        <v>8.507399693434383E-4</v>
      </c>
      <c r="E10" s="219" t="s">
        <v>118</v>
      </c>
      <c r="F10" s="384">
        <f>$D$8/$F$9*1000000</f>
        <v>2.2806709745922304E-2</v>
      </c>
      <c r="G10" s="228" t="s">
        <v>15</v>
      </c>
    </row>
    <row r="11" spans="1:9" ht="15" thickBot="1" x14ac:dyDescent="0.4">
      <c r="A11" s="220"/>
      <c r="B11" s="220" t="s">
        <v>122</v>
      </c>
      <c r="C11" s="226">
        <f>HLOOKUP($G$3,'Premissas (GASIG)'!$B$5:$F$8,4,FALSE)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(GASIG)'!C3</f>
        <v>20000</v>
      </c>
      <c r="D24" s="290">
        <f>'Oferta (GASIG)'!I3</f>
        <v>9427</v>
      </c>
      <c r="F24" s="104"/>
      <c r="G24" s="43">
        <f>IFERROR($C24*$H$19*'Premissas (GASIG)'!$F$20*1000," ")</f>
        <v>272305906.69999999</v>
      </c>
      <c r="H24" s="43">
        <f>IFERROR($D24*$H$19*'Premissas (GASIG)'!$F$20*1000," ")</f>
        <v>128351389.123045</v>
      </c>
      <c r="I24" s="93"/>
    </row>
    <row r="25" spans="1:9" x14ac:dyDescent="0.35">
      <c r="A25" s="2" t="s">
        <v>133</v>
      </c>
      <c r="B25" s="44" t="s">
        <v>26</v>
      </c>
      <c r="C25" s="290">
        <f>'Oferta (GASIG)'!C4</f>
        <v>20000</v>
      </c>
      <c r="D25" s="290">
        <f>'Oferta (GASIG)'!I4</f>
        <v>20000</v>
      </c>
      <c r="F25" s="104"/>
      <c r="G25" s="43">
        <f>IFERROR($C25*$H$19*'Premissas (GASIG)'!$F$20*1000," ")</f>
        <v>272305906.69999999</v>
      </c>
      <c r="H25" s="43">
        <f>IFERROR($D25*$H$19*'Premissas (GASIG)'!$F$20*1000," ")</f>
        <v>272305906.69999999</v>
      </c>
      <c r="I25" s="93"/>
    </row>
    <row r="26" spans="1:9" x14ac:dyDescent="0.35">
      <c r="A26" s="2" t="s">
        <v>134</v>
      </c>
      <c r="B26" s="44" t="s">
        <v>488</v>
      </c>
      <c r="C26" s="290">
        <f>'Oferta (GASIG)'!C5</f>
        <v>18200</v>
      </c>
      <c r="D26" s="290">
        <f>'Oferta (GASIG)'!I5</f>
        <v>13448</v>
      </c>
      <c r="E26" s="46"/>
      <c r="F26" s="104"/>
      <c r="G26" s="43">
        <f>IFERROR($C26*$H$19*'Premissas (GASIG)'!$F$20*1000," ")</f>
        <v>247798375.097</v>
      </c>
      <c r="H26" s="43">
        <f>IFERROR($D26*$H$19*'Premissas (GASIG)'!$F$20*1000," ")</f>
        <v>183098491.66507998</v>
      </c>
      <c r="I26" s="93"/>
    </row>
    <row r="27" spans="1:9" x14ac:dyDescent="0.35">
      <c r="A27" s="2" t="s">
        <v>135</v>
      </c>
      <c r="B27" s="44" t="s">
        <v>463</v>
      </c>
      <c r="C27" s="290">
        <f>'Oferta (GASIG)'!C6</f>
        <v>1250</v>
      </c>
      <c r="D27" s="290">
        <f>'Oferta (GASIG)'!I6</f>
        <v>305</v>
      </c>
      <c r="E27" s="46"/>
      <c r="F27" s="104"/>
      <c r="G27" s="43">
        <f>IFERROR($C27*$H$19*'Premissas (GASIG)'!$F$20*1000," ")</f>
        <v>17019119.168749999</v>
      </c>
      <c r="H27" s="43">
        <f>IFERROR($D27*$H$19*'Premissas (GASIG)'!$F$20*1000," ")</f>
        <v>4152665.0771750002</v>
      </c>
      <c r="I27" s="93"/>
    </row>
    <row r="28" spans="1:9" x14ac:dyDescent="0.35">
      <c r="A28" s="2" t="s">
        <v>136</v>
      </c>
      <c r="B28" s="44" t="s">
        <v>27</v>
      </c>
      <c r="C28" s="290">
        <f>'Oferta (GASIG)'!C7</f>
        <v>5000</v>
      </c>
      <c r="D28" s="290">
        <f>'Oferta (GASIG)'!I7</f>
        <v>0</v>
      </c>
      <c r="E28" s="46"/>
      <c r="F28" s="104"/>
      <c r="G28" s="43">
        <f>IFERROR($C28*$H$19*'Premissas (GASIG)'!$F$20*1000," ")</f>
        <v>68076476.674999997</v>
      </c>
      <c r="H28" s="43">
        <f>IFERROR($D28*$H$19*'Premissas (GASIG)'!$F$20*1000," ")</f>
        <v>0</v>
      </c>
      <c r="I28" s="93"/>
    </row>
    <row r="29" spans="1:9" x14ac:dyDescent="0.35">
      <c r="A29" s="2" t="s">
        <v>239</v>
      </c>
      <c r="B29" s="44" t="s">
        <v>29</v>
      </c>
      <c r="C29" s="290">
        <f>'Oferta (GASIG)'!C8</f>
        <v>2200</v>
      </c>
      <c r="D29" s="290">
        <f>'Oferta (GASIG)'!I8</f>
        <v>0</v>
      </c>
      <c r="E29" s="46"/>
      <c r="F29" s="104"/>
      <c r="G29" s="43">
        <f>IFERROR($C29*$H$19*'Premissas (GASIG)'!$F$20*1000," ")</f>
        <v>29953649.736999996</v>
      </c>
      <c r="H29" s="43">
        <f>IFERROR($D29*$H$19*'Premissas (GASIG)'!$F$20*1000," ")</f>
        <v>0</v>
      </c>
      <c r="I29" s="93"/>
    </row>
    <row r="30" spans="1:9" x14ac:dyDescent="0.35">
      <c r="A30" s="2" t="s">
        <v>137</v>
      </c>
      <c r="B30" s="44" t="s">
        <v>24</v>
      </c>
      <c r="C30" s="290">
        <f>'Oferta (GASIG)'!C9</f>
        <v>25160</v>
      </c>
      <c r="D30" s="290">
        <f>'Oferta (GASIG)'!I9</f>
        <v>6266</v>
      </c>
      <c r="E30" s="46"/>
      <c r="F30" s="104"/>
      <c r="G30" s="43">
        <f>IFERROR($C30*$H$19*'Premissas (GASIG)'!$F$20*1000," ")</f>
        <v>342560830.6286</v>
      </c>
      <c r="H30" s="43">
        <f>IFERROR($D30*$H$19*'Premissas (GASIG)'!$F$20*1000," ")</f>
        <v>85313440.569109991</v>
      </c>
      <c r="I30" s="93"/>
    </row>
    <row r="31" spans="1:9" x14ac:dyDescent="0.35">
      <c r="A31" s="2" t="s">
        <v>240</v>
      </c>
      <c r="B31" s="44" t="s">
        <v>264</v>
      </c>
      <c r="C31" s="290">
        <f>'Oferta (GASIG)'!C10</f>
        <v>0</v>
      </c>
      <c r="D31" s="290">
        <f>'Oferta (GASIG)'!I10</f>
        <v>6000</v>
      </c>
      <c r="E31" s="46"/>
      <c r="F31" s="104"/>
      <c r="G31" s="43">
        <f>IFERROR($C31*$H$19*'Premissas (GASIG)'!$F$20*1000," ")</f>
        <v>0</v>
      </c>
      <c r="H31" s="43">
        <f>IFERROR($D31*$H$19*'Premissas (GASIG)'!$F$20*1000," ")</f>
        <v>81691772.010000005</v>
      </c>
      <c r="I31" s="93"/>
    </row>
    <row r="32" spans="1:9" x14ac:dyDescent="0.35">
      <c r="A32" s="2" t="s">
        <v>138</v>
      </c>
      <c r="B32" s="44" t="s">
        <v>266</v>
      </c>
      <c r="C32" s="290">
        <f>'Oferta (GASIG)'!C11</f>
        <v>0</v>
      </c>
      <c r="D32" s="290">
        <f>'Oferta (GASIG)'!I11</f>
        <v>205</v>
      </c>
      <c r="E32" s="46"/>
      <c r="F32" s="104"/>
      <c r="G32" s="43">
        <f>IFERROR($C32*$H$19*'Premissas (GASIG)'!$F$20*1000," ")</f>
        <v>0</v>
      </c>
      <c r="H32" s="43">
        <f>IFERROR($D32*$H$19*'Premissas (GASIG)'!$F$20*1000," ")</f>
        <v>2791135.5436749998</v>
      </c>
      <c r="I32" s="93"/>
    </row>
    <row r="33" spans="1:10" x14ac:dyDescent="0.35">
      <c r="A33" s="2" t="s">
        <v>139</v>
      </c>
      <c r="B33" s="44" t="s">
        <v>265</v>
      </c>
      <c r="C33" s="290">
        <f>'Oferta (GASIG)'!C12</f>
        <v>0</v>
      </c>
      <c r="D33" s="290">
        <f>'Oferta (GASIG)'!I12</f>
        <v>200</v>
      </c>
      <c r="E33" s="46"/>
      <c r="F33" s="104"/>
      <c r="G33" s="43">
        <f>IFERROR($C33*$H$19*'Premissas (GASIG)'!$F$20*1000," ")</f>
        <v>0</v>
      </c>
      <c r="H33" s="43">
        <f>IFERROR($D33*$H$19*'Premissas (GASIG)'!$F$20*1000," ")</f>
        <v>2723059.0670000003</v>
      </c>
      <c r="I33" s="93"/>
    </row>
    <row r="34" spans="1:10" x14ac:dyDescent="0.35">
      <c r="C34" s="105">
        <f>SUM(C24:C33)</f>
        <v>91810</v>
      </c>
      <c r="D34" s="105">
        <f>SUM(D24:D33)</f>
        <v>55851</v>
      </c>
      <c r="E34" s="105"/>
      <c r="F34" s="104"/>
      <c r="G34" s="105">
        <f>SUM(G24:G33)</f>
        <v>1250020264.7063498</v>
      </c>
      <c r="H34" s="105">
        <f>SUM(H24:H33)</f>
        <v>760427859.75508499</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(GASIG)'!C3</f>
        <v>864.5</v>
      </c>
      <c r="D41" s="290">
        <f>'Demanda (GASIG)'!I3</f>
        <v>633</v>
      </c>
      <c r="G41" s="43">
        <f>IFERROR($C41*$H$19*'Premissas (GASIG)'!$F$20*1000," ")</f>
        <v>11770422.817107499</v>
      </c>
      <c r="H41" s="43">
        <f>IFERROR($D41*$H$19*'Premissas (GASIG)'!$F$20*1000," ")</f>
        <v>8618481.9470549989</v>
      </c>
      <c r="I41" s="93"/>
    </row>
    <row r="42" spans="1:10" x14ac:dyDescent="0.35">
      <c r="A42" s="2" t="s">
        <v>42</v>
      </c>
      <c r="B42" s="44" t="s">
        <v>217</v>
      </c>
      <c r="C42" s="290">
        <f>'Demanda (GASIG)'!C4</f>
        <v>1825.9</v>
      </c>
      <c r="D42" s="290">
        <f>'Demanda (GASIG)'!I4</f>
        <v>1098</v>
      </c>
      <c r="G42" s="43">
        <f>IFERROR($C42*$H$19*'Premissas (GASIG)'!$F$20*1000," ")</f>
        <v>24860167.752176501</v>
      </c>
      <c r="H42" s="43">
        <f>IFERROR($D42*$H$19*'Premissas (GASIG)'!$F$20*1000," ")</f>
        <v>14949594.277829999</v>
      </c>
      <c r="I42" s="93"/>
    </row>
    <row r="43" spans="1:10" x14ac:dyDescent="0.35">
      <c r="A43" s="2" t="s">
        <v>43</v>
      </c>
      <c r="B43" s="44" t="s">
        <v>218</v>
      </c>
      <c r="C43" s="290">
        <f>'Demanda (GASIG)'!C5</f>
        <v>3040.95</v>
      </c>
      <c r="D43" s="290">
        <f>'Demanda (GASIG)'!I5</f>
        <v>2852</v>
      </c>
      <c r="E43" s="46"/>
      <c r="G43" s="43">
        <f>IFERROR($C43*$H$19*'Premissas (GASIG)'!$F$20*1000," ")</f>
        <v>41403432.348968253</v>
      </c>
      <c r="H43" s="43">
        <f>IFERROR($D43*$H$19*'Premissas (GASIG)'!$F$20*1000," ")</f>
        <v>38830822.295419998</v>
      </c>
      <c r="I43" s="93"/>
    </row>
    <row r="44" spans="1:10" x14ac:dyDescent="0.35">
      <c r="A44" s="2" t="s">
        <v>44</v>
      </c>
      <c r="B44" s="44" t="s">
        <v>219</v>
      </c>
      <c r="C44" s="290">
        <f>'Demanda (GASIG)'!C6</f>
        <v>1187.5</v>
      </c>
      <c r="D44" s="290">
        <f>'Demanda (GASIG)'!I6</f>
        <v>305</v>
      </c>
      <c r="E44" s="46"/>
      <c r="G44" s="43">
        <f>IFERROR($C44*$H$19*'Premissas (GASIG)'!$F$20*1000," ")</f>
        <v>16168163.210312499</v>
      </c>
      <c r="H44" s="43">
        <f>IFERROR($D44*$H$19*'Premissas (GASIG)'!$F$20*1000," ")</f>
        <v>4152665.0771750002</v>
      </c>
      <c r="I44" s="93"/>
    </row>
    <row r="45" spans="1:10" x14ac:dyDescent="0.35">
      <c r="A45" s="2" t="s">
        <v>45</v>
      </c>
      <c r="B45" s="44" t="s">
        <v>220</v>
      </c>
      <c r="C45" s="290">
        <f>'Demanda (GASIG)'!C7</f>
        <v>21185</v>
      </c>
      <c r="D45" s="290">
        <f>'Demanda (GASIG)'!I7</f>
        <v>13624</v>
      </c>
      <c r="E45" s="46"/>
      <c r="G45" s="43">
        <f>IFERROR($C45*$H$19*'Premissas (GASIG)'!$F$20*1000," ")</f>
        <v>288440031.67197496</v>
      </c>
      <c r="H45" s="43">
        <f>IFERROR($D45*$H$19*'Premissas (GASIG)'!$F$20*1000," ")</f>
        <v>185494783.64403999</v>
      </c>
      <c r="I45" s="93"/>
    </row>
    <row r="46" spans="1:10" x14ac:dyDescent="0.35">
      <c r="A46" s="2" t="s">
        <v>46</v>
      </c>
      <c r="B46" s="44" t="s">
        <v>221</v>
      </c>
      <c r="C46" s="290">
        <f>'Demanda (GASIG)'!C8</f>
        <v>11271.75</v>
      </c>
      <c r="D46" s="290">
        <f>'Demanda (GASIG)'!I8</f>
        <v>8403</v>
      </c>
      <c r="E46" s="46"/>
      <c r="G46" s="43">
        <f>IFERROR($C46*$H$19*'Premissas (GASIG)'!$F$20*1000," ")</f>
        <v>153468205.19228625</v>
      </c>
      <c r="H46" s="43">
        <f>IFERROR($D46*$H$19*'Premissas (GASIG)'!$F$20*1000," ")</f>
        <v>114409326.70000499</v>
      </c>
      <c r="I46" s="93"/>
    </row>
    <row r="47" spans="1:10" x14ac:dyDescent="0.35">
      <c r="A47" s="2" t="s">
        <v>47</v>
      </c>
      <c r="B47" s="44" t="s">
        <v>222</v>
      </c>
      <c r="C47" s="290">
        <f>'Demanda (GASIG)'!C9</f>
        <v>3249</v>
      </c>
      <c r="D47" s="290">
        <f>'Demanda (GASIG)'!I9</f>
        <v>2173</v>
      </c>
      <c r="E47" s="46"/>
      <c r="G47" s="43">
        <f>IFERROR($C47*$H$19*'Premissas (GASIG)'!$F$20*1000," ")</f>
        <v>44236094.543414995</v>
      </c>
      <c r="H47" s="43">
        <f>IFERROR($D47*$H$19*'Premissas (GASIG)'!$F$20*1000," ")</f>
        <v>29586036.762954999</v>
      </c>
      <c r="I47" s="93"/>
    </row>
    <row r="48" spans="1:10" x14ac:dyDescent="0.35">
      <c r="A48" s="2" t="s">
        <v>48</v>
      </c>
      <c r="B48" s="44" t="s">
        <v>223</v>
      </c>
      <c r="C48" s="290">
        <f>'Demanda (GASIG)'!C10</f>
        <v>498.75</v>
      </c>
      <c r="D48" s="290">
        <f>'Demanda (GASIG)'!I10</f>
        <v>283</v>
      </c>
      <c r="E48" s="46"/>
      <c r="G48" s="43">
        <f>IFERROR($C48*$H$19*'Premissas (GASIG)'!$F$20*1000," ")</f>
        <v>6790628.5483312495</v>
      </c>
      <c r="H48" s="43">
        <f>IFERROR($D48*$H$19*'Premissas (GASIG)'!$F$20*1000," ")</f>
        <v>3853128.5798049998</v>
      </c>
      <c r="I48" s="93"/>
    </row>
    <row r="49" spans="1:9" x14ac:dyDescent="0.35">
      <c r="A49" s="2" t="s">
        <v>49</v>
      </c>
      <c r="B49" s="44" t="s">
        <v>224</v>
      </c>
      <c r="C49" s="290">
        <f>'Demanda (GASIG)'!C11</f>
        <v>3321.2</v>
      </c>
      <c r="D49" s="290">
        <f>'Demanda (GASIG)'!I11</f>
        <v>2116</v>
      </c>
      <c r="E49" s="46"/>
      <c r="G49" s="43">
        <f>IFERROR($C49*$H$19*'Premissas (GASIG)'!$F$20*1000," ")</f>
        <v>45219118.866601996</v>
      </c>
      <c r="H49" s="43">
        <f>IFERROR($D49*$H$19*'Premissas (GASIG)'!$F$20*1000," ")</f>
        <v>28809964.928859998</v>
      </c>
      <c r="I49" s="93"/>
    </row>
    <row r="50" spans="1:9" x14ac:dyDescent="0.35">
      <c r="A50" s="2" t="s">
        <v>50</v>
      </c>
      <c r="B50" s="44" t="s">
        <v>225</v>
      </c>
      <c r="C50" s="290">
        <f>'Demanda (GASIG)'!C12</f>
        <v>14292.75</v>
      </c>
      <c r="D50" s="290">
        <f>'Demanda (GASIG)'!I12</f>
        <v>1050</v>
      </c>
      <c r="E50" s="46"/>
      <c r="G50" s="43">
        <f>IFERROR($C50*$H$19*'Premissas (GASIG)'!$F$20*1000," ")</f>
        <v>194600012.39932126</v>
      </c>
      <c r="H50" s="43">
        <f>IFERROR($D50*$H$19*'Premissas (GASIG)'!$F$20*1000," ")</f>
        <v>14296060.101749998</v>
      </c>
      <c r="I50" s="93"/>
    </row>
    <row r="51" spans="1:9" x14ac:dyDescent="0.35">
      <c r="A51" s="2" t="s">
        <v>51</v>
      </c>
      <c r="B51" s="44" t="s">
        <v>226</v>
      </c>
      <c r="C51" s="290">
        <f>'Demanda (GASIG)'!C13</f>
        <v>3971</v>
      </c>
      <c r="D51" s="290">
        <f>'Demanda (GASIG)'!I13</f>
        <v>3003</v>
      </c>
      <c r="E51" s="46"/>
      <c r="G51" s="43">
        <f>IFERROR($C51*$H$19*'Premissas (GASIG)'!$F$20*1000," ")</f>
        <v>54066337.775284998</v>
      </c>
      <c r="H51" s="43">
        <f>IFERROR($D51*$H$19*'Premissas (GASIG)'!$F$20*1000," ")</f>
        <v>40886731.891005002</v>
      </c>
      <c r="I51" s="93"/>
    </row>
    <row r="52" spans="1:9" x14ac:dyDescent="0.35">
      <c r="A52" s="2" t="s">
        <v>52</v>
      </c>
      <c r="B52" s="44" t="s">
        <v>227</v>
      </c>
      <c r="C52" s="290">
        <f>'Demanda (GASIG)'!C14</f>
        <v>9941.75</v>
      </c>
      <c r="D52" s="290">
        <f>'Demanda (GASIG)'!I14</f>
        <v>5584</v>
      </c>
      <c r="E52" s="46"/>
      <c r="G52" s="43">
        <f>IFERROR($C52*$H$19*'Premissas (GASIG)'!$F$20*1000," ")</f>
        <v>135359862.39673626</v>
      </c>
      <c r="H52" s="43">
        <f>IFERROR($D52*$H$19*'Premissas (GASIG)'!$F$20*1000," ")</f>
        <v>76027809.150639996</v>
      </c>
      <c r="I52" s="93"/>
    </row>
    <row r="53" spans="1:9" x14ac:dyDescent="0.35">
      <c r="A53" s="2" t="s">
        <v>53</v>
      </c>
      <c r="B53" s="44" t="s">
        <v>228</v>
      </c>
      <c r="C53" s="290">
        <f>'Demanda (GASIG)'!C15</f>
        <v>3809.5</v>
      </c>
      <c r="D53" s="290">
        <f>'Demanda (GASIG)'!I15</f>
        <v>2483</v>
      </c>
      <c r="E53" s="46"/>
      <c r="G53" s="43">
        <f>IFERROR($C53*$H$19*'Premissas (GASIG)'!$F$20*1000," ")</f>
        <v>51867467.578682497</v>
      </c>
      <c r="H53" s="43">
        <f>IFERROR($D53*$H$19*'Premissas (GASIG)'!$F$20*1000," ")</f>
        <v>33806778.316804998</v>
      </c>
      <c r="I53" s="93"/>
    </row>
    <row r="54" spans="1:9" x14ac:dyDescent="0.35">
      <c r="A54" s="2" t="s">
        <v>54</v>
      </c>
      <c r="B54" s="44" t="s">
        <v>269</v>
      </c>
      <c r="C54" s="290">
        <f>'Demanda (GASIG)'!C16</f>
        <v>0</v>
      </c>
      <c r="D54" s="290">
        <f>'Demanda (GASIG)'!I16</f>
        <v>0</v>
      </c>
      <c r="E54" s="46"/>
      <c r="G54" s="43">
        <f>IFERROR($C54*$H$19*'Premissas (GASIG)'!$F$20*1000," ")</f>
        <v>0</v>
      </c>
      <c r="H54" s="43">
        <f>IFERROR($D54*$H$19*'Premissas (GASIG)'!$F$20*1000," ")</f>
        <v>0</v>
      </c>
      <c r="I54" s="93"/>
    </row>
    <row r="55" spans="1:9" x14ac:dyDescent="0.35">
      <c r="A55" s="2" t="s">
        <v>55</v>
      </c>
      <c r="B55" s="44" t="s">
        <v>268</v>
      </c>
      <c r="C55" s="290">
        <f>'Demanda (GASIG)'!C17</f>
        <v>0</v>
      </c>
      <c r="D55" s="290">
        <f>'Demanda (GASIG)'!I17</f>
        <v>6824</v>
      </c>
      <c r="E55" s="46"/>
      <c r="G55" s="43">
        <f>IFERROR($C55*$H$19*'Premissas (GASIG)'!$F$20*1000," ")</f>
        <v>0</v>
      </c>
      <c r="H55" s="43">
        <f>IFERROR($D55*$H$19*'Premissas (GASIG)'!$F$20*1000," ")</f>
        <v>92910775.366039991</v>
      </c>
      <c r="I55" s="93"/>
    </row>
    <row r="56" spans="1:9" x14ac:dyDescent="0.35">
      <c r="A56" s="2" t="s">
        <v>56</v>
      </c>
      <c r="B56" s="44" t="s">
        <v>267</v>
      </c>
      <c r="C56" s="290">
        <f>'Demanda (GASIG)'!C18</f>
        <v>0</v>
      </c>
      <c r="D56" s="290">
        <f>'Demanda (GASIG)'!I18</f>
        <v>200</v>
      </c>
      <c r="E56" s="46"/>
      <c r="G56" s="43">
        <f>IFERROR($C56*$H$19*'Premissas (GASIG)'!$F$20*1000," ")</f>
        <v>0</v>
      </c>
      <c r="H56" s="43">
        <f>IFERROR($D56*$H$19*'Premissas (GASIG)'!$F$20*1000," ")</f>
        <v>2723059.0670000003</v>
      </c>
      <c r="I56" s="93"/>
    </row>
    <row r="57" spans="1:9" x14ac:dyDescent="0.35">
      <c r="C57" s="105">
        <f>SUM(C41:C56)</f>
        <v>78459.549999999988</v>
      </c>
      <c r="D57" s="105">
        <f>SUM(D41:D56)</f>
        <v>50631</v>
      </c>
      <c r="E57" s="105"/>
      <c r="G57" s="105">
        <f>SUM(G41:G56)</f>
        <v>1068249945.1011992</v>
      </c>
      <c r="H57" s="105">
        <f>SUM(H41:H56)</f>
        <v>689356018.10638499</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0.16878838337720004</v>
      </c>
      <c r="C99" s="9"/>
      <c r="D99" t="s">
        <v>304</v>
      </c>
      <c r="E99" s="110">
        <f>H41/$H$57</f>
        <v>1.2502221958878946E-2</v>
      </c>
      <c r="G99" s="109" t="s">
        <v>148</v>
      </c>
      <c r="H99" s="111">
        <f>H24/$H$34</f>
        <v>0.16878838337720004</v>
      </c>
      <c r="I99" s="111">
        <f>H25/$H$34</f>
        <v>0.35809564734740645</v>
      </c>
      <c r="J99" s="111">
        <f>$H26/$H$34</f>
        <v>0.24078351327639611</v>
      </c>
      <c r="K99" s="111">
        <f>$H27/$H$34</f>
        <v>5.4609586220479497E-3</v>
      </c>
      <c r="L99" s="111">
        <f>$H28/$H$34</f>
        <v>0</v>
      </c>
      <c r="M99" s="111">
        <f>$H29/$H$34</f>
        <v>0</v>
      </c>
      <c r="N99" s="111">
        <f>$H30/$H$34</f>
        <v>0.11219136631394244</v>
      </c>
      <c r="O99" s="111">
        <f>$H31/$H$34</f>
        <v>0.10742869420422195</v>
      </c>
      <c r="P99" s="111">
        <f>$H32/$H$34</f>
        <v>3.6704803853109163E-3</v>
      </c>
      <c r="Q99" s="111">
        <f>$H33/$H$34</f>
        <v>3.5809564734740652E-3</v>
      </c>
      <c r="R99" s="111">
        <f>SUM(H99:Q99)</f>
        <v>1</v>
      </c>
      <c r="S99" s="110"/>
      <c r="T99" s="110"/>
      <c r="U99" s="110"/>
      <c r="V99" s="110"/>
      <c r="W99" s="110"/>
    </row>
    <row r="100" spans="1:27" ht="16.5" x14ac:dyDescent="0.45">
      <c r="A100" t="s">
        <v>295</v>
      </c>
      <c r="B100" s="112">
        <f t="shared" ref="B100:B108" si="1">H25/$H$34</f>
        <v>0.35809564734740645</v>
      </c>
      <c r="C100" s="4"/>
      <c r="D100" t="s">
        <v>305</v>
      </c>
      <c r="E100" s="110">
        <f t="shared" ref="E100:E114" si="2">H42/$H$57</f>
        <v>2.1686318658529359E-2</v>
      </c>
    </row>
    <row r="101" spans="1:27" ht="16.5" x14ac:dyDescent="0.45">
      <c r="A101" t="s">
        <v>296</v>
      </c>
      <c r="B101" s="112">
        <f t="shared" si="1"/>
        <v>0.24078351327639611</v>
      </c>
      <c r="C101" s="4"/>
      <c r="D101" t="s">
        <v>306</v>
      </c>
      <c r="E101" s="110">
        <f t="shared" si="2"/>
        <v>5.6329126424522521E-2</v>
      </c>
      <c r="G101" s="110"/>
    </row>
    <row r="102" spans="1:27" ht="16.5" x14ac:dyDescent="0.45">
      <c r="A102" t="s">
        <v>297</v>
      </c>
      <c r="B102" s="112">
        <f t="shared" si="1"/>
        <v>5.4609586220479497E-3</v>
      </c>
      <c r="C102" s="4"/>
      <c r="D102" t="s">
        <v>307</v>
      </c>
      <c r="E102" s="110">
        <f t="shared" si="2"/>
        <v>6.0239774051470451E-3</v>
      </c>
      <c r="G102" s="110"/>
      <c r="H102" s="112"/>
      <c r="I102" s="112"/>
    </row>
    <row r="103" spans="1:27" ht="16.5" x14ac:dyDescent="0.45">
      <c r="A103" t="s">
        <v>298</v>
      </c>
      <c r="B103" s="112">
        <f t="shared" si="1"/>
        <v>0</v>
      </c>
      <c r="C103" s="4"/>
      <c r="D103" t="s">
        <v>308</v>
      </c>
      <c r="E103" s="110">
        <f t="shared" si="2"/>
        <v>0.26908415792696172</v>
      </c>
      <c r="G103" s="110"/>
      <c r="H103" s="112"/>
      <c r="I103" s="112"/>
    </row>
    <row r="104" spans="1:27" ht="16.5" x14ac:dyDescent="0.45">
      <c r="A104" t="s">
        <v>299</v>
      </c>
      <c r="B104" s="112">
        <f t="shared" si="1"/>
        <v>0</v>
      </c>
      <c r="C104" s="4"/>
      <c r="D104" t="s">
        <v>309</v>
      </c>
      <c r="E104" s="110">
        <f t="shared" si="2"/>
        <v>0.16596551519819872</v>
      </c>
      <c r="G104" s="110"/>
      <c r="H104" s="112"/>
      <c r="I104" s="112"/>
    </row>
    <row r="105" spans="1:27" ht="16.5" x14ac:dyDescent="0.45">
      <c r="A105" t="s">
        <v>300</v>
      </c>
      <c r="B105" s="112">
        <f t="shared" si="1"/>
        <v>0.11219136631394244</v>
      </c>
      <c r="C105" s="4"/>
      <c r="D105" t="s">
        <v>310</v>
      </c>
      <c r="E105" s="110">
        <f t="shared" si="2"/>
        <v>4.2918370168473857E-2</v>
      </c>
      <c r="G105" s="110"/>
      <c r="H105" s="112"/>
      <c r="I105" s="112"/>
    </row>
    <row r="106" spans="1:27" ht="16.5" x14ac:dyDescent="0.45">
      <c r="A106" t="s">
        <v>301</v>
      </c>
      <c r="B106" s="112">
        <f t="shared" si="1"/>
        <v>0.10742869420422195</v>
      </c>
      <c r="C106" s="4"/>
      <c r="D106" t="s">
        <v>311</v>
      </c>
      <c r="E106" s="110">
        <f t="shared" si="2"/>
        <v>5.5894610021528313E-3</v>
      </c>
      <c r="G106" s="110"/>
      <c r="H106" s="112"/>
      <c r="I106" s="112"/>
    </row>
    <row r="107" spans="1:27" ht="16.5" x14ac:dyDescent="0.45">
      <c r="A107" t="s">
        <v>302</v>
      </c>
      <c r="B107" s="112">
        <f t="shared" si="1"/>
        <v>3.6704803853109163E-3</v>
      </c>
      <c r="C107" s="4"/>
      <c r="D107" t="s">
        <v>312</v>
      </c>
      <c r="E107" s="110">
        <f t="shared" si="2"/>
        <v>4.1792577669807034E-2</v>
      </c>
      <c r="G107" s="110"/>
      <c r="H107" s="112"/>
      <c r="I107" s="112"/>
    </row>
    <row r="108" spans="1:27" ht="16.5" x14ac:dyDescent="0.45">
      <c r="A108" t="s">
        <v>303</v>
      </c>
      <c r="B108" s="112">
        <f t="shared" si="1"/>
        <v>3.5809564734740652E-3</v>
      </c>
      <c r="D108" t="s">
        <v>313</v>
      </c>
      <c r="E108" s="110">
        <f t="shared" si="2"/>
        <v>2.0738282870178346E-2</v>
      </c>
      <c r="G108" s="110"/>
    </row>
    <row r="109" spans="1:27" ht="16.5" x14ac:dyDescent="0.45">
      <c r="B109" s="112">
        <f>SUM(B99:B108)</f>
        <v>1</v>
      </c>
      <c r="D109" t="s">
        <v>314</v>
      </c>
      <c r="E109" s="110">
        <f t="shared" si="2"/>
        <v>5.9311489008710083E-2</v>
      </c>
      <c r="G109" s="110"/>
    </row>
    <row r="110" spans="1:27" ht="16.5" x14ac:dyDescent="0.45">
      <c r="B110" s="112"/>
      <c r="D110" t="s">
        <v>315</v>
      </c>
      <c r="E110" s="110">
        <f t="shared" si="2"/>
        <v>0.11028816337816752</v>
      </c>
      <c r="G110" s="110"/>
    </row>
    <row r="111" spans="1:27" ht="16.5" x14ac:dyDescent="0.45">
      <c r="B111" s="112"/>
      <c r="D111" t="s">
        <v>316</v>
      </c>
      <c r="E111" s="110">
        <f t="shared" si="2"/>
        <v>4.904110130157413E-2</v>
      </c>
    </row>
    <row r="112" spans="1:27" ht="16.5" x14ac:dyDescent="0.45">
      <c r="B112" s="112"/>
      <c r="D112" t="s">
        <v>317</v>
      </c>
      <c r="E112" s="110">
        <f t="shared" si="2"/>
        <v>0</v>
      </c>
    </row>
    <row r="113" spans="1:5" ht="16.5" x14ac:dyDescent="0.45">
      <c r="B113" s="112"/>
      <c r="D113" t="s">
        <v>318</v>
      </c>
      <c r="E113" s="110">
        <f t="shared" si="2"/>
        <v>0.13477908791056861</v>
      </c>
    </row>
    <row r="114" spans="1:5" ht="16.5" x14ac:dyDescent="0.45">
      <c r="B114" s="112"/>
      <c r="D114" t="s">
        <v>319</v>
      </c>
      <c r="E114" s="110">
        <f t="shared" si="2"/>
        <v>3.9501491181292096E-3</v>
      </c>
    </row>
    <row r="115" spans="1:5" x14ac:dyDescent="0.35">
      <c r="E115" s="110">
        <f>SUM(E99:E114)</f>
        <v>0.99999999999999989</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351.36630696608796</v>
      </c>
      <c r="C130" s="114"/>
      <c r="D130" t="s">
        <v>325</v>
      </c>
      <c r="E130" s="4">
        <f ca="1">SUMPRODUCT($H$99:$Q$99,$C67:$L67)</f>
        <v>337.66860511002483</v>
      </c>
    </row>
    <row r="131" spans="1:5" ht="16.5" x14ac:dyDescent="0.45">
      <c r="A131" t="s">
        <v>326</v>
      </c>
      <c r="B131" s="110">
        <f ca="1">SUMPRODUCT($E$99:$E$114,D$67:D$82)</f>
        <v>237.42916805382737</v>
      </c>
      <c r="C131" s="114"/>
      <c r="D131" t="s">
        <v>327</v>
      </c>
      <c r="E131" s="4">
        <f t="shared" ref="E131:E145" ca="1" si="3">SUMPRODUCT($H$99:$Q$99,$C68:$L68)</f>
        <v>434.83260511002487</v>
      </c>
    </row>
    <row r="132" spans="1:5" ht="16.5" x14ac:dyDescent="0.45">
      <c r="A132" t="s">
        <v>328</v>
      </c>
      <c r="B132" s="110">
        <f ca="1">SUMPRODUCT($E$99:$E$114,E$67:E$82)</f>
        <v>274.76063295082724</v>
      </c>
      <c r="C132" s="114"/>
      <c r="D132" t="s">
        <v>329</v>
      </c>
      <c r="E132" s="4">
        <f t="shared" ca="1" si="3"/>
        <v>551.99780511002484</v>
      </c>
    </row>
    <row r="133" spans="1:5" ht="16.5" x14ac:dyDescent="0.45">
      <c r="A133" t="s">
        <v>330</v>
      </c>
      <c r="B133" s="110">
        <f ca="1">SUMPRODUCT($E$99:$E$114,F$67:F$82)</f>
        <v>409.94607776263553</v>
      </c>
      <c r="C133" s="114"/>
      <c r="D133" t="s">
        <v>331</v>
      </c>
      <c r="E133" s="4">
        <f t="shared" ca="1" si="3"/>
        <v>565.02201727811496</v>
      </c>
    </row>
    <row r="134" spans="1:5" ht="16.5" x14ac:dyDescent="0.45">
      <c r="A134" t="s">
        <v>332</v>
      </c>
      <c r="B134" s="110">
        <f ca="1">SUMPRODUCT($E$99:$E$114,G$67:G$82)</f>
        <v>225.99651239227609</v>
      </c>
      <c r="C134" s="114"/>
      <c r="D134" t="s">
        <v>333</v>
      </c>
      <c r="E134" s="4">
        <f t="shared" ca="1" si="3"/>
        <v>183.43202008319753</v>
      </c>
    </row>
    <row r="135" spans="1:5" ht="16.5" x14ac:dyDescent="0.45">
      <c r="A135" t="s">
        <v>334</v>
      </c>
      <c r="B135" s="110">
        <f ca="1">SUMPRODUCT($E$99:$E$114,H$67:H$82)</f>
        <v>386.26987939931388</v>
      </c>
      <c r="C135" s="114"/>
      <c r="D135" t="s">
        <v>335</v>
      </c>
      <c r="E135" s="4">
        <f t="shared" ca="1" si="3"/>
        <v>163.66209527134694</v>
      </c>
    </row>
    <row r="136" spans="1:5" ht="16.5" x14ac:dyDescent="0.45">
      <c r="A136" t="s">
        <v>336</v>
      </c>
      <c r="B136" s="110">
        <f ca="1">SUMPRODUCT($E$99:$E$114,I$67:I$82)</f>
        <v>381.45579607223505</v>
      </c>
      <c r="D136" t="s">
        <v>337</v>
      </c>
      <c r="E136" s="4">
        <f t="shared" ca="1" si="3"/>
        <v>184.446970954862</v>
      </c>
    </row>
    <row r="137" spans="1:5" ht="16.5" x14ac:dyDescent="0.45">
      <c r="A137" t="s">
        <v>338</v>
      </c>
      <c r="B137" s="110">
        <f ca="1">SUMPRODUCT($E$99:$E$114,J$67:J$82)</f>
        <v>304.947813625381</v>
      </c>
      <c r="D137" t="s">
        <v>339</v>
      </c>
      <c r="E137" s="4">
        <f t="shared" ca="1" si="3"/>
        <v>210.26098821865315</v>
      </c>
    </row>
    <row r="138" spans="1:5" ht="16.5" x14ac:dyDescent="0.45">
      <c r="A138" t="s">
        <v>340</v>
      </c>
      <c r="B138" s="110">
        <f ca="1">SUMPRODUCT($E$99:$E$114,K$67:K$82)</f>
        <v>409.94607776263553</v>
      </c>
      <c r="D138" t="s">
        <v>341</v>
      </c>
      <c r="E138" s="4">
        <f t="shared" ca="1" si="3"/>
        <v>169.1388566990743</v>
      </c>
    </row>
    <row r="139" spans="1:5" ht="16.5" x14ac:dyDescent="0.45">
      <c r="A139" t="s">
        <v>342</v>
      </c>
      <c r="B139" s="110">
        <f ca="1">SUMPRODUCT($E$99:$E$114,L$67:L$82)</f>
        <v>381.45579607223505</v>
      </c>
      <c r="D139" t="s">
        <v>343</v>
      </c>
      <c r="E139" s="4">
        <f t="shared" ca="1" si="3"/>
        <v>298.68661041879284</v>
      </c>
    </row>
    <row r="140" spans="1:5" ht="16.5" x14ac:dyDescent="0.45">
      <c r="B140" s="110"/>
      <c r="D140" t="s">
        <v>344</v>
      </c>
      <c r="E140" s="4">
        <f t="shared" ca="1" si="3"/>
        <v>280.70772837251502</v>
      </c>
    </row>
    <row r="141" spans="1:5" ht="16.5" x14ac:dyDescent="0.45">
      <c r="B141" s="110"/>
      <c r="D141" t="s">
        <v>345</v>
      </c>
      <c r="E141" s="4">
        <f t="shared" ca="1" si="3"/>
        <v>384.02704360530697</v>
      </c>
    </row>
    <row r="142" spans="1:5" ht="16.5" x14ac:dyDescent="0.45">
      <c r="B142" s="110"/>
      <c r="D142" t="s">
        <v>346</v>
      </c>
      <c r="E142" s="4">
        <f t="shared" ca="1" si="3"/>
        <v>419.38322887683285</v>
      </c>
    </row>
    <row r="143" spans="1:5" ht="16.5" x14ac:dyDescent="0.45">
      <c r="B143" s="110"/>
      <c r="D143" t="s">
        <v>347</v>
      </c>
      <c r="E143" s="4">
        <f t="shared" si="3"/>
        <v>314.04622887683291</v>
      </c>
    </row>
    <row r="144" spans="1:5" ht="16.5" x14ac:dyDescent="0.45">
      <c r="B144" s="110"/>
      <c r="D144" t="s">
        <v>348</v>
      </c>
      <c r="E144" s="4">
        <f t="shared" si="3"/>
        <v>471.25601727811494</v>
      </c>
    </row>
    <row r="145" spans="1:5" ht="16.5" x14ac:dyDescent="0.45">
      <c r="B145" s="110"/>
      <c r="D145" t="s">
        <v>349</v>
      </c>
      <c r="E145" s="4">
        <f t="shared" si="3"/>
        <v>264.01972045263284</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0.20369597285659063</v>
      </c>
      <c r="C162" s="36"/>
      <c r="D162" t="s">
        <v>355</v>
      </c>
      <c r="E162" s="115">
        <f t="shared" ref="E162:E177" ca="1" si="4">($H41*$E130)/SUMPRODUCT($H$41:$H$56,$E$130:$E$145)</f>
        <v>1.4499654836143832E-2</v>
      </c>
    </row>
    <row r="163" spans="1:9" ht="16.5" x14ac:dyDescent="0.45">
      <c r="A163" t="s">
        <v>356</v>
      </c>
      <c r="B163" s="115">
        <f t="shared" ref="B163:B171" ca="1" si="5">($H25*$B131)/SUMPRODUCT($H$24:$H$33,$B$130:$B$139)</f>
        <v>0.29202019608460439</v>
      </c>
      <c r="C163" s="4"/>
      <c r="D163" t="s">
        <v>357</v>
      </c>
      <c r="E163" s="115">
        <f t="shared" ca="1" si="4"/>
        <v>3.2388267064929636E-2</v>
      </c>
    </row>
    <row r="164" spans="1:9" ht="16.5" x14ac:dyDescent="0.45">
      <c r="A164" t="s">
        <v>358</v>
      </c>
      <c r="B164" s="115">
        <f t="shared" ca="1" si="5"/>
        <v>0.22722757330841906</v>
      </c>
      <c r="C164" s="4"/>
      <c r="D164" t="s">
        <v>359</v>
      </c>
      <c r="E164" s="115">
        <f t="shared" ca="1" si="4"/>
        <v>0.1067948087231438</v>
      </c>
      <c r="H164" s="116"/>
      <c r="I164" s="116"/>
    </row>
    <row r="165" spans="1:9" ht="16.5" x14ac:dyDescent="0.45">
      <c r="A165" t="s">
        <v>360</v>
      </c>
      <c r="B165" s="115">
        <f t="shared" ca="1" si="5"/>
        <v>7.6890980103783866E-3</v>
      </c>
      <c r="C165" s="4"/>
      <c r="D165" t="s">
        <v>361</v>
      </c>
      <c r="E165" s="115">
        <f t="shared" ca="1" si="4"/>
        <v>1.1690376032135172E-2</v>
      </c>
    </row>
    <row r="166" spans="1:9" ht="16.5" x14ac:dyDescent="0.45">
      <c r="A166" t="s">
        <v>362</v>
      </c>
      <c r="B166" s="115">
        <f t="shared" ca="1" si="5"/>
        <v>0</v>
      </c>
      <c r="C166" s="4"/>
      <c r="D166" t="s">
        <v>363</v>
      </c>
      <c r="E166" s="115">
        <f t="shared" ca="1" si="4"/>
        <v>0.16952863061970505</v>
      </c>
    </row>
    <row r="167" spans="1:9" ht="16.5" x14ac:dyDescent="0.45">
      <c r="A167" t="s">
        <v>364</v>
      </c>
      <c r="B167" s="115">
        <f t="shared" ca="1" si="5"/>
        <v>0</v>
      </c>
      <c r="C167" s="4"/>
      <c r="D167" t="s">
        <v>365</v>
      </c>
      <c r="E167" s="115">
        <f t="shared" ca="1" si="4"/>
        <v>9.3292287208656149E-2</v>
      </c>
    </row>
    <row r="168" spans="1:9" ht="16.5" x14ac:dyDescent="0.45">
      <c r="A168" t="s">
        <v>366</v>
      </c>
      <c r="B168" s="115">
        <f t="shared" ca="1" si="5"/>
        <v>0.14698852456809755</v>
      </c>
      <c r="C168" s="4"/>
      <c r="D168" t="s">
        <v>367</v>
      </c>
      <c r="E168" s="115">
        <f t="shared" ca="1" si="4"/>
        <v>2.7189080716494746E-2</v>
      </c>
    </row>
    <row r="169" spans="1:9" ht="16.5" x14ac:dyDescent="0.45">
      <c r="A169" t="s">
        <v>368</v>
      </c>
      <c r="B169" s="115">
        <f t="shared" ca="1" si="5"/>
        <v>0.11251893066937736</v>
      </c>
      <c r="C169" s="4"/>
      <c r="D169" t="s">
        <v>369</v>
      </c>
      <c r="E169" s="115">
        <f t="shared" ca="1" si="4"/>
        <v>4.0365320670566482E-3</v>
      </c>
    </row>
    <row r="170" spans="1:9" ht="16.5" x14ac:dyDescent="0.45">
      <c r="A170" t="s">
        <v>370</v>
      </c>
      <c r="B170" s="115">
        <f t="shared" ca="1" si="5"/>
        <v>5.1680822692707178E-3</v>
      </c>
      <c r="D170" t="s">
        <v>371</v>
      </c>
      <c r="E170" s="115">
        <f t="shared" ca="1" si="4"/>
        <v>2.4278526441829547E-2</v>
      </c>
    </row>
    <row r="171" spans="1:9" ht="16.5" x14ac:dyDescent="0.45">
      <c r="A171" t="s">
        <v>372</v>
      </c>
      <c r="B171" s="115">
        <f t="shared" ca="1" si="5"/>
        <v>4.6916222332619717E-3</v>
      </c>
      <c r="D171" t="s">
        <v>373</v>
      </c>
      <c r="E171" s="115">
        <f t="shared" ca="1" si="4"/>
        <v>2.1274939005841244E-2</v>
      </c>
    </row>
    <row r="172" spans="1:9" ht="16.5" x14ac:dyDescent="0.45">
      <c r="B172" s="233">
        <f ca="1">SUM(B162:B171)</f>
        <v>1</v>
      </c>
      <c r="D172" t="s">
        <v>374</v>
      </c>
      <c r="E172" s="115">
        <f t="shared" ca="1" si="4"/>
        <v>5.7183794756950346E-2</v>
      </c>
    </row>
    <row r="173" spans="1:9" ht="16.5" x14ac:dyDescent="0.45">
      <c r="B173" s="115"/>
      <c r="D173" t="s">
        <v>375</v>
      </c>
      <c r="E173" s="115">
        <f t="shared" ca="1" si="4"/>
        <v>0.14546901184751687</v>
      </c>
    </row>
    <row r="174" spans="1:9" ht="16.5" x14ac:dyDescent="0.45">
      <c r="B174" s="115"/>
      <c r="D174" t="s">
        <v>376</v>
      </c>
      <c r="E174" s="115">
        <f t="shared" ca="1" si="4"/>
        <v>7.0640058266646419E-2</v>
      </c>
    </row>
    <row r="175" spans="1:9" ht="16.5" x14ac:dyDescent="0.45">
      <c r="B175" s="115"/>
      <c r="D175" t="s">
        <v>377</v>
      </c>
      <c r="E175" s="115">
        <f t="shared" ca="1" si="4"/>
        <v>0</v>
      </c>
    </row>
    <row r="176" spans="1:9" ht="16.5" x14ac:dyDescent="0.45">
      <c r="B176" s="115"/>
      <c r="D176" t="s">
        <v>378</v>
      </c>
      <c r="E176" s="115">
        <f t="shared" ca="1" si="4"/>
        <v>0.21815199899889454</v>
      </c>
    </row>
    <row r="177" spans="1:5" ht="16.5" x14ac:dyDescent="0.45">
      <c r="B177" s="115"/>
      <c r="D177" t="s">
        <v>379</v>
      </c>
      <c r="E177" s="115">
        <f t="shared" ca="1" si="4"/>
        <v>3.582033414055997E-3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7.4724915917752011</v>
      </c>
      <c r="C193" s="47"/>
      <c r="D193" t="s">
        <v>383</v>
      </c>
      <c r="E193" s="6">
        <f t="shared" ref="E193:E208" ca="1" si="7">$E162*$D$8</f>
        <v>0.22796274129373773</v>
      </c>
    </row>
    <row r="194" spans="1:5" ht="16.5" x14ac:dyDescent="0.45">
      <c r="A194" t="s">
        <v>384</v>
      </c>
      <c r="B194" s="7">
        <f t="shared" ca="1" si="6"/>
        <v>10.712624453341759</v>
      </c>
      <c r="D194" t="s">
        <v>385</v>
      </c>
      <c r="E194" s="6">
        <f t="shared" ca="1" si="7"/>
        <v>0.5092064762445494</v>
      </c>
    </row>
    <row r="195" spans="1:5" ht="16.5" x14ac:dyDescent="0.45">
      <c r="A195" t="s">
        <v>386</v>
      </c>
      <c r="B195" s="7">
        <f t="shared" ca="1" si="6"/>
        <v>8.3357373597271227</v>
      </c>
      <c r="D195" t="s">
        <v>387</v>
      </c>
      <c r="E195" s="6">
        <f t="shared" ca="1" si="7"/>
        <v>1.6790218544914566</v>
      </c>
    </row>
    <row r="196" spans="1:5" ht="16.5" x14ac:dyDescent="0.45">
      <c r="A196" t="s">
        <v>388</v>
      </c>
      <c r="B196" s="7">
        <f t="shared" ca="1" si="6"/>
        <v>0.28207096794858844</v>
      </c>
      <c r="D196" t="s">
        <v>389</v>
      </c>
      <c r="E196" s="6">
        <f t="shared" ca="1" si="7"/>
        <v>0.18379542114320346</v>
      </c>
    </row>
    <row r="197" spans="1:5" ht="16.5" x14ac:dyDescent="0.45">
      <c r="A197" t="s">
        <v>390</v>
      </c>
      <c r="B197" s="7">
        <f t="shared" ca="1" si="6"/>
        <v>0</v>
      </c>
      <c r="D197" t="s">
        <v>391</v>
      </c>
      <c r="E197" s="6">
        <f t="shared" ca="1" si="7"/>
        <v>2.6653194024665048</v>
      </c>
    </row>
    <row r="198" spans="1:5" ht="16.5" x14ac:dyDescent="0.45">
      <c r="A198" t="s">
        <v>392</v>
      </c>
      <c r="B198" s="7">
        <f t="shared" ca="1" si="6"/>
        <v>0</v>
      </c>
      <c r="D198" t="s">
        <v>393</v>
      </c>
      <c r="E198" s="6">
        <f t="shared" ca="1" si="7"/>
        <v>1.4667359860618543</v>
      </c>
    </row>
    <row r="199" spans="1:5" ht="16.5" x14ac:dyDescent="0.45">
      <c r="A199" t="s">
        <v>394</v>
      </c>
      <c r="B199" s="7">
        <f t="shared" ca="1" si="6"/>
        <v>5.3922053466213802</v>
      </c>
      <c r="D199" t="s">
        <v>395</v>
      </c>
      <c r="E199" s="6">
        <f t="shared" ca="1" si="7"/>
        <v>0.42746516682166913</v>
      </c>
    </row>
    <row r="200" spans="1:5" ht="16.5" x14ac:dyDescent="0.45">
      <c r="A200" t="s">
        <v>396</v>
      </c>
      <c r="B200" s="7">
        <f t="shared" ca="1" si="6"/>
        <v>4.1277043996074019</v>
      </c>
      <c r="D200" t="s">
        <v>397</v>
      </c>
      <c r="E200" s="6">
        <f t="shared" ca="1" si="7"/>
        <v>6.3462125528157165E-2</v>
      </c>
    </row>
    <row r="201" spans="1:5" ht="16.5" x14ac:dyDescent="0.45">
      <c r="A201" t="s">
        <v>398</v>
      </c>
      <c r="B201" s="7">
        <f t="shared" ca="1" si="6"/>
        <v>0.18958868337528073</v>
      </c>
      <c r="D201" t="s">
        <v>399</v>
      </c>
      <c r="E201" s="6">
        <f t="shared" ca="1" si="7"/>
        <v>0.38170559953300798</v>
      </c>
    </row>
    <row r="202" spans="1:5" ht="16.5" x14ac:dyDescent="0.45">
      <c r="A202" t="s">
        <v>400</v>
      </c>
      <c r="B202" s="7">
        <f t="shared" ca="1" si="6"/>
        <v>0.17210996956978553</v>
      </c>
      <c r="D202" t="s">
        <v>401</v>
      </c>
      <c r="E202" s="6">
        <f t="shared" ca="1" si="7"/>
        <v>0.33448337022058805</v>
      </c>
    </row>
    <row r="203" spans="1:5" ht="16.5" x14ac:dyDescent="0.45">
      <c r="B203" s="7">
        <f ca="1">SUM(B193:B202)</f>
        <v>36.684532771966524</v>
      </c>
      <c r="D203" t="s">
        <v>402</v>
      </c>
      <c r="E203" s="6">
        <f t="shared" ca="1" si="7"/>
        <v>0.89904033976575115</v>
      </c>
    </row>
    <row r="204" spans="1:5" ht="16.5" x14ac:dyDescent="0.45">
      <c r="B204" s="7"/>
      <c r="D204" t="s">
        <v>403</v>
      </c>
      <c r="E204" s="6">
        <f t="shared" ca="1" si="7"/>
        <v>2.2870554567539227</v>
      </c>
    </row>
    <row r="205" spans="1:5" ht="16.5" x14ac:dyDescent="0.45">
      <c r="B205" s="7"/>
      <c r="D205" t="s">
        <v>404</v>
      </c>
      <c r="E205" s="6">
        <f t="shared" ca="1" si="7"/>
        <v>1.1105989424984637</v>
      </c>
    </row>
    <row r="206" spans="1:5" ht="16.5" x14ac:dyDescent="0.45">
      <c r="B206" s="7"/>
      <c r="D206" t="s">
        <v>405</v>
      </c>
      <c r="E206" s="6">
        <f t="shared" ca="1" si="7"/>
        <v>0</v>
      </c>
    </row>
    <row r="207" spans="1:5" ht="16.5" x14ac:dyDescent="0.45">
      <c r="B207" s="7"/>
      <c r="D207" t="s">
        <v>406</v>
      </c>
      <c r="E207" s="6">
        <f t="shared" ca="1" si="7"/>
        <v>3.4297732099478382</v>
      </c>
    </row>
    <row r="208" spans="1:5" ht="16.5" x14ac:dyDescent="0.45">
      <c r="B208" s="7"/>
      <c r="D208" t="s">
        <v>407</v>
      </c>
      <c r="E208" s="6">
        <f t="shared" ca="1" si="7"/>
        <v>5.6316523786378442E-2</v>
      </c>
    </row>
    <row r="209" spans="1:5" x14ac:dyDescent="0.35">
      <c r="B209" s="7"/>
      <c r="E209" s="6">
        <f ca="1">SUM(E193:E208)</f>
        <v>15.721942616557081</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5.8219016115296132E-2</v>
      </c>
      <c r="D226" s="121"/>
      <c r="E226" s="8"/>
      <c r="F226" s="8"/>
      <c r="G226" s="122"/>
      <c r="H226" s="48" t="s">
        <v>415</v>
      </c>
      <c r="I226" s="48" t="str">
        <f t="shared" ref="I226:I241" si="8">B41</f>
        <v>NTS MG 1</v>
      </c>
      <c r="J226" s="12">
        <f ca="1">IFERROR($E193/$H41*1000000," ")</f>
        <v>2.6450451795821693E-2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3.9340404265060178E-2</v>
      </c>
      <c r="D227" s="121"/>
      <c r="E227" s="8"/>
      <c r="F227" s="8"/>
      <c r="G227" s="122"/>
      <c r="H227" s="48" t="s">
        <v>417</v>
      </c>
      <c r="I227" s="48" t="str">
        <f t="shared" si="8"/>
        <v>NTS MG 2</v>
      </c>
      <c r="J227" s="12">
        <f t="shared" ref="J227:J241" ca="1" si="11">IFERROR($E194/$H42*1000000," ")</f>
        <v>3.4061558245744111E-2</v>
      </c>
      <c r="L227" s="21"/>
      <c r="M227" s="123"/>
      <c r="Q227" s="8"/>
      <c r="R227" s="124"/>
      <c r="S227" s="125"/>
      <c r="T227" s="125"/>
      <c r="U227" s="125"/>
    </row>
    <row r="228" spans="1:22" ht="16.5" x14ac:dyDescent="0.35">
      <c r="A228" s="48" t="s">
        <v>418</v>
      </c>
      <c r="B228" s="48" t="str">
        <f t="shared" si="9"/>
        <v>PR-ITABORAÍ</v>
      </c>
      <c r="C228" s="12">
        <f t="shared" ca="1" si="10"/>
        <v>4.5525975030830307E-2</v>
      </c>
      <c r="D228" s="121"/>
      <c r="E228" s="8"/>
      <c r="F228" s="8"/>
      <c r="G228" s="122"/>
      <c r="H228" s="48" t="s">
        <v>419</v>
      </c>
      <c r="I228" s="48" t="str">
        <f t="shared" si="8"/>
        <v>NTS MG 3</v>
      </c>
      <c r="J228" s="12">
        <f t="shared" ca="1" si="11"/>
        <v>4.3239410222056851E-2</v>
      </c>
      <c r="L228" s="21"/>
      <c r="M228" s="123"/>
      <c r="Q228" s="8"/>
      <c r="R228" s="124"/>
      <c r="S228" s="125"/>
      <c r="T228" s="125"/>
      <c r="U228" s="125"/>
    </row>
    <row r="229" spans="1:22" ht="16.5" x14ac:dyDescent="0.35">
      <c r="A229" s="48" t="s">
        <v>420</v>
      </c>
      <c r="B229" s="48" t="str">
        <f t="shared" si="9"/>
        <v>PR-GASPAJ (INTERCONEXÃO)</v>
      </c>
      <c r="C229" s="12">
        <f t="shared" ca="1" si="10"/>
        <v>6.7925287184604194E-2</v>
      </c>
      <c r="D229" s="121"/>
      <c r="E229" s="8"/>
      <c r="F229" s="8"/>
      <c r="G229" s="122"/>
      <c r="H229" s="48" t="s">
        <v>421</v>
      </c>
      <c r="I229" s="48" t="str">
        <f t="shared" si="8"/>
        <v>NTS MG 4</v>
      </c>
      <c r="J229" s="12">
        <f t="shared" ca="1" si="11"/>
        <v>4.4259630316306871E-2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1.4368702720941137E-2</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1.2820073575887849E-2</v>
      </c>
      <c r="L231" s="21"/>
      <c r="M231" s="123"/>
      <c r="Q231" s="8"/>
      <c r="R231" s="124"/>
      <c r="S231" s="125"/>
      <c r="T231" s="125"/>
      <c r="U231" s="125"/>
    </row>
    <row r="232" spans="1:22" ht="16.5" x14ac:dyDescent="0.35">
      <c r="A232" s="48" t="s">
        <v>426</v>
      </c>
      <c r="B232" s="48" t="str">
        <f t="shared" si="9"/>
        <v>PR-TECAB</v>
      </c>
      <c r="C232" s="12">
        <f t="shared" ca="1" si="10"/>
        <v>6.3204640566023221E-2</v>
      </c>
      <c r="D232" s="121"/>
      <c r="E232" s="8"/>
      <c r="F232" s="8"/>
      <c r="G232" s="122"/>
      <c r="H232" s="48" t="s">
        <v>427</v>
      </c>
      <c r="I232" s="48" t="str">
        <f t="shared" si="8"/>
        <v>NTS RJ 3</v>
      </c>
      <c r="J232" s="12">
        <f t="shared" ca="1" si="11"/>
        <v>1.4448206437602449E-2</v>
      </c>
      <c r="L232" s="21"/>
      <c r="M232" s="123"/>
      <c r="Q232" s="8"/>
      <c r="R232" s="124"/>
      <c r="S232" s="125"/>
      <c r="T232" s="125"/>
      <c r="U232" s="125"/>
    </row>
    <row r="233" spans="1:22" ht="16.5" x14ac:dyDescent="0.35">
      <c r="A233" s="48" t="s">
        <v>428</v>
      </c>
      <c r="B233" s="48" t="str">
        <f t="shared" si="9"/>
        <v>PR-GUARAREMA (INTERCONEXÃO)</v>
      </c>
      <c r="C233" s="12">
        <f t="shared" ca="1" si="10"/>
        <v>5.0527786312459029E-2</v>
      </c>
      <c r="D233" s="121"/>
      <c r="E233" s="8"/>
      <c r="F233" s="8"/>
      <c r="G233" s="122"/>
      <c r="H233" s="48" t="s">
        <v>429</v>
      </c>
      <c r="I233" s="48" t="str">
        <f t="shared" si="8"/>
        <v>NTS RJ 4</v>
      </c>
      <c r="J233" s="12">
        <f t="shared" ca="1" si="11"/>
        <v>1.647028491620409E-2</v>
      </c>
      <c r="L233" s="21"/>
      <c r="M233" s="123"/>
      <c r="Q233" s="8"/>
      <c r="R233" s="124"/>
      <c r="S233" s="125"/>
      <c r="T233" s="125"/>
      <c r="U233" s="125"/>
    </row>
    <row r="234" spans="1:22" ht="16.5" x14ac:dyDescent="0.35">
      <c r="A234" s="48" t="s">
        <v>430</v>
      </c>
      <c r="B234" s="48" t="str">
        <f t="shared" si="9"/>
        <v>PR-REPLAN (INTERCONEXÃO)</v>
      </c>
      <c r="C234" s="12">
        <f t="shared" ca="1" si="10"/>
        <v>6.7925287184604194E-2</v>
      </c>
      <c r="D234" s="116"/>
      <c r="E234" s="8"/>
      <c r="F234" s="8"/>
      <c r="G234" s="116"/>
      <c r="H234" s="48" t="s">
        <v>431</v>
      </c>
      <c r="I234" s="48" t="str">
        <f t="shared" si="8"/>
        <v>NTS RJ 5</v>
      </c>
      <c r="J234" s="12">
        <f t="shared" ca="1" si="11"/>
        <v>1.3249082408657829E-2</v>
      </c>
      <c r="L234" s="21"/>
      <c r="Q234" s="8"/>
      <c r="R234" s="124"/>
      <c r="S234" s="125"/>
      <c r="T234" s="125"/>
      <c r="U234" s="125"/>
    </row>
    <row r="235" spans="1:22" ht="16.5" x14ac:dyDescent="0.35">
      <c r="A235" s="48" t="s">
        <v>432</v>
      </c>
      <c r="B235" s="48" t="str">
        <f t="shared" si="9"/>
        <v>PR-TECAB (INTERCONEXÃO)</v>
      </c>
      <c r="C235" s="12">
        <f t="shared" ca="1" si="10"/>
        <v>6.3204640566023207E-2</v>
      </c>
      <c r="D235" s="116"/>
      <c r="E235" s="8"/>
      <c r="F235" s="8"/>
      <c r="G235" s="116"/>
      <c r="H235" s="48" t="s">
        <v>433</v>
      </c>
      <c r="I235" s="48" t="str">
        <f t="shared" si="8"/>
        <v>NTS SP 1</v>
      </c>
      <c r="J235" s="12">
        <f t="shared" ca="1" si="11"/>
        <v>2.3396891719813316E-2</v>
      </c>
      <c r="L235" s="21"/>
      <c r="Q235" s="8"/>
      <c r="R235" s="124"/>
      <c r="S235" s="125"/>
      <c r="T235" s="125"/>
      <c r="U235" s="125"/>
    </row>
    <row r="236" spans="1:22" ht="16.5" x14ac:dyDescent="0.35">
      <c r="D236" s="116"/>
      <c r="E236" s="8"/>
      <c r="F236" s="8"/>
      <c r="G236" s="116"/>
      <c r="H236" s="48" t="s">
        <v>434</v>
      </c>
      <c r="I236" s="48" t="str">
        <f t="shared" si="8"/>
        <v>NTS SP 2</v>
      </c>
      <c r="J236" s="12">
        <f t="shared" ca="1" si="11"/>
        <v>2.1988559568967118E-2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3.0081827719412466E-2</v>
      </c>
      <c r="L237" s="21"/>
      <c r="Q237" s="8"/>
      <c r="R237" s="124"/>
      <c r="S237" s="125"/>
      <c r="T237" s="125"/>
      <c r="U237" s="125"/>
    </row>
    <row r="238" spans="1:22" ht="16.5" x14ac:dyDescent="0.35">
      <c r="D238" s="116"/>
      <c r="E238" s="8"/>
      <c r="F238" s="8"/>
      <c r="G238" s="116"/>
      <c r="H238" s="48" t="s">
        <v>436</v>
      </c>
      <c r="I238" s="48" t="str">
        <f t="shared" si="8"/>
        <v>NTS SP 4</v>
      </c>
      <c r="J238" s="12">
        <f t="shared" ca="1" si="11"/>
        <v>3.2851368802167005E-2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3.6914697960872482E-2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2.0681344914204331E-2</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1.1643803223059223E-2</v>
      </c>
      <c r="D245" s="12">
        <f t="shared" ref="D245:D254" si="13">$F$7*$C$11</f>
        <v>3.8593570502565962E-2</v>
      </c>
      <c r="E245" s="12">
        <f ca="1">IFERROR(C245+D245," ")</f>
        <v>5.0237373725625187E-2</v>
      </c>
      <c r="G245" s="123"/>
      <c r="H245" s="48" t="s">
        <v>415</v>
      </c>
      <c r="I245" s="48" t="str">
        <f t="shared" ref="I245:I260" si="14">I226</f>
        <v>NTS MG 1</v>
      </c>
      <c r="J245" s="12">
        <f ca="1">IF(H41=0," ",J226*(1-$C$11))</f>
        <v>5.2900903591643371E-3</v>
      </c>
      <c r="K245" s="12">
        <f t="shared" ref="K245:K260" si="15">$F$10*$C$11</f>
        <v>1.8245367796737844E-2</v>
      </c>
      <c r="L245" s="12">
        <f ca="1">IFERROR(J245+K245," ")</f>
        <v>2.3535458155902182E-2</v>
      </c>
    </row>
    <row r="246" spans="1:22" ht="16.5" x14ac:dyDescent="0.35">
      <c r="A246" s="48" t="s">
        <v>416</v>
      </c>
      <c r="B246" s="48" t="str">
        <f t="shared" si="12"/>
        <v>PR-GNLBGB</v>
      </c>
      <c r="C246" s="12">
        <f t="shared" ref="C246:C254" ca="1" si="16">IF(H25=0," ",C227*(1-$C$11))</f>
        <v>7.8680808530120338E-3</v>
      </c>
      <c r="D246" s="12">
        <f t="shared" si="13"/>
        <v>3.8593570502565962E-2</v>
      </c>
      <c r="E246" s="12">
        <f t="shared" ref="E246:E254" ca="1" si="17">IFERROR(C246+D246," ")</f>
        <v>4.6461651355577997E-2</v>
      </c>
      <c r="G246" s="123"/>
      <c r="H246" s="48" t="s">
        <v>417</v>
      </c>
      <c r="I246" s="48" t="str">
        <f t="shared" si="14"/>
        <v>NTS MG 2</v>
      </c>
      <c r="J246" s="12">
        <f t="shared" ref="J246:J247" ca="1" si="18">IF(H42=0," ",J227*(1-$C$11))</f>
        <v>6.8123116491488203E-3</v>
      </c>
      <c r="K246" s="12">
        <f t="shared" si="15"/>
        <v>1.8245367796737844E-2</v>
      </c>
      <c r="L246" s="12">
        <f t="shared" ref="L246:L260" ca="1" si="19">IFERROR(J246+K246," ")</f>
        <v>2.5057679445886664E-2</v>
      </c>
    </row>
    <row r="247" spans="1:22" ht="16.5" x14ac:dyDescent="0.35">
      <c r="A247" s="48" t="s">
        <v>418</v>
      </c>
      <c r="B247" s="48" t="str">
        <f t="shared" si="12"/>
        <v>PR-ITABORAÍ</v>
      </c>
      <c r="C247" s="12">
        <f t="shared" ca="1" si="16"/>
        <v>9.1051950061660589E-3</v>
      </c>
      <c r="D247" s="12">
        <f t="shared" si="13"/>
        <v>3.8593570502565962E-2</v>
      </c>
      <c r="E247" s="12">
        <f t="shared" ca="1" si="17"/>
        <v>4.7698765508732019E-2</v>
      </c>
      <c r="G247" s="123"/>
      <c r="H247" s="48" t="s">
        <v>419</v>
      </c>
      <c r="I247" s="48" t="str">
        <f t="shared" si="14"/>
        <v>NTS MG 3</v>
      </c>
      <c r="J247" s="12">
        <f t="shared" ca="1" si="18"/>
        <v>8.6478820444113678E-3</v>
      </c>
      <c r="K247" s="12">
        <f t="shared" si="15"/>
        <v>1.8245367796737844E-2</v>
      </c>
      <c r="L247" s="12">
        <f t="shared" ca="1" si="19"/>
        <v>2.6893249841149214E-2</v>
      </c>
    </row>
    <row r="248" spans="1:22" ht="16.5" x14ac:dyDescent="0.35">
      <c r="A248" s="48" t="s">
        <v>420</v>
      </c>
      <c r="B248" s="48" t="str">
        <f t="shared" si="12"/>
        <v>PR-GASPAJ (INTERCONEXÃO)</v>
      </c>
      <c r="C248" s="12">
        <f t="shared" ca="1" si="16"/>
        <v>1.3585057436920836E-2</v>
      </c>
      <c r="D248" s="12">
        <f t="shared" si="13"/>
        <v>3.8593570502565962E-2</v>
      </c>
      <c r="E248" s="12">
        <f t="shared" ca="1" si="17"/>
        <v>5.2178627939486799E-2</v>
      </c>
      <c r="G248" s="123"/>
      <c r="H248" s="48" t="s">
        <v>421</v>
      </c>
      <c r="I248" s="48" t="str">
        <f t="shared" si="14"/>
        <v>NTS MG 4</v>
      </c>
      <c r="J248" s="12">
        <f ca="1">IF(H44=0," ",J229*(1-$C$11))</f>
        <v>8.8519260632613714E-3</v>
      </c>
      <c r="K248" s="12">
        <f t="shared" si="15"/>
        <v>1.8245367796737844E-2</v>
      </c>
      <c r="L248" s="12">
        <f t="shared" ca="1" si="19"/>
        <v>2.7097293859999216E-2</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2.8737405441882267E-3</v>
      </c>
      <c r="K249" s="12">
        <f t="shared" si="15"/>
        <v>1.8245367796737844E-2</v>
      </c>
      <c r="L249" s="12">
        <f t="shared" ca="1" si="19"/>
        <v>2.111910834092607E-2</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2.5640147151775694E-3</v>
      </c>
      <c r="K250" s="12">
        <f t="shared" si="15"/>
        <v>1.8245367796737844E-2</v>
      </c>
      <c r="L250" s="12">
        <f t="shared" ca="1" si="19"/>
        <v>2.0809382511915414E-2</v>
      </c>
    </row>
    <row r="251" spans="1:22" ht="16.5" x14ac:dyDescent="0.35">
      <c r="A251" s="48" t="s">
        <v>426</v>
      </c>
      <c r="B251" s="48" t="str">
        <f t="shared" si="12"/>
        <v>PR-TECAB</v>
      </c>
      <c r="C251" s="12">
        <f t="shared" ca="1" si="16"/>
        <v>1.2640928113204641E-2</v>
      </c>
      <c r="D251" s="12">
        <f t="shared" si="13"/>
        <v>3.8593570502565962E-2</v>
      </c>
      <c r="E251" s="12">
        <f t="shared" ca="1" si="17"/>
        <v>5.1234498615770604E-2</v>
      </c>
      <c r="G251" s="123"/>
      <c r="H251" s="48" t="s">
        <v>427</v>
      </c>
      <c r="I251" s="48" t="str">
        <f t="shared" si="14"/>
        <v>NTS RJ 3</v>
      </c>
      <c r="J251" s="12">
        <f t="shared" ca="1" si="20"/>
        <v>2.8896412875204893E-3</v>
      </c>
      <c r="K251" s="12">
        <f t="shared" si="15"/>
        <v>1.8245367796737844E-2</v>
      </c>
      <c r="L251" s="12">
        <f t="shared" ca="1" si="19"/>
        <v>2.1135009084258333E-2</v>
      </c>
    </row>
    <row r="252" spans="1:22" ht="16.5" x14ac:dyDescent="0.35">
      <c r="A252" s="48" t="s">
        <v>428</v>
      </c>
      <c r="B252" s="48" t="str">
        <f t="shared" si="12"/>
        <v>PR-GUARAREMA (INTERCONEXÃO)</v>
      </c>
      <c r="C252" s="12">
        <f t="shared" ca="1" si="16"/>
        <v>1.0105557262491804E-2</v>
      </c>
      <c r="D252" s="12">
        <f t="shared" si="13"/>
        <v>3.8593570502565962E-2</v>
      </c>
      <c r="E252" s="12">
        <f t="shared" ca="1" si="17"/>
        <v>4.8699127765057762E-2</v>
      </c>
      <c r="G252" s="123"/>
      <c r="H252" s="48" t="s">
        <v>429</v>
      </c>
      <c r="I252" s="48" t="str">
        <f t="shared" si="14"/>
        <v>NTS RJ 4</v>
      </c>
      <c r="J252" s="12">
        <f t="shared" ca="1" si="20"/>
        <v>3.2940569832408174E-3</v>
      </c>
      <c r="K252" s="12">
        <f t="shared" si="15"/>
        <v>1.8245367796737844E-2</v>
      </c>
      <c r="L252" s="12">
        <f t="shared" ca="1" si="19"/>
        <v>2.1539424779978663E-2</v>
      </c>
    </row>
    <row r="253" spans="1:22" ht="16.5" x14ac:dyDescent="0.35">
      <c r="A253" s="48" t="s">
        <v>430</v>
      </c>
      <c r="B253" s="48" t="str">
        <f t="shared" si="12"/>
        <v>PR-REPLAN (INTERCONEXÃO)</v>
      </c>
      <c r="C253" s="12">
        <f t="shared" ca="1" si="16"/>
        <v>1.3585057436920836E-2</v>
      </c>
      <c r="D253" s="12">
        <f t="shared" si="13"/>
        <v>3.8593570502565962E-2</v>
      </c>
      <c r="E253" s="12">
        <f t="shared" ca="1" si="17"/>
        <v>5.2178627939486799E-2</v>
      </c>
      <c r="G253" s="123"/>
      <c r="H253" s="48" t="s">
        <v>431</v>
      </c>
      <c r="I253" s="48" t="str">
        <f t="shared" si="14"/>
        <v>NTS RJ 5</v>
      </c>
      <c r="J253" s="12">
        <f t="shared" ca="1" si="20"/>
        <v>2.6498164817315649E-3</v>
      </c>
      <c r="K253" s="12">
        <f t="shared" si="15"/>
        <v>1.8245367796737844E-2</v>
      </c>
      <c r="L253" s="12">
        <f t="shared" ca="1" si="19"/>
        <v>2.0895184278469408E-2</v>
      </c>
    </row>
    <row r="254" spans="1:22" ht="16.5" x14ac:dyDescent="0.35">
      <c r="A254" s="48" t="s">
        <v>432</v>
      </c>
      <c r="B254" s="48" t="str">
        <f t="shared" si="12"/>
        <v>PR-TECAB (INTERCONEXÃO)</v>
      </c>
      <c r="C254" s="12">
        <f t="shared" ca="1" si="16"/>
        <v>1.2640928113204639E-2</v>
      </c>
      <c r="D254" s="12">
        <f t="shared" si="13"/>
        <v>3.8593570502565962E-2</v>
      </c>
      <c r="E254" s="12">
        <f t="shared" ca="1" si="17"/>
        <v>5.1234498615770604E-2</v>
      </c>
      <c r="G254" s="123"/>
      <c r="H254" s="48" t="s">
        <v>433</v>
      </c>
      <c r="I254" s="48" t="str">
        <f t="shared" si="14"/>
        <v>NTS SP 1</v>
      </c>
      <c r="J254" s="12">
        <f t="shared" ca="1" si="20"/>
        <v>4.6793783439626618E-3</v>
      </c>
      <c r="K254" s="12">
        <f t="shared" si="15"/>
        <v>1.8245367796737844E-2</v>
      </c>
      <c r="L254" s="12">
        <f t="shared" ca="1" si="19"/>
        <v>2.2924746140700506E-2</v>
      </c>
    </row>
    <row r="255" spans="1:22" ht="16.5" x14ac:dyDescent="0.35">
      <c r="H255" s="48" t="s">
        <v>434</v>
      </c>
      <c r="I255" s="48" t="str">
        <f t="shared" si="14"/>
        <v>NTS SP 2</v>
      </c>
      <c r="J255" s="12">
        <f t="shared" ca="1" si="20"/>
        <v>4.3977119137934223E-3</v>
      </c>
      <c r="K255" s="12">
        <f t="shared" si="15"/>
        <v>1.8245367796737844E-2</v>
      </c>
      <c r="L255" s="12">
        <f t="shared" ca="1" si="19"/>
        <v>2.2643079710531266E-2</v>
      </c>
    </row>
    <row r="256" spans="1:22" ht="16.5" x14ac:dyDescent="0.35">
      <c r="H256" s="48" t="s">
        <v>435</v>
      </c>
      <c r="I256" s="48" t="str">
        <f t="shared" si="14"/>
        <v>NTS SP 3</v>
      </c>
      <c r="J256" s="12">
        <f t="shared" ca="1" si="20"/>
        <v>6.0163655438824921E-3</v>
      </c>
      <c r="K256" s="12">
        <f t="shared" si="15"/>
        <v>1.8245367796737844E-2</v>
      </c>
      <c r="L256" s="12">
        <f t="shared" ca="1" si="19"/>
        <v>2.4261733340620338E-2</v>
      </c>
    </row>
    <row r="257" spans="1:13" ht="16.5" x14ac:dyDescent="0.35">
      <c r="H257" s="48" t="s">
        <v>436</v>
      </c>
      <c r="I257" s="48" t="str">
        <f t="shared" si="14"/>
        <v>NTS SP 4</v>
      </c>
      <c r="J257" s="12">
        <f t="shared" ca="1" si="20"/>
        <v>6.5702737604334E-3</v>
      </c>
      <c r="K257" s="12">
        <f t="shared" si="15"/>
        <v>1.8245367796737844E-2</v>
      </c>
      <c r="L257" s="12">
        <f t="shared" ca="1" si="19"/>
        <v>2.4815641557171246E-2</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7.382939592174495E-3</v>
      </c>
      <c r="K259" s="12">
        <f t="shared" si="15"/>
        <v>1.8245367796737844E-2</v>
      </c>
      <c r="L259" s="12">
        <f t="shared" ca="1" si="19"/>
        <v>2.5628307388912339E-2</v>
      </c>
    </row>
    <row r="260" spans="1:13" ht="16.5" x14ac:dyDescent="0.35">
      <c r="H260" s="48" t="s">
        <v>439</v>
      </c>
      <c r="I260" s="48" t="str">
        <f t="shared" si="14"/>
        <v>PE-TECAB (INTERCONEXÃO)</v>
      </c>
      <c r="J260" s="12">
        <f t="shared" ca="1" si="20"/>
        <v>4.1362689828408654E-3</v>
      </c>
      <c r="K260" s="12">
        <f t="shared" si="15"/>
        <v>1.8245367796737844E-2</v>
      </c>
      <c r="L260" s="12">
        <f t="shared" ca="1" si="19"/>
        <v>2.2381636779578711E-2</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(GASIG)'!I11</f>
        <v>205</v>
      </c>
      <c r="D267" s="265">
        <f ca="1">E253</f>
        <v>5.2178627939486799E-2</v>
      </c>
      <c r="E267" s="268">
        <f ca="1">D267*(1-$C$262)</f>
        <v>5.2178627939486787E-3</v>
      </c>
      <c r="F267" s="266">
        <f ca="1">C267*E267*'Premissas (GASIG)'!$C$36*'Premissas (GASIG)'!$F$20*1000</f>
        <v>14563.762306209497</v>
      </c>
      <c r="L267" s="128"/>
    </row>
    <row r="268" spans="1:13" ht="18.5" x14ac:dyDescent="0.45">
      <c r="B268" s="247" t="s">
        <v>451</v>
      </c>
      <c r="C268" s="271">
        <f>'Oferta (GASIG)'!I10</f>
        <v>6000</v>
      </c>
      <c r="D268" s="265">
        <f ca="1">E252</f>
        <v>4.8699127765057762E-2</v>
      </c>
      <c r="E268" s="268">
        <f t="shared" ref="E268:E270" ca="1" si="21">D268*(1-$C$262)</f>
        <v>4.8699127765057752E-3</v>
      </c>
      <c r="F268" s="266">
        <f ca="1">C268*E268*'Premissas (GASIG)'!$C$36*'Premissas (GASIG)'!$F$20*1000</f>
        <v>397831.80424689589</v>
      </c>
      <c r="G268" s="129"/>
      <c r="K268" s="129"/>
      <c r="L268" s="128"/>
    </row>
    <row r="269" spans="1:13" ht="18.5" x14ac:dyDescent="0.45">
      <c r="B269" s="248" t="s">
        <v>452</v>
      </c>
      <c r="C269" s="271">
        <f>'Oferta (GASIG)'!I12</f>
        <v>200</v>
      </c>
      <c r="D269" s="265">
        <f ca="1">E254</f>
        <v>5.1234498615770604E-2</v>
      </c>
      <c r="E269" s="268">
        <f t="shared" ca="1" si="21"/>
        <v>5.1234498615770592E-3</v>
      </c>
      <c r="F269" s="266">
        <f ca="1">C269*E269*'Premissas (GASIG)'!$C$36*'Premissas (GASIG)'!$F$20*1000</f>
        <v>13951.456599887306</v>
      </c>
      <c r="K269" s="129"/>
      <c r="L269" s="128"/>
    </row>
    <row r="270" spans="1:13" ht="18.5" x14ac:dyDescent="0.45">
      <c r="B270" s="248" t="s">
        <v>243</v>
      </c>
      <c r="C270" s="271">
        <f>'Oferta (GASIG)'!I6</f>
        <v>305</v>
      </c>
      <c r="D270" s="265">
        <f ca="1">E248</f>
        <v>5.2178627939486799E-2</v>
      </c>
      <c r="E270" s="268">
        <f t="shared" ca="1" si="21"/>
        <v>5.2178627939486787E-3</v>
      </c>
      <c r="F270" s="266">
        <f ca="1">C270*E270*'Premissas (GASIG)'!$C$36*'Premissas (GASIG)'!$F$20*1000</f>
        <v>21668.036601921449</v>
      </c>
      <c r="K270" s="129"/>
      <c r="L270" s="128"/>
    </row>
    <row r="271" spans="1:13" ht="18.5" x14ac:dyDescent="0.45">
      <c r="B271" s="246" t="s">
        <v>453</v>
      </c>
      <c r="C271" s="271">
        <f>'Demanda (GASIG)'!I17</f>
        <v>6824</v>
      </c>
      <c r="D271" s="265">
        <f ca="1">L259</f>
        <v>2.5628307388912339E-2</v>
      </c>
      <c r="E271" s="268">
        <f ca="1">D271*(1-$C$262)</f>
        <v>2.5628307388912332E-3</v>
      </c>
      <c r="F271" s="266">
        <f ca="1">C271*E271*'Premissas (GASIG)'!$C$36*'Premissas (GASIG)'!$F$20*1000</f>
        <v>238114.59108230568</v>
      </c>
      <c r="K271" s="129"/>
      <c r="L271" s="128"/>
    </row>
    <row r="272" spans="1:13" ht="18.5" x14ac:dyDescent="0.45">
      <c r="B272" s="248" t="s">
        <v>454</v>
      </c>
      <c r="C272" s="271">
        <f>'Demanda (GASIG)'!I18</f>
        <v>200</v>
      </c>
      <c r="D272" s="265">
        <f ca="1">L260</f>
        <v>2.2381636779578711E-2</v>
      </c>
      <c r="E272" s="268">
        <f ca="1">D272*(1-$C$262)</f>
        <v>2.2381636779578704E-3</v>
      </c>
      <c r="F272" s="266">
        <f ca="1">C272*E272*'Premissas (GASIG)'!$C$36*'Premissas (GASIG)'!$F$20*1000</f>
        <v>6094.6518966932463</v>
      </c>
      <c r="K272" s="129"/>
      <c r="L272" s="128"/>
    </row>
    <row r="273" spans="2:13" ht="19" thickBot="1" x14ac:dyDescent="0.5">
      <c r="B273" s="248"/>
      <c r="C273" s="248"/>
      <c r="D273" s="248"/>
      <c r="E273" s="248"/>
      <c r="F273" s="267">
        <f ca="1">SUM(F267:F272)</f>
        <v>692224.30273391306</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8647-9A28-400A-88E3-FB5DCD6C965D}">
  <sheetPr>
    <tabColor theme="5"/>
  </sheetPr>
  <dimension ref="A2:AA303"/>
  <sheetViews>
    <sheetView showGridLines="0" zoomScale="70" zoomScaleNormal="70" workbookViewId="0">
      <selection activeCell="D38" sqref="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5" thickBot="1" x14ac:dyDescent="0.4">
      <c r="A5" s="211"/>
      <c r="B5" s="255" t="s">
        <v>460</v>
      </c>
      <c r="C5" s="208"/>
      <c r="D5" s="382">
        <f ca="1">D6+D9</f>
        <v>51.714251085789684</v>
      </c>
      <c r="E5" s="224" t="s">
        <v>111</v>
      </c>
      <c r="F5" s="273" t="s">
        <v>465</v>
      </c>
      <c r="G5" s="211"/>
      <c r="H5" s="235"/>
      <c r="I5" s="235"/>
    </row>
    <row r="6" spans="1:9" ht="16.5" x14ac:dyDescent="0.35">
      <c r="A6" s="206">
        <f>HLOOKUP($G$3,'Premissas (GASIG)'!$B$5:$F$13,9,FALSE)</f>
        <v>0.7</v>
      </c>
      <c r="B6" s="207" t="s">
        <v>112</v>
      </c>
      <c r="C6" s="208" t="s">
        <v>271</v>
      </c>
      <c r="D6" s="382">
        <f ca="1">($A$6*$D$4)-(SUM($F$268:$F$271)/10^6)</f>
        <v>36.236517712211601</v>
      </c>
      <c r="E6" s="210" t="s">
        <v>113</v>
      </c>
      <c r="F6" s="273" t="s">
        <v>458</v>
      </c>
      <c r="G6" s="211"/>
      <c r="H6" s="235"/>
    </row>
    <row r="7" spans="1:9" ht="29" x14ac:dyDescent="0.35">
      <c r="A7" s="92"/>
      <c r="B7" s="212" t="s">
        <v>114</v>
      </c>
      <c r="C7" s="213" t="s">
        <v>272</v>
      </c>
      <c r="D7" s="383">
        <f>$D$35*'Premissas (GASIG)'!$F$20</f>
        <v>17936465</v>
      </c>
      <c r="E7" s="212" t="s">
        <v>115</v>
      </c>
      <c r="F7" s="230">
        <f>H35</f>
        <v>669069228.057235</v>
      </c>
      <c r="G7" s="82" t="s">
        <v>116</v>
      </c>
    </row>
    <row r="8" spans="1:9" ht="17" thickBot="1" x14ac:dyDescent="0.4">
      <c r="A8" s="215"/>
      <c r="B8" s="216" t="s">
        <v>117</v>
      </c>
      <c r="C8" s="217" t="s">
        <v>273</v>
      </c>
      <c r="D8" s="218">
        <f ca="1">$D$6/$D$7*1000</f>
        <v>2.0202708678779013E-3</v>
      </c>
      <c r="E8" s="219" t="s">
        <v>118</v>
      </c>
      <c r="F8" s="384">
        <f ca="1">$D$6/$F$7*1000000</f>
        <v>5.4159593944308221E-2</v>
      </c>
      <c r="G8" s="228" t="s">
        <v>15</v>
      </c>
      <c r="I8" s="235"/>
    </row>
    <row r="9" spans="1:9" ht="16.5" x14ac:dyDescent="0.35">
      <c r="A9" s="206">
        <f>1-A6</f>
        <v>0.30000000000000004</v>
      </c>
      <c r="B9" s="207" t="s">
        <v>119</v>
      </c>
      <c r="C9" s="208" t="s">
        <v>274</v>
      </c>
      <c r="D9" s="382">
        <f ca="1">($A$9*$D$4)-(SUM($F$272:$F$273)/10^6)</f>
        <v>15.477733373578085</v>
      </c>
      <c r="E9" s="210" t="s">
        <v>113</v>
      </c>
      <c r="F9" s="273" t="s">
        <v>459</v>
      </c>
      <c r="G9" s="229"/>
    </row>
    <row r="10" spans="1:9" ht="29" x14ac:dyDescent="0.35">
      <c r="B10" s="212" t="s">
        <v>120</v>
      </c>
      <c r="C10" s="213" t="s">
        <v>275</v>
      </c>
      <c r="D10" s="383">
        <f>$D$58*'Premissas (GASIG)'!$F$20</f>
        <v>15916555</v>
      </c>
      <c r="E10" s="212" t="s">
        <v>115</v>
      </c>
      <c r="F10" s="230">
        <f>H58</f>
        <v>593722183.67334497</v>
      </c>
      <c r="G10" s="82" t="s">
        <v>116</v>
      </c>
    </row>
    <row r="11" spans="1:9" ht="17" thickBot="1" x14ac:dyDescent="0.4">
      <c r="A11" s="225"/>
      <c r="B11" s="216" t="s">
        <v>121</v>
      </c>
      <c r="C11" s="217" t="s">
        <v>276</v>
      </c>
      <c r="D11" s="218">
        <f ca="1">$D$9/$D$10*1000</f>
        <v>9.724298614604785E-4</v>
      </c>
      <c r="E11" s="219" t="s">
        <v>118</v>
      </c>
      <c r="F11" s="384">
        <f ca="1">$D$9/$F$10*1000000</f>
        <v>2.6068982765335997E-2</v>
      </c>
      <c r="G11" s="228" t="s">
        <v>15</v>
      </c>
    </row>
    <row r="12" spans="1:9" ht="15" thickBot="1" x14ac:dyDescent="0.4">
      <c r="A12" s="220"/>
      <c r="B12" s="220" t="s">
        <v>122</v>
      </c>
      <c r="C12" s="226">
        <f>HLOOKUP($G$3,'Premissas (GASIG)'!$B$5:$F$8,4,FALSE)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(GASIG)'!C3</f>
        <v>20000</v>
      </c>
      <c r="D25" s="290">
        <f>'Oferta (GASIG)'!I3</f>
        <v>9427</v>
      </c>
      <c r="F25" s="104"/>
      <c r="G25" s="43">
        <f>IFERROR($C25*$H$20*'Premissas (GASIG)'!$F$20*1000," ")</f>
        <v>272305906.69999999</v>
      </c>
      <c r="H25" s="43">
        <f>IFERROR($D25*$H$20*'Premissas (GASIG)'!$F$20*1000," ")</f>
        <v>128351389.123045</v>
      </c>
      <c r="I25" s="93"/>
    </row>
    <row r="26" spans="1:9" x14ac:dyDescent="0.35">
      <c r="A26" s="2" t="s">
        <v>133</v>
      </c>
      <c r="B26" s="44" t="s">
        <v>26</v>
      </c>
      <c r="C26" s="290">
        <f>'Oferta (GASIG)'!C4</f>
        <v>20000</v>
      </c>
      <c r="D26" s="290">
        <f>'Oferta (GASIG)'!I4</f>
        <v>20000</v>
      </c>
      <c r="F26" s="104"/>
      <c r="G26" s="43">
        <f>IFERROR($C26*$H$20*'Premissas (GASIG)'!$F$20*1000," ")</f>
        <v>272305906.69999999</v>
      </c>
      <c r="H26" s="43">
        <f>IFERROR($D26*$H$20*'Premissas (GASIG)'!$F$20*1000," ")</f>
        <v>272305906.69999999</v>
      </c>
      <c r="I26" s="93"/>
    </row>
    <row r="27" spans="1:9" x14ac:dyDescent="0.35">
      <c r="A27" s="2" t="s">
        <v>134</v>
      </c>
      <c r="B27" s="44" t="s">
        <v>488</v>
      </c>
      <c r="C27" s="290">
        <f>'Oferta (GASIG)'!C5</f>
        <v>18200</v>
      </c>
      <c r="D27" s="290">
        <f>'Oferta (GASIG)'!I5</f>
        <v>13448</v>
      </c>
      <c r="E27" s="46"/>
      <c r="F27" s="104"/>
      <c r="G27" s="43">
        <f>IFERROR($C27*$H$20*'Premissas (GASIG)'!$F$20*1000," ")</f>
        <v>247798375.097</v>
      </c>
      <c r="H27" s="43">
        <f>IFERROR($D27*$H$20*'Premissas (GASIG)'!$F$20*1000," ")</f>
        <v>183098491.66507998</v>
      </c>
      <c r="I27" s="93"/>
    </row>
    <row r="28" spans="1:9" x14ac:dyDescent="0.35">
      <c r="A28" s="2" t="s">
        <v>135</v>
      </c>
      <c r="B28" s="44" t="s">
        <v>463</v>
      </c>
      <c r="C28" s="293"/>
      <c r="D28" s="293"/>
      <c r="E28" s="274" t="s">
        <v>461</v>
      </c>
      <c r="F28" s="104"/>
      <c r="G28" s="43">
        <f>IFERROR($C28*$H$20*'Premissas (GASIG)'!$F$20*1000," ")</f>
        <v>0</v>
      </c>
      <c r="H28" s="43">
        <f>IFERROR($D28*$H$20*'Premissas (GASIG)'!$F$20*1000," ")</f>
        <v>0</v>
      </c>
      <c r="I28" s="93"/>
    </row>
    <row r="29" spans="1:9" x14ac:dyDescent="0.35">
      <c r="A29" s="2" t="s">
        <v>136</v>
      </c>
      <c r="B29" s="44" t="s">
        <v>27</v>
      </c>
      <c r="C29" s="290">
        <f>'Oferta (GASIG)'!C7</f>
        <v>5000</v>
      </c>
      <c r="D29" s="290">
        <f>'Oferta (GASIG)'!I7</f>
        <v>0</v>
      </c>
      <c r="E29" s="46"/>
      <c r="F29" s="104"/>
      <c r="G29" s="43">
        <f>IFERROR($C29*$H$20*'Premissas (GASIG)'!$F$20*1000," ")</f>
        <v>68076476.674999997</v>
      </c>
      <c r="H29" s="43">
        <f>IFERROR($D29*$H$20*'Premissas (GASIG)'!$F$20*1000," ")</f>
        <v>0</v>
      </c>
      <c r="I29" s="93"/>
    </row>
    <row r="30" spans="1:9" x14ac:dyDescent="0.35">
      <c r="A30" s="2" t="s">
        <v>239</v>
      </c>
      <c r="B30" s="44" t="s">
        <v>29</v>
      </c>
      <c r="C30" s="290">
        <f>'Oferta (GASIG)'!C8</f>
        <v>2200</v>
      </c>
      <c r="D30" s="290">
        <f>'Oferta (GASIG)'!I8</f>
        <v>0</v>
      </c>
      <c r="E30" s="46"/>
      <c r="F30" s="104"/>
      <c r="G30" s="43">
        <f>IFERROR($C30*$H$20*'Premissas (GASIG)'!$F$20*1000," ")</f>
        <v>29953649.736999996</v>
      </c>
      <c r="H30" s="43">
        <f>IFERROR($D30*$H$20*'Premissas (GASIG)'!$F$20*1000," ")</f>
        <v>0</v>
      </c>
      <c r="I30" s="93"/>
    </row>
    <row r="31" spans="1:9" x14ac:dyDescent="0.35">
      <c r="A31" s="2" t="s">
        <v>137</v>
      </c>
      <c r="B31" s="44" t="s">
        <v>24</v>
      </c>
      <c r="C31" s="290">
        <f>'Oferta (GASIG)'!C9</f>
        <v>25160</v>
      </c>
      <c r="D31" s="290">
        <f>'Oferta (GASIG)'!I9</f>
        <v>6266</v>
      </c>
      <c r="E31" s="46"/>
      <c r="F31" s="104"/>
      <c r="G31" s="43">
        <f>IFERROR($C31*$H$20*'Premissas (GASIG)'!$F$20*1000," ")</f>
        <v>342560830.6286</v>
      </c>
      <c r="H31" s="43">
        <f>IFERROR($D31*$H$20*'Premissas (GASIG)'!$F$20*1000," ")</f>
        <v>85313440.569109991</v>
      </c>
      <c r="I31" s="93"/>
    </row>
    <row r="32" spans="1:9" x14ac:dyDescent="0.35">
      <c r="A32" s="2" t="s">
        <v>240</v>
      </c>
      <c r="B32" s="44" t="s">
        <v>264</v>
      </c>
      <c r="C32" s="249"/>
      <c r="D32" s="249"/>
      <c r="E32" s="274" t="s">
        <v>461</v>
      </c>
      <c r="F32" s="104"/>
      <c r="G32" s="43">
        <f>IFERROR($C32*$H$20*'Premissas (GASIG)'!$F$20*1000," ")</f>
        <v>0</v>
      </c>
      <c r="H32" s="43">
        <f>IFERROR($D32*$H$20*'Premissas (GASIG)'!$F$20*1000," ")</f>
        <v>0</v>
      </c>
      <c r="I32" s="93"/>
    </row>
    <row r="33" spans="1:10" x14ac:dyDescent="0.35">
      <c r="A33" s="2" t="s">
        <v>138</v>
      </c>
      <c r="B33" s="44" t="s">
        <v>266</v>
      </c>
      <c r="C33" s="249"/>
      <c r="D33" s="249"/>
      <c r="E33" s="274" t="s">
        <v>461</v>
      </c>
      <c r="F33" s="104"/>
      <c r="G33" s="43">
        <f>IFERROR($C33*$H$20*'Premissas (GASIG)'!$F$20*1000," ")</f>
        <v>0</v>
      </c>
      <c r="H33" s="43">
        <f>IFERROR($D33*$H$20*'Premissas (GASIG)'!$F$20*1000," ")</f>
        <v>0</v>
      </c>
      <c r="I33" s="93"/>
    </row>
    <row r="34" spans="1:10" x14ac:dyDescent="0.35">
      <c r="A34" s="2" t="s">
        <v>139</v>
      </c>
      <c r="B34" s="44" t="s">
        <v>265</v>
      </c>
      <c r="C34" s="249"/>
      <c r="D34" s="249"/>
      <c r="E34" s="274" t="s">
        <v>461</v>
      </c>
      <c r="F34" s="104"/>
      <c r="G34" s="43">
        <f>IFERROR($C34*$H$20*'Premissas (GASIG)'!$F$20*1000," ")</f>
        <v>0</v>
      </c>
      <c r="H34" s="43">
        <f>IFERROR($D34*$H$20*'Premissas (GASIG)'!$F$20*1000," ")</f>
        <v>0</v>
      </c>
      <c r="I34" s="93"/>
    </row>
    <row r="35" spans="1:10" x14ac:dyDescent="0.35">
      <c r="C35" s="105">
        <f>SUM(C25:C34)</f>
        <v>90560</v>
      </c>
      <c r="D35" s="105">
        <f>SUM(D25:D34)</f>
        <v>49141</v>
      </c>
      <c r="E35" s="105"/>
      <c r="F35" s="104"/>
      <c r="G35" s="105">
        <f>SUM(G25:G34)</f>
        <v>1233001145.5376</v>
      </c>
      <c r="H35" s="105">
        <f>SUM(H25:H34)</f>
        <v>669069228.057235</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(GASIG)'!C3</f>
        <v>864.5</v>
      </c>
      <c r="D42" s="290">
        <f>'Demanda (GASIG)'!I3</f>
        <v>633</v>
      </c>
      <c r="G42" s="43">
        <f>IFERROR($C42*$H$20*'Premissas (GASIG)'!$F$20*1000," ")</f>
        <v>11770422.817107499</v>
      </c>
      <c r="H42" s="43">
        <f>IFERROR($D42*$H$20*'Premissas (GASIG)'!$F$20*1000," ")</f>
        <v>8618481.9470549989</v>
      </c>
      <c r="I42" s="93"/>
    </row>
    <row r="43" spans="1:10" x14ac:dyDescent="0.35">
      <c r="A43" s="2" t="s">
        <v>42</v>
      </c>
      <c r="B43" s="44" t="s">
        <v>217</v>
      </c>
      <c r="C43" s="290">
        <f>'Demanda (GASIG)'!C4</f>
        <v>1825.9</v>
      </c>
      <c r="D43" s="290">
        <f>'Demanda (GASIG)'!I4</f>
        <v>1098</v>
      </c>
      <c r="E43" s="46"/>
      <c r="G43" s="43">
        <f>IFERROR($C43*$H$20*'Premissas (GASIG)'!$F$20*1000," ")</f>
        <v>24860167.752176501</v>
      </c>
      <c r="H43" s="43">
        <f>IFERROR($D43*$H$20*'Premissas (GASIG)'!$F$20*1000," ")</f>
        <v>14949594.277829999</v>
      </c>
      <c r="I43" s="93"/>
    </row>
    <row r="44" spans="1:10" x14ac:dyDescent="0.35">
      <c r="A44" s="2" t="s">
        <v>43</v>
      </c>
      <c r="B44" s="44" t="s">
        <v>218</v>
      </c>
      <c r="C44" s="290">
        <f>'Demanda (GASIG)'!C5</f>
        <v>3040.95</v>
      </c>
      <c r="D44" s="290">
        <f>'Demanda (GASIG)'!I5</f>
        <v>2852</v>
      </c>
      <c r="E44" s="46"/>
      <c r="G44" s="43">
        <f>IFERROR($C44*$H$20*'Premissas (GASIG)'!$F$20*1000," ")</f>
        <v>41403432.348968253</v>
      </c>
      <c r="H44" s="43">
        <f>IFERROR($D44*$H$20*'Premissas (GASIG)'!$F$20*1000," ")</f>
        <v>38830822.295419998</v>
      </c>
      <c r="I44" s="93"/>
    </row>
    <row r="45" spans="1:10" x14ac:dyDescent="0.35">
      <c r="A45" s="2" t="s">
        <v>44</v>
      </c>
      <c r="B45" s="44" t="s">
        <v>219</v>
      </c>
      <c r="C45" s="290">
        <f>'Demanda (GASIG)'!C6</f>
        <v>1187.5</v>
      </c>
      <c r="D45" s="290">
        <f>'Demanda (GASIG)'!I6</f>
        <v>305</v>
      </c>
      <c r="E45" s="46"/>
      <c r="G45" s="43">
        <f>IFERROR($C45*$H$20*'Premissas (GASIG)'!$F$20*1000," ")</f>
        <v>16168163.210312499</v>
      </c>
      <c r="H45" s="43">
        <f>IFERROR($D45*$H$20*'Premissas (GASIG)'!$F$20*1000," ")</f>
        <v>4152665.0771750002</v>
      </c>
      <c r="I45" s="93"/>
    </row>
    <row r="46" spans="1:10" x14ac:dyDescent="0.35">
      <c r="A46" s="2" t="s">
        <v>45</v>
      </c>
      <c r="B46" s="44" t="s">
        <v>220</v>
      </c>
      <c r="C46" s="290">
        <f>'Demanda (GASIG)'!C7</f>
        <v>21185</v>
      </c>
      <c r="D46" s="290">
        <f>'Demanda (GASIG)'!I7</f>
        <v>13624</v>
      </c>
      <c r="E46" s="46"/>
      <c r="G46" s="43">
        <f>IFERROR($C46*$H$20*'Premissas (GASIG)'!$F$20*1000," ")</f>
        <v>288440031.67197496</v>
      </c>
      <c r="H46" s="43">
        <f>IFERROR($D46*$H$20*'Premissas (GASIG)'!$F$20*1000," ")</f>
        <v>185494783.64403999</v>
      </c>
      <c r="I46" s="93"/>
    </row>
    <row r="47" spans="1:10" x14ac:dyDescent="0.35">
      <c r="A47" s="2" t="s">
        <v>46</v>
      </c>
      <c r="B47" s="44" t="s">
        <v>221</v>
      </c>
      <c r="C47" s="290">
        <f>'Demanda (GASIG)'!C8</f>
        <v>11271.75</v>
      </c>
      <c r="D47" s="290">
        <f>'Demanda (GASIG)'!I8</f>
        <v>8403</v>
      </c>
      <c r="E47" s="46"/>
      <c r="G47" s="43">
        <f>IFERROR($C47*$H$20*'Premissas (GASIG)'!$F$20*1000," ")</f>
        <v>153468205.19228625</v>
      </c>
      <c r="H47" s="43">
        <f>IFERROR($D47*$H$20*'Premissas (GASIG)'!$F$20*1000," ")</f>
        <v>114409326.70000499</v>
      </c>
      <c r="I47" s="93"/>
    </row>
    <row r="48" spans="1:10" x14ac:dyDescent="0.35">
      <c r="A48" s="2" t="s">
        <v>47</v>
      </c>
      <c r="B48" s="44" t="s">
        <v>222</v>
      </c>
      <c r="C48" s="290">
        <f>'Demanda (GASIG)'!C9</f>
        <v>3249</v>
      </c>
      <c r="D48" s="290">
        <f>'Demanda (GASIG)'!I9</f>
        <v>2173</v>
      </c>
      <c r="E48" s="46"/>
      <c r="G48" s="43">
        <f>IFERROR($C48*$H$20*'Premissas (GASIG)'!$F$20*1000," ")</f>
        <v>44236094.543414995</v>
      </c>
      <c r="H48" s="43">
        <f>IFERROR($D48*$H$20*'Premissas (GASIG)'!$F$20*1000," ")</f>
        <v>29586036.762954999</v>
      </c>
      <c r="I48" s="93"/>
    </row>
    <row r="49" spans="1:9" x14ac:dyDescent="0.35">
      <c r="A49" s="2" t="s">
        <v>48</v>
      </c>
      <c r="B49" s="44" t="s">
        <v>223</v>
      </c>
      <c r="C49" s="290">
        <f>'Demanda (GASIG)'!C10</f>
        <v>498.75</v>
      </c>
      <c r="D49" s="290">
        <f>'Demanda (GASIG)'!I10</f>
        <v>283</v>
      </c>
      <c r="E49" s="46"/>
      <c r="G49" s="43">
        <f>IFERROR($C49*$H$20*'Premissas (GASIG)'!$F$20*1000," ")</f>
        <v>6790628.5483312495</v>
      </c>
      <c r="H49" s="43">
        <f>IFERROR($D49*$H$20*'Premissas (GASIG)'!$F$20*1000," ")</f>
        <v>3853128.5798049998</v>
      </c>
      <c r="I49" s="93"/>
    </row>
    <row r="50" spans="1:9" x14ac:dyDescent="0.35">
      <c r="A50" s="2" t="s">
        <v>49</v>
      </c>
      <c r="B50" s="44" t="s">
        <v>224</v>
      </c>
      <c r="C50" s="290">
        <f>'Demanda (GASIG)'!C11</f>
        <v>3321.2</v>
      </c>
      <c r="D50" s="290">
        <f>'Demanda (GASIG)'!I11</f>
        <v>2116</v>
      </c>
      <c r="E50" s="46"/>
      <c r="G50" s="43">
        <f>IFERROR($C50*$H$20*'Premissas (GASIG)'!$F$20*1000," ")</f>
        <v>45219118.866601996</v>
      </c>
      <c r="H50" s="43">
        <f>IFERROR($D50*$H$20*'Premissas (GASIG)'!$F$20*1000," ")</f>
        <v>28809964.928859998</v>
      </c>
      <c r="I50" s="93"/>
    </row>
    <row r="51" spans="1:9" x14ac:dyDescent="0.35">
      <c r="A51" s="2" t="s">
        <v>50</v>
      </c>
      <c r="B51" s="44" t="s">
        <v>225</v>
      </c>
      <c r="C51" s="290">
        <f>'Demanda (GASIG)'!C12</f>
        <v>14292.75</v>
      </c>
      <c r="D51" s="290">
        <f>'Demanda (GASIG)'!I12</f>
        <v>1050</v>
      </c>
      <c r="E51" s="46"/>
      <c r="G51" s="43">
        <f>IFERROR($C51*$H$20*'Premissas (GASIG)'!$F$20*1000," ")</f>
        <v>194600012.39932126</v>
      </c>
      <c r="H51" s="43">
        <f>IFERROR($D51*$H$20*'Premissas (GASIG)'!$F$20*1000," ")</f>
        <v>14296060.101749998</v>
      </c>
      <c r="I51" s="93"/>
    </row>
    <row r="52" spans="1:9" x14ac:dyDescent="0.35">
      <c r="A52" s="2" t="s">
        <v>51</v>
      </c>
      <c r="B52" s="44" t="s">
        <v>226</v>
      </c>
      <c r="C52" s="290">
        <f>'Demanda (GASIG)'!C13</f>
        <v>3971</v>
      </c>
      <c r="D52" s="290">
        <f>'Demanda (GASIG)'!I13</f>
        <v>3003</v>
      </c>
      <c r="E52" s="46"/>
      <c r="G52" s="43">
        <f>IFERROR($C52*$H$20*'Premissas (GASIG)'!$F$20*1000," ")</f>
        <v>54066337.775284998</v>
      </c>
      <c r="H52" s="43">
        <f>IFERROR($D52*$H$20*'Premissas (GASIG)'!$F$20*1000," ")</f>
        <v>40886731.891005002</v>
      </c>
      <c r="I52" s="93"/>
    </row>
    <row r="53" spans="1:9" x14ac:dyDescent="0.35">
      <c r="A53" s="2" t="s">
        <v>52</v>
      </c>
      <c r="B53" s="44" t="s">
        <v>227</v>
      </c>
      <c r="C53" s="290">
        <f>'Demanda (GASIG)'!C14</f>
        <v>9941.75</v>
      </c>
      <c r="D53" s="290">
        <f>'Demanda (GASIG)'!I14</f>
        <v>5584</v>
      </c>
      <c r="E53" s="46"/>
      <c r="G53" s="43">
        <f>IFERROR($C53*$H$20*'Premissas (GASIG)'!$F$20*1000," ")</f>
        <v>135359862.39673626</v>
      </c>
      <c r="H53" s="43">
        <f>IFERROR($D53*$H$20*'Premissas (GASIG)'!$F$20*1000," ")</f>
        <v>76027809.150639996</v>
      </c>
      <c r="I53" s="93"/>
    </row>
    <row r="54" spans="1:9" x14ac:dyDescent="0.35">
      <c r="A54" s="2" t="s">
        <v>53</v>
      </c>
      <c r="B54" s="44" t="s">
        <v>228</v>
      </c>
      <c r="C54" s="290">
        <f>'Demanda (GASIG)'!C15</f>
        <v>3809.5</v>
      </c>
      <c r="D54" s="290">
        <f>'Demanda (GASIG)'!I15</f>
        <v>2483</v>
      </c>
      <c r="E54" s="46"/>
      <c r="G54" s="43">
        <f>IFERROR($C54*$H$20*'Premissas (GASIG)'!$F$20*1000," ")</f>
        <v>51867467.578682497</v>
      </c>
      <c r="H54" s="43">
        <f>IFERROR($D54*$H$20*'Premissas (GASIG)'!$F$20*1000," ")</f>
        <v>33806778.316804998</v>
      </c>
      <c r="I54" s="93"/>
    </row>
    <row r="55" spans="1:9" x14ac:dyDescent="0.35">
      <c r="A55" s="2" t="s">
        <v>54</v>
      </c>
      <c r="B55" s="44" t="s">
        <v>269</v>
      </c>
      <c r="C55" s="249"/>
      <c r="D55" s="249"/>
      <c r="E55" s="274" t="s">
        <v>461</v>
      </c>
      <c r="G55" s="43">
        <f>IFERROR($C55*$H$20*'Premissas (GASIG)'!$F$20*1000," ")</f>
        <v>0</v>
      </c>
      <c r="H55" s="43">
        <f>IFERROR($D55*$H$20*'Premissas (GASIG)'!$F$20*1000," ")</f>
        <v>0</v>
      </c>
      <c r="I55" s="93"/>
    </row>
    <row r="56" spans="1:9" x14ac:dyDescent="0.35">
      <c r="A56" s="2" t="s">
        <v>55</v>
      </c>
      <c r="B56" s="44" t="s">
        <v>268</v>
      </c>
      <c r="C56" s="249"/>
      <c r="D56" s="249"/>
      <c r="E56" s="274" t="s">
        <v>461</v>
      </c>
      <c r="G56" s="43">
        <f>IFERROR($C56*$H$20*'Premissas (GASIG)'!$F$20*1000," ")</f>
        <v>0</v>
      </c>
      <c r="H56" s="43">
        <f>IFERROR($D56*$H$20*'Premissas (GASIG)'!$F$20*1000," ")</f>
        <v>0</v>
      </c>
      <c r="I56" s="93"/>
    </row>
    <row r="57" spans="1:9" x14ac:dyDescent="0.35">
      <c r="A57" s="2" t="s">
        <v>56</v>
      </c>
      <c r="B57" s="44" t="s">
        <v>267</v>
      </c>
      <c r="C57" s="249"/>
      <c r="D57" s="249"/>
      <c r="E57" s="274" t="s">
        <v>461</v>
      </c>
      <c r="G57" s="43">
        <f>IFERROR($C57*$H$20*'Premissas (GASIG)'!$F$20*1000," ")</f>
        <v>0</v>
      </c>
      <c r="H57" s="43">
        <f>IFERROR($D57*$H$20*'Premissas (GASIG)'!$F$20*1000," ")</f>
        <v>0</v>
      </c>
      <c r="I57" s="93"/>
    </row>
    <row r="58" spans="1:9" x14ac:dyDescent="0.35">
      <c r="C58" s="105">
        <f>SUM(C42:C57)</f>
        <v>78459.549999999988</v>
      </c>
      <c r="D58" s="105">
        <f>SUM(D42:D57)</f>
        <v>43607</v>
      </c>
      <c r="E58" s="105"/>
      <c r="G58" s="105">
        <f>SUM(G42:G57)</f>
        <v>1068249945.1011992</v>
      </c>
      <c r="H58" s="105">
        <f>SUM(H42:H57)</f>
        <v>593722183.67334497</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0.19183573797847012</v>
      </c>
      <c r="C100" s="9"/>
      <c r="D100" t="s">
        <v>304</v>
      </c>
      <c r="E100" s="110">
        <f>H42/$H$58</f>
        <v>1.4516018070493268E-2</v>
      </c>
      <c r="G100" s="109" t="s">
        <v>148</v>
      </c>
      <c r="H100" s="111">
        <f>H25/$H$35</f>
        <v>0.19183573797847012</v>
      </c>
      <c r="I100" s="111">
        <f>H26/$H$35</f>
        <v>0.40699212470238699</v>
      </c>
      <c r="J100" s="111">
        <f>$H27/$H$35</f>
        <v>0.27366150464988498</v>
      </c>
      <c r="K100" s="111">
        <f>$H28/$H$35</f>
        <v>0</v>
      </c>
      <c r="L100" s="111">
        <f>$H29/$H$35</f>
        <v>0</v>
      </c>
      <c r="M100" s="111">
        <f>$H30/$H$35</f>
        <v>0</v>
      </c>
      <c r="N100" s="111">
        <f>$H31/$H$35</f>
        <v>0.12751063266925783</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0.40699212470238699</v>
      </c>
      <c r="C101" s="4"/>
      <c r="D101" t="s">
        <v>305</v>
      </c>
      <c r="E101" s="110">
        <f t="shared" ref="E101:E115" si="2">H43/$H$58</f>
        <v>2.517944366730112E-2</v>
      </c>
      <c r="W101" s="113"/>
    </row>
    <row r="102" spans="1:27" ht="16.5" x14ac:dyDescent="0.45">
      <c r="A102" t="s">
        <v>296</v>
      </c>
      <c r="B102" s="110">
        <f t="shared" si="1"/>
        <v>0.27366150464988498</v>
      </c>
      <c r="C102" s="4"/>
      <c r="D102" t="s">
        <v>306</v>
      </c>
      <c r="E102" s="110">
        <f t="shared" si="2"/>
        <v>6.5402343660421497E-2</v>
      </c>
      <c r="G102" s="110"/>
      <c r="H102" s="112"/>
      <c r="I102" s="112"/>
    </row>
    <row r="103" spans="1:27" ht="16.5" x14ac:dyDescent="0.45">
      <c r="A103" t="s">
        <v>297</v>
      </c>
      <c r="B103" s="110">
        <f t="shared" si="1"/>
        <v>0</v>
      </c>
      <c r="C103" s="4"/>
      <c r="D103" t="s">
        <v>307</v>
      </c>
      <c r="E103" s="110">
        <f t="shared" si="2"/>
        <v>6.9942899075836453E-3</v>
      </c>
      <c r="G103" s="110"/>
      <c r="H103" s="112"/>
      <c r="I103" s="112"/>
    </row>
    <row r="104" spans="1:27" ht="16.5" x14ac:dyDescent="0.45">
      <c r="A104" t="s">
        <v>298</v>
      </c>
      <c r="B104" s="110">
        <f t="shared" si="1"/>
        <v>0</v>
      </c>
      <c r="C104" s="4"/>
      <c r="D104" t="s">
        <v>308</v>
      </c>
      <c r="E104" s="110">
        <f t="shared" si="2"/>
        <v>0.31242690393744121</v>
      </c>
      <c r="G104" s="110"/>
      <c r="H104" s="112"/>
      <c r="I104" s="112"/>
    </row>
    <row r="105" spans="1:27" ht="16.5" x14ac:dyDescent="0.45">
      <c r="A105" t="s">
        <v>299</v>
      </c>
      <c r="B105" s="110">
        <f t="shared" si="1"/>
        <v>0</v>
      </c>
      <c r="C105" s="4"/>
      <c r="D105" t="s">
        <v>309</v>
      </c>
      <c r="E105" s="110">
        <f t="shared" si="2"/>
        <v>0.19269841997844384</v>
      </c>
      <c r="G105" s="110"/>
      <c r="H105" s="112"/>
      <c r="I105" s="112"/>
    </row>
    <row r="106" spans="1:27" ht="16.5" x14ac:dyDescent="0.45">
      <c r="A106" t="s">
        <v>300</v>
      </c>
      <c r="B106" s="110">
        <f t="shared" si="1"/>
        <v>0.12751063266925783</v>
      </c>
      <c r="C106" s="4"/>
      <c r="D106" t="s">
        <v>310</v>
      </c>
      <c r="E106" s="110">
        <f t="shared" si="2"/>
        <v>4.9831449079276266E-2</v>
      </c>
      <c r="G106" s="110"/>
      <c r="H106" s="112"/>
      <c r="I106" s="112"/>
    </row>
    <row r="107" spans="1:27" ht="16.5" x14ac:dyDescent="0.45">
      <c r="A107" t="s">
        <v>301</v>
      </c>
      <c r="B107" s="110">
        <f t="shared" si="1"/>
        <v>0</v>
      </c>
      <c r="C107" s="4"/>
      <c r="D107" t="s">
        <v>311</v>
      </c>
      <c r="E107" s="110">
        <f t="shared" si="2"/>
        <v>6.4897837503153167E-3</v>
      </c>
      <c r="G107" s="110"/>
      <c r="H107" s="112"/>
      <c r="I107" s="112"/>
    </row>
    <row r="108" spans="1:27" ht="16.5" x14ac:dyDescent="0.45">
      <c r="A108" t="s">
        <v>302</v>
      </c>
      <c r="B108" s="110">
        <f t="shared" si="1"/>
        <v>0</v>
      </c>
      <c r="C108" s="4"/>
      <c r="D108" t="s">
        <v>312</v>
      </c>
      <c r="E108" s="110">
        <f t="shared" si="2"/>
        <v>4.8524319489990135E-2</v>
      </c>
      <c r="G108" s="110"/>
      <c r="H108" s="112"/>
      <c r="I108" s="112"/>
    </row>
    <row r="109" spans="1:27" ht="16.5" x14ac:dyDescent="0.45">
      <c r="A109" t="s">
        <v>303</v>
      </c>
      <c r="B109" s="110">
        <f t="shared" si="1"/>
        <v>0</v>
      </c>
      <c r="D109" t="s">
        <v>313</v>
      </c>
      <c r="E109" s="110">
        <f t="shared" si="2"/>
        <v>2.4078702960533858E-2</v>
      </c>
      <c r="G109" s="110"/>
    </row>
    <row r="110" spans="1:27" ht="16.5" x14ac:dyDescent="0.45">
      <c r="B110" s="110">
        <f>SUM(B100:B109)</f>
        <v>1</v>
      </c>
      <c r="D110" t="s">
        <v>314</v>
      </c>
      <c r="E110" s="110">
        <f t="shared" si="2"/>
        <v>6.8865090467126841E-2</v>
      </c>
      <c r="G110" s="110"/>
    </row>
    <row r="111" spans="1:27" ht="16.5" x14ac:dyDescent="0.45">
      <c r="B111" s="112"/>
      <c r="D111" t="s">
        <v>315</v>
      </c>
      <c r="E111" s="110">
        <f t="shared" si="2"/>
        <v>0.12805283555392483</v>
      </c>
      <c r="G111" s="110"/>
    </row>
    <row r="112" spans="1:27" ht="16.5" x14ac:dyDescent="0.45">
      <c r="B112" s="112"/>
      <c r="D112" t="s">
        <v>316</v>
      </c>
      <c r="E112" s="110">
        <f t="shared" si="2"/>
        <v>5.6940399477148164E-2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0.99999999999999989</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358.22292237484805</v>
      </c>
      <c r="C131" s="114"/>
      <c r="D131" t="s">
        <v>325</v>
      </c>
      <c r="E131" s="4">
        <f ca="1">SUMPRODUCT($H$100:$Q$100,$C68:$L68)</f>
        <v>325.88943273437656</v>
      </c>
    </row>
    <row r="132" spans="1:5" ht="16.5" x14ac:dyDescent="0.45">
      <c r="A132" t="s">
        <v>326</v>
      </c>
      <c r="B132" s="110">
        <f ca="1">SUMPRODUCT($E$100:$E$115,D$68:D$83)</f>
        <v>196.22408034795637</v>
      </c>
      <c r="C132" s="114"/>
      <c r="D132" t="s">
        <v>327</v>
      </c>
      <c r="E132" s="4">
        <f t="shared" ref="E132:E146" ca="1" si="3">SUMPRODUCT($H$100:$Q$100,$C69:$L69)</f>
        <v>423.05343273437654</v>
      </c>
    </row>
    <row r="133" spans="1:5" ht="16.5" x14ac:dyDescent="0.45">
      <c r="A133" t="s">
        <v>328</v>
      </c>
      <c r="B133" s="110">
        <f ca="1">SUMPRODUCT($E$100:$E$115,E$68:E$83)</f>
        <v>231.96050044564714</v>
      </c>
      <c r="C133" s="114"/>
      <c r="D133" t="s">
        <v>329</v>
      </c>
      <c r="E133" s="4">
        <f t="shared" ca="1" si="3"/>
        <v>540.21863273437646</v>
      </c>
    </row>
    <row r="134" spans="1:5" ht="16.5" x14ac:dyDescent="0.45">
      <c r="A134" t="s">
        <v>330</v>
      </c>
      <c r="B134" s="110">
        <f ca="1">SUMPRODUCT($E$100:$E$115,F$68:F$83)</f>
        <v>472.8469617997111</v>
      </c>
      <c r="C134" s="114"/>
      <c r="D134" t="s">
        <v>331</v>
      </c>
      <c r="E134" s="4">
        <f t="shared" ca="1" si="3"/>
        <v>594.03012610650978</v>
      </c>
    </row>
    <row r="135" spans="1:5" ht="16.5" x14ac:dyDescent="0.45">
      <c r="A135" t="s">
        <v>332</v>
      </c>
      <c r="B135" s="110">
        <f ca="1">SUMPRODUCT($E$100:$E$115,G$68:G$83)</f>
        <v>182.58998516140375</v>
      </c>
      <c r="C135" s="114"/>
      <c r="D135" t="s">
        <v>333</v>
      </c>
      <c r="E135" s="4">
        <f t="shared" ca="1" si="3"/>
        <v>150.37183058952809</v>
      </c>
    </row>
    <row r="136" spans="1:5" ht="16.5" x14ac:dyDescent="0.45">
      <c r="A136" t="s">
        <v>334</v>
      </c>
      <c r="B136" s="110">
        <f ca="1">SUMPRODUCT($E$100:$E$115,H$68:H$83)</f>
        <v>387.1539239082411</v>
      </c>
      <c r="C136" s="114"/>
      <c r="D136" t="s">
        <v>335</v>
      </c>
      <c r="E136" s="4">
        <f t="shared" ca="1" si="3"/>
        <v>141.44940727701916</v>
      </c>
    </row>
    <row r="137" spans="1:5" ht="16.5" x14ac:dyDescent="0.45">
      <c r="A137" t="s">
        <v>336</v>
      </c>
      <c r="B137" s="110">
        <f ca="1">SUMPRODUCT($E$100:$E$115,I$68:I$83)</f>
        <v>336.06213963201623</v>
      </c>
      <c r="D137" t="s">
        <v>337</v>
      </c>
      <c r="E137" s="4">
        <f t="shared" ca="1" si="3"/>
        <v>170.4750636901976</v>
      </c>
    </row>
    <row r="138" spans="1:5" ht="16.5" x14ac:dyDescent="0.45">
      <c r="A138" t="s">
        <v>338</v>
      </c>
      <c r="B138" s="110">
        <f ca="1">SUMPRODUCT($E$100:$E$115,J$68:J$83)</f>
        <v>309.83311302466728</v>
      </c>
      <c r="D138" t="s">
        <v>339</v>
      </c>
      <c r="E138" s="4">
        <f t="shared" ca="1" si="3"/>
        <v>208.28901107018578</v>
      </c>
    </row>
    <row r="139" spans="1:5" ht="16.5" x14ac:dyDescent="0.45">
      <c r="A139" t="s">
        <v>340</v>
      </c>
      <c r="B139" s="110">
        <f ca="1">SUMPRODUCT($E$100:$E$115,K$68:K$83)</f>
        <v>472.8469617997111</v>
      </c>
      <c r="D139" t="s">
        <v>341</v>
      </c>
      <c r="E139" s="4">
        <f t="shared" ca="1" si="3"/>
        <v>142.49052930343296</v>
      </c>
    </row>
    <row r="140" spans="1:5" ht="16.5" x14ac:dyDescent="0.45">
      <c r="A140" t="s">
        <v>342</v>
      </c>
      <c r="B140" s="110">
        <f ca="1">SUMPRODUCT($E$100:$E$115,L$68:L$83)</f>
        <v>336.06213963201623</v>
      </c>
      <c r="D140" t="s">
        <v>343</v>
      </c>
      <c r="E140" s="4">
        <f t="shared" ca="1" si="3"/>
        <v>319.58322378801131</v>
      </c>
    </row>
    <row r="141" spans="1:5" ht="16.5" x14ac:dyDescent="0.45">
      <c r="B141" s="110"/>
      <c r="D141" t="s">
        <v>344</v>
      </c>
      <c r="E141" s="4">
        <f t="shared" ca="1" si="3"/>
        <v>309.14421061842449</v>
      </c>
    </row>
    <row r="142" spans="1:5" ht="16.5" x14ac:dyDescent="0.45">
      <c r="B142" s="110"/>
      <c r="D142" t="s">
        <v>345</v>
      </c>
      <c r="E142" s="4">
        <f t="shared" ca="1" si="3"/>
        <v>421.87467573716447</v>
      </c>
    </row>
    <row r="143" spans="1:5" ht="16.5" x14ac:dyDescent="0.45">
      <c r="B143" s="110"/>
      <c r="D143" t="s">
        <v>346</v>
      </c>
      <c r="E143" s="4">
        <f t="shared" ca="1" si="3"/>
        <v>457.27758319936504</v>
      </c>
    </row>
    <row r="144" spans="1:5" ht="16.5" x14ac:dyDescent="0.45">
      <c r="B144" s="110"/>
      <c r="D144" t="s">
        <v>347</v>
      </c>
      <c r="E144" s="4">
        <f t="shared" si="3"/>
        <v>351.94058319936505</v>
      </c>
    </row>
    <row r="145" spans="1:5" ht="16.5" x14ac:dyDescent="0.45">
      <c r="B145" s="110"/>
      <c r="D145" t="s">
        <v>348</v>
      </c>
      <c r="E145" s="4">
        <f t="shared" si="3"/>
        <v>500.26412610650982</v>
      </c>
    </row>
    <row r="146" spans="1:5" ht="16.5" x14ac:dyDescent="0.45">
      <c r="B146" s="110"/>
      <c r="D146" t="s">
        <v>349</v>
      </c>
      <c r="E146" s="4">
        <f t="shared" si="3"/>
        <v>226.39588708003498</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0.26958331019732384</v>
      </c>
      <c r="C163" s="36"/>
      <c r="D163" t="s">
        <v>355</v>
      </c>
      <c r="E163" s="115">
        <f t="shared" ref="E163:E178" ca="1" si="4">($H42*$E131)/SUMPRODUCT($H$42:$H$57,$E$131:$E$146)</f>
        <v>1.8557859846053806E-2</v>
      </c>
    </row>
    <row r="164" spans="1:9" ht="16.5" x14ac:dyDescent="0.45">
      <c r="A164" t="s">
        <v>356</v>
      </c>
      <c r="B164" s="115">
        <f t="shared" ref="B164:B172" ca="1" si="5">($H26*$B132)/SUMPRODUCT($H$25:$H$34,$B$131:$B$140)</f>
        <v>0.31329136149146397</v>
      </c>
      <c r="C164" s="4"/>
      <c r="D164" t="s">
        <v>357</v>
      </c>
      <c r="E164" s="115">
        <f t="shared" ca="1" si="4"/>
        <v>4.1787988415706315E-2</v>
      </c>
    </row>
    <row r="165" spans="1:9" ht="16.5" x14ac:dyDescent="0.45">
      <c r="A165" t="s">
        <v>358</v>
      </c>
      <c r="B165" s="115">
        <f t="shared" ca="1" si="5"/>
        <v>0.24902208185477839</v>
      </c>
      <c r="C165" s="4"/>
      <c r="D165" t="s">
        <v>359</v>
      </c>
      <c r="E165" s="115">
        <f t="shared" ca="1" si="4"/>
        <v>0.1386031124269817</v>
      </c>
      <c r="H165" s="116"/>
      <c r="I165" s="116"/>
    </row>
    <row r="166" spans="1:9" ht="16.5" x14ac:dyDescent="0.45">
      <c r="A166" t="s">
        <v>360</v>
      </c>
      <c r="B166" s="115">
        <f t="shared" ca="1" si="5"/>
        <v>0</v>
      </c>
      <c r="C166" s="4"/>
      <c r="D166" t="s">
        <v>361</v>
      </c>
      <c r="E166" s="115">
        <f t="shared" ca="1" si="4"/>
        <v>1.6299047004716505E-2</v>
      </c>
    </row>
    <row r="167" spans="1:9" ht="16.5" x14ac:dyDescent="0.45">
      <c r="A167" t="s">
        <v>362</v>
      </c>
      <c r="B167" s="115">
        <f t="shared" ca="1" si="5"/>
        <v>0</v>
      </c>
      <c r="C167" s="4"/>
      <c r="D167" t="s">
        <v>363</v>
      </c>
      <c r="E167" s="115">
        <f t="shared" ca="1" si="4"/>
        <v>0.18429986788059413</v>
      </c>
    </row>
    <row r="168" spans="1:9" ht="16.5" x14ac:dyDescent="0.45">
      <c r="A168" t="s">
        <v>364</v>
      </c>
      <c r="B168" s="115">
        <f t="shared" ca="1" si="5"/>
        <v>0</v>
      </c>
      <c r="C168" s="4"/>
      <c r="D168" t="s">
        <v>365</v>
      </c>
      <c r="E168" s="115">
        <f t="shared" ca="1" si="4"/>
        <v>0.10692749622732574</v>
      </c>
    </row>
    <row r="169" spans="1:9" ht="16.5" x14ac:dyDescent="0.45">
      <c r="A169" t="s">
        <v>366</v>
      </c>
      <c r="B169" s="115">
        <f t="shared" ca="1" si="5"/>
        <v>0.1681032464564339</v>
      </c>
      <c r="C169" s="4"/>
      <c r="D169" t="s">
        <v>367</v>
      </c>
      <c r="E169" s="115">
        <f t="shared" ca="1" si="4"/>
        <v>3.3325332395299577E-2</v>
      </c>
    </row>
    <row r="170" spans="1:9" ht="16.5" x14ac:dyDescent="0.45">
      <c r="A170" t="s">
        <v>368</v>
      </c>
      <c r="B170" s="115">
        <f t="shared" ca="1" si="5"/>
        <v>0</v>
      </c>
      <c r="C170" s="4"/>
      <c r="D170" t="s">
        <v>369</v>
      </c>
      <c r="E170" s="115">
        <f t="shared" ca="1" si="4"/>
        <v>5.3028176815385951E-3</v>
      </c>
    </row>
    <row r="171" spans="1:9" ht="16.5" x14ac:dyDescent="0.45">
      <c r="A171" t="s">
        <v>370</v>
      </c>
      <c r="B171" s="115">
        <f t="shared" ca="1" si="5"/>
        <v>0</v>
      </c>
      <c r="D171" t="s">
        <v>371</v>
      </c>
      <c r="E171" s="115">
        <f t="shared" ca="1" si="4"/>
        <v>2.712411426628385E-2</v>
      </c>
    </row>
    <row r="172" spans="1:9" ht="16.5" x14ac:dyDescent="0.45">
      <c r="A172" t="s">
        <v>372</v>
      </c>
      <c r="B172" s="115">
        <f t="shared" ca="1" si="5"/>
        <v>0</v>
      </c>
      <c r="D172" t="s">
        <v>373</v>
      </c>
      <c r="E172" s="115">
        <f t="shared" ca="1" si="4"/>
        <v>3.0187501843756636E-2</v>
      </c>
    </row>
    <row r="173" spans="1:9" ht="16.5" x14ac:dyDescent="0.45">
      <c r="B173" s="233">
        <f ca="1">SUM(B163:B172)</f>
        <v>1</v>
      </c>
      <c r="D173" t="s">
        <v>374</v>
      </c>
      <c r="E173" s="115">
        <f t="shared" ca="1" si="4"/>
        <v>8.3516128186601452E-2</v>
      </c>
    </row>
    <row r="174" spans="1:9" ht="16.5" x14ac:dyDescent="0.45">
      <c r="B174" s="115"/>
      <c r="D174" t="s">
        <v>375</v>
      </c>
      <c r="E174" s="115">
        <f t="shared" ca="1" si="4"/>
        <v>0.21192528123555909</v>
      </c>
    </row>
    <row r="175" spans="1:9" ht="16.5" x14ac:dyDescent="0.45">
      <c r="B175" s="115"/>
      <c r="D175" t="s">
        <v>376</v>
      </c>
      <c r="E175" s="115">
        <f t="shared" ca="1" si="4"/>
        <v>0.10214345258958267</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9.7687603948819604</v>
      </c>
      <c r="C194" s="47"/>
      <c r="D194" t="s">
        <v>383</v>
      </c>
      <c r="E194" s="6">
        <f t="shared" ref="E194:E209" ca="1" si="7">$E163*$D$9</f>
        <v>0.28723360668145165</v>
      </c>
    </row>
    <row r="195" spans="1:5" ht="16.5" x14ac:dyDescent="0.45">
      <c r="A195" t="s">
        <v>384</v>
      </c>
      <c r="B195" s="7">
        <f t="shared" ca="1" si="6"/>
        <v>11.352587969768322</v>
      </c>
      <c r="D195" t="s">
        <v>385</v>
      </c>
      <c r="E195" s="6">
        <f t="shared" ca="1" si="7"/>
        <v>0.64678334291647199</v>
      </c>
    </row>
    <row r="196" spans="1:5" ht="16.5" x14ac:dyDescent="0.45">
      <c r="A196" t="s">
        <v>386</v>
      </c>
      <c r="B196" s="7">
        <f t="shared" ca="1" si="6"/>
        <v>9.0236930798624844</v>
      </c>
      <c r="D196" t="s">
        <v>387</v>
      </c>
      <c r="E196" s="6">
        <f t="shared" ca="1" si="7"/>
        <v>2.1452620188928901</v>
      </c>
    </row>
    <row r="197" spans="1:5" ht="16.5" x14ac:dyDescent="0.45">
      <c r="A197" t="s">
        <v>388</v>
      </c>
      <c r="B197" s="7">
        <f t="shared" ca="1" si="6"/>
        <v>0</v>
      </c>
      <c r="D197" t="s">
        <v>389</v>
      </c>
      <c r="E197" s="6">
        <f t="shared" ca="1" si="7"/>
        <v>0.25227230378241855</v>
      </c>
    </row>
    <row r="198" spans="1:5" ht="16.5" x14ac:dyDescent="0.45">
      <c r="A198" t="s">
        <v>390</v>
      </c>
      <c r="B198" s="7">
        <f t="shared" ca="1" si="6"/>
        <v>0</v>
      </c>
      <c r="D198" t="s">
        <v>391</v>
      </c>
      <c r="E198" s="6">
        <f t="shared" ca="1" si="7"/>
        <v>2.8525442158415033</v>
      </c>
    </row>
    <row r="199" spans="1:5" ht="16.5" x14ac:dyDescent="0.45">
      <c r="A199" t="s">
        <v>392</v>
      </c>
      <c r="B199" s="7">
        <f t="shared" ca="1" si="6"/>
        <v>0</v>
      </c>
      <c r="D199" t="s">
        <v>393</v>
      </c>
      <c r="E199" s="6">
        <f t="shared" ca="1" si="7"/>
        <v>1.6549952769108243</v>
      </c>
    </row>
    <row r="200" spans="1:5" ht="16.5" x14ac:dyDescent="0.45">
      <c r="A200" t="s">
        <v>394</v>
      </c>
      <c r="B200" s="7">
        <f t="shared" ca="1" si="6"/>
        <v>6.0914762676988392</v>
      </c>
      <c r="D200" t="s">
        <v>395</v>
      </c>
      <c r="E200" s="6">
        <f t="shared" ca="1" si="7"/>
        <v>0.51580060940031114</v>
      </c>
    </row>
    <row r="201" spans="1:5" ht="16.5" x14ac:dyDescent="0.45">
      <c r="A201" t="s">
        <v>396</v>
      </c>
      <c r="B201" s="7">
        <f t="shared" ca="1" si="6"/>
        <v>0</v>
      </c>
      <c r="D201" t="s">
        <v>397</v>
      </c>
      <c r="E201" s="6">
        <f t="shared" ca="1" si="7"/>
        <v>8.2075598203549871E-2</v>
      </c>
    </row>
    <row r="202" spans="1:5" ht="16.5" x14ac:dyDescent="0.45">
      <c r="A202" t="s">
        <v>398</v>
      </c>
      <c r="B202" s="7">
        <f t="shared" ca="1" si="6"/>
        <v>0</v>
      </c>
      <c r="D202" t="s">
        <v>399</v>
      </c>
      <c r="E202" s="6">
        <f t="shared" ca="1" si="7"/>
        <v>0.41981980860800699</v>
      </c>
    </row>
    <row r="203" spans="1:5" ht="16.5" x14ac:dyDescent="0.45">
      <c r="A203" t="s">
        <v>400</v>
      </c>
      <c r="B203" s="7">
        <f t="shared" ca="1" si="6"/>
        <v>0</v>
      </c>
      <c r="D203" t="s">
        <v>401</v>
      </c>
      <c r="E203" s="6">
        <f t="shared" ca="1" si="7"/>
        <v>0.46723410475206206</v>
      </c>
    </row>
    <row r="204" spans="1:5" ht="16.5" x14ac:dyDescent="0.45">
      <c r="B204" s="7">
        <f ca="1">SUM(B194:B203)</f>
        <v>36.236517712211601</v>
      </c>
      <c r="D204" t="s">
        <v>402</v>
      </c>
      <c r="E204" s="6">
        <f t="shared" ca="1" si="7"/>
        <v>1.2926403644657867</v>
      </c>
    </row>
    <row r="205" spans="1:5" ht="16.5" x14ac:dyDescent="0.45">
      <c r="B205" s="7"/>
      <c r="D205" t="s">
        <v>403</v>
      </c>
      <c r="E205" s="6">
        <f t="shared" ca="1" si="7"/>
        <v>3.2801229980845346</v>
      </c>
    </row>
    <row r="206" spans="1:5" ht="16.5" x14ac:dyDescent="0.45">
      <c r="B206" s="7"/>
      <c r="D206" t="s">
        <v>404</v>
      </c>
      <c r="E206" s="6">
        <f t="shared" ca="1" si="7"/>
        <v>1.5809491250382746</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15.477733373578088</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7.6109502683426866E-2</v>
      </c>
      <c r="D227" s="121"/>
      <c r="E227" s="8"/>
      <c r="F227" s="8"/>
      <c r="G227" s="122"/>
      <c r="H227" s="48" t="s">
        <v>415</v>
      </c>
      <c r="I227" s="48" t="str">
        <f t="shared" ref="I227:I242" si="8">B42</f>
        <v>NTS MG 1</v>
      </c>
      <c r="J227" s="12">
        <f ca="1">IFERROR($E194/$H42*1000000," ")</f>
        <v>3.3327633386712789E-2</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4.1690568182479765E-2</v>
      </c>
      <c r="D228" s="121"/>
      <c r="E228" s="8"/>
      <c r="F228" s="8"/>
      <c r="G228" s="122"/>
      <c r="H228" s="48" t="s">
        <v>417</v>
      </c>
      <c r="I228" s="48" t="str">
        <f t="shared" si="8"/>
        <v>NTS MG 2</v>
      </c>
      <c r="J228" s="12">
        <f t="shared" ref="J228:J242" ca="1" si="11">IFERROR($E195/$H43*1000000," ")</f>
        <v>4.3264273992749153E-2</v>
      </c>
      <c r="L228" s="21"/>
      <c r="M228" s="123"/>
      <c r="Q228" s="8"/>
      <c r="R228" s="124"/>
      <c r="S228" s="125"/>
      <c r="T228" s="125"/>
      <c r="U228" s="125"/>
    </row>
    <row r="229" spans="1:21" ht="16.5" x14ac:dyDescent="0.35">
      <c r="A229" s="48" t="s">
        <v>418</v>
      </c>
      <c r="B229" s="48" t="str">
        <f t="shared" si="9"/>
        <v>PR-ITABORAÍ</v>
      </c>
      <c r="C229" s="12">
        <f t="shared" ca="1" si="10"/>
        <v>4.9283273705872134E-2</v>
      </c>
      <c r="D229" s="121"/>
      <c r="E229" s="8"/>
      <c r="F229" s="8"/>
      <c r="G229" s="122"/>
      <c r="H229" s="48" t="s">
        <v>419</v>
      </c>
      <c r="I229" s="48" t="str">
        <f t="shared" si="8"/>
        <v>NTS MG 3</v>
      </c>
      <c r="J229" s="12">
        <f t="shared" ca="1" si="11"/>
        <v>5.5246371106231214E-2</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6.0749494383504639E-2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1.5378029289036324E-2</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1.4465562595700093E-2</v>
      </c>
      <c r="L232" s="21"/>
      <c r="M232" s="123"/>
      <c r="Q232" s="8"/>
      <c r="R232" s="124"/>
      <c r="S232" s="125"/>
      <c r="T232" s="125"/>
      <c r="U232" s="125"/>
    </row>
    <row r="233" spans="1:21" ht="16.5" x14ac:dyDescent="0.35">
      <c r="A233" s="48" t="s">
        <v>426</v>
      </c>
      <c r="B233" s="48" t="str">
        <f t="shared" si="9"/>
        <v>PR-TECAB</v>
      </c>
      <c r="C233" s="12">
        <f t="shared" ca="1" si="10"/>
        <v>7.1401132424899774E-2</v>
      </c>
      <c r="D233" s="121"/>
      <c r="E233" s="8"/>
      <c r="F233" s="8"/>
      <c r="G233" s="122"/>
      <c r="H233" s="48" t="s">
        <v>427</v>
      </c>
      <c r="I233" s="48" t="str">
        <f t="shared" si="8"/>
        <v>NTS RJ 3</v>
      </c>
      <c r="J233" s="12">
        <f t="shared" ca="1" si="11"/>
        <v>1.7433920383893756E-2</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2.1301027594491428E-2</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1.4572034698572579E-2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3.2682718275286723E-2</v>
      </c>
      <c r="L236" s="21"/>
      <c r="Q236" s="8"/>
      <c r="R236" s="124"/>
      <c r="S236" s="125"/>
      <c r="T236" s="125"/>
      <c r="U236" s="125"/>
    </row>
    <row r="237" spans="1:21" ht="16.5" x14ac:dyDescent="0.35">
      <c r="D237" s="116"/>
      <c r="E237" s="8"/>
      <c r="F237" s="8"/>
      <c r="G237" s="116"/>
      <c r="H237" s="48" t="s">
        <v>434</v>
      </c>
      <c r="I237" s="48" t="str">
        <f t="shared" si="8"/>
        <v>NTS SP 2</v>
      </c>
      <c r="J237" s="12">
        <f t="shared" ca="1" si="11"/>
        <v>3.1615154958133621E-2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4.3143726417071461E-2</v>
      </c>
      <c r="L238" s="21"/>
      <c r="Q238" s="8"/>
      <c r="R238" s="124"/>
      <c r="S238" s="125"/>
      <c r="T238" s="125"/>
      <c r="U238" s="125"/>
    </row>
    <row r="239" spans="1:21" ht="16.5" x14ac:dyDescent="0.35">
      <c r="D239" s="116"/>
      <c r="E239" s="8"/>
      <c r="F239" s="8"/>
      <c r="G239" s="116"/>
      <c r="H239" s="48" t="s">
        <v>436</v>
      </c>
      <c r="I239" s="48" t="str">
        <f t="shared" si="8"/>
        <v>NTS SP 4</v>
      </c>
      <c r="J239" s="12">
        <f t="shared" ca="1" si="11"/>
        <v>4.6764264557335865E-2</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1.522190053668537E-2</v>
      </c>
      <c r="D246" s="12">
        <f t="shared" ref="D246:D252" ca="1" si="13">$F$8*$C$12</f>
        <v>4.3327675155446582E-2</v>
      </c>
      <c r="E246" s="12">
        <f ca="1">IFERROR(C246+D246," ")</f>
        <v>5.8549575692131955E-2</v>
      </c>
      <c r="F246" s="256">
        <f ca="1">E246*H25</f>
        <v>7514919.3726500049</v>
      </c>
      <c r="G246" s="123"/>
      <c r="H246" s="48" t="s">
        <v>415</v>
      </c>
      <c r="I246" s="48" t="str">
        <f t="shared" ref="I246:I261" si="14">I227</f>
        <v>NTS MG 1</v>
      </c>
      <c r="J246" s="12">
        <f ca="1">IF(H42=0," ",J227*(1-$C$12))</f>
        <v>6.6655266773425559E-3</v>
      </c>
      <c r="K246" s="12">
        <f t="shared" ref="K246:K258" ca="1" si="15">$F$11*$C$12</f>
        <v>2.0855186212268798E-2</v>
      </c>
      <c r="L246" s="12">
        <f ca="1">IFERROR(J246+K246," ")</f>
        <v>2.7520712889611353E-2</v>
      </c>
      <c r="M246" s="256">
        <f ca="1">L246*H42</f>
        <v>237186.76720919926</v>
      </c>
      <c r="N246" s="131"/>
    </row>
    <row r="247" spans="1:22" ht="16.5" x14ac:dyDescent="0.35">
      <c r="A247" s="48" t="s">
        <v>416</v>
      </c>
      <c r="B247" s="48" t="str">
        <f t="shared" si="12"/>
        <v>PR-GNLBGB</v>
      </c>
      <c r="C247" s="12">
        <f t="shared" ref="C247:C255" ca="1" si="16">IF(H26=0," ",C228*(1-$C$12))</f>
        <v>8.3381136364959509E-3</v>
      </c>
      <c r="D247" s="12">
        <f t="shared" ca="1" si="13"/>
        <v>4.3327675155446582E-2</v>
      </c>
      <c r="E247" s="12">
        <f t="shared" ref="E247:E252" ca="1" si="17">IFERROR(C247+D247," ")</f>
        <v>5.166578879194253E-2</v>
      </c>
      <c r="F247" s="256">
        <f t="shared" ref="F247:F252" ca="1" si="18">E247*H26</f>
        <v>14068899.462360607</v>
      </c>
      <c r="G247" s="123"/>
      <c r="H247" s="48" t="s">
        <v>417</v>
      </c>
      <c r="I247" s="48" t="str">
        <f t="shared" si="14"/>
        <v>NTS MG 2</v>
      </c>
      <c r="J247" s="12">
        <f t="shared" ref="J247:J248" ca="1" si="19">IF(H43=0," ",J228*(1-$C$12))</f>
        <v>8.6528547985498284E-3</v>
      </c>
      <c r="K247" s="12">
        <f t="shared" ca="1" si="15"/>
        <v>2.0855186212268798E-2</v>
      </c>
      <c r="L247" s="12">
        <f t="shared" ref="L247:L258" ca="1" si="20">IFERROR(J247+K247," ")</f>
        <v>2.9508041010818626E-2</v>
      </c>
      <c r="M247" s="256">
        <f t="shared" ref="M247:M258" ca="1" si="21">L247*H43</f>
        <v>441133.24104530708</v>
      </c>
    </row>
    <row r="248" spans="1:22" ht="16.5" x14ac:dyDescent="0.35">
      <c r="A248" s="48" t="s">
        <v>418</v>
      </c>
      <c r="B248" s="48" t="str">
        <f t="shared" si="12"/>
        <v>PR-ITABORAÍ</v>
      </c>
      <c r="C248" s="12">
        <f t="shared" ca="1" si="16"/>
        <v>9.8566547411744251E-3</v>
      </c>
      <c r="D248" s="12">
        <f t="shared" ca="1" si="13"/>
        <v>4.3327675155446582E-2</v>
      </c>
      <c r="E248" s="12">
        <f t="shared" ca="1" si="17"/>
        <v>5.3184329896621009E-2</v>
      </c>
      <c r="F248" s="256">
        <f t="shared" ca="1" si="18"/>
        <v>9737970.5842893254</v>
      </c>
      <c r="G248" s="123"/>
      <c r="H248" s="48" t="s">
        <v>419</v>
      </c>
      <c r="I248" s="48" t="str">
        <f t="shared" si="14"/>
        <v>NTS MG 3</v>
      </c>
      <c r="J248" s="12">
        <f t="shared" ca="1" si="19"/>
        <v>1.104927422124624E-2</v>
      </c>
      <c r="K248" s="12">
        <f t="shared" ca="1" si="15"/>
        <v>2.0855186212268798E-2</v>
      </c>
      <c r="L248" s="12">
        <f t="shared" ca="1" si="20"/>
        <v>3.1904460433515039E-2</v>
      </c>
      <c r="M248" s="256">
        <f t="shared" ca="1" si="21"/>
        <v>1238876.433525081</v>
      </c>
    </row>
    <row r="249" spans="1:22" ht="16.5" x14ac:dyDescent="0.35">
      <c r="A249" s="48" t="s">
        <v>420</v>
      </c>
      <c r="B249" s="48" t="str">
        <f t="shared" si="12"/>
        <v>PR-GASPAJ (INTERCONEXÃO)</v>
      </c>
      <c r="C249" s="12" t="str">
        <f t="shared" si="16"/>
        <v xml:space="preserve"> </v>
      </c>
      <c r="D249" s="12">
        <f t="shared" ca="1" si="13"/>
        <v>4.3327675155446582E-2</v>
      </c>
      <c r="E249" s="127">
        <f ca="1">E271</f>
        <v>5.2178627939486787E-3</v>
      </c>
      <c r="F249" s="256">
        <f t="shared" ca="1" si="18"/>
        <v>0</v>
      </c>
      <c r="G249" s="123"/>
      <c r="H249" s="48" t="s">
        <v>421</v>
      </c>
      <c r="I249" s="48" t="str">
        <f t="shared" si="14"/>
        <v>NTS MG 4</v>
      </c>
      <c r="J249" s="12">
        <f ca="1">IF(H45=0," ",J230*(1-$C$12))</f>
        <v>1.2149898876700925E-2</v>
      </c>
      <c r="K249" s="12">
        <f t="shared" ca="1" si="15"/>
        <v>2.0855186212268798E-2</v>
      </c>
      <c r="L249" s="12">
        <f t="shared" ca="1" si="20"/>
        <v>3.3005085088969724E-2</v>
      </c>
      <c r="M249" s="256">
        <f t="shared" ca="1" si="21"/>
        <v>137059.06421815392</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3.0756058578072639E-3</v>
      </c>
      <c r="K250" s="12">
        <f t="shared" ca="1" si="15"/>
        <v>2.0855186212268798E-2</v>
      </c>
      <c r="L250" s="12">
        <f t="shared" ca="1" si="20"/>
        <v>2.3930792070076062E-2</v>
      </c>
      <c r="M250" s="256">
        <f t="shared" ca="1" si="21"/>
        <v>4439037.0974692674</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2.8931125191400181E-3</v>
      </c>
      <c r="K251" s="12">
        <f t="shared" ca="1" si="15"/>
        <v>2.0855186212268798E-2</v>
      </c>
      <c r="L251" s="12">
        <f t="shared" ca="1" si="20"/>
        <v>2.3748298731408816E-2</v>
      </c>
      <c r="M251" s="256">
        <f t="shared" ca="1" si="21"/>
        <v>2717026.8681310653</v>
      </c>
    </row>
    <row r="252" spans="1:22" ht="16.5" x14ac:dyDescent="0.35">
      <c r="A252" s="48" t="s">
        <v>426</v>
      </c>
      <c r="B252" s="48" t="str">
        <f t="shared" si="12"/>
        <v>PR-TECAB</v>
      </c>
      <c r="C252" s="12">
        <f t="shared" ca="1" si="16"/>
        <v>1.4280226484979952E-2</v>
      </c>
      <c r="D252" s="12">
        <f t="shared" ca="1" si="13"/>
        <v>4.3327675155446582E-2</v>
      </c>
      <c r="E252" s="12">
        <f t="shared" ca="1" si="17"/>
        <v>5.7607901640426534E-2</v>
      </c>
      <c r="F252" s="256">
        <f t="shared" ca="1" si="18"/>
        <v>4914728.2929116627</v>
      </c>
      <c r="G252" s="123"/>
      <c r="H252" s="48" t="s">
        <v>427</v>
      </c>
      <c r="I252" s="48" t="str">
        <f t="shared" si="14"/>
        <v>NTS RJ 3</v>
      </c>
      <c r="J252" s="12">
        <f t="shared" ca="1" si="22"/>
        <v>3.4867840767787502E-3</v>
      </c>
      <c r="K252" s="12">
        <f t="shared" ca="1" si="15"/>
        <v>2.0855186212268798E-2</v>
      </c>
      <c r="L252" s="12">
        <f t="shared" ca="1" si="20"/>
        <v>2.4341970289047547E-2</v>
      </c>
      <c r="M252" s="256">
        <f t="shared" ca="1" si="21"/>
        <v>720182.4278545191</v>
      </c>
    </row>
    <row r="253" spans="1:22" ht="16.5" x14ac:dyDescent="0.35">
      <c r="A253" s="48" t="s">
        <v>428</v>
      </c>
      <c r="B253" s="48" t="str">
        <f t="shared" si="12"/>
        <v>PR-GUARAREMA (INTERCONEXÃO)</v>
      </c>
      <c r="C253" s="12" t="str">
        <f t="shared" si="16"/>
        <v xml:space="preserve"> </v>
      </c>
      <c r="D253" s="12"/>
      <c r="E253" s="127">
        <f ca="1">E269</f>
        <v>4.8699127765057752E-3</v>
      </c>
      <c r="F253" s="257"/>
      <c r="G253" s="123"/>
      <c r="H253" s="48" t="s">
        <v>429</v>
      </c>
      <c r="I253" s="48" t="str">
        <f t="shared" si="14"/>
        <v>NTS RJ 4</v>
      </c>
      <c r="J253" s="12">
        <f t="shared" ca="1" si="22"/>
        <v>4.260205518898285E-3</v>
      </c>
      <c r="K253" s="12">
        <f t="shared" ca="1" si="15"/>
        <v>2.0855186212268798E-2</v>
      </c>
      <c r="L253" s="12">
        <f t="shared" ca="1" si="20"/>
        <v>2.5115391731167083E-2</v>
      </c>
      <c r="M253" s="256">
        <f t="shared" ca="1" si="21"/>
        <v>96772.833672358058</v>
      </c>
    </row>
    <row r="254" spans="1:22" ht="16.5" x14ac:dyDescent="0.35">
      <c r="A254" s="48" t="s">
        <v>430</v>
      </c>
      <c r="B254" s="48" t="str">
        <f t="shared" si="12"/>
        <v>PR-REPLAN (INTERCONEXÃO)</v>
      </c>
      <c r="C254" s="12" t="str">
        <f t="shared" si="16"/>
        <v xml:space="preserve"> </v>
      </c>
      <c r="D254" s="12"/>
      <c r="E254" s="127">
        <f ca="1">E268</f>
        <v>5.2178627939486787E-3</v>
      </c>
      <c r="F254" s="258">
        <f ca="1">SUM(F246:F252)</f>
        <v>36236517.712211601</v>
      </c>
      <c r="G254" s="123"/>
      <c r="H254" s="48" t="s">
        <v>431</v>
      </c>
      <c r="I254" s="48" t="str">
        <f t="shared" si="14"/>
        <v>NTS RJ 5</v>
      </c>
      <c r="J254" s="12">
        <f t="shared" ca="1" si="22"/>
        <v>2.9144069397145154E-3</v>
      </c>
      <c r="K254" s="12">
        <f t="shared" ca="1" si="15"/>
        <v>2.0855186212268798E-2</v>
      </c>
      <c r="L254" s="12">
        <f t="shared" ca="1" si="20"/>
        <v>2.3769593151983313E-2</v>
      </c>
      <c r="M254" s="256">
        <f t="shared" ca="1" si="21"/>
        <v>684801.14508191007</v>
      </c>
    </row>
    <row r="255" spans="1:22" ht="16.5" x14ac:dyDescent="0.35">
      <c r="A255" s="48" t="s">
        <v>432</v>
      </c>
      <c r="B255" s="48" t="str">
        <f t="shared" si="12"/>
        <v>PR-TECAB (INTERCONEXÃO)</v>
      </c>
      <c r="C255" s="12" t="str">
        <f t="shared" si="16"/>
        <v xml:space="preserve"> </v>
      </c>
      <c r="D255" s="12"/>
      <c r="E255" s="127">
        <f ca="1">E270</f>
        <v>5.1234498615770592E-3</v>
      </c>
      <c r="G255" s="123"/>
      <c r="H255" s="48" t="s">
        <v>433</v>
      </c>
      <c r="I255" s="48" t="str">
        <f t="shared" si="14"/>
        <v>NTS SP 1</v>
      </c>
      <c r="J255" s="12">
        <f t="shared" ca="1" si="22"/>
        <v>6.5365436550573431E-3</v>
      </c>
      <c r="K255" s="12">
        <f t="shared" ca="1" si="15"/>
        <v>2.0855186212268798E-2</v>
      </c>
      <c r="L255" s="12">
        <f t="shared" ca="1" si="20"/>
        <v>2.7391729867326142E-2</v>
      </c>
      <c r="M255" s="256">
        <f t="shared" ca="1" si="21"/>
        <v>391593.81647419499</v>
      </c>
    </row>
    <row r="256" spans="1:22" ht="16.5" x14ac:dyDescent="0.35">
      <c r="F256" s="131"/>
      <c r="H256" s="48" t="s">
        <v>434</v>
      </c>
      <c r="I256" s="48" t="str">
        <f t="shared" si="14"/>
        <v>NTS SP 2</v>
      </c>
      <c r="J256" s="12">
        <f t="shared" ca="1" si="22"/>
        <v>6.3230309916267229E-3</v>
      </c>
      <c r="K256" s="12">
        <f t="shared" ca="1" si="15"/>
        <v>2.0855186212268798E-2</v>
      </c>
      <c r="L256" s="12">
        <f t="shared" ca="1" si="20"/>
        <v>2.717821720389552E-2</v>
      </c>
      <c r="M256" s="256">
        <f t="shared" ca="1" si="21"/>
        <v>1111228.4800911758</v>
      </c>
    </row>
    <row r="257" spans="1:13" ht="16.5" x14ac:dyDescent="0.35">
      <c r="H257" s="48" t="s">
        <v>435</v>
      </c>
      <c r="I257" s="48" t="str">
        <f t="shared" si="14"/>
        <v>NTS SP 3</v>
      </c>
      <c r="J257" s="12">
        <f t="shared" ca="1" si="22"/>
        <v>8.6287452834142905E-3</v>
      </c>
      <c r="K257" s="12">
        <f t="shared" ca="1" si="15"/>
        <v>2.0855186212268798E-2</v>
      </c>
      <c r="L257" s="12">
        <f t="shared" ca="1" si="20"/>
        <v>2.948393149568309E-2</v>
      </c>
      <c r="M257" s="256">
        <f t="shared" ca="1" si="21"/>
        <v>2241598.7167643374</v>
      </c>
    </row>
    <row r="258" spans="1:13" ht="16.5" x14ac:dyDescent="0.35">
      <c r="H258" s="48" t="s">
        <v>436</v>
      </c>
      <c r="I258" s="48" t="str">
        <f t="shared" si="14"/>
        <v>NTS SP 4</v>
      </c>
      <c r="J258" s="12">
        <f t="shared" ca="1" si="22"/>
        <v>9.3528529114671709E-3</v>
      </c>
      <c r="K258" s="12">
        <f t="shared" ca="1" si="15"/>
        <v>2.0855186212268798E-2</v>
      </c>
      <c r="L258" s="12">
        <f t="shared" ca="1" si="20"/>
        <v>3.0208039123735968E-2</v>
      </c>
      <c r="M258" s="256">
        <f t="shared" ca="1" si="21"/>
        <v>1021236.4820415141</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2.5628307388912332E-3</v>
      </c>
      <c r="M260" s="258">
        <f ca="1">SUM(M246:M258)</f>
        <v>15477733.373578081</v>
      </c>
    </row>
    <row r="261" spans="1:13" ht="16.5" x14ac:dyDescent="0.35">
      <c r="H261" s="48" t="s">
        <v>439</v>
      </c>
      <c r="I261" s="48" t="str">
        <f t="shared" si="14"/>
        <v>PE-TECAB (INTERCONEXÃO)</v>
      </c>
      <c r="J261" s="12" t="str">
        <f t="shared" si="22"/>
        <v xml:space="preserve"> </v>
      </c>
      <c r="K261" s="12"/>
      <c r="L261" s="127">
        <f ca="1">E273</f>
        <v>2.2381636779578704E-3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(GASIG)'!I11</f>
        <v>205</v>
      </c>
      <c r="D268" s="265">
        <f ca="1">'CWD 2028 GASIG (sem desc.)'!D267</f>
        <v>5.2178627939486799E-2</v>
      </c>
      <c r="E268" s="268">
        <f ca="1">D268*(1-$C$263)</f>
        <v>5.2178627939486787E-3</v>
      </c>
      <c r="F268" s="266">
        <f ca="1">C268*E268*'Premissas (GASIG)'!$C$36*'Premissas (GASIG)'!$F$20*1000</f>
        <v>14563.762306209497</v>
      </c>
      <c r="L268" s="128"/>
    </row>
    <row r="269" spans="1:13" ht="18.5" x14ac:dyDescent="0.45">
      <c r="B269" s="247" t="s">
        <v>451</v>
      </c>
      <c r="C269" s="271">
        <f>'Oferta (GASIG)'!I10</f>
        <v>6000</v>
      </c>
      <c r="D269" s="265">
        <f ca="1">'CWD 2028 GASIG (sem desc.)'!D268</f>
        <v>4.8699127765057762E-2</v>
      </c>
      <c r="E269" s="268">
        <f t="shared" ref="E269:E271" ca="1" si="23">D269*(1-$C$263)</f>
        <v>4.8699127765057752E-3</v>
      </c>
      <c r="F269" s="266">
        <f ca="1">C269*E269*'Premissas (GASIG)'!$C$36*'Premissas (GASIG)'!$F$20*1000</f>
        <v>397831.80424689589</v>
      </c>
      <c r="G269" s="129"/>
      <c r="K269" s="129"/>
      <c r="L269" s="128"/>
    </row>
    <row r="270" spans="1:13" ht="18.5" x14ac:dyDescent="0.45">
      <c r="B270" s="248" t="s">
        <v>452</v>
      </c>
      <c r="C270" s="271">
        <f>'Oferta (GASIG)'!I12</f>
        <v>200</v>
      </c>
      <c r="D270" s="265">
        <f ca="1">'CWD 2028 GASIG (sem desc.)'!D269</f>
        <v>5.1234498615770604E-2</v>
      </c>
      <c r="E270" s="268">
        <f t="shared" ca="1" si="23"/>
        <v>5.1234498615770592E-3</v>
      </c>
      <c r="F270" s="266">
        <f ca="1">C270*E270*'Premissas (GASIG)'!$C$36*'Premissas (GASIG)'!$F$20*1000</f>
        <v>13951.456599887306</v>
      </c>
      <c r="K270" s="129"/>
      <c r="L270" s="128"/>
    </row>
    <row r="271" spans="1:13" ht="18.5" x14ac:dyDescent="0.45">
      <c r="B271" s="248" t="s">
        <v>243</v>
      </c>
      <c r="C271" s="271">
        <f>'Oferta (GASIG)'!I6</f>
        <v>305</v>
      </c>
      <c r="D271" s="265">
        <f ca="1">'CWD 2028 GASIG (sem desc.)'!D270</f>
        <v>5.2178627939486799E-2</v>
      </c>
      <c r="E271" s="268">
        <f t="shared" ca="1" si="23"/>
        <v>5.2178627939486787E-3</v>
      </c>
      <c r="F271" s="266">
        <f ca="1">C271*E271*'Premissas (GASIG)'!$C$36*'Premissas (GASIG)'!$F$20*1000</f>
        <v>21668.036601921449</v>
      </c>
      <c r="K271" s="129"/>
      <c r="L271" s="128"/>
    </row>
    <row r="272" spans="1:13" ht="18.5" x14ac:dyDescent="0.45">
      <c r="B272" s="246" t="s">
        <v>453</v>
      </c>
      <c r="C272" s="271">
        <f>'Demanda (GASIG)'!I17</f>
        <v>6824</v>
      </c>
      <c r="D272" s="265">
        <f ca="1">'CWD 2028 GASIG (sem desc.)'!D271</f>
        <v>2.5628307388912339E-2</v>
      </c>
      <c r="E272" s="268">
        <f ca="1">D272*(1-$C$263)</f>
        <v>2.5628307388912332E-3</v>
      </c>
      <c r="F272" s="266">
        <f ca="1">C272*E272*'Premissas (GASIG)'!$C$36*'Premissas (GASIG)'!$F$20*1000</f>
        <v>238114.59108230568</v>
      </c>
      <c r="K272" s="129"/>
      <c r="L272" s="128"/>
    </row>
    <row r="273" spans="2:13" ht="18.5" x14ac:dyDescent="0.45">
      <c r="B273" s="248" t="s">
        <v>454</v>
      </c>
      <c r="C273" s="271">
        <f>'Demanda (GASIG)'!I18</f>
        <v>200</v>
      </c>
      <c r="D273" s="265">
        <f ca="1">'CWD 2028 GASIG (sem desc.)'!D272</f>
        <v>2.2381636779578711E-2</v>
      </c>
      <c r="E273" s="268">
        <f ca="1">D273*(1-$C$263)</f>
        <v>2.2381636779578704E-3</v>
      </c>
      <c r="F273" s="266">
        <f ca="1">C273*E273*'Premissas (GASIG)'!$C$36*'Premissas (GASIG)'!$F$20*1000</f>
        <v>6094.6518966932463</v>
      </c>
      <c r="K273" s="129"/>
      <c r="L273" s="128"/>
    </row>
    <row r="274" spans="2:13" ht="19" thickBot="1" x14ac:dyDescent="0.5">
      <c r="B274" s="248"/>
      <c r="C274" s="269"/>
      <c r="D274" s="269"/>
      <c r="E274" s="269"/>
      <c r="F274" s="267">
        <f ca="1">SUM(F268:F273)</f>
        <v>692224.30273391306</v>
      </c>
      <c r="K274" s="129"/>
      <c r="L274" s="128"/>
    </row>
    <row r="275" spans="2:13" ht="15" thickTop="1" x14ac:dyDescent="0.35">
      <c r="K275" s="129"/>
      <c r="L275" s="128"/>
    </row>
    <row r="276" spans="2:13" x14ac:dyDescent="0.35">
      <c r="E276" t="s">
        <v>110</v>
      </c>
      <c r="F276" s="235">
        <f ca="1">F254+M260+F274</f>
        <v>52406475.388523594</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66003-2F45-4EF3-BA30-6777BD68BF65}">
  <sheetPr>
    <tabColor theme="5"/>
  </sheetPr>
  <dimension ref="A1:V39"/>
  <sheetViews>
    <sheetView showGridLines="0" zoomScale="110" zoomScaleNormal="110" workbookViewId="0">
      <selection activeCell="D38" sqref="D3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2028 GASIG (com desc.)'!A246</f>
        <v>TEN1</v>
      </c>
      <c r="B2" s="320" t="str">
        <f>'CWD 2028 GASIG (com desc.)'!B246</f>
        <v>PR-CARAGUATATUBA</v>
      </c>
      <c r="C2" s="321">
        <f>'CWD 2028 GASIG (sem desc.)'!H24</f>
        <v>128351389.123045</v>
      </c>
      <c r="D2" s="322">
        <f ca="1">'CWD 2028 GASIG (com desc.)'!E246</f>
        <v>5.8549575692131955E-2</v>
      </c>
      <c r="E2" s="323">
        <f t="shared" ref="E2:E11" ca="1" si="0">IFERROR(C2*D2," ")</f>
        <v>7514919.3726500049</v>
      </c>
      <c r="F2" s="363"/>
      <c r="L2" s="68" t="s">
        <v>58</v>
      </c>
      <c r="M2" s="67">
        <f ca="1">IFERROR($D$2+$C34," ")</f>
        <v>8.9416701796371623E-2</v>
      </c>
      <c r="N2" s="67">
        <f ca="1">IFERROR($D$3+$C34," ")</f>
        <v>8.2532914896182197E-2</v>
      </c>
      <c r="O2" s="67">
        <f ca="1">IFERROR($D$4+$C34," ")</f>
        <v>8.4051456000860683E-2</v>
      </c>
      <c r="P2" s="67">
        <f ca="1">IFERROR($D$5+$C34," ")</f>
        <v>3.6084988898188348E-2</v>
      </c>
      <c r="Q2" s="67" t="str">
        <f ca="1">IFERROR($D$6+$C34," ")</f>
        <v xml:space="preserve"> </v>
      </c>
      <c r="R2" s="67" t="str">
        <f ca="1">IFERROR($D$7+$C34," ")</f>
        <v xml:space="preserve"> </v>
      </c>
      <c r="S2" s="67">
        <f ca="1">IFERROR($D$8+$C34," ")</f>
        <v>8.8475027744666201E-2</v>
      </c>
      <c r="T2" s="67">
        <f ca="1">IFERROR($D$9+$C34," ")</f>
        <v>3.5737038880745448E-2</v>
      </c>
      <c r="U2" s="67">
        <f ca="1">IFERROR($D$10+$C34," ")</f>
        <v>3.6084988898188348E-2</v>
      </c>
      <c r="V2" s="67">
        <f ca="1">IFERROR($D$11+$C34," ")</f>
        <v>3.5990575965816729E-2</v>
      </c>
    </row>
    <row r="3" spans="1:22" s="62" customFormat="1" x14ac:dyDescent="0.35">
      <c r="A3" s="292" t="str">
        <f>'CWD 2028 GASIG (com desc.)'!A247</f>
        <v>TEN2</v>
      </c>
      <c r="B3" s="295" t="str">
        <f>'CWD 2028 GASIG (com desc.)'!B247</f>
        <v>PR-GNLBGB</v>
      </c>
      <c r="C3" s="296">
        <f>'CWD 2028 GASIG (sem desc.)'!H25</f>
        <v>272305906.69999999</v>
      </c>
      <c r="D3" s="297">
        <f ca="1">'CWD 2028 GASIG (com desc.)'!E247</f>
        <v>5.166578879194253E-2</v>
      </c>
      <c r="E3" s="298">
        <f t="shared" ca="1" si="0"/>
        <v>14068899.462360607</v>
      </c>
      <c r="F3" s="363"/>
      <c r="L3" s="68" t="s">
        <v>69</v>
      </c>
      <c r="M3" s="67">
        <f t="shared" ref="M3:M7" ca="1" si="1">IFERROR($D$2+$C35," ")</f>
        <v>8.2456086531274841E-2</v>
      </c>
      <c r="N3" s="67">
        <f t="shared" ref="N3:N7" ca="1" si="2">IFERROR($D$3+$C35," ")</f>
        <v>7.5572299631085416E-2</v>
      </c>
      <c r="O3" s="67">
        <f t="shared" ref="O3:O7" ca="1" si="3">IFERROR($D$4+$C35," ")</f>
        <v>7.7090840735763902E-2</v>
      </c>
      <c r="P3" s="67">
        <f t="shared" ref="P3:P7" ca="1" si="4">IFERROR($D$5+$C35," ")</f>
        <v>2.9124373633091567E-2</v>
      </c>
      <c r="Q3" s="67" t="str">
        <f t="shared" ref="Q3:Q7" ca="1" si="5">IFERROR($D$6+$C35," ")</f>
        <v xml:space="preserve"> </v>
      </c>
      <c r="R3" s="67" t="str">
        <f t="shared" ref="R3:R7" ca="1" si="6">IFERROR($D$7+$C35," ")</f>
        <v xml:space="preserve"> </v>
      </c>
      <c r="S3" s="67">
        <f t="shared" ref="S3:S7" ca="1" si="7">IFERROR($D$8+$C35," ")</f>
        <v>8.151441247956942E-2</v>
      </c>
      <c r="T3" s="67">
        <f t="shared" ref="T3:T7" ca="1" si="8">IFERROR($D$9+$C35," ")</f>
        <v>2.8776423615648666E-2</v>
      </c>
      <c r="U3" s="67">
        <f t="shared" ref="U3:U7" ca="1" si="9">IFERROR($D$10+$C35," ")</f>
        <v>2.9124373633091567E-2</v>
      </c>
      <c r="V3" s="67">
        <f t="shared" ref="V3:V7" ca="1" si="10">IFERROR($D$11+$C35," ")</f>
        <v>2.9029960700719948E-2</v>
      </c>
    </row>
    <row r="4" spans="1:22" x14ac:dyDescent="0.35">
      <c r="A4" s="292" t="str">
        <f>'CWD 2028 GASIG (com desc.)'!A248</f>
        <v>TEN3</v>
      </c>
      <c r="B4" s="295" t="str">
        <f>'CWD 2028 GASIG (com desc.)'!B248</f>
        <v>PR-ITABORAÍ</v>
      </c>
      <c r="C4" s="296">
        <f>'CWD 2028 GASIG (sem desc.)'!H26</f>
        <v>183098491.66507998</v>
      </c>
      <c r="D4" s="297">
        <f ca="1">'CWD 2028 GASIG (com desc.)'!E248</f>
        <v>5.3184329896621009E-2</v>
      </c>
      <c r="E4" s="296">
        <f t="shared" ca="1" si="0"/>
        <v>9737970.5842893254</v>
      </c>
      <c r="F4" s="363"/>
      <c r="L4" s="68" t="s">
        <v>258</v>
      </c>
      <c r="M4" s="67">
        <f t="shared" ca="1" si="1"/>
        <v>8.7429306487521521E-2</v>
      </c>
      <c r="N4" s="67">
        <f t="shared" ca="1" si="2"/>
        <v>8.0545519587332096E-2</v>
      </c>
      <c r="O4" s="67">
        <f t="shared" ca="1" si="3"/>
        <v>8.2064060692010568E-2</v>
      </c>
      <c r="P4" s="67">
        <f t="shared" ca="1" si="4"/>
        <v>3.409759358933824E-2</v>
      </c>
      <c r="Q4" s="67" t="str">
        <f t="shared" ca="1" si="5"/>
        <v xml:space="preserve"> </v>
      </c>
      <c r="R4" s="67" t="str">
        <f t="shared" ca="1" si="6"/>
        <v xml:space="preserve"> </v>
      </c>
      <c r="S4" s="67">
        <f t="shared" ca="1" si="7"/>
        <v>8.64876324358161E-2</v>
      </c>
      <c r="T4" s="67">
        <f t="shared" ca="1" si="8"/>
        <v>3.3749643571895339E-2</v>
      </c>
      <c r="U4" s="67">
        <f t="shared" ca="1" si="9"/>
        <v>3.409759358933824E-2</v>
      </c>
      <c r="V4" s="67">
        <f t="shared" ca="1" si="10"/>
        <v>3.4003180656966621E-2</v>
      </c>
    </row>
    <row r="5" spans="1:22" ht="24" x14ac:dyDescent="0.35">
      <c r="A5" s="292" t="str">
        <f>'CWD 2028 GASIG (com desc.)'!A249</f>
        <v>TEN4</v>
      </c>
      <c r="B5" s="295" t="str">
        <f>'CWD 2028 GASIG (com desc.)'!B249</f>
        <v>PR-GASPAJ (INTERCONEXÃO)</v>
      </c>
      <c r="C5" s="296">
        <f>'CWD 2028 GASIG (sem desc.)'!H27</f>
        <v>4152665.0771750002</v>
      </c>
      <c r="D5" s="297">
        <f ca="1">'CWD 2028 GASIG (com desc.)'!E249</f>
        <v>5.2178627939486787E-3</v>
      </c>
      <c r="E5" s="296">
        <f t="shared" ca="1" si="0"/>
        <v>21668.036601921453</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2028 GASIG (com desc.)'!A250</f>
        <v>TEN5</v>
      </c>
      <c r="B6" s="295" t="str">
        <f>'CWD 2028 GASIG (com desc.)'!B250</f>
        <v>PR-REDUC</v>
      </c>
      <c r="C6" s="296">
        <f>'CWD 2028 GASIG (sem desc.)'!H28</f>
        <v>0</v>
      </c>
      <c r="D6" s="297" t="str">
        <f>'CWD 2028 GASIG (com desc.)'!E250</f>
        <v xml:space="preserve"> </v>
      </c>
      <c r="E6" s="296" t="str">
        <f t="shared" si="0"/>
        <v xml:space="preserve"> </v>
      </c>
      <c r="F6" s="363"/>
      <c r="L6" s="132" t="str">
        <f t="shared" ref="L6:L7" si="11">B29</f>
        <v>PE-REPLAN (INTERCONEXÃO)</v>
      </c>
      <c r="M6" s="67">
        <f t="shared" ca="1" si="1"/>
        <v>6.111240643102319E-2</v>
      </c>
      <c r="N6" s="67">
        <f t="shared" ca="1" si="2"/>
        <v>5.4228619530833765E-2</v>
      </c>
      <c r="O6" s="67">
        <f t="shared" ca="1" si="3"/>
        <v>5.5747160635512244E-2</v>
      </c>
      <c r="P6" s="67">
        <f t="shared" ca="1" si="4"/>
        <v>7.7806935328399119E-3</v>
      </c>
      <c r="Q6" s="67" t="str">
        <f t="shared" ca="1" si="5"/>
        <v xml:space="preserve"> </v>
      </c>
      <c r="R6" s="67" t="str">
        <f t="shared" ca="1" si="6"/>
        <v xml:space="preserve"> </v>
      </c>
      <c r="S6" s="67">
        <f t="shared" ca="1" si="7"/>
        <v>6.0170732379317769E-2</v>
      </c>
      <c r="T6" s="67">
        <f t="shared" ca="1" si="8"/>
        <v>7.4327435153970084E-3</v>
      </c>
      <c r="U6" s="67">
        <f t="shared" ca="1" si="9"/>
        <v>7.7806935328399119E-3</v>
      </c>
      <c r="V6" s="67">
        <f t="shared" ca="1" si="10"/>
        <v>7.6862806004682925E-3</v>
      </c>
    </row>
    <row r="7" spans="1:22" x14ac:dyDescent="0.35">
      <c r="A7" s="292" t="str">
        <f>'CWD 2028 GASIG (com desc.)'!A251</f>
        <v>TEN6</v>
      </c>
      <c r="B7" s="295" t="str">
        <f>'CWD 2028 GASIG (com desc.)'!B251</f>
        <v>PR-RPBC</v>
      </c>
      <c r="C7" s="296">
        <f>'CWD 2028 GASIG (sem desc.)'!H29</f>
        <v>0</v>
      </c>
      <c r="D7" s="297" t="str">
        <f>'CWD 2028 GASIG (com desc.)'!E251</f>
        <v xml:space="preserve"> </v>
      </c>
      <c r="E7" s="296" t="str">
        <f t="shared" si="0"/>
        <v xml:space="preserve"> </v>
      </c>
      <c r="F7" s="363"/>
      <c r="L7" s="132" t="str">
        <f t="shared" si="11"/>
        <v>PE-TECAB (INTERCONEXÃO)</v>
      </c>
      <c r="M7" s="67">
        <f t="shared" ca="1" si="1"/>
        <v>6.0787739370089827E-2</v>
      </c>
      <c r="N7" s="67">
        <f t="shared" ca="1" si="2"/>
        <v>5.3903952469900401E-2</v>
      </c>
      <c r="O7" s="67">
        <f t="shared" ca="1" si="3"/>
        <v>5.5422493574578881E-2</v>
      </c>
      <c r="P7" s="67">
        <f t="shared" ca="1" si="4"/>
        <v>7.4560264719065496E-3</v>
      </c>
      <c r="Q7" s="67" t="str">
        <f t="shared" ca="1" si="5"/>
        <v xml:space="preserve"> </v>
      </c>
      <c r="R7" s="67" t="str">
        <f t="shared" ca="1" si="6"/>
        <v xml:space="preserve"> </v>
      </c>
      <c r="S7" s="67">
        <f t="shared" ca="1" si="7"/>
        <v>5.9846065318384406E-2</v>
      </c>
      <c r="T7" s="67">
        <f t="shared" ca="1" si="8"/>
        <v>7.1080764544636452E-3</v>
      </c>
      <c r="U7" s="67">
        <f t="shared" ca="1" si="9"/>
        <v>7.4560264719065496E-3</v>
      </c>
      <c r="V7" s="67">
        <f t="shared" ca="1" si="10"/>
        <v>7.3616135395349301E-3</v>
      </c>
    </row>
    <row r="8" spans="1:22" x14ac:dyDescent="0.35">
      <c r="A8" s="292" t="str">
        <f>'CWD 2028 GASIG (com desc.)'!A252</f>
        <v>TEN7</v>
      </c>
      <c r="B8" s="295" t="str">
        <f>'CWD 2028 GASIG (com desc.)'!B252</f>
        <v>PR-TECAB</v>
      </c>
      <c r="C8" s="296">
        <f>'CWD 2028 GASIG (sem desc.)'!H30</f>
        <v>85313440.569109991</v>
      </c>
      <c r="D8" s="297">
        <f ca="1">'CWD 2028 GASIG (com desc.)'!E252</f>
        <v>5.7607901640426534E-2</v>
      </c>
      <c r="E8" s="296">
        <f t="shared" ca="1" si="0"/>
        <v>4914728.2929116627</v>
      </c>
      <c r="F8" s="363"/>
      <c r="L8" s="61"/>
    </row>
    <row r="9" spans="1:22" x14ac:dyDescent="0.35">
      <c r="A9" s="292" t="str">
        <f>'CWD 2028 GASIG (com desc.)'!A253</f>
        <v>TEN8</v>
      </c>
      <c r="B9" s="295" t="str">
        <f>'CWD 2028 GASIG (com desc.)'!B253</f>
        <v>PR-GUARAREMA (INTERCONEXÃO)</v>
      </c>
      <c r="C9" s="296">
        <f>'CWD 2028 GASIG (sem desc.)'!H31</f>
        <v>81691772.010000005</v>
      </c>
      <c r="D9" s="297">
        <f ca="1">'CWD 2028 GASIG (com desc.)'!E253</f>
        <v>4.8699127765057752E-3</v>
      </c>
      <c r="E9" s="296">
        <f t="shared" ca="1" si="0"/>
        <v>397831.80424689589</v>
      </c>
      <c r="F9" s="363"/>
      <c r="L9" s="61"/>
    </row>
    <row r="10" spans="1:22" x14ac:dyDescent="0.35">
      <c r="A10" s="292" t="str">
        <f>'CWD 2028 GASIG (com desc.)'!A254</f>
        <v>TEN9</v>
      </c>
      <c r="B10" s="295" t="str">
        <f>'CWD 2028 GASIG (com desc.)'!B254</f>
        <v>PR-REPLAN (INTERCONEXÃO)</v>
      </c>
      <c r="C10" s="296">
        <f>'CWD 2028 GASIG (sem desc.)'!H32</f>
        <v>2791135.5436749998</v>
      </c>
      <c r="D10" s="297">
        <f ca="1">'CWD 2028 GASIG (com desc.)'!E254</f>
        <v>5.2178627939486787E-3</v>
      </c>
      <c r="E10" s="296">
        <f t="shared" ca="1" si="0"/>
        <v>14563.762306209499</v>
      </c>
      <c r="F10" s="363"/>
      <c r="L10" s="61"/>
    </row>
    <row r="11" spans="1:22" x14ac:dyDescent="0.35">
      <c r="A11" s="292" t="str">
        <f>'CWD 2028 GASIG (com desc.)'!A255</f>
        <v>TEN10</v>
      </c>
      <c r="B11" s="295" t="str">
        <f>'CWD 2028 GASIG (com desc.)'!B255</f>
        <v>PR-TECAB (INTERCONEXÃO)</v>
      </c>
      <c r="C11" s="296">
        <f>'CWD 2028 GASIG (sem desc.)'!H33</f>
        <v>2723059.0670000003</v>
      </c>
      <c r="D11" s="297">
        <f ca="1">'CWD 2028 GASIG (com desc.)'!E255</f>
        <v>5.1234498615770592E-3</v>
      </c>
      <c r="E11" s="296">
        <f t="shared" ca="1" si="0"/>
        <v>13951.456599887308</v>
      </c>
      <c r="F11" s="363"/>
      <c r="L11" s="61"/>
    </row>
    <row r="12" spans="1:22" x14ac:dyDescent="0.35">
      <c r="E12" s="65">
        <f ca="1">SUM(E2:E11)</f>
        <v>36684532.771966502</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2028 GASIG (com desc.)'!H246</f>
        <v>TEX1</v>
      </c>
      <c r="B15" s="296" t="str">
        <f>'CWD 2028 GASIG (com desc.)'!I246</f>
        <v>NTS MG 1</v>
      </c>
      <c r="C15" s="296">
        <f>'CWD 2028 GASIG (sem desc.)'!H41</f>
        <v>8618481.9470549989</v>
      </c>
      <c r="D15" s="296"/>
      <c r="E15" s="299">
        <f ca="1">'CWD 2028 GASIG (com desc.)'!L246</f>
        <v>2.7520712889611353E-2</v>
      </c>
      <c r="F15" s="305">
        <f ca="1">IFERROR(C15*E15," ")</f>
        <v>237186.76720919926</v>
      </c>
      <c r="G15" s="308"/>
      <c r="H15" s="314" t="str">
        <f>IFERROR(G15/D15," ")</f>
        <v xml:space="preserve"> </v>
      </c>
      <c r="I15" s="66"/>
      <c r="J15" s="66"/>
      <c r="L15" s="59"/>
    </row>
    <row r="16" spans="1:22" x14ac:dyDescent="0.35">
      <c r="A16" s="296" t="str">
        <f>'CWD 2028 GASIG (com desc.)'!H247</f>
        <v>TEX2</v>
      </c>
      <c r="B16" s="296" t="str">
        <f>'CWD 2028 GASIG (com desc.)'!I247</f>
        <v>NTS MG 2</v>
      </c>
      <c r="C16" s="296">
        <f>'CWD 2028 GASIG (sem desc.)'!H42</f>
        <v>14949594.277829999</v>
      </c>
      <c r="D16" s="296"/>
      <c r="E16" s="299">
        <f ca="1">'CWD 2028 GASIG (com desc.)'!L247</f>
        <v>2.9508041010818626E-2</v>
      </c>
      <c r="F16" s="305">
        <f t="shared" ref="F16:F30" ca="1" si="12">IFERROR(C16*E16," ")</f>
        <v>441133.24104530708</v>
      </c>
      <c r="G16" s="317"/>
      <c r="H16" s="315" t="str">
        <f t="shared" ref="H16:H30" si="13">IFERROR(G16/D16," ")</f>
        <v xml:space="preserve"> </v>
      </c>
      <c r="I16" s="66"/>
      <c r="J16" s="66"/>
      <c r="L16" s="59"/>
    </row>
    <row r="17" spans="1:12" x14ac:dyDescent="0.35">
      <c r="A17" s="296" t="str">
        <f>'CWD 2028 GASIG (com desc.)'!H248</f>
        <v>TEX3</v>
      </c>
      <c r="B17" s="296" t="str">
        <f>'CWD 2028 GASIG (com desc.)'!I248</f>
        <v>NTS MG 3</v>
      </c>
      <c r="C17" s="296">
        <f>'CWD 2028 GASIG (sem desc.)'!H43</f>
        <v>38830822.295419998</v>
      </c>
      <c r="D17" s="296"/>
      <c r="E17" s="299">
        <f ca="1">'CWD 2028 GASIG (com desc.)'!L248</f>
        <v>3.1904460433515039E-2</v>
      </c>
      <c r="F17" s="305">
        <f ca="1">IFERROR(C17*E17," ")</f>
        <v>1238876.433525081</v>
      </c>
      <c r="G17" s="310"/>
      <c r="H17" s="316" t="str">
        <f t="shared" si="13"/>
        <v xml:space="preserve"> </v>
      </c>
      <c r="I17" s="66"/>
      <c r="J17" s="66"/>
      <c r="L17" s="59"/>
    </row>
    <row r="18" spans="1:12" x14ac:dyDescent="0.35">
      <c r="A18" s="301" t="str">
        <f>'CWD 2028 GASIG (com desc.)'!H249</f>
        <v>TEX4</v>
      </c>
      <c r="B18" s="301" t="str">
        <f>'CWD 2028 GASIG (com desc.)'!I249</f>
        <v>NTS MG 4</v>
      </c>
      <c r="C18" s="301">
        <f>'CWD 2028 GASIG (sem desc.)'!H44</f>
        <v>4152665.0771750002</v>
      </c>
      <c r="D18" s="301">
        <f>SUM(C15:C18)</f>
        <v>66551563.597479992</v>
      </c>
      <c r="E18" s="302">
        <f ca="1">'CWD 2028 GASIG (com desc.)'!L249</f>
        <v>3.3005085088969724E-2</v>
      </c>
      <c r="F18" s="301">
        <f ca="1">IFERROR(C18*E18," ")</f>
        <v>137059.06421815392</v>
      </c>
      <c r="G18" s="313">
        <f ca="1">SUM(F15:F18)</f>
        <v>2054255.5059977414</v>
      </c>
      <c r="H18" s="311">
        <f t="shared" ca="1" si="13"/>
        <v>3.0867126104239671E-2</v>
      </c>
      <c r="I18" s="332"/>
      <c r="J18"/>
      <c r="L18" s="59"/>
    </row>
    <row r="19" spans="1:12" x14ac:dyDescent="0.35">
      <c r="A19" s="296" t="str">
        <f>'CWD 2028 GASIG (com desc.)'!H250</f>
        <v>TEX5</v>
      </c>
      <c r="B19" s="296" t="str">
        <f>'CWD 2028 GASIG (com desc.)'!I250</f>
        <v>NTS RJ 1</v>
      </c>
      <c r="C19" s="296">
        <f>'CWD 2028 GASIG (sem desc.)'!H45</f>
        <v>185494783.64403999</v>
      </c>
      <c r="D19" s="296"/>
      <c r="E19" s="299">
        <f ca="1">'CWD 2028 GASIG (com desc.)'!L250</f>
        <v>2.3930792070076062E-2</v>
      </c>
      <c r="F19" s="305">
        <f t="shared" ca="1" si="12"/>
        <v>4439037.0974692674</v>
      </c>
      <c r="G19" s="308"/>
      <c r="H19" s="314" t="str">
        <f t="shared" si="13"/>
        <v xml:space="preserve"> </v>
      </c>
      <c r="I19"/>
      <c r="J19"/>
      <c r="L19" s="59"/>
    </row>
    <row r="20" spans="1:12" x14ac:dyDescent="0.35">
      <c r="A20" s="296" t="str">
        <f>'CWD 2028 GASIG (com desc.)'!H251</f>
        <v>TEX6</v>
      </c>
      <c r="B20" s="296" t="str">
        <f>'CWD 2028 GASIG (com desc.)'!I251</f>
        <v>NTS RJ 2</v>
      </c>
      <c r="C20" s="296">
        <f>'CWD 2028 GASIG (sem desc.)'!H46</f>
        <v>114409326.70000499</v>
      </c>
      <c r="D20" s="296"/>
      <c r="E20" s="299">
        <f ca="1">'CWD 2028 GASIG (com desc.)'!L251</f>
        <v>2.3748298731408816E-2</v>
      </c>
      <c r="F20" s="305">
        <f t="shared" ca="1" si="12"/>
        <v>2717026.8681310653</v>
      </c>
      <c r="G20" s="309"/>
      <c r="H20" s="315" t="str">
        <f t="shared" si="13"/>
        <v xml:space="preserve"> </v>
      </c>
      <c r="I20"/>
      <c r="J20"/>
      <c r="L20" s="59"/>
    </row>
    <row r="21" spans="1:12" x14ac:dyDescent="0.35">
      <c r="A21" s="296" t="str">
        <f>'CWD 2028 GASIG (com desc.)'!H252</f>
        <v>TEX7</v>
      </c>
      <c r="B21" s="296" t="str">
        <f>'CWD 2028 GASIG (com desc.)'!I252</f>
        <v>NTS RJ 3</v>
      </c>
      <c r="C21" s="296">
        <f>'CWD 2028 GASIG (sem desc.)'!H47</f>
        <v>29586036.762954999</v>
      </c>
      <c r="D21" s="304"/>
      <c r="E21" s="299">
        <f ca="1">'CWD 2028 GASIG (com desc.)'!L252</f>
        <v>2.4341970289047547E-2</v>
      </c>
      <c r="F21" s="305">
        <f t="shared" ca="1" si="12"/>
        <v>720182.4278545191</v>
      </c>
      <c r="G21" s="312"/>
      <c r="H21" s="315" t="str">
        <f t="shared" si="13"/>
        <v xml:space="preserve"> </v>
      </c>
      <c r="I21"/>
      <c r="J21"/>
      <c r="L21" s="59"/>
    </row>
    <row r="22" spans="1:12" x14ac:dyDescent="0.35">
      <c r="A22" s="296" t="str">
        <f>'CWD 2028 GASIG (com desc.)'!H253</f>
        <v>TEX8</v>
      </c>
      <c r="B22" s="296" t="str">
        <f>'CWD 2028 GASIG (com desc.)'!I253</f>
        <v>NTS RJ 4</v>
      </c>
      <c r="C22" s="296">
        <f>'CWD 2028 GASIG (sem desc.)'!H48</f>
        <v>3853128.5798049998</v>
      </c>
      <c r="D22" s="296"/>
      <c r="E22" s="299">
        <f ca="1">'CWD 2028 GASIG (com desc.)'!L253</f>
        <v>2.5115391731167083E-2</v>
      </c>
      <c r="F22" s="305">
        <f t="shared" ca="1" si="12"/>
        <v>96772.833672358058</v>
      </c>
      <c r="G22" s="310"/>
      <c r="H22" s="316" t="str">
        <f t="shared" si="13"/>
        <v xml:space="preserve"> </v>
      </c>
      <c r="I22"/>
      <c r="J22"/>
      <c r="L22" s="59"/>
    </row>
    <row r="23" spans="1:12" x14ac:dyDescent="0.35">
      <c r="A23" s="301" t="str">
        <f>'CWD 2028 GASIG (com desc.)'!H254</f>
        <v>TEX9</v>
      </c>
      <c r="B23" s="301" t="str">
        <f>'CWD 2028 GASIG (com desc.)'!I254</f>
        <v>NTS RJ 5</v>
      </c>
      <c r="C23" s="301">
        <f>'CWD 2028 GASIG (sem desc.)'!H49</f>
        <v>28809964.928859998</v>
      </c>
      <c r="D23" s="301">
        <f>SUM(C19:C23)</f>
        <v>362153240.61566502</v>
      </c>
      <c r="E23" s="302">
        <f ca="1">'CWD 2028 GASIG (com desc.)'!L254</f>
        <v>2.3769593151983313E-2</v>
      </c>
      <c r="F23" s="301">
        <f t="shared" ca="1" si="12"/>
        <v>684801.14508191007</v>
      </c>
      <c r="G23" s="313">
        <f ca="1">SUM(F19:F23)</f>
        <v>8657820.3722091187</v>
      </c>
      <c r="H23" s="311">
        <f t="shared" ca="1" si="13"/>
        <v>2.3906510839142889E-2</v>
      </c>
      <c r="I23" s="332"/>
      <c r="J23"/>
    </row>
    <row r="24" spans="1:12" x14ac:dyDescent="0.35">
      <c r="A24" s="296" t="str">
        <f>'CWD 2028 GASIG (com desc.)'!H255</f>
        <v>TEX10</v>
      </c>
      <c r="B24" s="296" t="str">
        <f>'CWD 2028 GASIG (com desc.)'!I255</f>
        <v>NTS SP 1</v>
      </c>
      <c r="C24" s="296">
        <f>'CWD 2028 GASIG (sem desc.)'!H50</f>
        <v>14296060.101749998</v>
      </c>
      <c r="D24" s="296"/>
      <c r="E24" s="299">
        <f ca="1">'CWD 2028 GASIG (com desc.)'!L255</f>
        <v>2.7391729867326142E-2</v>
      </c>
      <c r="F24" s="305">
        <f t="shared" ca="1" si="12"/>
        <v>391593.81647419499</v>
      </c>
      <c r="G24" s="308"/>
      <c r="H24" s="314" t="str">
        <f t="shared" si="13"/>
        <v xml:space="preserve"> </v>
      </c>
      <c r="I24"/>
      <c r="J24"/>
    </row>
    <row r="25" spans="1:12" x14ac:dyDescent="0.35">
      <c r="A25" s="296" t="str">
        <f>'CWD 2028 GASIG (com desc.)'!H256</f>
        <v>TEX11</v>
      </c>
      <c r="B25" s="296" t="str">
        <f>'CWD 2028 GASIG (com desc.)'!I256</f>
        <v>NTS SP 2</v>
      </c>
      <c r="C25" s="296">
        <f>'CWD 2028 GASIG (sem desc.)'!H51</f>
        <v>40886731.891005002</v>
      </c>
      <c r="D25" s="296"/>
      <c r="E25" s="299">
        <f ca="1">'CWD 2028 GASIG (com desc.)'!L256</f>
        <v>2.717821720389552E-2</v>
      </c>
      <c r="F25" s="305">
        <f t="shared" ca="1" si="12"/>
        <v>1111228.4800911758</v>
      </c>
      <c r="G25" s="309"/>
      <c r="H25" s="315" t="str">
        <f t="shared" si="13"/>
        <v xml:space="preserve"> </v>
      </c>
      <c r="I25"/>
      <c r="J25"/>
    </row>
    <row r="26" spans="1:12" x14ac:dyDescent="0.35">
      <c r="A26" s="296" t="str">
        <f>'CWD 2028 GASIG (com desc.)'!H257</f>
        <v>TEX12</v>
      </c>
      <c r="B26" s="296" t="str">
        <f>'CWD 2028 GASIG (com desc.)'!I257</f>
        <v>NTS SP 3</v>
      </c>
      <c r="C26" s="296">
        <f>'CWD 2028 GASIG (sem desc.)'!H52</f>
        <v>76027809.150639996</v>
      </c>
      <c r="D26" s="304"/>
      <c r="E26" s="299">
        <f ca="1">'CWD 2028 GASIG (com desc.)'!L257</f>
        <v>2.948393149568309E-2</v>
      </c>
      <c r="F26" s="305">
        <f t="shared" ca="1" si="12"/>
        <v>2241598.7167643374</v>
      </c>
      <c r="G26" s="318"/>
      <c r="H26" s="316" t="str">
        <f t="shared" si="13"/>
        <v xml:space="preserve"> </v>
      </c>
      <c r="I26"/>
      <c r="J26"/>
    </row>
    <row r="27" spans="1:12" x14ac:dyDescent="0.35">
      <c r="A27" s="301" t="str">
        <f>'CWD 2028 GASIG (com desc.)'!H258</f>
        <v>TEX13</v>
      </c>
      <c r="B27" s="301" t="str">
        <f>'CWD 2028 GASIG (com desc.)'!I258</f>
        <v>NTS SP 4</v>
      </c>
      <c r="C27" s="301">
        <f>'CWD 2028 GASIG (sem desc.)'!H53</f>
        <v>33806778.316804998</v>
      </c>
      <c r="D27" s="301">
        <f>SUM(C24:C27)</f>
        <v>165017379.46019998</v>
      </c>
      <c r="E27" s="302">
        <f ca="1">'CWD 2028 GASIG (com desc.)'!L258</f>
        <v>3.0208039123735968E-2</v>
      </c>
      <c r="F27" s="301">
        <f t="shared" ca="1" si="12"/>
        <v>1021236.4820415141</v>
      </c>
      <c r="G27" s="306">
        <f ca="1">SUM(F24:F27)</f>
        <v>4765657.4953712225</v>
      </c>
      <c r="H27" s="307">
        <f t="shared" ca="1" si="13"/>
        <v>2.8879730795389563E-2</v>
      </c>
      <c r="I27" s="332"/>
      <c r="J27"/>
    </row>
    <row r="28" spans="1:12" x14ac:dyDescent="0.35">
      <c r="A28" s="296" t="str">
        <f>'CWD 2028 GASIG (com desc.)'!H259</f>
        <v>TEX14</v>
      </c>
      <c r="B28" s="296" t="str">
        <f>'CWD 2028 GASIG (com desc.)'!I259</f>
        <v>PE-GUARAREMA (INTERCONEXÃO)</v>
      </c>
      <c r="C28" s="296">
        <f>'CWD 2028 GASIG (sem desc.)'!H54</f>
        <v>0</v>
      </c>
      <c r="D28" s="296">
        <f>C28</f>
        <v>0</v>
      </c>
      <c r="E28" s="299">
        <f>'CWD 2028 GASIG (com desc.)'!L259</f>
        <v>0</v>
      </c>
      <c r="F28" s="296">
        <f t="shared" si="12"/>
        <v>0</v>
      </c>
      <c r="G28" s="296">
        <f>F28</f>
        <v>0</v>
      </c>
      <c r="H28" s="300" t="str">
        <f t="shared" si="13"/>
        <v xml:space="preserve"> </v>
      </c>
      <c r="I28"/>
      <c r="J28"/>
    </row>
    <row r="29" spans="1:12" x14ac:dyDescent="0.35">
      <c r="A29" s="301" t="str">
        <f>'CWD 2028 GASIG (com desc.)'!H260</f>
        <v>TEX15</v>
      </c>
      <c r="B29" s="301" t="str">
        <f>'CWD 2028 GASIG (com desc.)'!I260</f>
        <v>PE-REPLAN (INTERCONEXÃO)</v>
      </c>
      <c r="C29" s="301">
        <f>'CWD 2028 GASIG (sem desc.)'!H55</f>
        <v>92910775.366039991</v>
      </c>
      <c r="D29" s="301">
        <f t="shared" ref="D29:D30" si="14">C29</f>
        <v>92910775.366039991</v>
      </c>
      <c r="E29" s="302">
        <f ca="1">'CWD 2028 GASIG (com desc.)'!L260</f>
        <v>2.5628307388912332E-3</v>
      </c>
      <c r="F29" s="301">
        <f t="shared" ca="1" si="12"/>
        <v>238114.59108230568</v>
      </c>
      <c r="G29" s="301">
        <f t="shared" ref="G29:G30" ca="1" si="15">F29</f>
        <v>238114.59108230568</v>
      </c>
      <c r="H29" s="303">
        <f t="shared" ca="1" si="13"/>
        <v>2.5628307388912332E-3</v>
      </c>
      <c r="I29" s="332"/>
      <c r="J29"/>
    </row>
    <row r="30" spans="1:12" x14ac:dyDescent="0.35">
      <c r="A30" s="296" t="str">
        <f>'CWD 2028 GASIG (com desc.)'!H261</f>
        <v>TEX16</v>
      </c>
      <c r="B30" s="296" t="str">
        <f>'CWD 2028 GASIG (com desc.)'!I261</f>
        <v>PE-TECAB (INTERCONEXÃO)</v>
      </c>
      <c r="C30" s="296">
        <f>'CWD 2028 GASIG (sem desc.)'!H56</f>
        <v>2723059.0670000003</v>
      </c>
      <c r="D30" s="296">
        <f t="shared" si="14"/>
        <v>2723059.0670000003</v>
      </c>
      <c r="E30" s="299">
        <f ca="1">'CWD 2028 GASIG (com desc.)'!L261</f>
        <v>2.2381636779578704E-3</v>
      </c>
      <c r="F30" s="296">
        <f t="shared" ca="1" si="12"/>
        <v>6094.6518966932481</v>
      </c>
      <c r="G30" s="296">
        <f t="shared" ca="1" si="15"/>
        <v>6094.6518966932481</v>
      </c>
      <c r="H30" s="300">
        <f t="shared" ca="1" si="13"/>
        <v>2.2381636779578704E-3</v>
      </c>
      <c r="I30" s="332"/>
      <c r="J30" s="66"/>
    </row>
    <row r="31" spans="1:12" x14ac:dyDescent="0.35">
      <c r="C31" s="65">
        <f>SUM(C15:C30)</f>
        <v>689356018.10638499</v>
      </c>
      <c r="D31" s="65">
        <f>SUM(D15:D30)</f>
        <v>689356018.10638499</v>
      </c>
      <c r="F31" s="65">
        <f ca="1">SUM(F15:F30)</f>
        <v>15721942.61655708</v>
      </c>
      <c r="G31" s="65">
        <f ca="1">SUM(G15:G30)</f>
        <v>15721942.616557082</v>
      </c>
    </row>
    <row r="32" spans="1:12" x14ac:dyDescent="0.35">
      <c r="C32" s="65"/>
      <c r="D32" s="65"/>
      <c r="F32" s="65"/>
      <c r="G32" s="65"/>
    </row>
    <row r="33" spans="2:3" x14ac:dyDescent="0.35">
      <c r="C33" s="63" t="s">
        <v>257</v>
      </c>
    </row>
    <row r="34" spans="2:3" x14ac:dyDescent="0.35">
      <c r="B34" s="68" t="s">
        <v>58</v>
      </c>
      <c r="C34" s="66">
        <f ca="1">H18</f>
        <v>3.0867126104239671E-2</v>
      </c>
    </row>
    <row r="35" spans="2:3" x14ac:dyDescent="0.35">
      <c r="B35" s="68" t="s">
        <v>69</v>
      </c>
      <c r="C35" s="66">
        <f ca="1">H23</f>
        <v>2.3906510839142889E-2</v>
      </c>
    </row>
    <row r="36" spans="2:3" x14ac:dyDescent="0.35">
      <c r="B36" s="68" t="s">
        <v>258</v>
      </c>
      <c r="C36" s="66">
        <f ca="1">H27</f>
        <v>2.8879730795389563E-2</v>
      </c>
    </row>
    <row r="37" spans="2:3" x14ac:dyDescent="0.35">
      <c r="B37" s="132" t="s">
        <v>269</v>
      </c>
      <c r="C37" s="66" t="str">
        <f>H28</f>
        <v xml:space="preserve"> </v>
      </c>
    </row>
    <row r="38" spans="2:3" x14ac:dyDescent="0.35">
      <c r="B38" s="132" t="s">
        <v>268</v>
      </c>
      <c r="C38" s="66">
        <f t="shared" ref="C38:C39" ca="1" si="16">H29</f>
        <v>2.5628307388912332E-3</v>
      </c>
    </row>
    <row r="39" spans="2:3" x14ac:dyDescent="0.35">
      <c r="B39" s="132" t="s">
        <v>267</v>
      </c>
      <c r="C39" s="66">
        <f t="shared" ca="1" si="16"/>
        <v>2.2381636779578704E-3</v>
      </c>
    </row>
  </sheetData>
  <pageMargins left="0.511811024" right="0.511811024" top="0.78740157499999996" bottom="0.78740157499999996" header="0.31496062000000002" footer="0.31496062000000002"/>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EE68-43E8-4D75-9D06-49373E9556C8}">
  <sheetPr codeName="Planilha23">
    <tabColor theme="1" tint="0.499984740745262"/>
  </sheetPr>
  <dimension ref="A2:AA302"/>
  <sheetViews>
    <sheetView showGridLines="0" zoomScale="70" zoomScaleNormal="70" workbookViewId="0">
      <selection activeCell="C24" sqref="C24"/>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6.5" x14ac:dyDescent="0.35">
      <c r="A5" s="206">
        <f>HLOOKUP($G$3,'Premissas (Legados)'!$B$5:$F$13,9,FALSE)</f>
        <v>0.7</v>
      </c>
      <c r="B5" s="207" t="s">
        <v>112</v>
      </c>
      <c r="C5" s="208" t="s">
        <v>271</v>
      </c>
      <c r="D5" s="209">
        <f>$A$5*$D$4</f>
        <v>5051.2433924371298</v>
      </c>
      <c r="E5" s="210" t="s">
        <v>113</v>
      </c>
      <c r="F5" s="211"/>
      <c r="G5" s="211"/>
      <c r="H5" s="235"/>
    </row>
    <row r="6" spans="1:9" ht="29" x14ac:dyDescent="0.35">
      <c r="A6" s="92"/>
      <c r="B6" s="212" t="s">
        <v>114</v>
      </c>
      <c r="C6" s="213" t="s">
        <v>272</v>
      </c>
      <c r="D6" s="214">
        <f>$D$34*'Premissas (Legados)'!$F$20</f>
        <v>25263840</v>
      </c>
      <c r="E6" s="212" t="s">
        <v>115</v>
      </c>
      <c r="F6" s="230">
        <f>H34</f>
        <v>942396281.90735996</v>
      </c>
      <c r="G6" s="82" t="s">
        <v>116</v>
      </c>
    </row>
    <row r="7" spans="1:9" ht="17" thickBot="1" x14ac:dyDescent="0.4">
      <c r="A7" s="215"/>
      <c r="B7" s="216" t="s">
        <v>117</v>
      </c>
      <c r="C7" s="217" t="s">
        <v>273</v>
      </c>
      <c r="D7" s="218">
        <f>$D$5/$D$6*1000</f>
        <v>0.19993965258001675</v>
      </c>
      <c r="E7" s="219" t="s">
        <v>118</v>
      </c>
      <c r="F7" s="232">
        <f>$D$5/$F$6*1000000</f>
        <v>5.3599992799352751</v>
      </c>
      <c r="G7" s="228" t="s">
        <v>15</v>
      </c>
      <c r="I7" s="235"/>
    </row>
    <row r="8" spans="1:9" ht="16.5" x14ac:dyDescent="0.35">
      <c r="A8" s="206">
        <f>1-A5</f>
        <v>0.30000000000000004</v>
      </c>
      <c r="B8" s="207" t="s">
        <v>119</v>
      </c>
      <c r="C8" s="208" t="s">
        <v>274</v>
      </c>
      <c r="D8" s="209">
        <f>$A$8*$D$4</f>
        <v>2164.8185967587706</v>
      </c>
      <c r="E8" s="210" t="s">
        <v>113</v>
      </c>
      <c r="F8" s="231"/>
      <c r="G8" s="229"/>
    </row>
    <row r="9" spans="1:9" ht="29" x14ac:dyDescent="0.35">
      <c r="B9" s="212" t="s">
        <v>120</v>
      </c>
      <c r="C9" s="213" t="s">
        <v>275</v>
      </c>
      <c r="D9" s="214">
        <f>$D$57*'Premissas (Legados)'!$F$20</f>
        <v>21312715</v>
      </c>
      <c r="E9" s="212" t="s">
        <v>115</v>
      </c>
      <c r="F9" s="230">
        <f>H57</f>
        <v>795010709.905985</v>
      </c>
      <c r="G9" s="82" t="s">
        <v>116</v>
      </c>
    </row>
    <row r="10" spans="1:9" ht="17" thickBot="1" x14ac:dyDescent="0.4">
      <c r="A10" s="225"/>
      <c r="B10" s="216" t="s">
        <v>121</v>
      </c>
      <c r="C10" s="217" t="s">
        <v>276</v>
      </c>
      <c r="D10" s="218">
        <f>$D$8/$D$9*1000</f>
        <v>0.10157404144703153</v>
      </c>
      <c r="E10" s="219" t="s">
        <v>118</v>
      </c>
      <c r="F10" s="232">
        <f>$D$8/$F$9*1000000</f>
        <v>2.72300557688685</v>
      </c>
      <c r="G10" s="228" t="s">
        <v>15</v>
      </c>
    </row>
    <row r="11" spans="1:9" ht="15" thickBot="1" x14ac:dyDescent="0.4">
      <c r="A11" s="220"/>
      <c r="B11" s="220" t="s">
        <v>122</v>
      </c>
      <c r="C11" s="226">
        <f>HLOOKUP($G$3,'Premissas (Legados)'!$B$5:$F$8,4,FALSE)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(Legados)'!C3</f>
        <v>20000</v>
      </c>
      <c r="D24" s="290">
        <f>'Oferta (Legados)'!I3</f>
        <v>14178</v>
      </c>
      <c r="F24" s="104"/>
      <c r="G24" s="43">
        <f>IFERROR($C24*$H$19*'Premissas (Legados)'!$F$20*1000," ")</f>
        <v>272305906.69999999</v>
      </c>
      <c r="H24" s="43">
        <f>IFERROR($D24*$H$19*'Premissas (Legados)'!$F$20*1000," ")</f>
        <v>193037657.25962999</v>
      </c>
      <c r="I24" s="93"/>
    </row>
    <row r="25" spans="1:9" x14ac:dyDescent="0.35">
      <c r="A25" s="2" t="s">
        <v>133</v>
      </c>
      <c r="B25" s="44" t="s">
        <v>26</v>
      </c>
      <c r="C25" s="290">
        <f>'Oferta (Legados)'!C4</f>
        <v>20000</v>
      </c>
      <c r="D25" s="290">
        <f>'Oferta (Legados)'!I4</f>
        <v>20000</v>
      </c>
      <c r="F25" s="104"/>
      <c r="G25" s="43">
        <f>IFERROR($C25*$H$19*'Premissas (Legados)'!$F$20*1000," ")</f>
        <v>272305906.69999999</v>
      </c>
      <c r="H25" s="43">
        <f>IFERROR($D25*$H$19*'Premissas (Legados)'!$F$20*1000," ")</f>
        <v>272305906.69999999</v>
      </c>
      <c r="I25" s="93"/>
    </row>
    <row r="26" spans="1:9" x14ac:dyDescent="0.35">
      <c r="A26" s="2" t="s">
        <v>134</v>
      </c>
      <c r="B26" s="44" t="s">
        <v>488</v>
      </c>
      <c r="C26" s="290">
        <f>'Oferta (Legados)'!C5</f>
        <v>18200</v>
      </c>
      <c r="D26" s="290">
        <f>'Oferta (Legados)'!I5</f>
        <v>13448</v>
      </c>
      <c r="E26" s="46"/>
      <c r="F26" s="104"/>
      <c r="G26" s="43">
        <f>IFERROR($C26*$H$19*'Premissas (Legados)'!$F$20*1000," ")</f>
        <v>247798375.097</v>
      </c>
      <c r="H26" s="43">
        <f>IFERROR($D26*$H$19*'Premissas (Legados)'!$F$20*1000," ")</f>
        <v>183098491.66507998</v>
      </c>
      <c r="I26" s="93"/>
    </row>
    <row r="27" spans="1:9" x14ac:dyDescent="0.35">
      <c r="A27" s="2" t="s">
        <v>135</v>
      </c>
      <c r="B27" s="44" t="s">
        <v>463</v>
      </c>
      <c r="C27" s="290">
        <f>'Oferta (Legados)'!C6</f>
        <v>1250</v>
      </c>
      <c r="D27" s="290">
        <f>'Oferta (Legados)'!I6</f>
        <v>335</v>
      </c>
      <c r="E27" s="46"/>
      <c r="F27" s="104"/>
      <c r="G27" s="43">
        <f>IFERROR($C27*$H$19*'Premissas (Legados)'!$F$20*1000," ")</f>
        <v>17019119.168749999</v>
      </c>
      <c r="H27" s="43">
        <f>IFERROR($D27*$H$19*'Premissas (Legados)'!$F$20*1000," ")</f>
        <v>4561123.937225</v>
      </c>
      <c r="I27" s="93"/>
    </row>
    <row r="28" spans="1:9" x14ac:dyDescent="0.35">
      <c r="A28" s="2" t="s">
        <v>136</v>
      </c>
      <c r="B28" s="44" t="s">
        <v>27</v>
      </c>
      <c r="C28" s="290">
        <f>'Oferta (Legados)'!C7</f>
        <v>5000</v>
      </c>
      <c r="D28" s="290">
        <f>'Oferta (Legados)'!I7</f>
        <v>0</v>
      </c>
      <c r="E28" s="46"/>
      <c r="F28" s="104"/>
      <c r="G28" s="43">
        <f>IFERROR($C28*$H$19*'Premissas (Legados)'!$F$20*1000," ")</f>
        <v>68076476.674999997</v>
      </c>
      <c r="H28" s="43">
        <f>IFERROR($D28*$H$19*'Premissas (Legados)'!$F$20*1000," ")</f>
        <v>0</v>
      </c>
      <c r="I28" s="93"/>
    </row>
    <row r="29" spans="1:9" x14ac:dyDescent="0.35">
      <c r="A29" s="2" t="s">
        <v>239</v>
      </c>
      <c r="B29" s="44" t="s">
        <v>29</v>
      </c>
      <c r="C29" s="290">
        <f>'Oferta (Legados)'!C8</f>
        <v>2200</v>
      </c>
      <c r="D29" s="290">
        <f>'Oferta (Legados)'!I8</f>
        <v>0</v>
      </c>
      <c r="E29" s="46"/>
      <c r="F29" s="104"/>
      <c r="G29" s="43">
        <f>IFERROR($C29*$H$19*'Premissas (Legados)'!$F$20*1000," ")</f>
        <v>29953649.736999996</v>
      </c>
      <c r="H29" s="43">
        <f>IFERROR($D29*$H$19*'Premissas (Legados)'!$F$20*1000," ")</f>
        <v>0</v>
      </c>
      <c r="I29" s="93"/>
    </row>
    <row r="30" spans="1:9" x14ac:dyDescent="0.35">
      <c r="A30" s="2" t="s">
        <v>137</v>
      </c>
      <c r="B30" s="44" t="s">
        <v>24</v>
      </c>
      <c r="C30" s="290">
        <f>'Oferta (Legados)'!C9</f>
        <v>25160</v>
      </c>
      <c r="D30" s="290">
        <f>'Oferta (Legados)'!I9</f>
        <v>14855</v>
      </c>
      <c r="E30" s="46"/>
      <c r="F30" s="104"/>
      <c r="G30" s="43">
        <f>IFERROR($C30*$H$19*'Premissas (Legados)'!$F$20*1000," ")</f>
        <v>342560830.6286</v>
      </c>
      <c r="H30" s="43">
        <f>IFERROR($D30*$H$19*'Premissas (Legados)'!$F$20*1000," ")</f>
        <v>202255212.20142499</v>
      </c>
      <c r="I30" s="93"/>
    </row>
    <row r="31" spans="1:9" x14ac:dyDescent="0.35">
      <c r="A31" s="2" t="s">
        <v>240</v>
      </c>
      <c r="B31" s="44" t="s">
        <v>264</v>
      </c>
      <c r="C31" s="290">
        <f>'Oferta (Legados)'!C10</f>
        <v>0</v>
      </c>
      <c r="D31" s="290">
        <f>'Oferta (Legados)'!I10</f>
        <v>6000</v>
      </c>
      <c r="E31" s="46"/>
      <c r="F31" s="104"/>
      <c r="G31" s="43">
        <f>IFERROR($C31*$H$19*'Premissas (Legados)'!$F$20*1000," ")</f>
        <v>0</v>
      </c>
      <c r="H31" s="43">
        <f>IFERROR($D31*$H$19*'Premissas (Legados)'!$F$20*1000," ")</f>
        <v>81691772.010000005</v>
      </c>
      <c r="I31" s="93"/>
    </row>
    <row r="32" spans="1:9" x14ac:dyDescent="0.35">
      <c r="A32" s="2" t="s">
        <v>138</v>
      </c>
      <c r="B32" s="44" t="s">
        <v>266</v>
      </c>
      <c r="C32" s="290">
        <f>'Oferta (Legados)'!C11</f>
        <v>0</v>
      </c>
      <c r="D32" s="290">
        <f>'Oferta (Legados)'!I11</f>
        <v>200</v>
      </c>
      <c r="E32" s="46"/>
      <c r="F32" s="104"/>
      <c r="G32" s="43">
        <f>IFERROR($C32*$H$19*'Premissas (Legados)'!$F$20*1000," ")</f>
        <v>0</v>
      </c>
      <c r="H32" s="43">
        <f>IFERROR($D32*$H$19*'Premissas (Legados)'!$F$20*1000," ")</f>
        <v>2723059.0670000003</v>
      </c>
      <c r="I32" s="93"/>
    </row>
    <row r="33" spans="1:10" x14ac:dyDescent="0.35">
      <c r="A33" s="2" t="s">
        <v>139</v>
      </c>
      <c r="B33" s="44" t="s">
        <v>265</v>
      </c>
      <c r="C33" s="290">
        <f>'Oferta (Legados)'!C12</f>
        <v>0</v>
      </c>
      <c r="D33" s="290">
        <f>'Oferta (Legados)'!I12</f>
        <v>200</v>
      </c>
      <c r="E33" s="46"/>
      <c r="F33" s="104"/>
      <c r="G33" s="43">
        <f>IFERROR($C33*$H$19*'Premissas (Legados)'!$F$20*1000," ")</f>
        <v>0</v>
      </c>
      <c r="H33" s="43">
        <f>IFERROR($D33*$H$19*'Premissas (Legados)'!$F$20*1000," ")</f>
        <v>2723059.0670000003</v>
      </c>
      <c r="I33" s="93"/>
    </row>
    <row r="34" spans="1:10" x14ac:dyDescent="0.35">
      <c r="C34" s="105">
        <f>SUM(C24:C33)</f>
        <v>91810</v>
      </c>
      <c r="D34" s="105">
        <f>SUM(D24:D33)</f>
        <v>69216</v>
      </c>
      <c r="E34" s="105"/>
      <c r="F34" s="104"/>
      <c r="G34" s="105">
        <f>SUM(G24:G33)</f>
        <v>1250020264.7063498</v>
      </c>
      <c r="H34" s="105">
        <f>SUM(H24:H33)</f>
        <v>942396281.90735996</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(Legados)'!C3</f>
        <v>864.5</v>
      </c>
      <c r="D41" s="290">
        <f>'Demanda (Legados)'!I3</f>
        <v>607</v>
      </c>
      <c r="G41" s="43">
        <f>IFERROR($C41*$H$19*'Premissas (Legados)'!$F$20*1000," ")</f>
        <v>11770422.817107499</v>
      </c>
      <c r="H41" s="43">
        <f>IFERROR($D41*$H$19*'Premissas (Legados)'!$F$20*1000," ")</f>
        <v>8264484.2683449984</v>
      </c>
      <c r="I41" s="93"/>
    </row>
    <row r="42" spans="1:10" x14ac:dyDescent="0.35">
      <c r="A42" s="2" t="s">
        <v>42</v>
      </c>
      <c r="B42" s="44" t="s">
        <v>217</v>
      </c>
      <c r="C42" s="290">
        <f>'Demanda (Legados)'!C4</f>
        <v>1825.9</v>
      </c>
      <c r="D42" s="290">
        <f>'Demanda (Legados)'!I4</f>
        <v>1678</v>
      </c>
      <c r="G42" s="43">
        <f>IFERROR($C42*$H$19*'Premissas (Legados)'!$F$20*1000," ")</f>
        <v>24860167.752176501</v>
      </c>
      <c r="H42" s="43">
        <f>IFERROR($D42*$H$19*'Premissas (Legados)'!$F$20*1000," ")</f>
        <v>22846465.572130002</v>
      </c>
      <c r="I42" s="93"/>
    </row>
    <row r="43" spans="1:10" x14ac:dyDescent="0.35">
      <c r="A43" s="2" t="s">
        <v>43</v>
      </c>
      <c r="B43" s="44" t="s">
        <v>218</v>
      </c>
      <c r="C43" s="290">
        <f>'Demanda (Legados)'!C5</f>
        <v>3040.95</v>
      </c>
      <c r="D43" s="290">
        <f>'Demanda (Legados)'!I5</f>
        <v>2737</v>
      </c>
      <c r="E43" s="46"/>
      <c r="G43" s="43">
        <f>IFERROR($C43*$H$19*'Premissas (Legados)'!$F$20*1000," ")</f>
        <v>41403432.348968253</v>
      </c>
      <c r="H43" s="43">
        <f>IFERROR($D43*$H$19*'Premissas (Legados)'!$F$20*1000," ")</f>
        <v>37265063.331895001</v>
      </c>
      <c r="I43" s="93"/>
    </row>
    <row r="44" spans="1:10" x14ac:dyDescent="0.35">
      <c r="A44" s="2" t="s">
        <v>44</v>
      </c>
      <c r="B44" s="44" t="s">
        <v>219</v>
      </c>
      <c r="C44" s="290">
        <f>'Demanda (Legados)'!C6</f>
        <v>1187.5</v>
      </c>
      <c r="D44" s="290">
        <f>'Demanda (Legados)'!I6</f>
        <v>335</v>
      </c>
      <c r="E44" s="46"/>
      <c r="G44" s="43">
        <f>IFERROR($C44*$H$19*'Premissas (Legados)'!$F$20*1000," ")</f>
        <v>16168163.210312499</v>
      </c>
      <c r="H44" s="43">
        <f>IFERROR($D44*$H$19*'Premissas (Legados)'!$F$20*1000," ")</f>
        <v>4561123.937225</v>
      </c>
      <c r="I44" s="93"/>
    </row>
    <row r="45" spans="1:10" x14ac:dyDescent="0.35">
      <c r="A45" s="2" t="s">
        <v>45</v>
      </c>
      <c r="B45" s="44" t="s">
        <v>220</v>
      </c>
      <c r="C45" s="290">
        <f>'Demanda (Legados)'!C7</f>
        <v>21185</v>
      </c>
      <c r="D45" s="290">
        <f>'Demanda (Legados)'!I7</f>
        <v>17793</v>
      </c>
      <c r="E45" s="46"/>
      <c r="G45" s="43">
        <f>IFERROR($C45*$H$19*'Premissas (Legados)'!$F$20*1000," ")</f>
        <v>288440031.67197496</v>
      </c>
      <c r="H45" s="43">
        <f>IFERROR($D45*$H$19*'Premissas (Legados)'!$F$20*1000," ")</f>
        <v>242256949.89565501</v>
      </c>
      <c r="I45" s="93"/>
    </row>
    <row r="46" spans="1:10" x14ac:dyDescent="0.35">
      <c r="A46" s="2" t="s">
        <v>46</v>
      </c>
      <c r="B46" s="44" t="s">
        <v>221</v>
      </c>
      <c r="C46" s="290">
        <f>'Demanda (Legados)'!C8</f>
        <v>11271.75</v>
      </c>
      <c r="D46" s="290">
        <f>'Demanda (Legados)'!I8</f>
        <v>8406</v>
      </c>
      <c r="E46" s="46"/>
      <c r="G46" s="43">
        <f>IFERROR($C46*$H$19*'Premissas (Legados)'!$F$20*1000," ")</f>
        <v>153468205.19228625</v>
      </c>
      <c r="H46" s="43">
        <f>IFERROR($D46*$H$19*'Premissas (Legados)'!$F$20*1000," ")</f>
        <v>114450172.58600999</v>
      </c>
      <c r="I46" s="93"/>
    </row>
    <row r="47" spans="1:10" x14ac:dyDescent="0.35">
      <c r="A47" s="2" t="s">
        <v>47</v>
      </c>
      <c r="B47" s="44" t="s">
        <v>222</v>
      </c>
      <c r="C47" s="290">
        <f>'Demanda (Legados)'!C9</f>
        <v>3249</v>
      </c>
      <c r="D47" s="290">
        <f>'Demanda (Legados)'!I9</f>
        <v>1714</v>
      </c>
      <c r="E47" s="46"/>
      <c r="G47" s="43">
        <f>IFERROR($C47*$H$19*'Premissas (Legados)'!$F$20*1000," ")</f>
        <v>44236094.543414995</v>
      </c>
      <c r="H47" s="43">
        <f>IFERROR($D47*$H$19*'Premissas (Legados)'!$F$20*1000," ")</f>
        <v>23336616.204189997</v>
      </c>
      <c r="I47" s="93"/>
    </row>
    <row r="48" spans="1:10" x14ac:dyDescent="0.35">
      <c r="A48" s="2" t="s">
        <v>48</v>
      </c>
      <c r="B48" s="44" t="s">
        <v>223</v>
      </c>
      <c r="C48" s="290">
        <f>'Demanda (Legados)'!C10</f>
        <v>498.75</v>
      </c>
      <c r="D48" s="290">
        <f>'Demanda (Legados)'!I10</f>
        <v>323</v>
      </c>
      <c r="E48" s="46"/>
      <c r="G48" s="43">
        <f>IFERROR($C48*$H$19*'Premissas (Legados)'!$F$20*1000," ")</f>
        <v>6790628.5483312495</v>
      </c>
      <c r="H48" s="43">
        <f>IFERROR($D48*$H$19*'Premissas (Legados)'!$F$20*1000," ")</f>
        <v>4397740.3932050001</v>
      </c>
      <c r="I48" s="93"/>
    </row>
    <row r="49" spans="1:9" x14ac:dyDescent="0.35">
      <c r="A49" s="2" t="s">
        <v>49</v>
      </c>
      <c r="B49" s="44" t="s">
        <v>224</v>
      </c>
      <c r="C49" s="290">
        <f>'Demanda (Legados)'!C11</f>
        <v>3321.2</v>
      </c>
      <c r="D49" s="290">
        <f>'Demanda (Legados)'!I11</f>
        <v>2128</v>
      </c>
      <c r="E49" s="46"/>
      <c r="G49" s="43">
        <f>IFERROR($C49*$H$19*'Premissas (Legados)'!$F$20*1000," ")</f>
        <v>45219118.866601996</v>
      </c>
      <c r="H49" s="43">
        <f>IFERROR($D49*$H$19*'Premissas (Legados)'!$F$20*1000," ")</f>
        <v>28973348.472879995</v>
      </c>
      <c r="I49" s="93"/>
    </row>
    <row r="50" spans="1:9" x14ac:dyDescent="0.35">
      <c r="A50" s="2" t="s">
        <v>50</v>
      </c>
      <c r="B50" s="44" t="s">
        <v>225</v>
      </c>
      <c r="C50" s="290">
        <f>'Demanda (Legados)'!C12</f>
        <v>14292.75</v>
      </c>
      <c r="D50" s="290">
        <f>'Demanda (Legados)'!I12</f>
        <v>1237</v>
      </c>
      <c r="E50" s="46"/>
      <c r="G50" s="43">
        <f>IFERROR($C50*$H$19*'Premissas (Legados)'!$F$20*1000," ")</f>
        <v>194600012.39932126</v>
      </c>
      <c r="H50" s="43">
        <f>IFERROR($D50*$H$19*'Premissas (Legados)'!$F$20*1000," ")</f>
        <v>16842120.329395</v>
      </c>
      <c r="I50" s="93"/>
    </row>
    <row r="51" spans="1:9" x14ac:dyDescent="0.35">
      <c r="A51" s="2" t="s">
        <v>51</v>
      </c>
      <c r="B51" s="44" t="s">
        <v>226</v>
      </c>
      <c r="C51" s="290">
        <f>'Demanda (Legados)'!C13</f>
        <v>3971</v>
      </c>
      <c r="D51" s="290">
        <f>'Demanda (Legados)'!I13</f>
        <v>2972</v>
      </c>
      <c r="E51" s="46"/>
      <c r="G51" s="43">
        <f>IFERROR($C51*$H$19*'Premissas (Legados)'!$F$20*1000," ")</f>
        <v>54066337.775284998</v>
      </c>
      <c r="H51" s="43">
        <f>IFERROR($D51*$H$19*'Premissas (Legados)'!$F$20*1000," ")</f>
        <v>40464657.735619992</v>
      </c>
      <c r="I51" s="93"/>
    </row>
    <row r="52" spans="1:9" x14ac:dyDescent="0.35">
      <c r="A52" s="2" t="s">
        <v>52</v>
      </c>
      <c r="B52" s="44" t="s">
        <v>227</v>
      </c>
      <c r="C52" s="290">
        <f>'Demanda (Legados)'!C14</f>
        <v>9941.75</v>
      </c>
      <c r="D52" s="290">
        <f>'Demanda (Legados)'!I14</f>
        <v>7969</v>
      </c>
      <c r="E52" s="46"/>
      <c r="G52" s="43">
        <f>IFERROR($C52*$H$19*'Premissas (Legados)'!$F$20*1000," ")</f>
        <v>135359862.39673626</v>
      </c>
      <c r="H52" s="43">
        <f>IFERROR($D52*$H$19*'Premissas (Legados)'!$F$20*1000," ")</f>
        <v>108500288.52461499</v>
      </c>
      <c r="I52" s="93"/>
    </row>
    <row r="53" spans="1:9" x14ac:dyDescent="0.35">
      <c r="A53" s="2" t="s">
        <v>53</v>
      </c>
      <c r="B53" s="44" t="s">
        <v>228</v>
      </c>
      <c r="C53" s="290">
        <f>'Demanda (Legados)'!C15</f>
        <v>3809.5</v>
      </c>
      <c r="D53" s="290">
        <f>'Demanda (Legados)'!I15</f>
        <v>3281</v>
      </c>
      <c r="E53" s="46"/>
      <c r="G53" s="43">
        <f>IFERROR($C53*$H$19*'Premissas (Legados)'!$F$20*1000," ")</f>
        <v>51867467.578682497</v>
      </c>
      <c r="H53" s="43">
        <f>IFERROR($D53*$H$19*'Premissas (Legados)'!$F$20*1000," ")</f>
        <v>44671783.994134992</v>
      </c>
      <c r="I53" s="93"/>
    </row>
    <row r="54" spans="1:9" x14ac:dyDescent="0.35">
      <c r="A54" s="2" t="s">
        <v>54</v>
      </c>
      <c r="B54" s="44" t="s">
        <v>269</v>
      </c>
      <c r="C54" s="290">
        <f>'Demanda (Legados)'!C16</f>
        <v>0</v>
      </c>
      <c r="D54" s="290">
        <f>'Demanda (Legados)'!I16</f>
        <v>0</v>
      </c>
      <c r="E54" s="46"/>
      <c r="G54" s="43">
        <f>IFERROR($C54*$H$19*'Premissas (Legados)'!$F$20*1000," ")</f>
        <v>0</v>
      </c>
      <c r="H54" s="43">
        <f>IFERROR($D54*$H$19*'Premissas (Legados)'!$F$20*1000," ")</f>
        <v>0</v>
      </c>
      <c r="I54" s="93"/>
    </row>
    <row r="55" spans="1:9" x14ac:dyDescent="0.35">
      <c r="A55" s="2" t="s">
        <v>55</v>
      </c>
      <c r="B55" s="44" t="s">
        <v>268</v>
      </c>
      <c r="C55" s="290">
        <f>'Demanda (Legados)'!C17</f>
        <v>0</v>
      </c>
      <c r="D55" s="290">
        <f>'Demanda (Legados)'!I17</f>
        <v>7011</v>
      </c>
      <c r="E55" s="46"/>
      <c r="G55" s="43">
        <f>IFERROR($C55*$H$19*'Premissas (Legados)'!$F$20*1000," ")</f>
        <v>0</v>
      </c>
      <c r="H55" s="43">
        <f>IFERROR($D55*$H$19*'Premissas (Legados)'!$F$20*1000," ")</f>
        <v>95456835.593685001</v>
      </c>
      <c r="I55" s="93"/>
    </row>
    <row r="56" spans="1:9" x14ac:dyDescent="0.35">
      <c r="A56" s="2" t="s">
        <v>56</v>
      </c>
      <c r="B56" s="44" t="s">
        <v>267</v>
      </c>
      <c r="C56" s="290">
        <f>'Demanda (Legados)'!C18</f>
        <v>0</v>
      </c>
      <c r="D56" s="290">
        <f>'Demanda (Legados)'!I18</f>
        <v>200</v>
      </c>
      <c r="E56" s="46"/>
      <c r="G56" s="43">
        <f>IFERROR($C56*$H$19*'Premissas (Legados)'!$F$20*1000," ")</f>
        <v>0</v>
      </c>
      <c r="H56" s="43">
        <f>IFERROR($D56*$H$19*'Premissas (Legados)'!$F$20*1000," ")</f>
        <v>2723059.0670000003</v>
      </c>
      <c r="I56" s="93"/>
    </row>
    <row r="57" spans="1:9" x14ac:dyDescent="0.35">
      <c r="C57" s="105">
        <f>SUM(C41:C56)</f>
        <v>78459.549999999988</v>
      </c>
      <c r="D57" s="105">
        <f>SUM(D41:D56)</f>
        <v>58391</v>
      </c>
      <c r="E57" s="105"/>
      <c r="G57" s="105">
        <f>SUM(G41:G56)</f>
        <v>1068249945.1011992</v>
      </c>
      <c r="H57" s="105">
        <f>SUM(H41:H56)</f>
        <v>795010709.905985</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0.20483703190013869</v>
      </c>
      <c r="C99" s="9"/>
      <c r="D99" t="s">
        <v>304</v>
      </c>
      <c r="E99" s="110">
        <f>H41/$H$57</f>
        <v>1.039543765306297E-2</v>
      </c>
      <c r="G99" s="109" t="s">
        <v>148</v>
      </c>
      <c r="H99" s="111">
        <f>H24/$H$34</f>
        <v>0.20483703190013869</v>
      </c>
      <c r="I99" s="111">
        <f>H25/$H$34</f>
        <v>0.28895053166897827</v>
      </c>
      <c r="J99" s="111">
        <f>$H26/$H$34</f>
        <v>0.19429033749422098</v>
      </c>
      <c r="K99" s="111">
        <f>$H27/$H$34</f>
        <v>4.8399214054553859E-3</v>
      </c>
      <c r="L99" s="111">
        <f>$H28/$H$34</f>
        <v>0</v>
      </c>
      <c r="M99" s="111">
        <f>$H29/$H$34</f>
        <v>0</v>
      </c>
      <c r="N99" s="111">
        <f>$H30/$H$34</f>
        <v>0.2146180073971336</v>
      </c>
      <c r="O99" s="111">
        <f>$H31/$H$34</f>
        <v>8.6685159500693484E-2</v>
      </c>
      <c r="P99" s="111">
        <f>$H32/$H$34</f>
        <v>2.889505316689783E-3</v>
      </c>
      <c r="Q99" s="111">
        <f>$H33/$H$34</f>
        <v>2.889505316689783E-3</v>
      </c>
      <c r="R99" s="111">
        <f>SUM(H99:Q99)</f>
        <v>1</v>
      </c>
      <c r="S99" s="110"/>
      <c r="T99" s="110"/>
      <c r="U99" s="110"/>
      <c r="V99" s="110"/>
      <c r="W99" s="110"/>
    </row>
    <row r="100" spans="1:27" ht="16.5" x14ac:dyDescent="0.45">
      <c r="A100" t="s">
        <v>295</v>
      </c>
      <c r="B100" s="112">
        <f t="shared" ref="B100:B108" si="1">H25/$H$34</f>
        <v>0.28895053166897827</v>
      </c>
      <c r="C100" s="4"/>
      <c r="D100" t="s">
        <v>305</v>
      </c>
      <c r="E100" s="110">
        <f t="shared" ref="E100:E114" si="2">H42/$H$57</f>
        <v>2.8737305406655138E-2</v>
      </c>
    </row>
    <row r="101" spans="1:27" ht="16.5" x14ac:dyDescent="0.45">
      <c r="A101" t="s">
        <v>296</v>
      </c>
      <c r="B101" s="112">
        <f t="shared" si="1"/>
        <v>0.19429033749422098</v>
      </c>
      <c r="C101" s="4"/>
      <c r="D101" t="s">
        <v>306</v>
      </c>
      <c r="E101" s="110">
        <f t="shared" si="2"/>
        <v>4.6873662036957753E-2</v>
      </c>
      <c r="G101" s="110"/>
    </row>
    <row r="102" spans="1:27" ht="16.5" x14ac:dyDescent="0.45">
      <c r="A102" t="s">
        <v>297</v>
      </c>
      <c r="B102" s="112">
        <f t="shared" si="1"/>
        <v>4.8399214054553859E-3</v>
      </c>
      <c r="C102" s="4"/>
      <c r="D102" t="s">
        <v>307</v>
      </c>
      <c r="E102" s="110">
        <f t="shared" si="2"/>
        <v>5.7371855251665497E-3</v>
      </c>
      <c r="G102" s="110"/>
      <c r="H102" s="112"/>
      <c r="I102" s="112"/>
    </row>
    <row r="103" spans="1:27" ht="16.5" x14ac:dyDescent="0.45">
      <c r="A103" t="s">
        <v>298</v>
      </c>
      <c r="B103" s="112">
        <f t="shared" si="1"/>
        <v>0</v>
      </c>
      <c r="C103" s="4"/>
      <c r="D103" t="s">
        <v>308</v>
      </c>
      <c r="E103" s="110">
        <f t="shared" si="2"/>
        <v>0.30472161805757736</v>
      </c>
      <c r="G103" s="110"/>
      <c r="H103" s="112"/>
      <c r="I103" s="112"/>
    </row>
    <row r="104" spans="1:27" ht="16.5" x14ac:dyDescent="0.45">
      <c r="A104" t="s">
        <v>299</v>
      </c>
      <c r="B104" s="112">
        <f t="shared" si="1"/>
        <v>0</v>
      </c>
      <c r="C104" s="4"/>
      <c r="D104" t="s">
        <v>309</v>
      </c>
      <c r="E104" s="110">
        <f t="shared" si="2"/>
        <v>0.14396054186432841</v>
      </c>
      <c r="G104" s="110"/>
      <c r="H104" s="112"/>
      <c r="I104" s="112"/>
    </row>
    <row r="105" spans="1:27" ht="16.5" x14ac:dyDescent="0.45">
      <c r="A105" t="s">
        <v>300</v>
      </c>
      <c r="B105" s="112">
        <f t="shared" si="1"/>
        <v>0.2146180073971336</v>
      </c>
      <c r="C105" s="4"/>
      <c r="D105" t="s">
        <v>310</v>
      </c>
      <c r="E105" s="110">
        <f t="shared" si="2"/>
        <v>2.9353838776523776E-2</v>
      </c>
      <c r="G105" s="110"/>
      <c r="H105" s="112"/>
      <c r="I105" s="112"/>
    </row>
    <row r="106" spans="1:27" ht="16.5" x14ac:dyDescent="0.45">
      <c r="A106" t="s">
        <v>301</v>
      </c>
      <c r="B106" s="112">
        <f t="shared" si="1"/>
        <v>8.6685159500693484E-2</v>
      </c>
      <c r="C106" s="4"/>
      <c r="D106" t="s">
        <v>311</v>
      </c>
      <c r="E106" s="110">
        <f t="shared" si="2"/>
        <v>5.5316744018770016E-3</v>
      </c>
      <c r="G106" s="110"/>
      <c r="H106" s="112"/>
      <c r="I106" s="112"/>
    </row>
    <row r="107" spans="1:27" ht="16.5" x14ac:dyDescent="0.45">
      <c r="A107" t="s">
        <v>302</v>
      </c>
      <c r="B107" s="112">
        <f t="shared" si="1"/>
        <v>2.889505316689783E-3</v>
      </c>
      <c r="C107" s="4"/>
      <c r="D107" t="s">
        <v>312</v>
      </c>
      <c r="E107" s="110">
        <f t="shared" si="2"/>
        <v>3.6443972530013177E-2</v>
      </c>
      <c r="G107" s="110"/>
      <c r="H107" s="112"/>
      <c r="I107" s="112"/>
    </row>
    <row r="108" spans="1:27" ht="16.5" x14ac:dyDescent="0.45">
      <c r="A108" t="s">
        <v>303</v>
      </c>
      <c r="B108" s="112">
        <f t="shared" si="1"/>
        <v>2.889505316689783E-3</v>
      </c>
      <c r="D108" t="s">
        <v>313</v>
      </c>
      <c r="E108" s="110">
        <f t="shared" si="2"/>
        <v>2.1184771625764244E-2</v>
      </c>
      <c r="G108" s="110"/>
    </row>
    <row r="109" spans="1:27" ht="16.5" x14ac:dyDescent="0.45">
      <c r="B109" s="112">
        <f>SUM(B99:B108)</f>
        <v>1</v>
      </c>
      <c r="D109" t="s">
        <v>314</v>
      </c>
      <c r="E109" s="110">
        <f t="shared" si="2"/>
        <v>5.0898254868044723E-2</v>
      </c>
      <c r="G109" s="110"/>
    </row>
    <row r="110" spans="1:27" ht="16.5" x14ac:dyDescent="0.45">
      <c r="B110" s="112"/>
      <c r="D110" t="s">
        <v>315</v>
      </c>
      <c r="E110" s="110">
        <f t="shared" si="2"/>
        <v>0.13647651179120068</v>
      </c>
      <c r="G110" s="110"/>
    </row>
    <row r="111" spans="1:27" ht="16.5" x14ac:dyDescent="0.45">
      <c r="B111" s="112"/>
      <c r="D111" t="s">
        <v>316</v>
      </c>
      <c r="E111" s="110">
        <f t="shared" si="2"/>
        <v>5.6190166292750587E-2</v>
      </c>
    </row>
    <row r="112" spans="1:27" ht="16.5" x14ac:dyDescent="0.45">
      <c r="B112" s="112"/>
      <c r="D112" t="s">
        <v>317</v>
      </c>
      <c r="E112" s="110">
        <f t="shared" si="2"/>
        <v>0</v>
      </c>
    </row>
    <row r="113" spans="1:5" ht="16.5" x14ac:dyDescent="0.45">
      <c r="B113" s="112"/>
      <c r="D113" t="s">
        <v>318</v>
      </c>
      <c r="E113" s="110">
        <f t="shared" si="2"/>
        <v>0.12006987378191845</v>
      </c>
    </row>
    <row r="114" spans="1:5" ht="16.5" x14ac:dyDescent="0.45">
      <c r="B114" s="112"/>
      <c r="D114" t="s">
        <v>319</v>
      </c>
      <c r="E114" s="110">
        <f t="shared" si="2"/>
        <v>3.4251853881591345E-3</v>
      </c>
    </row>
    <row r="115" spans="1:5" x14ac:dyDescent="0.35">
      <c r="E115" s="110">
        <f>SUM(E99:E114)</f>
        <v>1</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351.07719645892911</v>
      </c>
      <c r="C130" s="114"/>
      <c r="D130" t="s">
        <v>325</v>
      </c>
      <c r="E130" s="4">
        <f ca="1">SUMPRODUCT($H$99:$Q$99,$C67:$L67)</f>
        <v>356.99125889967638</v>
      </c>
    </row>
    <row r="131" spans="1:5" ht="16.5" x14ac:dyDescent="0.45">
      <c r="A131" t="s">
        <v>326</v>
      </c>
      <c r="B131" s="110">
        <f ca="1">SUMPRODUCT($E$99:$E$114,D$67:D$82)</f>
        <v>239.33429862421721</v>
      </c>
      <c r="C131" s="114"/>
      <c r="D131" t="s">
        <v>327</v>
      </c>
      <c r="E131" s="4">
        <f t="shared" ref="E131:E145" ca="1" si="3">SUMPRODUCT($H$99:$Q$99,$C68:$L68)</f>
        <v>454.15525889967643</v>
      </c>
    </row>
    <row r="132" spans="1:5" ht="16.5" x14ac:dyDescent="0.45">
      <c r="A132" t="s">
        <v>328</v>
      </c>
      <c r="B132" s="110">
        <f ca="1">SUMPRODUCT($E$99:$E$114,E$67:E$82)</f>
        <v>275.28400309122975</v>
      </c>
      <c r="C132" s="114"/>
      <c r="D132" t="s">
        <v>329</v>
      </c>
      <c r="E132" s="4">
        <f t="shared" ca="1" si="3"/>
        <v>571.3204588996764</v>
      </c>
    </row>
    <row r="133" spans="1:5" ht="16.5" x14ac:dyDescent="0.45">
      <c r="A133" t="s">
        <v>330</v>
      </c>
      <c r="B133" s="110">
        <f ca="1">SUMPRODUCT($E$99:$E$114,F$67:F$82)</f>
        <v>416.74052411102173</v>
      </c>
      <c r="C133" s="114"/>
      <c r="D133" t="s">
        <v>331</v>
      </c>
      <c r="E133" s="4">
        <f t="shared" ca="1" si="3"/>
        <v>579.39552643897366</v>
      </c>
    </row>
    <row r="134" spans="1:5" ht="16.5" x14ac:dyDescent="0.45">
      <c r="A134" t="s">
        <v>332</v>
      </c>
      <c r="B134" s="110">
        <f ca="1">SUMPRODUCT($E$99:$E$114,G$67:G$82)</f>
        <v>228.48236613347947</v>
      </c>
      <c r="C134" s="114"/>
      <c r="D134" t="s">
        <v>333</v>
      </c>
      <c r="E134" s="4">
        <f t="shared" ca="1" si="3"/>
        <v>194.77165725651099</v>
      </c>
    </row>
    <row r="135" spans="1:5" ht="16.5" x14ac:dyDescent="0.45">
      <c r="A135" t="s">
        <v>334</v>
      </c>
      <c r="B135" s="110">
        <f ca="1">SUMPRODUCT($E$99:$E$114,H$67:H$82)</f>
        <v>378.57832051686046</v>
      </c>
      <c r="C135" s="114"/>
      <c r="D135" t="s">
        <v>335</v>
      </c>
      <c r="E135" s="4">
        <f t="shared" ca="1" si="3"/>
        <v>184.53496847549701</v>
      </c>
    </row>
    <row r="136" spans="1:5" ht="16.5" x14ac:dyDescent="0.45">
      <c r="A136" t="s">
        <v>336</v>
      </c>
      <c r="B136" s="110">
        <f ca="1">SUMPRODUCT($E$99:$E$114,I$67:I$82)</f>
        <v>379.07406666267065</v>
      </c>
      <c r="D136" t="s">
        <v>337</v>
      </c>
      <c r="E136" s="4">
        <f t="shared" ca="1" si="3"/>
        <v>203.99029522075821</v>
      </c>
    </row>
    <row r="137" spans="1:5" ht="16.5" x14ac:dyDescent="0.45">
      <c r="A137" t="s">
        <v>338</v>
      </c>
      <c r="B137" s="110">
        <f ca="1">SUMPRODUCT($E$99:$E$114,J$67:J$82)</f>
        <v>302.16339752872875</v>
      </c>
      <c r="D137" t="s">
        <v>339</v>
      </c>
      <c r="E137" s="4">
        <f t="shared" ca="1" si="3"/>
        <v>228.11488959200184</v>
      </c>
    </row>
    <row r="138" spans="1:5" ht="16.5" x14ac:dyDescent="0.45">
      <c r="A138" t="s">
        <v>340</v>
      </c>
      <c r="B138" s="110">
        <f ca="1">SUMPRODUCT($E$99:$E$114,K$67:K$82)</f>
        <v>416.74052411102173</v>
      </c>
      <c r="D138" t="s">
        <v>341</v>
      </c>
      <c r="E138" s="4">
        <f t="shared" ca="1" si="3"/>
        <v>190.89093133090617</v>
      </c>
    </row>
    <row r="139" spans="1:5" ht="16.5" x14ac:dyDescent="0.45">
      <c r="A139" t="s">
        <v>342</v>
      </c>
      <c r="B139" s="110">
        <f ca="1">SUMPRODUCT($E$99:$E$114,L$67:L$82)</f>
        <v>379.07406666267065</v>
      </c>
      <c r="D139" t="s">
        <v>343</v>
      </c>
      <c r="E139" s="4">
        <f t="shared" ca="1" si="3"/>
        <v>309.34321346220526</v>
      </c>
    </row>
    <row r="140" spans="1:5" ht="16.5" x14ac:dyDescent="0.45">
      <c r="B140" s="110"/>
      <c r="D140" t="s">
        <v>344</v>
      </c>
      <c r="E140" s="4">
        <f t="shared" ca="1" si="3"/>
        <v>293.79147723069815</v>
      </c>
    </row>
    <row r="141" spans="1:5" ht="16.5" x14ac:dyDescent="0.45">
      <c r="B141" s="110"/>
      <c r="D141" t="s">
        <v>345</v>
      </c>
      <c r="E141" s="4">
        <f t="shared" ca="1" si="3"/>
        <v>398.39449722029599</v>
      </c>
    </row>
    <row r="142" spans="1:5" ht="16.5" x14ac:dyDescent="0.45">
      <c r="B142" s="110"/>
      <c r="D142" t="s">
        <v>346</v>
      </c>
      <c r="E142" s="4">
        <f t="shared" ca="1" si="3"/>
        <v>433.80853192903368</v>
      </c>
    </row>
    <row r="143" spans="1:5" ht="16.5" x14ac:dyDescent="0.45">
      <c r="B143" s="110"/>
      <c r="D143" t="s">
        <v>347</v>
      </c>
      <c r="E143" s="4">
        <f t="shared" si="3"/>
        <v>328.47153192903374</v>
      </c>
    </row>
    <row r="144" spans="1:5" ht="16.5" x14ac:dyDescent="0.45">
      <c r="B144" s="110"/>
      <c r="D144" t="s">
        <v>348</v>
      </c>
      <c r="E144" s="4">
        <f t="shared" si="3"/>
        <v>485.62952643897364</v>
      </c>
    </row>
    <row r="145" spans="1:5" ht="16.5" x14ac:dyDescent="0.45">
      <c r="B145" s="110"/>
      <c r="D145" t="s">
        <v>349</v>
      </c>
      <c r="E145" s="4">
        <f t="shared" si="3"/>
        <v>253.06733289990754</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0.23468959248502486</v>
      </c>
      <c r="C162" s="36"/>
      <c r="D162" t="s">
        <v>355</v>
      </c>
      <c r="E162" s="115">
        <f t="shared" ref="E162:E177" ca="1" si="4">($H41*$E130)/SUMPRODUCT($H$41:$H$56,$E$130:$E$145)</f>
        <v>1.2111086204750652E-2</v>
      </c>
    </row>
    <row r="163" spans="1:9" ht="16.5" x14ac:dyDescent="0.45">
      <c r="A163" t="s">
        <v>356</v>
      </c>
      <c r="B163" s="115">
        <f t="shared" ref="B163:B171" ca="1" si="5">($H25*$B131)/SUMPRODUCT($H$24:$H$33,$B$130:$B$139)</f>
        <v>0.22568940626746498</v>
      </c>
      <c r="C163" s="4"/>
      <c r="D163" t="s">
        <v>357</v>
      </c>
      <c r="E163" s="115">
        <f t="shared" ca="1" si="4"/>
        <v>4.2592499397834341E-2</v>
      </c>
    </row>
    <row r="164" spans="1:9" ht="16.5" x14ac:dyDescent="0.45">
      <c r="A164" t="s">
        <v>358</v>
      </c>
      <c r="B164" s="115">
        <f t="shared" ca="1" si="5"/>
        <v>0.17454801435601205</v>
      </c>
      <c r="C164" s="4"/>
      <c r="D164" t="s">
        <v>359</v>
      </c>
      <c r="E164" s="115">
        <f t="shared" ca="1" si="4"/>
        <v>8.7395967748772424E-2</v>
      </c>
      <c r="H164" s="116"/>
      <c r="I164" s="116"/>
    </row>
    <row r="165" spans="1:9" ht="16.5" x14ac:dyDescent="0.45">
      <c r="A165" t="s">
        <v>360</v>
      </c>
      <c r="B165" s="115">
        <f t="shared" ca="1" si="5"/>
        <v>6.5824380099885407E-3</v>
      </c>
      <c r="C165" s="4"/>
      <c r="D165" t="s">
        <v>361</v>
      </c>
      <c r="E165" s="115">
        <f t="shared" ca="1" si="4"/>
        <v>1.0848177102061715E-2</v>
      </c>
    </row>
    <row r="166" spans="1:9" ht="16.5" x14ac:dyDescent="0.45">
      <c r="A166" t="s">
        <v>362</v>
      </c>
      <c r="B166" s="115">
        <f t="shared" ca="1" si="5"/>
        <v>0</v>
      </c>
      <c r="C166" s="4"/>
      <c r="D166" t="s">
        <v>363</v>
      </c>
      <c r="E166" s="115">
        <f t="shared" ca="1" si="4"/>
        <v>0.19369203421733272</v>
      </c>
    </row>
    <row r="167" spans="1:9" ht="16.5" x14ac:dyDescent="0.45">
      <c r="A167" t="s">
        <v>364</v>
      </c>
      <c r="B167" s="115">
        <f t="shared" ca="1" si="5"/>
        <v>0</v>
      </c>
      <c r="C167" s="4"/>
      <c r="D167" t="s">
        <v>365</v>
      </c>
      <c r="E167" s="115">
        <f t="shared" ca="1" si="4"/>
        <v>8.6697162274872758E-2</v>
      </c>
    </row>
    <row r="168" spans="1:9" ht="16.5" x14ac:dyDescent="0.45">
      <c r="A168" t="s">
        <v>366</v>
      </c>
      <c r="B168" s="115">
        <f t="shared" ca="1" si="5"/>
        <v>0.26550516112872896</v>
      </c>
      <c r="C168" s="4"/>
      <c r="D168" t="s">
        <v>367</v>
      </c>
      <c r="E168" s="115">
        <f t="shared" ca="1" si="4"/>
        <v>1.9541466210500447E-2</v>
      </c>
    </row>
    <row r="169" spans="1:9" ht="16.5" x14ac:dyDescent="0.45">
      <c r="A169" t="s">
        <v>368</v>
      </c>
      <c r="B169" s="115">
        <f t="shared" ca="1" si="5"/>
        <v>8.5480950506504325E-2</v>
      </c>
      <c r="C169" s="4"/>
      <c r="D169" t="s">
        <v>369</v>
      </c>
      <c r="E169" s="115">
        <f t="shared" ca="1" si="4"/>
        <v>4.1180629198670987E-3</v>
      </c>
    </row>
    <row r="170" spans="1:9" ht="16.5" x14ac:dyDescent="0.45">
      <c r="A170" t="s">
        <v>370</v>
      </c>
      <c r="B170" s="115">
        <f t="shared" ca="1" si="5"/>
        <v>3.9298137373065915E-3</v>
      </c>
      <c r="D170" t="s">
        <v>371</v>
      </c>
      <c r="E170" s="115">
        <f t="shared" ca="1" si="4"/>
        <v>2.2703548548399712E-2</v>
      </c>
    </row>
    <row r="171" spans="1:9" ht="16.5" x14ac:dyDescent="0.45">
      <c r="A171" t="s">
        <v>372</v>
      </c>
      <c r="B171" s="115">
        <f t="shared" ca="1" si="5"/>
        <v>3.5746235089697612E-3</v>
      </c>
      <c r="D171" t="s">
        <v>373</v>
      </c>
      <c r="E171" s="115">
        <f t="shared" ca="1" si="4"/>
        <v>2.1386864321441355E-2</v>
      </c>
    </row>
    <row r="172" spans="1:9" ht="16.5" x14ac:dyDescent="0.45">
      <c r="B172" s="233">
        <f ca="1">SUM(B162:B171)</f>
        <v>1</v>
      </c>
      <c r="D172" t="s">
        <v>374</v>
      </c>
      <c r="E172" s="115">
        <f t="shared" ca="1" si="4"/>
        <v>4.8800561607798311E-2</v>
      </c>
    </row>
    <row r="173" spans="1:9" ht="16.5" x14ac:dyDescent="0.45">
      <c r="B173" s="115"/>
      <c r="D173" t="s">
        <v>375</v>
      </c>
      <c r="E173" s="115">
        <f t="shared" ca="1" si="4"/>
        <v>0.17744100146540329</v>
      </c>
    </row>
    <row r="174" spans="1:9" ht="16.5" x14ac:dyDescent="0.45">
      <c r="B174" s="115"/>
      <c r="D174" t="s">
        <v>376</v>
      </c>
      <c r="E174" s="115">
        <f t="shared" ca="1" si="4"/>
        <v>7.9550175407997428E-2</v>
      </c>
    </row>
    <row r="175" spans="1:9" ht="16.5" x14ac:dyDescent="0.45">
      <c r="B175" s="115"/>
      <c r="D175" t="s">
        <v>377</v>
      </c>
      <c r="E175" s="115">
        <f t="shared" ca="1" si="4"/>
        <v>0</v>
      </c>
    </row>
    <row r="176" spans="1:9" ht="16.5" x14ac:dyDescent="0.45">
      <c r="B176" s="115"/>
      <c r="D176" t="s">
        <v>378</v>
      </c>
      <c r="E176" s="115">
        <f t="shared" ca="1" si="4"/>
        <v>0.19029258825879525</v>
      </c>
    </row>
    <row r="177" spans="1:5" ht="16.5" x14ac:dyDescent="0.45">
      <c r="B177" s="115"/>
      <c r="D177" t="s">
        <v>379</v>
      </c>
      <c r="E177" s="115">
        <f t="shared" ca="1" si="4"/>
        <v>2.8288043141723876E-3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1185.4742533137444</v>
      </c>
      <c r="C193" s="47"/>
      <c r="D193" t="s">
        <v>383</v>
      </c>
      <c r="E193" s="6">
        <f t="shared" ref="E193:E208" ca="1" si="7">$E162*$D$8</f>
        <v>26.218304642992813</v>
      </c>
    </row>
    <row r="194" spans="1:5" ht="16.5" x14ac:dyDescent="0.45">
      <c r="A194" t="s">
        <v>384</v>
      </c>
      <c r="B194" s="7">
        <f t="shared" ca="1" si="6"/>
        <v>1140.0121221515915</v>
      </c>
      <c r="D194" t="s">
        <v>385</v>
      </c>
      <c r="E194" s="6">
        <f t="shared" ca="1" si="7"/>
        <v>92.205034778868523</v>
      </c>
    </row>
    <row r="195" spans="1:5" ht="16.5" x14ac:dyDescent="0.45">
      <c r="A195" t="s">
        <v>386</v>
      </c>
      <c r="B195" s="7">
        <f t="shared" ca="1" si="6"/>
        <v>881.68450417882718</v>
      </c>
      <c r="D195" t="s">
        <v>387</v>
      </c>
      <c r="E195" s="6">
        <f t="shared" ca="1" si="7"/>
        <v>189.1964162642723</v>
      </c>
    </row>
    <row r="196" spans="1:5" ht="16.5" x14ac:dyDescent="0.45">
      <c r="A196" t="s">
        <v>388</v>
      </c>
      <c r="B196" s="7">
        <f t="shared" ca="1" si="6"/>
        <v>33.249496504081627</v>
      </c>
      <c r="D196" t="s">
        <v>389</v>
      </c>
      <c r="E196" s="6">
        <f t="shared" ca="1" si="7"/>
        <v>23.484335531475871</v>
      </c>
    </row>
    <row r="197" spans="1:5" ht="16.5" x14ac:dyDescent="0.45">
      <c r="A197" t="s">
        <v>390</v>
      </c>
      <c r="B197" s="7">
        <f t="shared" ca="1" si="6"/>
        <v>0</v>
      </c>
      <c r="D197" t="s">
        <v>391</v>
      </c>
      <c r="E197" s="6">
        <f t="shared" ca="1" si="7"/>
        <v>419.30811771771801</v>
      </c>
    </row>
    <row r="198" spans="1:5" ht="16.5" x14ac:dyDescent="0.45">
      <c r="A198" t="s">
        <v>392</v>
      </c>
      <c r="B198" s="7">
        <f t="shared" ca="1" si="6"/>
        <v>0</v>
      </c>
      <c r="D198" t="s">
        <v>393</v>
      </c>
      <c r="E198" s="6">
        <f t="shared" ca="1" si="7"/>
        <v>187.68362917885747</v>
      </c>
    </row>
    <row r="199" spans="1:5" ht="16.5" x14ac:dyDescent="0.45">
      <c r="A199" t="s">
        <v>394</v>
      </c>
      <c r="B199" s="7">
        <f t="shared" ca="1" si="6"/>
        <v>1341.1311908094476</v>
      </c>
      <c r="D199" t="s">
        <v>395</v>
      </c>
      <c r="E199" s="6">
        <f t="shared" ca="1" si="7"/>
        <v>42.303729460424506</v>
      </c>
    </row>
    <row r="200" spans="1:5" ht="16.5" x14ac:dyDescent="0.45">
      <c r="A200" t="s">
        <v>396</v>
      </c>
      <c r="B200" s="7">
        <f t="shared" ca="1" si="6"/>
        <v>431.7850864252253</v>
      </c>
      <c r="D200" t="s">
        <v>397</v>
      </c>
      <c r="E200" s="6">
        <f t="shared" ca="1" si="7"/>
        <v>8.9148591915510185</v>
      </c>
    </row>
    <row r="201" spans="1:5" ht="16.5" x14ac:dyDescent="0.45">
      <c r="A201" t="s">
        <v>398</v>
      </c>
      <c r="B201" s="7">
        <f t="shared" ca="1" si="6"/>
        <v>19.850445674078582</v>
      </c>
      <c r="D201" t="s">
        <v>399</v>
      </c>
      <c r="E201" s="6">
        <f t="shared" ca="1" si="7"/>
        <v>49.149064109991286</v>
      </c>
    </row>
    <row r="202" spans="1:5" ht="16.5" x14ac:dyDescent="0.45">
      <c r="A202" t="s">
        <v>400</v>
      </c>
      <c r="B202" s="7">
        <f t="shared" ca="1" si="6"/>
        <v>18.056293380133933</v>
      </c>
      <c r="D202" t="s">
        <v>401</v>
      </c>
      <c r="E202" s="6">
        <f t="shared" ca="1" si="7"/>
        <v>46.298681609412888</v>
      </c>
    </row>
    <row r="203" spans="1:5" ht="16.5" x14ac:dyDescent="0.45">
      <c r="B203" s="7">
        <f ca="1">SUM(B193:B202)</f>
        <v>5051.2433924371298</v>
      </c>
      <c r="D203" t="s">
        <v>402</v>
      </c>
      <c r="E203" s="6">
        <f t="shared" ca="1" si="7"/>
        <v>105.64436330083387</v>
      </c>
    </row>
    <row r="204" spans="1:5" ht="16.5" x14ac:dyDescent="0.45">
      <c r="B204" s="7"/>
      <c r="D204" t="s">
        <v>403</v>
      </c>
      <c r="E204" s="6">
        <f t="shared" ca="1" si="7"/>
        <v>384.12757979980529</v>
      </c>
    </row>
    <row r="205" spans="1:5" ht="16.5" x14ac:dyDescent="0.45">
      <c r="B205" s="7"/>
      <c r="D205" t="s">
        <v>404</v>
      </c>
      <c r="E205" s="6">
        <f t="shared" ca="1" si="7"/>
        <v>172.21169909865506</v>
      </c>
    </row>
    <row r="206" spans="1:5" ht="16.5" x14ac:dyDescent="0.45">
      <c r="B206" s="7"/>
      <c r="D206" t="s">
        <v>405</v>
      </c>
      <c r="E206" s="6">
        <f t="shared" ca="1" si="7"/>
        <v>0</v>
      </c>
    </row>
    <row r="207" spans="1:5" ht="16.5" x14ac:dyDescent="0.45">
      <c r="B207" s="7"/>
      <c r="D207" t="s">
        <v>406</v>
      </c>
      <c r="E207" s="6">
        <f t="shared" ca="1" si="7"/>
        <v>411.94893388799966</v>
      </c>
    </row>
    <row r="208" spans="1:5" ht="16.5" x14ac:dyDescent="0.45">
      <c r="B208" s="7"/>
      <c r="D208" t="s">
        <v>407</v>
      </c>
      <c r="E208" s="6">
        <f t="shared" ca="1" si="7"/>
        <v>6.1238481859118243</v>
      </c>
    </row>
    <row r="209" spans="1:5" x14ac:dyDescent="0.35">
      <c r="B209" s="7"/>
      <c r="E209" s="6">
        <f ca="1">SUM(E193:E208)</f>
        <v>2164.8185967587706</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6.1411554105182509</v>
      </c>
      <c r="D226" s="121"/>
      <c r="E226" s="8"/>
      <c r="F226" s="8"/>
      <c r="G226" s="122"/>
      <c r="H226" s="48" t="s">
        <v>415</v>
      </c>
      <c r="I226" s="48" t="str">
        <f t="shared" ref="I226:I241" si="8">B41</f>
        <v>NTS MG 1</v>
      </c>
      <c r="J226" s="12">
        <f ca="1">IFERROR($E193/$H41*1000000," ")</f>
        <v>3.172406624744311</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4.1865126466299731</v>
      </c>
      <c r="D227" s="121"/>
      <c r="E227" s="8"/>
      <c r="F227" s="8"/>
      <c r="G227" s="122"/>
      <c r="H227" s="48" t="s">
        <v>417</v>
      </c>
      <c r="I227" s="48" t="str">
        <f t="shared" si="8"/>
        <v>NTS MG 2</v>
      </c>
      <c r="J227" s="12">
        <f t="shared" ref="J227:J241" ca="1" si="11">IFERROR($E194/$H42*1000000," ")</f>
        <v>4.0358555456975278</v>
      </c>
      <c r="L227" s="21"/>
      <c r="M227" s="123"/>
      <c r="Q227" s="8"/>
      <c r="R227" s="124"/>
      <c r="S227" s="125"/>
      <c r="T227" s="125"/>
      <c r="U227" s="125"/>
    </row>
    <row r="228" spans="1:22" ht="16.5" x14ac:dyDescent="0.35">
      <c r="A228" s="48" t="s">
        <v>418</v>
      </c>
      <c r="B228" s="48" t="str">
        <f t="shared" si="9"/>
        <v>PR-ITABORAÍ</v>
      </c>
      <c r="C228" s="12">
        <f t="shared" ca="1" si="10"/>
        <v>4.8153564573955441</v>
      </c>
      <c r="D228" s="121"/>
      <c r="E228" s="8"/>
      <c r="F228" s="8"/>
      <c r="G228" s="122"/>
      <c r="H228" s="48" t="s">
        <v>419</v>
      </c>
      <c r="I228" s="48" t="str">
        <f t="shared" si="8"/>
        <v>NTS MG 3</v>
      </c>
      <c r="J228" s="12">
        <f t="shared" ca="1" si="11"/>
        <v>5.0770453434957652</v>
      </c>
      <c r="L228" s="21"/>
      <c r="M228" s="123"/>
      <c r="Q228" s="8"/>
      <c r="R228" s="124"/>
      <c r="S228" s="125"/>
      <c r="T228" s="125"/>
      <c r="U228" s="125"/>
    </row>
    <row r="229" spans="1:22" ht="16.5" x14ac:dyDescent="0.35">
      <c r="A229" s="48" t="s">
        <v>420</v>
      </c>
      <c r="B229" s="48" t="str">
        <f t="shared" si="9"/>
        <v>PR-GASPAJ (INTERCONEXÃO)</v>
      </c>
      <c r="C229" s="12">
        <f t="shared" ca="1" si="10"/>
        <v>7.2897594894802857</v>
      </c>
      <c r="D229" s="121"/>
      <c r="E229" s="8"/>
      <c r="F229" s="8"/>
      <c r="G229" s="122"/>
      <c r="H229" s="48" t="s">
        <v>421</v>
      </c>
      <c r="I229" s="48" t="str">
        <f t="shared" si="8"/>
        <v>NTS MG 4</v>
      </c>
      <c r="J229" s="12">
        <f t="shared" ca="1" si="11"/>
        <v>5.1488045171962158</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1.7308404068420846</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1.6398719629523677</v>
      </c>
      <c r="L231" s="21"/>
      <c r="M231" s="123"/>
      <c r="Q231" s="8"/>
      <c r="R231" s="124"/>
      <c r="S231" s="125"/>
      <c r="T231" s="125"/>
      <c r="U231" s="125"/>
    </row>
    <row r="232" spans="1:22" ht="16.5" x14ac:dyDescent="0.35">
      <c r="A232" s="48" t="s">
        <v>426</v>
      </c>
      <c r="B232" s="48" t="str">
        <f t="shared" si="9"/>
        <v>PR-TECAB</v>
      </c>
      <c r="C232" s="12">
        <f t="shared" ca="1" si="10"/>
        <v>6.6308856825594269</v>
      </c>
      <c r="D232" s="121"/>
      <c r="E232" s="8"/>
      <c r="F232" s="8"/>
      <c r="G232" s="122"/>
      <c r="H232" s="48" t="s">
        <v>427</v>
      </c>
      <c r="I232" s="48" t="str">
        <f t="shared" si="8"/>
        <v>NTS RJ 3</v>
      </c>
      <c r="J232" s="12">
        <f t="shared" ca="1" si="11"/>
        <v>1.812761931304721</v>
      </c>
      <c r="L232" s="21"/>
      <c r="M232" s="123"/>
      <c r="Q232" s="8"/>
      <c r="R232" s="124"/>
      <c r="S232" s="125"/>
      <c r="T232" s="125"/>
      <c r="U232" s="125"/>
    </row>
    <row r="233" spans="1:22" ht="16.5" x14ac:dyDescent="0.35">
      <c r="A233" s="48" t="s">
        <v>428</v>
      </c>
      <c r="B233" s="48" t="str">
        <f t="shared" si="9"/>
        <v>PR-GUARAREMA (INTERCONEXÃO)</v>
      </c>
      <c r="C233" s="12">
        <f t="shared" ca="1" si="10"/>
        <v>5.2855394833688987</v>
      </c>
      <c r="D233" s="121"/>
      <c r="E233" s="8"/>
      <c r="F233" s="8"/>
      <c r="G233" s="122"/>
      <c r="H233" s="48" t="s">
        <v>429</v>
      </c>
      <c r="I233" s="48" t="str">
        <f t="shared" si="8"/>
        <v>NTS RJ 4</v>
      </c>
      <c r="J233" s="12">
        <f t="shared" ca="1" si="11"/>
        <v>2.0271453961505941</v>
      </c>
      <c r="L233" s="21"/>
      <c r="M233" s="123"/>
      <c r="Q233" s="8"/>
      <c r="R233" s="124"/>
      <c r="S233" s="125"/>
      <c r="T233" s="125"/>
      <c r="U233" s="125"/>
    </row>
    <row r="234" spans="1:22" ht="16.5" x14ac:dyDescent="0.35">
      <c r="A234" s="48" t="s">
        <v>430</v>
      </c>
      <c r="B234" s="48" t="str">
        <f t="shared" si="9"/>
        <v>PR-REPLAN (INTERCONEXÃO)</v>
      </c>
      <c r="C234" s="12">
        <f t="shared" ca="1" si="10"/>
        <v>7.2897594894802848</v>
      </c>
      <c r="D234" s="116"/>
      <c r="E234" s="8"/>
      <c r="F234" s="8"/>
      <c r="G234" s="116"/>
      <c r="H234" s="48" t="s">
        <v>431</v>
      </c>
      <c r="I234" s="48" t="str">
        <f t="shared" si="8"/>
        <v>NTS RJ 5</v>
      </c>
      <c r="J234" s="12">
        <f t="shared" ca="1" si="11"/>
        <v>1.6963542945682106</v>
      </c>
      <c r="L234" s="21"/>
      <c r="Q234" s="8"/>
      <c r="R234" s="124"/>
      <c r="S234" s="125"/>
      <c r="T234" s="125"/>
      <c r="U234" s="125"/>
    </row>
    <row r="235" spans="1:22" ht="16.5" x14ac:dyDescent="0.35">
      <c r="A235" s="48" t="s">
        <v>432</v>
      </c>
      <c r="B235" s="48" t="str">
        <f t="shared" si="9"/>
        <v>PR-TECAB (INTERCONEXÃO)</v>
      </c>
      <c r="C235" s="12">
        <f t="shared" ca="1" si="10"/>
        <v>6.6308856825594269</v>
      </c>
      <c r="D235" s="116"/>
      <c r="E235" s="8"/>
      <c r="F235" s="8"/>
      <c r="G235" s="116"/>
      <c r="H235" s="48" t="s">
        <v>433</v>
      </c>
      <c r="I235" s="48" t="str">
        <f t="shared" si="8"/>
        <v>NTS SP 1</v>
      </c>
      <c r="J235" s="12">
        <f t="shared" ca="1" si="11"/>
        <v>2.7489817614357364</v>
      </c>
      <c r="L235" s="21"/>
      <c r="Q235" s="8"/>
      <c r="R235" s="124"/>
      <c r="S235" s="125"/>
      <c r="T235" s="125"/>
      <c r="U235" s="125"/>
    </row>
    <row r="236" spans="1:22" ht="16.5" x14ac:dyDescent="0.35">
      <c r="D236" s="116"/>
      <c r="E236" s="8"/>
      <c r="F236" s="8"/>
      <c r="G236" s="116"/>
      <c r="H236" s="48" t="s">
        <v>434</v>
      </c>
      <c r="I236" s="48" t="str">
        <f t="shared" si="8"/>
        <v>NTS SP 2</v>
      </c>
      <c r="J236" s="12">
        <f t="shared" ca="1" si="11"/>
        <v>2.6107810917633905</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3.5403369430917224</v>
      </c>
      <c r="L237" s="21"/>
      <c r="Q237" s="8"/>
      <c r="R237" s="124"/>
      <c r="S237" s="125"/>
      <c r="T237" s="125"/>
      <c r="U237" s="125"/>
    </row>
    <row r="238" spans="1:22" ht="16.5" x14ac:dyDescent="0.35">
      <c r="D238" s="116"/>
      <c r="E238" s="8"/>
      <c r="F238" s="8"/>
      <c r="G238" s="116"/>
      <c r="H238" s="48" t="s">
        <v>436</v>
      </c>
      <c r="I238" s="48" t="str">
        <f t="shared" si="8"/>
        <v>NTS SP 4</v>
      </c>
      <c r="J238" s="12">
        <f t="shared" ca="1" si="11"/>
        <v>3.8550441397474731</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4.3155519594371752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2.2488855493900397</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1.22823108210365</v>
      </c>
      <c r="D245" s="12">
        <f t="shared" ref="D245:D254" si="13">$F$7*$C$11</f>
        <v>4.2879994239482206</v>
      </c>
      <c r="E245" s="12">
        <f ca="1">IFERROR(C245+D245," ")</f>
        <v>5.5162305060518708</v>
      </c>
      <c r="G245" s="123"/>
      <c r="H245" s="48" t="s">
        <v>415</v>
      </c>
      <c r="I245" s="48" t="str">
        <f t="shared" ref="I245:I260" si="14">I226</f>
        <v>NTS MG 1</v>
      </c>
      <c r="J245" s="12">
        <f ca="1">IF(H41=0," ",J226*(1-$C$11))</f>
        <v>0.63448132494886211</v>
      </c>
      <c r="K245" s="12">
        <f t="shared" ref="K245:K260" si="15">$F$10*$C$11</f>
        <v>2.17840446150948</v>
      </c>
      <c r="L245" s="12">
        <f ca="1">IFERROR(J245+K245," ")</f>
        <v>2.8128857864583421</v>
      </c>
    </row>
    <row r="246" spans="1:22" ht="16.5" x14ac:dyDescent="0.35">
      <c r="A246" s="48" t="s">
        <v>416</v>
      </c>
      <c r="B246" s="48" t="str">
        <f t="shared" si="12"/>
        <v>PR-GNLBGB</v>
      </c>
      <c r="C246" s="12">
        <f t="shared" ref="C246:C254" ca="1" si="16">IF(H25=0," ",C227*(1-$C$11))</f>
        <v>0.83730252932599447</v>
      </c>
      <c r="D246" s="12">
        <f t="shared" si="13"/>
        <v>4.2879994239482206</v>
      </c>
      <c r="E246" s="12">
        <f t="shared" ref="E246:E254" ca="1" si="17">IFERROR(C246+D246," ")</f>
        <v>5.1253019532742154</v>
      </c>
      <c r="G246" s="123"/>
      <c r="H246" s="48" t="s">
        <v>417</v>
      </c>
      <c r="I246" s="48" t="str">
        <f t="shared" si="14"/>
        <v>NTS MG 2</v>
      </c>
      <c r="J246" s="12">
        <f t="shared" ref="J246:J247" ca="1" si="18">IF(H42=0," ",J227*(1-$C$11))</f>
        <v>0.8071711091395054</v>
      </c>
      <c r="K246" s="12">
        <f t="shared" si="15"/>
        <v>2.17840446150948</v>
      </c>
      <c r="L246" s="12">
        <f t="shared" ref="L246:L260" ca="1" si="19">IFERROR(J246+K246," ")</f>
        <v>2.9855755706489853</v>
      </c>
    </row>
    <row r="247" spans="1:22" ht="16.5" x14ac:dyDescent="0.35">
      <c r="A247" s="48" t="s">
        <v>418</v>
      </c>
      <c r="B247" s="48" t="str">
        <f t="shared" si="12"/>
        <v>PR-ITABORAÍ</v>
      </c>
      <c r="C247" s="12">
        <f t="shared" ca="1" si="16"/>
        <v>0.96307129147910864</v>
      </c>
      <c r="D247" s="12">
        <f t="shared" si="13"/>
        <v>4.2879994239482206</v>
      </c>
      <c r="E247" s="12">
        <f t="shared" ca="1" si="17"/>
        <v>5.2510707154273293</v>
      </c>
      <c r="G247" s="123"/>
      <c r="H247" s="48" t="s">
        <v>419</v>
      </c>
      <c r="I247" s="48" t="str">
        <f t="shared" si="14"/>
        <v>NTS MG 3</v>
      </c>
      <c r="J247" s="12">
        <f t="shared" ca="1" si="18"/>
        <v>1.0154090686991528</v>
      </c>
      <c r="K247" s="12">
        <f t="shared" si="15"/>
        <v>2.17840446150948</v>
      </c>
      <c r="L247" s="12">
        <f t="shared" ca="1" si="19"/>
        <v>3.193813530208633</v>
      </c>
    </row>
    <row r="248" spans="1:22" ht="16.5" x14ac:dyDescent="0.35">
      <c r="A248" s="48" t="s">
        <v>420</v>
      </c>
      <c r="B248" s="48" t="str">
        <f t="shared" si="12"/>
        <v>PR-GASPAJ (INTERCONEXÃO)</v>
      </c>
      <c r="C248" s="12">
        <f t="shared" ca="1" si="16"/>
        <v>1.4579518978960568</v>
      </c>
      <c r="D248" s="12">
        <f t="shared" si="13"/>
        <v>4.2879994239482206</v>
      </c>
      <c r="E248" s="12">
        <f t="shared" ca="1" si="17"/>
        <v>5.7459513218442773</v>
      </c>
      <c r="G248" s="123"/>
      <c r="H248" s="48" t="s">
        <v>421</v>
      </c>
      <c r="I248" s="48" t="str">
        <f t="shared" si="14"/>
        <v>NTS MG 4</v>
      </c>
      <c r="J248" s="12">
        <f ca="1">IF(H44=0," ",J229*(1-$C$11))</f>
        <v>1.029760903439243</v>
      </c>
      <c r="K248" s="12">
        <f t="shared" si="15"/>
        <v>2.17840446150948</v>
      </c>
      <c r="L248" s="12">
        <f t="shared" ca="1" si="19"/>
        <v>3.208165364948723</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0.34616808136841687</v>
      </c>
      <c r="K249" s="12">
        <f t="shared" si="15"/>
        <v>2.17840446150948</v>
      </c>
      <c r="L249" s="12">
        <f t="shared" ca="1" si="19"/>
        <v>2.5245725428778969</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0.32797439259047345</v>
      </c>
      <c r="K250" s="12">
        <f t="shared" si="15"/>
        <v>2.17840446150948</v>
      </c>
      <c r="L250" s="12">
        <f t="shared" ca="1" si="19"/>
        <v>2.5063788540999532</v>
      </c>
    </row>
    <row r="251" spans="1:22" ht="16.5" x14ac:dyDescent="0.35">
      <c r="A251" s="48" t="s">
        <v>426</v>
      </c>
      <c r="B251" s="48" t="str">
        <f t="shared" si="12"/>
        <v>PR-TECAB</v>
      </c>
      <c r="C251" s="12">
        <f t="shared" ca="1" si="16"/>
        <v>1.3261771365118851</v>
      </c>
      <c r="D251" s="12">
        <f t="shared" si="13"/>
        <v>4.2879994239482206</v>
      </c>
      <c r="E251" s="12">
        <f t="shared" ca="1" si="17"/>
        <v>5.6141765604601055</v>
      </c>
      <c r="G251" s="123"/>
      <c r="H251" s="48" t="s">
        <v>427</v>
      </c>
      <c r="I251" s="48" t="str">
        <f t="shared" si="14"/>
        <v>NTS RJ 3</v>
      </c>
      <c r="J251" s="12">
        <f t="shared" ca="1" si="20"/>
        <v>0.3625523862609441</v>
      </c>
      <c r="K251" s="12">
        <f t="shared" si="15"/>
        <v>2.17840446150948</v>
      </c>
      <c r="L251" s="12">
        <f t="shared" ca="1" si="19"/>
        <v>2.5409568477704241</v>
      </c>
    </row>
    <row r="252" spans="1:22" ht="16.5" x14ac:dyDescent="0.35">
      <c r="A252" s="48" t="s">
        <v>428</v>
      </c>
      <c r="B252" s="48" t="str">
        <f t="shared" si="12"/>
        <v>PR-GUARAREMA (INTERCONEXÃO)</v>
      </c>
      <c r="C252" s="12">
        <f t="shared" ca="1" si="16"/>
        <v>1.0571078966737795</v>
      </c>
      <c r="D252" s="12">
        <f t="shared" si="13"/>
        <v>4.2879994239482206</v>
      </c>
      <c r="E252" s="12">
        <f t="shared" ca="1" si="17"/>
        <v>5.3451073206220006</v>
      </c>
      <c r="G252" s="123"/>
      <c r="H252" s="48" t="s">
        <v>429</v>
      </c>
      <c r="I252" s="48" t="str">
        <f t="shared" si="14"/>
        <v>NTS RJ 4</v>
      </c>
      <c r="J252" s="12">
        <f t="shared" ca="1" si="20"/>
        <v>0.40542907923011873</v>
      </c>
      <c r="K252" s="12">
        <f t="shared" si="15"/>
        <v>2.17840446150948</v>
      </c>
      <c r="L252" s="12">
        <f t="shared" ca="1" si="19"/>
        <v>2.5838335407395987</v>
      </c>
    </row>
    <row r="253" spans="1:22" ht="16.5" x14ac:dyDescent="0.35">
      <c r="A253" s="48" t="s">
        <v>430</v>
      </c>
      <c r="B253" s="48" t="str">
        <f t="shared" si="12"/>
        <v>PR-REPLAN (INTERCONEXÃO)</v>
      </c>
      <c r="C253" s="12">
        <f t="shared" ca="1" si="16"/>
        <v>1.4579518978960566</v>
      </c>
      <c r="D253" s="12">
        <f t="shared" si="13"/>
        <v>4.2879994239482206</v>
      </c>
      <c r="E253" s="12">
        <f t="shared" ca="1" si="17"/>
        <v>5.7459513218442773</v>
      </c>
      <c r="G253" s="123"/>
      <c r="H253" s="48" t="s">
        <v>431</v>
      </c>
      <c r="I253" s="48" t="str">
        <f t="shared" si="14"/>
        <v>NTS RJ 5</v>
      </c>
      <c r="J253" s="12">
        <f t="shared" ca="1" si="20"/>
        <v>0.33927085891364206</v>
      </c>
      <c r="K253" s="12">
        <f t="shared" si="15"/>
        <v>2.17840446150948</v>
      </c>
      <c r="L253" s="12">
        <f t="shared" ca="1" si="19"/>
        <v>2.5176753204231219</v>
      </c>
    </row>
    <row r="254" spans="1:22" ht="16.5" x14ac:dyDescent="0.35">
      <c r="A254" s="48" t="s">
        <v>432</v>
      </c>
      <c r="B254" s="48" t="str">
        <f t="shared" si="12"/>
        <v>PR-TECAB (INTERCONEXÃO)</v>
      </c>
      <c r="C254" s="12">
        <f t="shared" ca="1" si="16"/>
        <v>1.3261771365118851</v>
      </c>
      <c r="D254" s="12">
        <f t="shared" si="13"/>
        <v>4.2879994239482206</v>
      </c>
      <c r="E254" s="12">
        <f t="shared" ca="1" si="17"/>
        <v>5.6141765604601055</v>
      </c>
      <c r="G254" s="123"/>
      <c r="H254" s="48" t="s">
        <v>433</v>
      </c>
      <c r="I254" s="48" t="str">
        <f t="shared" si="14"/>
        <v>NTS SP 1</v>
      </c>
      <c r="J254" s="12">
        <f t="shared" ca="1" si="20"/>
        <v>0.54979635228714718</v>
      </c>
      <c r="K254" s="12">
        <f t="shared" si="15"/>
        <v>2.17840446150948</v>
      </c>
      <c r="L254" s="12">
        <f t="shared" ca="1" si="19"/>
        <v>2.7282008137966272</v>
      </c>
    </row>
    <row r="255" spans="1:22" ht="16.5" x14ac:dyDescent="0.35">
      <c r="H255" s="48" t="s">
        <v>434</v>
      </c>
      <c r="I255" s="48" t="str">
        <f t="shared" si="14"/>
        <v>NTS SP 2</v>
      </c>
      <c r="J255" s="12">
        <f t="shared" ca="1" si="20"/>
        <v>0.522156218352678</v>
      </c>
      <c r="K255" s="12">
        <f t="shared" si="15"/>
        <v>2.17840446150948</v>
      </c>
      <c r="L255" s="12">
        <f t="shared" ca="1" si="19"/>
        <v>2.700560679862158</v>
      </c>
    </row>
    <row r="256" spans="1:22" ht="16.5" x14ac:dyDescent="0.35">
      <c r="H256" s="48" t="s">
        <v>435</v>
      </c>
      <c r="I256" s="48" t="str">
        <f t="shared" si="14"/>
        <v>NTS SP 3</v>
      </c>
      <c r="J256" s="12">
        <f t="shared" ca="1" si="20"/>
        <v>0.70806738861834428</v>
      </c>
      <c r="K256" s="12">
        <f t="shared" si="15"/>
        <v>2.17840446150948</v>
      </c>
      <c r="L256" s="12">
        <f t="shared" ca="1" si="19"/>
        <v>2.8864718501278244</v>
      </c>
    </row>
    <row r="257" spans="1:13" ht="16.5" x14ac:dyDescent="0.35">
      <c r="H257" s="48" t="s">
        <v>436</v>
      </c>
      <c r="I257" s="48" t="str">
        <f t="shared" si="14"/>
        <v>NTS SP 4</v>
      </c>
      <c r="J257" s="12">
        <f t="shared" ca="1" si="20"/>
        <v>0.77100882794949444</v>
      </c>
      <c r="K257" s="12">
        <f t="shared" si="15"/>
        <v>2.17840446150948</v>
      </c>
      <c r="L257" s="12">
        <f t="shared" ca="1" si="19"/>
        <v>2.9494132894589744</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0.86311039188743488</v>
      </c>
      <c r="K259" s="12">
        <f t="shared" si="15"/>
        <v>2.17840446150948</v>
      </c>
      <c r="L259" s="12">
        <f t="shared" ca="1" si="19"/>
        <v>3.0415148533969147</v>
      </c>
    </row>
    <row r="260" spans="1:13" ht="16.5" x14ac:dyDescent="0.35">
      <c r="H260" s="48" t="s">
        <v>439</v>
      </c>
      <c r="I260" s="48" t="str">
        <f t="shared" si="14"/>
        <v>PE-TECAB (INTERCONEXÃO)</v>
      </c>
      <c r="J260" s="12">
        <f t="shared" ca="1" si="20"/>
        <v>0.44977710987800784</v>
      </c>
      <c r="K260" s="12">
        <f t="shared" si="15"/>
        <v>2.17840446150948</v>
      </c>
      <c r="L260" s="12">
        <f t="shared" ca="1" si="19"/>
        <v>2.6281815713874876</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(Legados)'!I11</f>
        <v>200</v>
      </c>
      <c r="D267" s="265">
        <f ca="1">E253</f>
        <v>5.7459513218442773</v>
      </c>
      <c r="E267" s="268">
        <f ca="1">D267*(1-$C$262)</f>
        <v>0.57459513218442759</v>
      </c>
      <c r="F267" s="266">
        <f ca="1">C267*E267*'Premissas (Legados)'!$C$44*'Premissas (Legados)'!$F$20*1000</f>
        <v>1564656.4845488691</v>
      </c>
      <c r="L267" s="128"/>
    </row>
    <row r="268" spans="1:13" ht="18.5" x14ac:dyDescent="0.45">
      <c r="B268" s="247" t="s">
        <v>451</v>
      </c>
      <c r="C268" s="271">
        <f>'Oferta (Legados)'!I10</f>
        <v>6000</v>
      </c>
      <c r="D268" s="265">
        <f ca="1">E252</f>
        <v>5.3451073206220006</v>
      </c>
      <c r="E268" s="268">
        <f t="shared" ref="E268:E270" ca="1" si="21">D268*(1-$C$262)</f>
        <v>0.5345107320621999</v>
      </c>
      <c r="F268" s="266">
        <f ca="1">C268*E268*'Premissas (Legados)'!$C$44*'Premissas (Legados)'!$F$20*1000</f>
        <v>43665128.860523432</v>
      </c>
      <c r="G268" s="129"/>
      <c r="K268" s="129"/>
      <c r="L268" s="128"/>
    </row>
    <row r="269" spans="1:13" ht="18.5" x14ac:dyDescent="0.45">
      <c r="B269" s="248" t="s">
        <v>452</v>
      </c>
      <c r="C269" s="271">
        <f>'Oferta (Legados)'!I12</f>
        <v>200</v>
      </c>
      <c r="D269" s="265">
        <f ca="1">E254</f>
        <v>5.6141765604601055</v>
      </c>
      <c r="E269" s="268">
        <f t="shared" ca="1" si="21"/>
        <v>0.56141765604601046</v>
      </c>
      <c r="F269" s="266">
        <f ca="1">C269*E269*'Premissas (Legados)'!$C$44*'Premissas (Legados)'!$F$20*1000</f>
        <v>1528773.4386699761</v>
      </c>
      <c r="K269" s="129"/>
      <c r="L269" s="128"/>
    </row>
    <row r="270" spans="1:13" ht="18.5" x14ac:dyDescent="0.45">
      <c r="B270" s="248" t="s">
        <v>243</v>
      </c>
      <c r="C270" s="271">
        <f>'Oferta (Legados)'!I6</f>
        <v>335</v>
      </c>
      <c r="D270" s="265">
        <f ca="1">E248</f>
        <v>5.7459513218442773</v>
      </c>
      <c r="E270" s="268">
        <f t="shared" ca="1" si="21"/>
        <v>0.57459513218442759</v>
      </c>
      <c r="F270" s="266">
        <f ca="1">C270*E270*'Premissas (Legados)'!$C$44*'Premissas (Legados)'!$F$20*1000</f>
        <v>2620799.6116193552</v>
      </c>
      <c r="K270" s="129"/>
      <c r="L270" s="128"/>
    </row>
    <row r="271" spans="1:13" ht="18.5" x14ac:dyDescent="0.45">
      <c r="B271" s="246" t="s">
        <v>453</v>
      </c>
      <c r="C271" s="271">
        <f>'Demanda (Legados)'!I17</f>
        <v>7011</v>
      </c>
      <c r="D271" s="265">
        <f ca="1">L259</f>
        <v>3.0415148533969147</v>
      </c>
      <c r="E271" s="268">
        <f ca="1">D271*(1-$C$262)</f>
        <v>0.30415148533969139</v>
      </c>
      <c r="F271" s="266">
        <f ca="1">C271*E271*'Premissas (Legados)'!$C$44*'Premissas (Legados)'!$F$20*1000</f>
        <v>29033338.33164601</v>
      </c>
      <c r="K271" s="129"/>
      <c r="L271" s="128"/>
    </row>
    <row r="272" spans="1:13" ht="18.5" x14ac:dyDescent="0.45">
      <c r="B272" s="248" t="s">
        <v>454</v>
      </c>
      <c r="C272" s="271">
        <f>'Demanda (Legados)'!I18</f>
        <v>200</v>
      </c>
      <c r="D272" s="265">
        <f ca="1">L260</f>
        <v>2.6281815713874876</v>
      </c>
      <c r="E272" s="268">
        <f ca="1">D272*(1-$C$262)</f>
        <v>0.26281815713874873</v>
      </c>
      <c r="F272" s="266">
        <f ca="1">C272*E272*'Premissas (Legados)'!$C$44*'Premissas (Legados)'!$F$20*1000</f>
        <v>715669.36576890049</v>
      </c>
      <c r="K272" s="129"/>
      <c r="L272" s="128"/>
    </row>
    <row r="273" spans="2:13" ht="19" thickBot="1" x14ac:dyDescent="0.5">
      <c r="B273" s="248"/>
      <c r="C273" s="248"/>
      <c r="D273" s="248"/>
      <c r="E273" s="248"/>
      <c r="F273" s="267">
        <f ca="1">SUM(F267:F272)</f>
        <v>79128366.092776537</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07E3-D3A7-49E7-9325-4293D5253C41}">
  <sheetPr codeName="Planilha24">
    <tabColor theme="1" tint="0.499984740745262"/>
  </sheetPr>
  <dimension ref="A2:AA303"/>
  <sheetViews>
    <sheetView showGridLines="0" topLeftCell="A15" zoomScale="70" zoomScaleNormal="70" workbookViewId="0">
      <selection activeCell="C24" sqref="C24"/>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5" thickBot="1" x14ac:dyDescent="0.4">
      <c r="A5" s="211"/>
      <c r="B5" s="255" t="s">
        <v>460</v>
      </c>
      <c r="C5" s="208"/>
      <c r="D5" s="209">
        <f ca="1">D6+D9</f>
        <v>7136.933623103123</v>
      </c>
      <c r="E5" s="224" t="s">
        <v>111</v>
      </c>
      <c r="F5" s="273" t="s">
        <v>465</v>
      </c>
      <c r="G5" s="211"/>
      <c r="H5" s="235"/>
      <c r="I5" s="235"/>
    </row>
    <row r="6" spans="1:9" ht="16.5" x14ac:dyDescent="0.35">
      <c r="A6" s="206">
        <f>HLOOKUP($G$3,'Premissas (Legados)'!$B$5:$F$13,9,FALSE)</f>
        <v>0.7</v>
      </c>
      <c r="B6" s="207" t="s">
        <v>112</v>
      </c>
      <c r="C6" s="208" t="s">
        <v>271</v>
      </c>
      <c r="D6" s="209">
        <f ca="1">($A$6*$D$4)-(SUM($F$268:$F$271)/10^6)</f>
        <v>5001.8640340417678</v>
      </c>
      <c r="E6" s="210" t="s">
        <v>113</v>
      </c>
      <c r="F6" s="273" t="s">
        <v>458</v>
      </c>
      <c r="G6" s="211"/>
      <c r="H6" s="235"/>
    </row>
    <row r="7" spans="1:9" ht="29" x14ac:dyDescent="0.35">
      <c r="A7" s="92"/>
      <c r="B7" s="212" t="s">
        <v>114</v>
      </c>
      <c r="C7" s="213" t="s">
        <v>272</v>
      </c>
      <c r="D7" s="214">
        <f>$D$35*'Premissas (Legados)'!$F$20</f>
        <v>22805565</v>
      </c>
      <c r="E7" s="212" t="s">
        <v>115</v>
      </c>
      <c r="F7" s="230">
        <f>H35</f>
        <v>850697267.82613492</v>
      </c>
      <c r="G7" s="82" t="s">
        <v>116</v>
      </c>
    </row>
    <row r="8" spans="1:9" ht="17" thickBot="1" x14ac:dyDescent="0.4">
      <c r="A8" s="215"/>
      <c r="B8" s="216" t="s">
        <v>117</v>
      </c>
      <c r="C8" s="217" t="s">
        <v>273</v>
      </c>
      <c r="D8" s="218">
        <f ca="1">$D$6/$D$7*1000</f>
        <v>0.21932646851949372</v>
      </c>
      <c r="E8" s="219" t="s">
        <v>118</v>
      </c>
      <c r="F8" s="232">
        <f ca="1">$D$6/$F$7*1000000</f>
        <v>5.8797226971511165</v>
      </c>
      <c r="G8" s="228" t="s">
        <v>15</v>
      </c>
      <c r="I8" s="235"/>
    </row>
    <row r="9" spans="1:9" ht="16.5" x14ac:dyDescent="0.35">
      <c r="A9" s="206">
        <f>1-A6</f>
        <v>0.30000000000000004</v>
      </c>
      <c r="B9" s="207" t="s">
        <v>119</v>
      </c>
      <c r="C9" s="208" t="s">
        <v>274</v>
      </c>
      <c r="D9" s="209">
        <f ca="1">($A$9*$D$4)-(SUM($F$272:$F$273)/10^6)</f>
        <v>2135.0695890613556</v>
      </c>
      <c r="E9" s="210" t="s">
        <v>113</v>
      </c>
      <c r="F9" s="273" t="s">
        <v>459</v>
      </c>
      <c r="G9" s="229"/>
    </row>
    <row r="10" spans="1:9" ht="29" x14ac:dyDescent="0.35">
      <c r="B10" s="212" t="s">
        <v>120</v>
      </c>
      <c r="C10" s="213" t="s">
        <v>275</v>
      </c>
      <c r="D10" s="214">
        <f>$D$58*'Premissas (Legados)'!$F$20</f>
        <v>18680700</v>
      </c>
      <c r="E10" s="212" t="s">
        <v>115</v>
      </c>
      <c r="F10" s="230">
        <f>H58</f>
        <v>696830815.24529994</v>
      </c>
      <c r="G10" s="82" t="s">
        <v>116</v>
      </c>
    </row>
    <row r="11" spans="1:9" ht="17" thickBot="1" x14ac:dyDescent="0.4">
      <c r="A11" s="225"/>
      <c r="B11" s="216" t="s">
        <v>121</v>
      </c>
      <c r="C11" s="217" t="s">
        <v>276</v>
      </c>
      <c r="D11" s="218">
        <f ca="1">$D$9/$D$10*1000</f>
        <v>0.11429280428792045</v>
      </c>
      <c r="E11" s="219" t="s">
        <v>118</v>
      </c>
      <c r="F11" s="232">
        <f ca="1">$D$9/$F$10*1000000</f>
        <v>3.0639712572265672</v>
      </c>
      <c r="G11" s="228" t="s">
        <v>15</v>
      </c>
    </row>
    <row r="12" spans="1:9" ht="15" thickBot="1" x14ac:dyDescent="0.4">
      <c r="A12" s="220"/>
      <c r="B12" s="220" t="s">
        <v>122</v>
      </c>
      <c r="C12" s="226">
        <f>HLOOKUP($G$3,'Premissas (Legados)'!$B$5:$F$8,4,FALSE)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(Legados)'!C3</f>
        <v>20000</v>
      </c>
      <c r="D25" s="290">
        <f>'Oferta (Legados)'!I3</f>
        <v>14178</v>
      </c>
      <c r="F25" s="104"/>
      <c r="G25" s="43">
        <f>IFERROR($C25*$H$20*'Premissas (Legados)'!$F$20*1000," ")</f>
        <v>272305906.69999999</v>
      </c>
      <c r="H25" s="43">
        <f>IFERROR($D25*$H$20*'Premissas (Legados)'!$F$20*1000," ")</f>
        <v>193037657.25962999</v>
      </c>
      <c r="I25" s="93"/>
    </row>
    <row r="26" spans="1:9" x14ac:dyDescent="0.35">
      <c r="A26" s="2" t="s">
        <v>133</v>
      </c>
      <c r="B26" s="44" t="s">
        <v>26</v>
      </c>
      <c r="C26" s="290">
        <f>'Oferta (Legados)'!C4</f>
        <v>20000</v>
      </c>
      <c r="D26" s="290">
        <f>'Oferta (Legados)'!I4</f>
        <v>20000</v>
      </c>
      <c r="F26" s="104"/>
      <c r="G26" s="43">
        <f>IFERROR($C26*$H$20*'Premissas (Legados)'!$F$20*1000," ")</f>
        <v>272305906.69999999</v>
      </c>
      <c r="H26" s="43">
        <f>IFERROR($D26*$H$20*'Premissas (Legados)'!$F$20*1000," ")</f>
        <v>272305906.69999999</v>
      </c>
      <c r="I26" s="93"/>
    </row>
    <row r="27" spans="1:9" x14ac:dyDescent="0.35">
      <c r="A27" s="2" t="s">
        <v>134</v>
      </c>
      <c r="B27" s="44" t="s">
        <v>488</v>
      </c>
      <c r="C27" s="290">
        <f>'Oferta (Legados)'!C5</f>
        <v>18200</v>
      </c>
      <c r="D27" s="290">
        <f>'Oferta (Legados)'!I5</f>
        <v>13448</v>
      </c>
      <c r="E27" s="46"/>
      <c r="F27" s="104"/>
      <c r="G27" s="43">
        <f>IFERROR($C27*$H$20*'Premissas (Legados)'!$F$20*1000," ")</f>
        <v>247798375.097</v>
      </c>
      <c r="H27" s="43">
        <f>IFERROR($D27*$H$20*'Premissas (Legados)'!$F$20*1000," ")</f>
        <v>183098491.66507998</v>
      </c>
      <c r="I27" s="93"/>
    </row>
    <row r="28" spans="1:9" x14ac:dyDescent="0.35">
      <c r="A28" s="2" t="s">
        <v>135</v>
      </c>
      <c r="B28" s="44" t="s">
        <v>463</v>
      </c>
      <c r="C28" s="293"/>
      <c r="D28" s="293"/>
      <c r="E28" s="274" t="s">
        <v>461</v>
      </c>
      <c r="F28" s="104"/>
      <c r="G28" s="43">
        <f>IFERROR($C28*$H$20*'Premissas (Legados)'!$F$20*1000," ")</f>
        <v>0</v>
      </c>
      <c r="H28" s="43">
        <f>IFERROR($D28*$H$20*'Premissas (Legados)'!$F$20*1000," ")</f>
        <v>0</v>
      </c>
      <c r="I28" s="93"/>
    </row>
    <row r="29" spans="1:9" x14ac:dyDescent="0.35">
      <c r="A29" s="2" t="s">
        <v>136</v>
      </c>
      <c r="B29" s="44" t="s">
        <v>27</v>
      </c>
      <c r="C29" s="290">
        <f>'Oferta (Legados)'!C7</f>
        <v>5000</v>
      </c>
      <c r="D29" s="290">
        <f>'Oferta (Legados)'!I7</f>
        <v>0</v>
      </c>
      <c r="E29" s="46"/>
      <c r="F29" s="104"/>
      <c r="G29" s="43">
        <f>IFERROR($C29*$H$20*'Premissas (Legados)'!$F$20*1000," ")</f>
        <v>68076476.674999997</v>
      </c>
      <c r="H29" s="43">
        <f>IFERROR($D29*$H$20*'Premissas (Legados)'!$F$20*1000," ")</f>
        <v>0</v>
      </c>
      <c r="I29" s="93"/>
    </row>
    <row r="30" spans="1:9" x14ac:dyDescent="0.35">
      <c r="A30" s="2" t="s">
        <v>239</v>
      </c>
      <c r="B30" s="44" t="s">
        <v>29</v>
      </c>
      <c r="C30" s="290">
        <f>'Oferta (Legados)'!C8</f>
        <v>2200</v>
      </c>
      <c r="D30" s="290">
        <f>'Oferta (Legados)'!I8</f>
        <v>0</v>
      </c>
      <c r="E30" s="46"/>
      <c r="F30" s="104"/>
      <c r="G30" s="43">
        <f>IFERROR($C30*$H$20*'Premissas (Legados)'!$F$20*1000," ")</f>
        <v>29953649.736999996</v>
      </c>
      <c r="H30" s="43">
        <f>IFERROR($D30*$H$20*'Premissas (Legados)'!$F$20*1000," ")</f>
        <v>0</v>
      </c>
      <c r="I30" s="93"/>
    </row>
    <row r="31" spans="1:9" x14ac:dyDescent="0.35">
      <c r="A31" s="2" t="s">
        <v>137</v>
      </c>
      <c r="B31" s="44" t="s">
        <v>24</v>
      </c>
      <c r="C31" s="290">
        <f>'Oferta (Legados)'!C9</f>
        <v>25160</v>
      </c>
      <c r="D31" s="290">
        <f>'Oferta (Legados)'!I9</f>
        <v>14855</v>
      </c>
      <c r="E31" s="46"/>
      <c r="F31" s="104"/>
      <c r="G31" s="43">
        <f>IFERROR($C31*$H$20*'Premissas (Legados)'!$F$20*1000," ")</f>
        <v>342560830.6286</v>
      </c>
      <c r="H31" s="43">
        <f>IFERROR($D31*$H$20*'Premissas (Legados)'!$F$20*1000," ")</f>
        <v>202255212.20142499</v>
      </c>
      <c r="I31" s="93"/>
    </row>
    <row r="32" spans="1:9" x14ac:dyDescent="0.35">
      <c r="A32" s="2" t="s">
        <v>240</v>
      </c>
      <c r="B32" s="44" t="s">
        <v>264</v>
      </c>
      <c r="C32" s="249"/>
      <c r="D32" s="249"/>
      <c r="E32" s="274" t="s">
        <v>461</v>
      </c>
      <c r="F32" s="104"/>
      <c r="G32" s="43">
        <f>IFERROR($C32*$H$20*'Premissas (Legados)'!$F$20*1000," ")</f>
        <v>0</v>
      </c>
      <c r="H32" s="43">
        <f>IFERROR($D32*$H$20*'Premissas (Legados)'!$F$20*1000," ")</f>
        <v>0</v>
      </c>
      <c r="I32" s="93"/>
    </row>
    <row r="33" spans="1:10" x14ac:dyDescent="0.35">
      <c r="A33" s="2" t="s">
        <v>138</v>
      </c>
      <c r="B33" s="44" t="s">
        <v>266</v>
      </c>
      <c r="C33" s="249"/>
      <c r="D33" s="249"/>
      <c r="E33" s="274" t="s">
        <v>461</v>
      </c>
      <c r="F33" s="104"/>
      <c r="G33" s="43">
        <f>IFERROR($C33*$H$20*'Premissas (Legados)'!$F$20*1000," ")</f>
        <v>0</v>
      </c>
      <c r="H33" s="43">
        <f>IFERROR($D33*$H$20*'Premissas (Legados)'!$F$20*1000," ")</f>
        <v>0</v>
      </c>
      <c r="I33" s="93"/>
    </row>
    <row r="34" spans="1:10" x14ac:dyDescent="0.35">
      <c r="A34" s="2" t="s">
        <v>139</v>
      </c>
      <c r="B34" s="44" t="s">
        <v>265</v>
      </c>
      <c r="C34" s="249"/>
      <c r="D34" s="249"/>
      <c r="E34" s="274" t="s">
        <v>461</v>
      </c>
      <c r="F34" s="104"/>
      <c r="G34" s="43">
        <f>IFERROR($C34*$H$20*'Premissas (Legados)'!$F$20*1000," ")</f>
        <v>0</v>
      </c>
      <c r="H34" s="43">
        <f>IFERROR($D34*$H$20*'Premissas (Legados)'!$F$20*1000," ")</f>
        <v>0</v>
      </c>
      <c r="I34" s="93"/>
    </row>
    <row r="35" spans="1:10" x14ac:dyDescent="0.35">
      <c r="C35" s="105">
        <f>SUM(C25:C34)</f>
        <v>90560</v>
      </c>
      <c r="D35" s="105">
        <f>SUM(D25:D34)</f>
        <v>62481</v>
      </c>
      <c r="E35" s="105"/>
      <c r="F35" s="104"/>
      <c r="G35" s="105">
        <f>SUM(G25:G34)</f>
        <v>1233001145.5376</v>
      </c>
      <c r="H35" s="105">
        <f>SUM(H25:H34)</f>
        <v>850697267.82613492</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(Legados)'!C3</f>
        <v>864.5</v>
      </c>
      <c r="D42" s="290">
        <f>'Demanda (Legados)'!I3</f>
        <v>607</v>
      </c>
      <c r="G42" s="43">
        <f>IFERROR($C42*$H$20*'Premissas (Legados)'!$F$20*1000," ")</f>
        <v>11770422.817107499</v>
      </c>
      <c r="H42" s="43">
        <f>IFERROR($D42*$H$20*'Premissas (Legados)'!$F$20*1000," ")</f>
        <v>8264484.2683449984</v>
      </c>
      <c r="I42" s="93"/>
    </row>
    <row r="43" spans="1:10" x14ac:dyDescent="0.35">
      <c r="A43" s="2" t="s">
        <v>42</v>
      </c>
      <c r="B43" s="44" t="s">
        <v>217</v>
      </c>
      <c r="C43" s="290">
        <f>'Demanda (Legados)'!C4</f>
        <v>1825.9</v>
      </c>
      <c r="D43" s="290">
        <f>'Demanda (Legados)'!I4</f>
        <v>1678</v>
      </c>
      <c r="E43" s="46"/>
      <c r="G43" s="43">
        <f>IFERROR($C43*$H$20*'Premissas (Legados)'!$F$20*1000," ")</f>
        <v>24860167.752176501</v>
      </c>
      <c r="H43" s="43">
        <f>IFERROR($D43*$H$20*'Premissas (Legados)'!$F$20*1000," ")</f>
        <v>22846465.572130002</v>
      </c>
      <c r="I43" s="93"/>
    </row>
    <row r="44" spans="1:10" x14ac:dyDescent="0.35">
      <c r="A44" s="2" t="s">
        <v>43</v>
      </c>
      <c r="B44" s="44" t="s">
        <v>218</v>
      </c>
      <c r="C44" s="290">
        <f>'Demanda (Legados)'!C5</f>
        <v>3040.95</v>
      </c>
      <c r="D44" s="290">
        <f>'Demanda (Legados)'!I5</f>
        <v>2737</v>
      </c>
      <c r="E44" s="46"/>
      <c r="G44" s="43">
        <f>IFERROR($C44*$H$20*'Premissas (Legados)'!$F$20*1000," ")</f>
        <v>41403432.348968253</v>
      </c>
      <c r="H44" s="43">
        <f>IFERROR($D44*$H$20*'Premissas (Legados)'!$F$20*1000," ")</f>
        <v>37265063.331895001</v>
      </c>
      <c r="I44" s="93"/>
    </row>
    <row r="45" spans="1:10" x14ac:dyDescent="0.35">
      <c r="A45" s="2" t="s">
        <v>44</v>
      </c>
      <c r="B45" s="44" t="s">
        <v>219</v>
      </c>
      <c r="C45" s="290">
        <f>'Demanda (Legados)'!C6</f>
        <v>1187.5</v>
      </c>
      <c r="D45" s="290">
        <f>'Demanda (Legados)'!I6</f>
        <v>335</v>
      </c>
      <c r="E45" s="46"/>
      <c r="G45" s="43">
        <f>IFERROR($C45*$H$20*'Premissas (Legados)'!$F$20*1000," ")</f>
        <v>16168163.210312499</v>
      </c>
      <c r="H45" s="43">
        <f>IFERROR($D45*$H$20*'Premissas (Legados)'!$F$20*1000," ")</f>
        <v>4561123.937225</v>
      </c>
      <c r="I45" s="93"/>
    </row>
    <row r="46" spans="1:10" x14ac:dyDescent="0.35">
      <c r="A46" s="2" t="s">
        <v>45</v>
      </c>
      <c r="B46" s="44" t="s">
        <v>220</v>
      </c>
      <c r="C46" s="290">
        <f>'Demanda (Legados)'!C7</f>
        <v>21185</v>
      </c>
      <c r="D46" s="290">
        <f>'Demanda (Legados)'!I7</f>
        <v>17793</v>
      </c>
      <c r="E46" s="46"/>
      <c r="G46" s="43">
        <f>IFERROR($C46*$H$20*'Premissas (Legados)'!$F$20*1000," ")</f>
        <v>288440031.67197496</v>
      </c>
      <c r="H46" s="43">
        <f>IFERROR($D46*$H$20*'Premissas (Legados)'!$F$20*1000," ")</f>
        <v>242256949.89565501</v>
      </c>
      <c r="I46" s="93"/>
    </row>
    <row r="47" spans="1:10" x14ac:dyDescent="0.35">
      <c r="A47" s="2" t="s">
        <v>46</v>
      </c>
      <c r="B47" s="44" t="s">
        <v>221</v>
      </c>
      <c r="C47" s="290">
        <f>'Demanda (Legados)'!C8</f>
        <v>11271.75</v>
      </c>
      <c r="D47" s="290">
        <f>'Demanda (Legados)'!I8</f>
        <v>8406</v>
      </c>
      <c r="E47" s="46"/>
      <c r="G47" s="43">
        <f>IFERROR($C47*$H$20*'Premissas (Legados)'!$F$20*1000," ")</f>
        <v>153468205.19228625</v>
      </c>
      <c r="H47" s="43">
        <f>IFERROR($D47*$H$20*'Premissas (Legados)'!$F$20*1000," ")</f>
        <v>114450172.58600999</v>
      </c>
      <c r="I47" s="93"/>
    </row>
    <row r="48" spans="1:10" x14ac:dyDescent="0.35">
      <c r="A48" s="2" t="s">
        <v>47</v>
      </c>
      <c r="B48" s="44" t="s">
        <v>222</v>
      </c>
      <c r="C48" s="290">
        <f>'Demanda (Legados)'!C9</f>
        <v>3249</v>
      </c>
      <c r="D48" s="290">
        <f>'Demanda (Legados)'!I9</f>
        <v>1714</v>
      </c>
      <c r="E48" s="46"/>
      <c r="G48" s="43">
        <f>IFERROR($C48*$H$20*'Premissas (Legados)'!$F$20*1000," ")</f>
        <v>44236094.543414995</v>
      </c>
      <c r="H48" s="43">
        <f>IFERROR($D48*$H$20*'Premissas (Legados)'!$F$20*1000," ")</f>
        <v>23336616.204189997</v>
      </c>
      <c r="I48" s="93"/>
    </row>
    <row r="49" spans="1:9" x14ac:dyDescent="0.35">
      <c r="A49" s="2" t="s">
        <v>48</v>
      </c>
      <c r="B49" s="44" t="s">
        <v>223</v>
      </c>
      <c r="C49" s="290">
        <f>'Demanda (Legados)'!C10</f>
        <v>498.75</v>
      </c>
      <c r="D49" s="290">
        <f>'Demanda (Legados)'!I10</f>
        <v>323</v>
      </c>
      <c r="E49" s="46"/>
      <c r="G49" s="43">
        <f>IFERROR($C49*$H$20*'Premissas (Legados)'!$F$20*1000," ")</f>
        <v>6790628.5483312495</v>
      </c>
      <c r="H49" s="43">
        <f>IFERROR($D49*$H$20*'Premissas (Legados)'!$F$20*1000," ")</f>
        <v>4397740.3932050001</v>
      </c>
      <c r="I49" s="93"/>
    </row>
    <row r="50" spans="1:9" x14ac:dyDescent="0.35">
      <c r="A50" s="2" t="s">
        <v>49</v>
      </c>
      <c r="B50" s="44" t="s">
        <v>224</v>
      </c>
      <c r="C50" s="290">
        <f>'Demanda (Legados)'!C11</f>
        <v>3321.2</v>
      </c>
      <c r="D50" s="290">
        <f>'Demanda (Legados)'!I11</f>
        <v>2128</v>
      </c>
      <c r="E50" s="46"/>
      <c r="G50" s="43">
        <f>IFERROR($C50*$H$20*'Premissas (Legados)'!$F$20*1000," ")</f>
        <v>45219118.866601996</v>
      </c>
      <c r="H50" s="43">
        <f>IFERROR($D50*$H$20*'Premissas (Legados)'!$F$20*1000," ")</f>
        <v>28973348.472879995</v>
      </c>
      <c r="I50" s="93"/>
    </row>
    <row r="51" spans="1:9" x14ac:dyDescent="0.35">
      <c r="A51" s="2" t="s">
        <v>50</v>
      </c>
      <c r="B51" s="44" t="s">
        <v>225</v>
      </c>
      <c r="C51" s="290">
        <f>'Demanda (Legados)'!C12</f>
        <v>14292.75</v>
      </c>
      <c r="D51" s="290">
        <f>'Demanda (Legados)'!I12</f>
        <v>1237</v>
      </c>
      <c r="E51" s="46"/>
      <c r="G51" s="43">
        <f>IFERROR($C51*$H$20*'Premissas (Legados)'!$F$20*1000," ")</f>
        <v>194600012.39932126</v>
      </c>
      <c r="H51" s="43">
        <f>IFERROR($D51*$H$20*'Premissas (Legados)'!$F$20*1000," ")</f>
        <v>16842120.329395</v>
      </c>
      <c r="I51" s="93"/>
    </row>
    <row r="52" spans="1:9" x14ac:dyDescent="0.35">
      <c r="A52" s="2" t="s">
        <v>51</v>
      </c>
      <c r="B52" s="44" t="s">
        <v>226</v>
      </c>
      <c r="C52" s="290">
        <f>'Demanda (Legados)'!C13</f>
        <v>3971</v>
      </c>
      <c r="D52" s="290">
        <f>'Demanda (Legados)'!I13</f>
        <v>2972</v>
      </c>
      <c r="E52" s="46"/>
      <c r="G52" s="43">
        <f>IFERROR($C52*$H$20*'Premissas (Legados)'!$F$20*1000," ")</f>
        <v>54066337.775284998</v>
      </c>
      <c r="H52" s="43">
        <f>IFERROR($D52*$H$20*'Premissas (Legados)'!$F$20*1000," ")</f>
        <v>40464657.735619992</v>
      </c>
      <c r="I52" s="93"/>
    </row>
    <row r="53" spans="1:9" x14ac:dyDescent="0.35">
      <c r="A53" s="2" t="s">
        <v>52</v>
      </c>
      <c r="B53" s="44" t="s">
        <v>227</v>
      </c>
      <c r="C53" s="290">
        <f>'Demanda (Legados)'!C14</f>
        <v>9941.75</v>
      </c>
      <c r="D53" s="290">
        <f>'Demanda (Legados)'!I14</f>
        <v>7969</v>
      </c>
      <c r="E53" s="46"/>
      <c r="G53" s="43">
        <f>IFERROR($C53*$H$20*'Premissas (Legados)'!$F$20*1000," ")</f>
        <v>135359862.39673626</v>
      </c>
      <c r="H53" s="43">
        <f>IFERROR($D53*$H$20*'Premissas (Legados)'!$F$20*1000," ")</f>
        <v>108500288.52461499</v>
      </c>
      <c r="I53" s="93"/>
    </row>
    <row r="54" spans="1:9" x14ac:dyDescent="0.35">
      <c r="A54" s="2" t="s">
        <v>53</v>
      </c>
      <c r="B54" s="44" t="s">
        <v>228</v>
      </c>
      <c r="C54" s="290">
        <f>'Demanda (Legados)'!C15</f>
        <v>3809.5</v>
      </c>
      <c r="D54" s="290">
        <f>'Demanda (Legados)'!I15</f>
        <v>3281</v>
      </c>
      <c r="E54" s="46"/>
      <c r="G54" s="43">
        <f>IFERROR($C54*$H$20*'Premissas (Legados)'!$F$20*1000," ")</f>
        <v>51867467.578682497</v>
      </c>
      <c r="H54" s="43">
        <f>IFERROR($D54*$H$20*'Premissas (Legados)'!$F$20*1000," ")</f>
        <v>44671783.994134992</v>
      </c>
      <c r="I54" s="93"/>
    </row>
    <row r="55" spans="1:9" x14ac:dyDescent="0.35">
      <c r="A55" s="2" t="s">
        <v>54</v>
      </c>
      <c r="B55" s="44" t="s">
        <v>269</v>
      </c>
      <c r="C55" s="249"/>
      <c r="D55" s="249"/>
      <c r="E55" s="274" t="s">
        <v>461</v>
      </c>
      <c r="G55" s="43">
        <f>IFERROR($C55*$H$20*'Premissas (Legados)'!$F$20*1000," ")</f>
        <v>0</v>
      </c>
      <c r="H55" s="43">
        <f>IFERROR($D55*$H$20*'Premissas (Legados)'!$F$20*1000," ")</f>
        <v>0</v>
      </c>
      <c r="I55" s="93"/>
    </row>
    <row r="56" spans="1:9" x14ac:dyDescent="0.35">
      <c r="A56" s="2" t="s">
        <v>55</v>
      </c>
      <c r="B56" s="44" t="s">
        <v>268</v>
      </c>
      <c r="C56" s="249"/>
      <c r="D56" s="249"/>
      <c r="E56" s="274" t="s">
        <v>461</v>
      </c>
      <c r="G56" s="43">
        <f>IFERROR($C56*$H$20*'Premissas (Legados)'!$F$20*1000," ")</f>
        <v>0</v>
      </c>
      <c r="H56" s="43">
        <f>IFERROR($D56*$H$20*'Premissas (Legados)'!$F$20*1000," ")</f>
        <v>0</v>
      </c>
      <c r="I56" s="93"/>
    </row>
    <row r="57" spans="1:9" x14ac:dyDescent="0.35">
      <c r="A57" s="2" t="s">
        <v>56</v>
      </c>
      <c r="B57" s="44" t="s">
        <v>267</v>
      </c>
      <c r="C57" s="249"/>
      <c r="D57" s="249"/>
      <c r="E57" s="274" t="s">
        <v>461</v>
      </c>
      <c r="G57" s="43">
        <f>IFERROR($C57*$H$20*'Premissas (Legados)'!$F$20*1000," ")</f>
        <v>0</v>
      </c>
      <c r="H57" s="43">
        <f>IFERROR($D57*$H$20*'Premissas (Legados)'!$F$20*1000," ")</f>
        <v>0</v>
      </c>
      <c r="I57" s="93"/>
    </row>
    <row r="58" spans="1:9" x14ac:dyDescent="0.35">
      <c r="C58" s="105">
        <f>SUM(C42:C57)</f>
        <v>78459.549999999988</v>
      </c>
      <c r="D58" s="105">
        <f>SUM(D42:D57)</f>
        <v>51180</v>
      </c>
      <c r="E58" s="105"/>
      <c r="G58" s="105">
        <f>SUM(G42:G57)</f>
        <v>1068249945.1011992</v>
      </c>
      <c r="H58" s="105">
        <f>SUM(H42:H57)</f>
        <v>696830815.24529994</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0.2269169827627599</v>
      </c>
      <c r="C100" s="9"/>
      <c r="D100" t="s">
        <v>304</v>
      </c>
      <c r="E100" s="110">
        <f>H42/$H$58</f>
        <v>1.1860101602188354E-2</v>
      </c>
      <c r="G100" s="109" t="s">
        <v>148</v>
      </c>
      <c r="H100" s="111">
        <f>H25/$H$35</f>
        <v>0.2269169827627599</v>
      </c>
      <c r="I100" s="111">
        <f>H26/$H$35</f>
        <v>0.32009730958211297</v>
      </c>
      <c r="J100" s="111">
        <f>$H27/$H$35</f>
        <v>0.21523343096301276</v>
      </c>
      <c r="K100" s="111">
        <f>$H28/$H$35</f>
        <v>0</v>
      </c>
      <c r="L100" s="111">
        <f>$H29/$H$35</f>
        <v>0</v>
      </c>
      <c r="M100" s="111">
        <f>$H30/$H$35</f>
        <v>0</v>
      </c>
      <c r="N100" s="111">
        <f>$H31/$H$35</f>
        <v>0.23775227669211441</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0.32009730958211297</v>
      </c>
      <c r="C101" s="4"/>
      <c r="D101" t="s">
        <v>305</v>
      </c>
      <c r="E101" s="110">
        <f t="shared" ref="E101:E115" si="2">H43/$H$58</f>
        <v>3.2786244626807355E-2</v>
      </c>
      <c r="W101" s="113"/>
    </row>
    <row r="102" spans="1:27" ht="16.5" x14ac:dyDescent="0.45">
      <c r="A102" t="s">
        <v>296</v>
      </c>
      <c r="B102" s="110">
        <f t="shared" si="1"/>
        <v>0.21523343096301276</v>
      </c>
      <c r="C102" s="4"/>
      <c r="D102" t="s">
        <v>306</v>
      </c>
      <c r="E102" s="110">
        <f t="shared" si="2"/>
        <v>5.3477921062915205E-2</v>
      </c>
      <c r="G102" s="110"/>
      <c r="H102" s="112"/>
      <c r="I102" s="112"/>
    </row>
    <row r="103" spans="1:27" ht="16.5" x14ac:dyDescent="0.45">
      <c r="A103" t="s">
        <v>297</v>
      </c>
      <c r="B103" s="110">
        <f t="shared" si="1"/>
        <v>0</v>
      </c>
      <c r="C103" s="4"/>
      <c r="D103" t="s">
        <v>307</v>
      </c>
      <c r="E103" s="110">
        <f t="shared" si="2"/>
        <v>6.5455255959359134E-3</v>
      </c>
      <c r="G103" s="110"/>
      <c r="H103" s="112"/>
      <c r="I103" s="112"/>
    </row>
    <row r="104" spans="1:27" ht="16.5" x14ac:dyDescent="0.45">
      <c r="A104" t="s">
        <v>298</v>
      </c>
      <c r="B104" s="110">
        <f t="shared" si="1"/>
        <v>0</v>
      </c>
      <c r="C104" s="4"/>
      <c r="D104" t="s">
        <v>308</v>
      </c>
      <c r="E104" s="110">
        <f t="shared" si="2"/>
        <v>0.34765533411488869</v>
      </c>
      <c r="G104" s="110"/>
      <c r="H104" s="112"/>
      <c r="I104" s="112"/>
    </row>
    <row r="105" spans="1:27" ht="16.5" x14ac:dyDescent="0.45">
      <c r="A105" t="s">
        <v>299</v>
      </c>
      <c r="B105" s="110">
        <f t="shared" si="1"/>
        <v>0</v>
      </c>
      <c r="C105" s="4"/>
      <c r="D105" t="s">
        <v>309</v>
      </c>
      <c r="E105" s="110">
        <f t="shared" si="2"/>
        <v>0.1642438452520516</v>
      </c>
      <c r="G105" s="110"/>
      <c r="H105" s="112"/>
      <c r="I105" s="112"/>
    </row>
    <row r="106" spans="1:27" ht="16.5" x14ac:dyDescent="0.45">
      <c r="A106" t="s">
        <v>300</v>
      </c>
      <c r="B106" s="110">
        <f t="shared" si="1"/>
        <v>0.23775227669211441</v>
      </c>
      <c r="C106" s="4"/>
      <c r="D106" t="s">
        <v>310</v>
      </c>
      <c r="E106" s="110">
        <f t="shared" si="2"/>
        <v>3.3489644392340756E-2</v>
      </c>
      <c r="G106" s="110"/>
      <c r="H106" s="112"/>
      <c r="I106" s="112"/>
    </row>
    <row r="107" spans="1:27" ht="16.5" x14ac:dyDescent="0.45">
      <c r="A107" t="s">
        <v>301</v>
      </c>
      <c r="B107" s="110">
        <f t="shared" si="1"/>
        <v>0</v>
      </c>
      <c r="C107" s="4"/>
      <c r="D107" t="s">
        <v>311</v>
      </c>
      <c r="E107" s="110">
        <f t="shared" si="2"/>
        <v>6.311059007424776E-3</v>
      </c>
      <c r="G107" s="110"/>
      <c r="H107" s="112"/>
      <c r="I107" s="112"/>
    </row>
    <row r="108" spans="1:27" ht="16.5" x14ac:dyDescent="0.45">
      <c r="A108" t="s">
        <v>302</v>
      </c>
      <c r="B108" s="110">
        <f t="shared" si="1"/>
        <v>0</v>
      </c>
      <c r="C108" s="4"/>
      <c r="D108" t="s">
        <v>312</v>
      </c>
      <c r="E108" s="110">
        <f t="shared" si="2"/>
        <v>4.1578741695974988E-2</v>
      </c>
      <c r="G108" s="110"/>
      <c r="H108" s="112"/>
      <c r="I108" s="112"/>
    </row>
    <row r="109" spans="1:27" ht="16.5" x14ac:dyDescent="0.45">
      <c r="A109" t="s">
        <v>303</v>
      </c>
      <c r="B109" s="110">
        <f t="shared" si="1"/>
        <v>0</v>
      </c>
      <c r="D109" t="s">
        <v>313</v>
      </c>
      <c r="E109" s="110">
        <f t="shared" si="2"/>
        <v>2.4169597499023057E-2</v>
      </c>
      <c r="G109" s="110"/>
    </row>
    <row r="110" spans="1:27" ht="16.5" x14ac:dyDescent="0.45">
      <c r="B110" s="110">
        <f>SUM(B100:B109)</f>
        <v>1</v>
      </c>
      <c r="D110" t="s">
        <v>314</v>
      </c>
      <c r="E110" s="110">
        <f t="shared" si="2"/>
        <v>5.8069558421258299E-2</v>
      </c>
      <c r="G110" s="110"/>
    </row>
    <row r="111" spans="1:27" ht="16.5" x14ac:dyDescent="0.45">
      <c r="B111" s="112"/>
      <c r="D111" t="s">
        <v>315</v>
      </c>
      <c r="E111" s="110">
        <f t="shared" si="2"/>
        <v>0.155705353653771</v>
      </c>
      <c r="G111" s="110"/>
    </row>
    <row r="112" spans="1:27" ht="16.5" x14ac:dyDescent="0.45">
      <c r="B112" s="112"/>
      <c r="D112" t="s">
        <v>316</v>
      </c>
      <c r="E112" s="110">
        <f t="shared" si="2"/>
        <v>6.4107073075420087E-2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1</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357.06304582714608</v>
      </c>
      <c r="C131" s="114"/>
      <c r="D131" t="s">
        <v>325</v>
      </c>
      <c r="E131" s="4">
        <f ca="1">SUMPRODUCT($H$100:$Q$100,$C68:$L68)</f>
        <v>349.72477954898289</v>
      </c>
    </row>
    <row r="132" spans="1:5" ht="16.5" x14ac:dyDescent="0.45">
      <c r="A132" t="s">
        <v>326</v>
      </c>
      <c r="B132" s="110">
        <f ca="1">SUMPRODUCT($E$100:$E$115,D$68:D$83)</f>
        <v>203.52647278168561</v>
      </c>
      <c r="C132" s="114"/>
      <c r="D132" t="s">
        <v>327</v>
      </c>
      <c r="E132" s="4">
        <f t="shared" ref="E132:E146" ca="1" si="3">SUMPRODUCT($H$100:$Q$100,$C69:$L69)</f>
        <v>446.88877954898294</v>
      </c>
    </row>
    <row r="133" spans="1:5" ht="16.5" x14ac:dyDescent="0.45">
      <c r="A133" t="s">
        <v>328</v>
      </c>
      <c r="B133" s="110">
        <f ca="1">SUMPRODUCT($E$100:$E$115,E$68:E$83)</f>
        <v>237.87828895076203</v>
      </c>
      <c r="C133" s="114"/>
      <c r="D133" t="s">
        <v>329</v>
      </c>
      <c r="E133" s="4">
        <f t="shared" ca="1" si="3"/>
        <v>564.05397954898285</v>
      </c>
    </row>
    <row r="134" spans="1:5" ht="16.5" x14ac:dyDescent="0.45">
      <c r="A134" t="s">
        <v>330</v>
      </c>
      <c r="B134" s="110">
        <f ca="1">SUMPRODUCT($E$100:$E$115,F$68:F$83)</f>
        <v>472.7892446925884</v>
      </c>
      <c r="C134" s="114"/>
      <c r="D134" t="s">
        <v>331</v>
      </c>
      <c r="E134" s="4">
        <f t="shared" ca="1" si="3"/>
        <v>603.94818181527194</v>
      </c>
    </row>
    <row r="135" spans="1:5" ht="16.5" x14ac:dyDescent="0.45">
      <c r="A135" t="s">
        <v>332</v>
      </c>
      <c r="B135" s="110">
        <f ca="1">SUMPRODUCT($E$100:$E$115,G$68:G$83)</f>
        <v>190.83048821610006</v>
      </c>
      <c r="C135" s="114"/>
      <c r="D135" t="s">
        <v>333</v>
      </c>
      <c r="E135" s="4">
        <f t="shared" ca="1" si="3"/>
        <v>169.84004740641154</v>
      </c>
    </row>
    <row r="136" spans="1:5" ht="16.5" x14ac:dyDescent="0.45">
      <c r="A136" t="s">
        <v>334</v>
      </c>
      <c r="B136" s="110">
        <f ca="1">SUMPRODUCT($E$100:$E$115,H$68:H$83)</f>
        <v>378.29690127588907</v>
      </c>
      <c r="C136" s="114"/>
      <c r="D136" t="s">
        <v>335</v>
      </c>
      <c r="E136" s="4">
        <f t="shared" ca="1" si="3"/>
        <v>169.1976459723756</v>
      </c>
    </row>
    <row r="137" spans="1:5" ht="16.5" x14ac:dyDescent="0.45">
      <c r="A137" t="s">
        <v>336</v>
      </c>
      <c r="B137" s="110">
        <f ca="1">SUMPRODUCT($E$100:$E$115,I$68:I$83)</f>
        <v>338.96092212778433</v>
      </c>
      <c r="D137" t="s">
        <v>337</v>
      </c>
      <c r="E137" s="4">
        <f t="shared" ca="1" si="3"/>
        <v>195.00225474944384</v>
      </c>
    </row>
    <row r="138" spans="1:5" ht="16.5" x14ac:dyDescent="0.45">
      <c r="A138" t="s">
        <v>338</v>
      </c>
      <c r="B138" s="110">
        <f ca="1">SUMPRODUCT($E$100:$E$115,J$68:J$83)</f>
        <v>306.07333005275507</v>
      </c>
      <c r="D138" t="s">
        <v>339</v>
      </c>
      <c r="E138" s="4">
        <f t="shared" ca="1" si="3"/>
        <v>228.43338995854739</v>
      </c>
    </row>
    <row r="139" spans="1:5" ht="16.5" x14ac:dyDescent="0.45">
      <c r="A139" t="s">
        <v>340</v>
      </c>
      <c r="B139" s="110">
        <f ca="1">SUMPRODUCT($E$100:$E$115,K$68:K$83)</f>
        <v>472.7892446925884</v>
      </c>
      <c r="D139" t="s">
        <v>341</v>
      </c>
      <c r="E139" s="4">
        <f t="shared" ca="1" si="3"/>
        <v>172.14485492389687</v>
      </c>
    </row>
    <row r="140" spans="1:5" ht="16.5" x14ac:dyDescent="0.45">
      <c r="A140" t="s">
        <v>342</v>
      </c>
      <c r="B140" s="110">
        <f ca="1">SUMPRODUCT($E$100:$E$115,L$68:L$83)</f>
        <v>338.96092212778433</v>
      </c>
      <c r="D140" t="s">
        <v>343</v>
      </c>
      <c r="E140" s="4">
        <f t="shared" ca="1" si="3"/>
        <v>326.95758892836756</v>
      </c>
    </row>
    <row r="141" spans="1:5" ht="16.5" x14ac:dyDescent="0.45">
      <c r="B141" s="110"/>
      <c r="D141" t="s">
        <v>344</v>
      </c>
      <c r="E141" s="4">
        <f t="shared" ca="1" si="3"/>
        <v>317.59082621917065</v>
      </c>
    </row>
    <row r="142" spans="1:5" ht="16.5" x14ac:dyDescent="0.45">
      <c r="B142" s="110"/>
      <c r="D142" t="s">
        <v>345</v>
      </c>
      <c r="E142" s="4">
        <f t="shared" ca="1" si="3"/>
        <v>429.72898349258179</v>
      </c>
    </row>
    <row r="143" spans="1:5" ht="16.5" x14ac:dyDescent="0.45">
      <c r="B143" s="110"/>
      <c r="D143" t="s">
        <v>346</v>
      </c>
      <c r="E143" s="4">
        <f t="shared" ca="1" si="3"/>
        <v>465.18615012563816</v>
      </c>
    </row>
    <row r="144" spans="1:5" ht="16.5" x14ac:dyDescent="0.45">
      <c r="B144" s="110"/>
      <c r="D144" t="s">
        <v>347</v>
      </c>
      <c r="E144" s="4">
        <f t="shared" si="3"/>
        <v>359.84915012563818</v>
      </c>
    </row>
    <row r="145" spans="1:5" ht="16.5" x14ac:dyDescent="0.45">
      <c r="B145" s="110"/>
      <c r="D145" t="s">
        <v>348</v>
      </c>
      <c r="E145" s="4">
        <f t="shared" si="3"/>
        <v>510.18218181527186</v>
      </c>
    </row>
    <row r="146" spans="1:5" ht="16.5" x14ac:dyDescent="0.45">
      <c r="B146" s="110"/>
      <c r="D146" t="s">
        <v>349</v>
      </c>
      <c r="E146" s="4">
        <f t="shared" si="3"/>
        <v>222.12825649397419</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0.29149395000637407</v>
      </c>
      <c r="C163" s="36"/>
      <c r="D163" t="s">
        <v>355</v>
      </c>
      <c r="E163" s="115">
        <f t="shared" ref="E163:E178" ca="1" si="4">($H42*$E131)/SUMPRODUCT($H$42:$H$57,$E$131:$E$146)</f>
        <v>1.4922186184926817E-2</v>
      </c>
    </row>
    <row r="164" spans="1:9" ht="16.5" x14ac:dyDescent="0.45">
      <c r="A164" t="s">
        <v>356</v>
      </c>
      <c r="B164" s="115">
        <f t="shared" ref="B164:B172" ca="1" si="5">($H26*$B132)/SUMPRODUCT($H$25:$H$34,$B$131:$B$140)</f>
        <v>0.23438001074130749</v>
      </c>
      <c r="C164" s="4"/>
      <c r="D164" t="s">
        <v>357</v>
      </c>
      <c r="E164" s="115">
        <f t="shared" ca="1" si="4"/>
        <v>5.2711911489132575E-2</v>
      </c>
    </row>
    <row r="165" spans="1:9" ht="16.5" x14ac:dyDescent="0.45">
      <c r="A165" t="s">
        <v>358</v>
      </c>
      <c r="B165" s="115">
        <f t="shared" ca="1" si="5"/>
        <v>0.18419683961417488</v>
      </c>
      <c r="C165" s="4"/>
      <c r="D165" t="s">
        <v>359</v>
      </c>
      <c r="E165" s="115">
        <f t="shared" ca="1" si="4"/>
        <v>0.10852075917638784</v>
      </c>
      <c r="H165" s="116"/>
      <c r="I165" s="116"/>
    </row>
    <row r="166" spans="1:9" ht="16.5" x14ac:dyDescent="0.45">
      <c r="A166" t="s">
        <v>360</v>
      </c>
      <c r="B166" s="115">
        <f t="shared" ca="1" si="5"/>
        <v>0</v>
      </c>
      <c r="C166" s="4"/>
      <c r="D166" t="s">
        <v>361</v>
      </c>
      <c r="E166" s="115">
        <f t="shared" ca="1" si="4"/>
        <v>1.42220382861965E-2</v>
      </c>
    </row>
    <row r="167" spans="1:9" ht="16.5" x14ac:dyDescent="0.45">
      <c r="A167" t="s">
        <v>362</v>
      </c>
      <c r="B167" s="115">
        <f t="shared" ca="1" si="5"/>
        <v>0</v>
      </c>
      <c r="C167" s="4"/>
      <c r="D167" t="s">
        <v>363</v>
      </c>
      <c r="E167" s="115">
        <f t="shared" ca="1" si="4"/>
        <v>0.2124254952165934</v>
      </c>
    </row>
    <row r="168" spans="1:9" ht="16.5" x14ac:dyDescent="0.45">
      <c r="A168" t="s">
        <v>364</v>
      </c>
      <c r="B168" s="115">
        <f t="shared" ca="1" si="5"/>
        <v>0</v>
      </c>
      <c r="C168" s="4"/>
      <c r="D168" t="s">
        <v>365</v>
      </c>
      <c r="E168" s="115">
        <f t="shared" ca="1" si="4"/>
        <v>9.9977220902276426E-2</v>
      </c>
    </row>
    <row r="169" spans="1:9" ht="16.5" x14ac:dyDescent="0.45">
      <c r="A169" t="s">
        <v>366</v>
      </c>
      <c r="B169" s="115">
        <f t="shared" ca="1" si="5"/>
        <v>0.28992919963814362</v>
      </c>
      <c r="C169" s="4"/>
      <c r="D169" t="s">
        <v>367</v>
      </c>
      <c r="E169" s="115">
        <f t="shared" ca="1" si="4"/>
        <v>2.3494586656863818E-2</v>
      </c>
    </row>
    <row r="170" spans="1:9" ht="16.5" x14ac:dyDescent="0.45">
      <c r="A170" t="s">
        <v>368</v>
      </c>
      <c r="B170" s="115">
        <f t="shared" ca="1" si="5"/>
        <v>0</v>
      </c>
      <c r="C170" s="4"/>
      <c r="D170" t="s">
        <v>369</v>
      </c>
      <c r="E170" s="115">
        <f t="shared" ca="1" si="4"/>
        <v>5.1865607044820402E-3</v>
      </c>
    </row>
    <row r="171" spans="1:9" ht="16.5" x14ac:dyDescent="0.45">
      <c r="A171" t="s">
        <v>370</v>
      </c>
      <c r="B171" s="115">
        <f t="shared" ca="1" si="5"/>
        <v>0</v>
      </c>
      <c r="D171" t="s">
        <v>371</v>
      </c>
      <c r="E171" s="115">
        <f t="shared" ca="1" si="4"/>
        <v>2.5750343626666932E-2</v>
      </c>
    </row>
    <row r="172" spans="1:9" ht="16.5" x14ac:dyDescent="0.45">
      <c r="A172" t="s">
        <v>372</v>
      </c>
      <c r="B172" s="115">
        <f t="shared" ca="1" si="5"/>
        <v>0</v>
      </c>
      <c r="D172" t="s">
        <v>373</v>
      </c>
      <c r="E172" s="115">
        <f t="shared" ca="1" si="4"/>
        <v>2.8430106068649638E-2</v>
      </c>
    </row>
    <row r="173" spans="1:9" ht="16.5" x14ac:dyDescent="0.45">
      <c r="B173" s="233">
        <f ca="1">SUM(B163:B172)</f>
        <v>1</v>
      </c>
      <c r="D173" t="s">
        <v>374</v>
      </c>
      <c r="E173" s="115">
        <f t="shared" ca="1" si="4"/>
        <v>6.634895887248983E-2</v>
      </c>
    </row>
    <row r="174" spans="1:9" ht="16.5" x14ac:dyDescent="0.45">
      <c r="B174" s="115"/>
      <c r="D174" t="s">
        <v>375</v>
      </c>
      <c r="E174" s="115">
        <f t="shared" ca="1" si="4"/>
        <v>0.24072202668481069</v>
      </c>
    </row>
    <row r="175" spans="1:9" ht="16.5" x14ac:dyDescent="0.45">
      <c r="B175" s="115"/>
      <c r="D175" t="s">
        <v>376</v>
      </c>
      <c r="E175" s="115">
        <f t="shared" ca="1" si="4"/>
        <v>0.10728780613052348</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1458.0131046776517</v>
      </c>
      <c r="C194" s="47"/>
      <c r="D194" t="s">
        <v>383</v>
      </c>
      <c r="E194" s="6">
        <f t="shared" ref="E194:E209" ca="1" si="7">$E163*$D$9</f>
        <v>31.859905925748738</v>
      </c>
    </row>
    <row r="195" spans="1:5" ht="16.5" x14ac:dyDescent="0.45">
      <c r="A195" t="s">
        <v>384</v>
      </c>
      <c r="B195" s="7">
        <f t="shared" ca="1" si="6"/>
        <v>1172.3369460252691</v>
      </c>
      <c r="D195" t="s">
        <v>385</v>
      </c>
      <c r="E195" s="6">
        <f t="shared" ca="1" si="7"/>
        <v>112.54359920174083</v>
      </c>
    </row>
    <row r="196" spans="1:5" ht="16.5" x14ac:dyDescent="0.45">
      <c r="A196" t="s">
        <v>386</v>
      </c>
      <c r="B196" s="7">
        <f t="shared" ca="1" si="6"/>
        <v>921.32754725030122</v>
      </c>
      <c r="D196" t="s">
        <v>387</v>
      </c>
      <c r="E196" s="6">
        <f t="shared" ca="1" si="7"/>
        <v>231.69937269935673</v>
      </c>
    </row>
    <row r="197" spans="1:5" ht="16.5" x14ac:dyDescent="0.45">
      <c r="A197" t="s">
        <v>388</v>
      </c>
      <c r="B197" s="7">
        <f t="shared" ca="1" si="6"/>
        <v>0</v>
      </c>
      <c r="D197" t="s">
        <v>389</v>
      </c>
      <c r="E197" s="6">
        <f t="shared" ca="1" si="7"/>
        <v>30.365041439324425</v>
      </c>
    </row>
    <row r="198" spans="1:5" ht="16.5" x14ac:dyDescent="0.45">
      <c r="A198" t="s">
        <v>390</v>
      </c>
      <c r="B198" s="7">
        <f t="shared" ca="1" si="6"/>
        <v>0</v>
      </c>
      <c r="D198" t="s">
        <v>391</v>
      </c>
      <c r="E198" s="6">
        <f t="shared" ca="1" si="7"/>
        <v>453.54321477824703</v>
      </c>
    </row>
    <row r="199" spans="1:5" ht="16.5" x14ac:dyDescent="0.45">
      <c r="A199" t="s">
        <v>392</v>
      </c>
      <c r="B199" s="7">
        <f t="shared" ca="1" si="6"/>
        <v>0</v>
      </c>
      <c r="D199" t="s">
        <v>393</v>
      </c>
      <c r="E199" s="6">
        <f t="shared" ca="1" si="7"/>
        <v>213.45832394731971</v>
      </c>
    </row>
    <row r="200" spans="1:5" ht="16.5" x14ac:dyDescent="0.45">
      <c r="A200" t="s">
        <v>394</v>
      </c>
      <c r="B200" s="7">
        <f t="shared" ca="1" si="6"/>
        <v>1450.1864360885461</v>
      </c>
      <c r="D200" t="s">
        <v>395</v>
      </c>
      <c r="E200" s="6">
        <f t="shared" ca="1" si="7"/>
        <v>50.162577478636642</v>
      </c>
    </row>
    <row r="201" spans="1:5" ht="16.5" x14ac:dyDescent="0.45">
      <c r="A201" t="s">
        <v>396</v>
      </c>
      <c r="B201" s="7">
        <f t="shared" ca="1" si="6"/>
        <v>0</v>
      </c>
      <c r="D201" t="s">
        <v>397</v>
      </c>
      <c r="E201" s="6">
        <f t="shared" ca="1" si="7"/>
        <v>11.073668031960244</v>
      </c>
    </row>
    <row r="202" spans="1:5" ht="16.5" x14ac:dyDescent="0.45">
      <c r="A202" t="s">
        <v>398</v>
      </c>
      <c r="B202" s="7">
        <f t="shared" ca="1" si="6"/>
        <v>0</v>
      </c>
      <c r="D202" t="s">
        <v>399</v>
      </c>
      <c r="E202" s="6">
        <f t="shared" ca="1" si="7"/>
        <v>54.978775585176464</v>
      </c>
    </row>
    <row r="203" spans="1:5" ht="16.5" x14ac:dyDescent="0.45">
      <c r="A203" t="s">
        <v>400</v>
      </c>
      <c r="B203" s="7">
        <f t="shared" ca="1" si="6"/>
        <v>0</v>
      </c>
      <c r="D203" t="s">
        <v>401</v>
      </c>
      <c r="E203" s="6">
        <f t="shared" ca="1" si="7"/>
        <v>60.700254880962532</v>
      </c>
    </row>
    <row r="204" spans="1:5" ht="16.5" x14ac:dyDescent="0.45">
      <c r="B204" s="7">
        <f ca="1">SUM(B194:B203)</f>
        <v>5001.8640340417678</v>
      </c>
      <c r="D204" t="s">
        <v>402</v>
      </c>
      <c r="E204" s="6">
        <f t="shared" ca="1" si="7"/>
        <v>141.65964435453566</v>
      </c>
    </row>
    <row r="205" spans="1:5" ht="16.5" x14ac:dyDescent="0.45">
      <c r="B205" s="7"/>
      <c r="D205" t="s">
        <v>403</v>
      </c>
      <c r="E205" s="6">
        <f t="shared" ca="1" si="7"/>
        <v>513.95827859195538</v>
      </c>
    </row>
    <row r="206" spans="1:5" ht="16.5" x14ac:dyDescent="0.45">
      <c r="B206" s="7"/>
      <c r="D206" t="s">
        <v>404</v>
      </c>
      <c r="E206" s="6">
        <f t="shared" ca="1" si="7"/>
        <v>229.06693214639117</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2135.0695890613556</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7.5529983391617037</v>
      </c>
      <c r="D227" s="121"/>
      <c r="E227" s="8"/>
      <c r="F227" s="8"/>
      <c r="G227" s="122"/>
      <c r="H227" s="48" t="s">
        <v>415</v>
      </c>
      <c r="I227" s="48" t="str">
        <f t="shared" ref="I227:I242" si="8">B42</f>
        <v>NTS MG 1</v>
      </c>
      <c r="J227" s="12">
        <f ca="1">IFERROR($E194/$H42*1000000," ")</f>
        <v>3.8550386075244876</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4.3052204053613687</v>
      </c>
      <c r="D228" s="121"/>
      <c r="E228" s="8"/>
      <c r="F228" s="8"/>
      <c r="G228" s="122"/>
      <c r="H228" s="48" t="s">
        <v>417</v>
      </c>
      <c r="I228" s="48" t="str">
        <f t="shared" si="8"/>
        <v>NTS MG 2</v>
      </c>
      <c r="J228" s="12">
        <f t="shared" ref="J228:J242" ca="1" si="11">IFERROR($E195/$H43*1000000," ")</f>
        <v>4.9260835925111657</v>
      </c>
      <c r="L228" s="21"/>
      <c r="M228" s="123"/>
      <c r="Q228" s="8"/>
      <c r="R228" s="124"/>
      <c r="S228" s="125"/>
      <c r="T228" s="125"/>
      <c r="U228" s="125"/>
    </row>
    <row r="229" spans="1:21" ht="16.5" x14ac:dyDescent="0.35">
      <c r="A229" s="48" t="s">
        <v>418</v>
      </c>
      <c r="B229" s="48" t="str">
        <f t="shared" si="9"/>
        <v>PR-ITABORAÍ</v>
      </c>
      <c r="C229" s="12">
        <f t="shared" ca="1" si="10"/>
        <v>5.0318685799748408</v>
      </c>
      <c r="D229" s="121"/>
      <c r="E229" s="8"/>
      <c r="F229" s="8"/>
      <c r="G229" s="122"/>
      <c r="H229" s="48" t="s">
        <v>419</v>
      </c>
      <c r="I229" s="48" t="str">
        <f t="shared" si="8"/>
        <v>NTS MG 3</v>
      </c>
      <c r="J229" s="12">
        <f t="shared" ca="1" si="11"/>
        <v>6.2176030840405483</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6.6573594265887452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1.872157702693761</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1.8650764706091159</v>
      </c>
      <c r="L232" s="21"/>
      <c r="M232" s="123"/>
      <c r="Q232" s="8"/>
      <c r="R232" s="124"/>
      <c r="S232" s="125"/>
      <c r="T232" s="125"/>
      <c r="U232" s="125"/>
    </row>
    <row r="233" spans="1:21" ht="16.5" x14ac:dyDescent="0.35">
      <c r="A233" s="48" t="s">
        <v>426</v>
      </c>
      <c r="B233" s="48" t="str">
        <f t="shared" si="9"/>
        <v>PR-TECAB</v>
      </c>
      <c r="C233" s="12">
        <f t="shared" ca="1" si="10"/>
        <v>7.1700818995176867</v>
      </c>
      <c r="D233" s="121"/>
      <c r="E233" s="8"/>
      <c r="F233" s="8"/>
      <c r="G233" s="122"/>
      <c r="H233" s="48" t="s">
        <v>427</v>
      </c>
      <c r="I233" s="48" t="str">
        <f t="shared" si="8"/>
        <v>NTS RJ 3</v>
      </c>
      <c r="J233" s="12">
        <f t="shared" ca="1" si="11"/>
        <v>2.1495223231905469</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2.51803586429756</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1.8975637433359973</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3.6040744095041739</v>
      </c>
      <c r="L236" s="21"/>
      <c r="Q236" s="8"/>
      <c r="R236" s="124"/>
      <c r="S236" s="125"/>
      <c r="T236" s="125"/>
      <c r="U236" s="125"/>
    </row>
    <row r="237" spans="1:21" ht="16.5" x14ac:dyDescent="0.35">
      <c r="D237" s="116"/>
      <c r="E237" s="8"/>
      <c r="F237" s="8"/>
      <c r="G237" s="116"/>
      <c r="H237" s="48" t="s">
        <v>434</v>
      </c>
      <c r="I237" s="48" t="str">
        <f t="shared" si="8"/>
        <v>NTS SP 2</v>
      </c>
      <c r="J237" s="12">
        <f t="shared" ca="1" si="11"/>
        <v>3.5008239852189913</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4.73693006332749</v>
      </c>
      <c r="L238" s="21"/>
      <c r="Q238" s="8"/>
      <c r="R238" s="124"/>
      <c r="S238" s="125"/>
      <c r="T238" s="125"/>
      <c r="U238" s="125"/>
    </row>
    <row r="239" spans="1:21" ht="16.5" x14ac:dyDescent="0.35">
      <c r="D239" s="116"/>
      <c r="E239" s="8"/>
      <c r="F239" s="8"/>
      <c r="G239" s="116"/>
      <c r="H239" s="48" t="s">
        <v>436</v>
      </c>
      <c r="I239" s="48" t="str">
        <f t="shared" si="8"/>
        <v>NTS SP 4</v>
      </c>
      <c r="J239" s="12">
        <f t="shared" ca="1" si="11"/>
        <v>5.1277766783718688</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1.5105996678323403</v>
      </c>
      <c r="D246" s="12">
        <f t="shared" ref="D246:D252" ca="1" si="13">$F$8*$C$12</f>
        <v>4.703778157720893</v>
      </c>
      <c r="E246" s="12">
        <f ca="1">IFERROR(C246+D246," ")</f>
        <v>6.2143778255532336</v>
      </c>
      <c r="F246" s="256">
        <f ca="1">E246*H25</f>
        <v>1199608936.7709899</v>
      </c>
      <c r="G246" s="123"/>
      <c r="H246" s="48" t="s">
        <v>415</v>
      </c>
      <c r="I246" s="48" t="str">
        <f t="shared" ref="I246:I261" si="14">I227</f>
        <v>NTS MG 1</v>
      </c>
      <c r="J246" s="12">
        <f ca="1">IF(H42=0," ",J227*(1-$C$12))</f>
        <v>0.77100772150489738</v>
      </c>
      <c r="K246" s="12">
        <f t="shared" ref="K246:K258" ca="1" si="15">$F$11*$C$12</f>
        <v>2.4511770057812541</v>
      </c>
      <c r="L246" s="12">
        <f ca="1">IFERROR(J246+K246," ")</f>
        <v>3.2221847272861517</v>
      </c>
      <c r="M246" s="256">
        <f ca="1">L246*H42</f>
        <v>26629694.98835792</v>
      </c>
      <c r="N246" s="131"/>
    </row>
    <row r="247" spans="1:22" ht="16.5" x14ac:dyDescent="0.35">
      <c r="A247" s="48" t="s">
        <v>416</v>
      </c>
      <c r="B247" s="48" t="str">
        <f t="shared" si="12"/>
        <v>PR-GNLBGB</v>
      </c>
      <c r="C247" s="12">
        <f t="shared" ref="C247:C255" ca="1" si="16">IF(H26=0," ",C228*(1-$C$12))</f>
        <v>0.86104408107227359</v>
      </c>
      <c r="D247" s="12">
        <f t="shared" ca="1" si="13"/>
        <v>4.703778157720893</v>
      </c>
      <c r="E247" s="12">
        <f t="shared" ref="E247:E252" ca="1" si="17">IFERROR(C247+D247," ")</f>
        <v>5.564822238793167</v>
      </c>
      <c r="F247" s="256">
        <f t="shared" ref="F247:F252" ca="1" si="18">E247*H26</f>
        <v>1515333965.3588972</v>
      </c>
      <c r="G247" s="123"/>
      <c r="H247" s="48" t="s">
        <v>417</v>
      </c>
      <c r="I247" s="48" t="str">
        <f t="shared" si="14"/>
        <v>NTS MG 2</v>
      </c>
      <c r="J247" s="12">
        <f t="shared" ref="J247:J248" ca="1" si="19">IF(H43=0," ",J228*(1-$C$12))</f>
        <v>0.98521671850223291</v>
      </c>
      <c r="K247" s="12">
        <f t="shared" ca="1" si="15"/>
        <v>2.4511770057812541</v>
      </c>
      <c r="L247" s="12">
        <f t="shared" ref="L247:L258" ca="1" si="20">IFERROR(J247+K247," ")</f>
        <v>3.4363937242834872</v>
      </c>
      <c r="M247" s="256">
        <f t="shared" ref="M247:M258" ca="1" si="21">L247*H43</f>
        <v>78509450.914126292</v>
      </c>
    </row>
    <row r="248" spans="1:22" ht="16.5" x14ac:dyDescent="0.35">
      <c r="A248" s="48" t="s">
        <v>418</v>
      </c>
      <c r="B248" s="48" t="str">
        <f t="shared" si="12"/>
        <v>PR-ITABORAÍ</v>
      </c>
      <c r="C248" s="12">
        <f t="shared" ca="1" si="16"/>
        <v>1.0063737159949679</v>
      </c>
      <c r="D248" s="12">
        <f t="shared" ca="1" si="13"/>
        <v>4.703778157720893</v>
      </c>
      <c r="E248" s="12">
        <f t="shared" ca="1" si="17"/>
        <v>5.7101518737158612</v>
      </c>
      <c r="F248" s="256">
        <f t="shared" ca="1" si="18"/>
        <v>1045520195.2559044</v>
      </c>
      <c r="G248" s="123"/>
      <c r="H248" s="48" t="s">
        <v>419</v>
      </c>
      <c r="I248" s="48" t="str">
        <f t="shared" si="14"/>
        <v>NTS MG 3</v>
      </c>
      <c r="J248" s="12">
        <f t="shared" ca="1" si="19"/>
        <v>1.2435206168081094</v>
      </c>
      <c r="K248" s="12">
        <f t="shared" ca="1" si="15"/>
        <v>2.4511770057812541</v>
      </c>
      <c r="L248" s="12">
        <f t="shared" ca="1" si="20"/>
        <v>3.6946976225893637</v>
      </c>
      <c r="M248" s="256">
        <f t="shared" ca="1" si="21"/>
        <v>137683140.89799455</v>
      </c>
    </row>
    <row r="249" spans="1:22" ht="16.5" x14ac:dyDescent="0.35">
      <c r="A249" s="48" t="s">
        <v>420</v>
      </c>
      <c r="B249" s="48" t="str">
        <f t="shared" si="12"/>
        <v>PR-GASPAJ (INTERCONEXÃO)</v>
      </c>
      <c r="C249" s="12" t="str">
        <f t="shared" si="16"/>
        <v xml:space="preserve"> </v>
      </c>
      <c r="D249" s="12">
        <f t="shared" ca="1" si="13"/>
        <v>4.703778157720893</v>
      </c>
      <c r="E249" s="127">
        <f ca="1">E271</f>
        <v>0.57459513218442759</v>
      </c>
      <c r="F249" s="256">
        <f t="shared" ca="1" si="18"/>
        <v>0</v>
      </c>
      <c r="G249" s="123"/>
      <c r="H249" s="48" t="s">
        <v>421</v>
      </c>
      <c r="I249" s="48" t="str">
        <f t="shared" si="14"/>
        <v>NTS MG 4</v>
      </c>
      <c r="J249" s="12">
        <f ca="1">IF(H45=0," ",J230*(1-$C$12))</f>
        <v>1.3314718853177487</v>
      </c>
      <c r="K249" s="12">
        <f t="shared" ca="1" si="15"/>
        <v>2.4511770057812541</v>
      </c>
      <c r="L249" s="12">
        <f t="shared" ca="1" si="20"/>
        <v>3.7826488910990026</v>
      </c>
      <c r="M249" s="256">
        <f t="shared" ca="1" si="21"/>
        <v>17253130.403309263</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0.37443154053875211</v>
      </c>
      <c r="K250" s="12">
        <f t="shared" ca="1" si="15"/>
        <v>2.4511770057812541</v>
      </c>
      <c r="L250" s="12">
        <f t="shared" ca="1" si="20"/>
        <v>2.825608546320006</v>
      </c>
      <c r="M250" s="256">
        <f t="shared" ca="1" si="21"/>
        <v>684523308.03058028</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0.3730152941218231</v>
      </c>
      <c r="K251" s="12">
        <f t="shared" ca="1" si="15"/>
        <v>2.4511770057812541</v>
      </c>
      <c r="L251" s="12">
        <f t="shared" ca="1" si="20"/>
        <v>2.8241922999030771</v>
      </c>
      <c r="M251" s="256">
        <f t="shared" ca="1" si="21"/>
        <v>323229296.13998765</v>
      </c>
    </row>
    <row r="252" spans="1:22" ht="16.5" x14ac:dyDescent="0.35">
      <c r="A252" s="48" t="s">
        <v>426</v>
      </c>
      <c r="B252" s="48" t="str">
        <f t="shared" si="12"/>
        <v>PR-TECAB</v>
      </c>
      <c r="C252" s="12">
        <f t="shared" ca="1" si="16"/>
        <v>1.434016379903537</v>
      </c>
      <c r="D252" s="12">
        <f t="shared" ca="1" si="13"/>
        <v>4.703778157720893</v>
      </c>
      <c r="E252" s="12">
        <f t="shared" ca="1" si="17"/>
        <v>6.1377945376244298</v>
      </c>
      <c r="F252" s="256">
        <f t="shared" ca="1" si="18"/>
        <v>1241400936.6559763</v>
      </c>
      <c r="G252" s="123"/>
      <c r="H252" s="48" t="s">
        <v>427</v>
      </c>
      <c r="I252" s="48" t="str">
        <f t="shared" si="14"/>
        <v>NTS RJ 3</v>
      </c>
      <c r="J252" s="12">
        <f t="shared" ca="1" si="22"/>
        <v>0.42990446463810927</v>
      </c>
      <c r="K252" s="12">
        <f t="shared" ca="1" si="15"/>
        <v>2.4511770057812541</v>
      </c>
      <c r="L252" s="12">
        <f t="shared" ca="1" si="20"/>
        <v>2.8810814704193635</v>
      </c>
      <c r="M252" s="256">
        <f t="shared" ca="1" si="21"/>
        <v>67234692.528180063</v>
      </c>
    </row>
    <row r="253" spans="1:22" ht="16.5" x14ac:dyDescent="0.35">
      <c r="A253" s="48" t="s">
        <v>428</v>
      </c>
      <c r="B253" s="48" t="str">
        <f t="shared" si="12"/>
        <v>PR-GUARAREMA (INTERCONEXÃO)</v>
      </c>
      <c r="C253" s="12" t="str">
        <f t="shared" si="16"/>
        <v xml:space="preserve"> </v>
      </c>
      <c r="D253" s="12"/>
      <c r="E253" s="127">
        <f ca="1">E269</f>
        <v>0.5345107320621999</v>
      </c>
      <c r="F253" s="257"/>
      <c r="G253" s="123"/>
      <c r="H253" s="48" t="s">
        <v>429</v>
      </c>
      <c r="I253" s="48" t="str">
        <f t="shared" si="14"/>
        <v>NTS RJ 4</v>
      </c>
      <c r="J253" s="12">
        <f t="shared" ca="1" si="22"/>
        <v>0.50360717285951184</v>
      </c>
      <c r="K253" s="12">
        <f t="shared" ca="1" si="15"/>
        <v>2.4511770057812541</v>
      </c>
      <c r="L253" s="12">
        <f t="shared" ca="1" si="20"/>
        <v>2.9547841786407658</v>
      </c>
      <c r="M253" s="256">
        <f t="shared" ca="1" si="21"/>
        <v>12994373.735611554</v>
      </c>
    </row>
    <row r="254" spans="1:22" ht="16.5" x14ac:dyDescent="0.35">
      <c r="A254" s="48" t="s">
        <v>430</v>
      </c>
      <c r="B254" s="48" t="str">
        <f t="shared" si="12"/>
        <v>PR-REPLAN (INTERCONEXÃO)</v>
      </c>
      <c r="C254" s="12" t="str">
        <f t="shared" si="16"/>
        <v xml:space="preserve"> </v>
      </c>
      <c r="D254" s="12"/>
      <c r="E254" s="127">
        <f ca="1">E268</f>
        <v>0.57459513218442759</v>
      </c>
      <c r="F254" s="258">
        <f ca="1">SUM(F246:F252)</f>
        <v>5001864034.0417681</v>
      </c>
      <c r="G254" s="123"/>
      <c r="H254" s="48" t="s">
        <v>431</v>
      </c>
      <c r="I254" s="48" t="str">
        <f t="shared" si="14"/>
        <v>NTS RJ 5</v>
      </c>
      <c r="J254" s="12">
        <f t="shared" ca="1" si="22"/>
        <v>0.37951274866719936</v>
      </c>
      <c r="K254" s="12">
        <f t="shared" ca="1" si="15"/>
        <v>2.4511770057812541</v>
      </c>
      <c r="L254" s="12">
        <f t="shared" ca="1" si="20"/>
        <v>2.8306897544484535</v>
      </c>
      <c r="M254" s="256">
        <f t="shared" ca="1" si="21"/>
        <v>82014560.674246147</v>
      </c>
    </row>
    <row r="255" spans="1:22" ht="16.5" x14ac:dyDescent="0.35">
      <c r="A255" s="48" t="s">
        <v>432</v>
      </c>
      <c r="B255" s="48" t="str">
        <f t="shared" si="12"/>
        <v>PR-TECAB (INTERCONEXÃO)</v>
      </c>
      <c r="C255" s="12" t="str">
        <f t="shared" si="16"/>
        <v xml:space="preserve"> </v>
      </c>
      <c r="D255" s="12"/>
      <c r="E255" s="127">
        <f ca="1">E270</f>
        <v>0.56141765604601046</v>
      </c>
      <c r="G255" s="123"/>
      <c r="H255" s="48" t="s">
        <v>433</v>
      </c>
      <c r="I255" s="48" t="str">
        <f t="shared" si="14"/>
        <v>NTS SP 1</v>
      </c>
      <c r="J255" s="12">
        <f t="shared" ca="1" si="22"/>
        <v>0.72081488190083465</v>
      </c>
      <c r="K255" s="12">
        <f t="shared" ca="1" si="15"/>
        <v>2.4511770057812541</v>
      </c>
      <c r="L255" s="12">
        <f t="shared" ca="1" si="20"/>
        <v>3.171991887682089</v>
      </c>
      <c r="M255" s="256">
        <f t="shared" ca="1" si="21"/>
        <v>53423069.056206532</v>
      </c>
    </row>
    <row r="256" spans="1:22" ht="16.5" x14ac:dyDescent="0.35">
      <c r="F256" s="131"/>
      <c r="H256" s="48" t="s">
        <v>434</v>
      </c>
      <c r="I256" s="48" t="str">
        <f t="shared" si="14"/>
        <v>NTS SP 2</v>
      </c>
      <c r="J256" s="12">
        <f t="shared" ca="1" si="22"/>
        <v>0.70016479704379808</v>
      </c>
      <c r="K256" s="12">
        <f t="shared" ca="1" si="15"/>
        <v>2.4511770057812541</v>
      </c>
      <c r="L256" s="12">
        <f t="shared" ca="1" si="20"/>
        <v>3.1513418028250522</v>
      </c>
      <c r="M256" s="256">
        <f t="shared" ca="1" si="21"/>
        <v>127517967.45926739</v>
      </c>
    </row>
    <row r="257" spans="1:13" ht="16.5" x14ac:dyDescent="0.35">
      <c r="H257" s="48" t="s">
        <v>435</v>
      </c>
      <c r="I257" s="48" t="str">
        <f t="shared" si="14"/>
        <v>NTS SP 3</v>
      </c>
      <c r="J257" s="12">
        <f t="shared" ca="1" si="22"/>
        <v>0.94738601266549782</v>
      </c>
      <c r="K257" s="12">
        <f t="shared" ca="1" si="15"/>
        <v>2.4511770057812541</v>
      </c>
      <c r="L257" s="12">
        <f t="shared" ca="1" si="20"/>
        <v>3.3985630184467519</v>
      </c>
      <c r="M257" s="256">
        <f t="shared" ca="1" si="21"/>
        <v>368745068.07055902</v>
      </c>
    </row>
    <row r="258" spans="1:13" ht="16.5" x14ac:dyDescent="0.35">
      <c r="H258" s="48" t="s">
        <v>436</v>
      </c>
      <c r="I258" s="48" t="str">
        <f t="shared" si="14"/>
        <v>NTS SP 4</v>
      </c>
      <c r="J258" s="12">
        <f t="shared" ca="1" si="22"/>
        <v>1.0255553356743736</v>
      </c>
      <c r="K258" s="12">
        <f t="shared" ca="1" si="15"/>
        <v>2.4511770057812541</v>
      </c>
      <c r="L258" s="12">
        <f t="shared" ca="1" si="20"/>
        <v>3.4767323414556275</v>
      </c>
      <c r="M258" s="256">
        <f t="shared" ca="1" si="21"/>
        <v>155311836.16292897</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0.30415148533969139</v>
      </c>
      <c r="M260" s="258">
        <f ca="1">SUM(M246:M258)</f>
        <v>2135069589.0613556</v>
      </c>
    </row>
    <row r="261" spans="1:13" ht="16.5" x14ac:dyDescent="0.35">
      <c r="H261" s="48" t="s">
        <v>439</v>
      </c>
      <c r="I261" s="48" t="str">
        <f t="shared" si="14"/>
        <v>PE-TECAB (INTERCONEXÃO)</v>
      </c>
      <c r="J261" s="12" t="str">
        <f t="shared" si="22"/>
        <v xml:space="preserve"> </v>
      </c>
      <c r="K261" s="12"/>
      <c r="L261" s="127">
        <f ca="1">E273</f>
        <v>0.26281815713874873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(Legados)'!I11</f>
        <v>200</v>
      </c>
      <c r="D268" s="265">
        <f ca="1">'CWD 2028 Legados (sem desc.)'!D267</f>
        <v>5.7459513218442773</v>
      </c>
      <c r="E268" s="268">
        <f ca="1">D268*(1-$C$263)</f>
        <v>0.57459513218442759</v>
      </c>
      <c r="F268" s="266">
        <f ca="1">C268*E268*'Premissas (Legados)'!$C$44*'Premissas (Legados)'!$F$20*1000</f>
        <v>1564656.4845488691</v>
      </c>
      <c r="L268" s="128"/>
    </row>
    <row r="269" spans="1:13" ht="18.5" x14ac:dyDescent="0.45">
      <c r="B269" s="247" t="s">
        <v>451</v>
      </c>
      <c r="C269" s="271">
        <f>'Oferta (Legados)'!I10</f>
        <v>6000</v>
      </c>
      <c r="D269" s="265">
        <f ca="1">'CWD 2028 Legados (sem desc.)'!D268</f>
        <v>5.3451073206220006</v>
      </c>
      <c r="E269" s="268">
        <f t="shared" ref="E269:E271" ca="1" si="23">D269*(1-$C$263)</f>
        <v>0.5345107320621999</v>
      </c>
      <c r="F269" s="266">
        <f ca="1">C269*E269*'Premissas (Legados)'!$C$44*'Premissas (Legados)'!$F$20*1000</f>
        <v>43665128.860523432</v>
      </c>
      <c r="G269" s="129"/>
      <c r="K269" s="129"/>
      <c r="L269" s="128"/>
    </row>
    <row r="270" spans="1:13" ht="18.5" x14ac:dyDescent="0.45">
      <c r="B270" s="248" t="s">
        <v>452</v>
      </c>
      <c r="C270" s="271">
        <f>'Oferta (Legados)'!I12</f>
        <v>200</v>
      </c>
      <c r="D270" s="265">
        <f ca="1">'CWD 2028 Legados (sem desc.)'!D269</f>
        <v>5.6141765604601055</v>
      </c>
      <c r="E270" s="268">
        <f t="shared" ca="1" si="23"/>
        <v>0.56141765604601046</v>
      </c>
      <c r="F270" s="266">
        <f ca="1">C270*E270*'Premissas (Legados)'!$C$44*'Premissas (Legados)'!$F$20*1000</f>
        <v>1528773.4386699761</v>
      </c>
      <c r="K270" s="129"/>
      <c r="L270" s="128"/>
    </row>
    <row r="271" spans="1:13" ht="18.5" x14ac:dyDescent="0.45">
      <c r="B271" s="248" t="s">
        <v>243</v>
      </c>
      <c r="C271" s="271">
        <f>'Oferta (Legados)'!I6</f>
        <v>335</v>
      </c>
      <c r="D271" s="265">
        <f ca="1">'CWD 2028 Legados (sem desc.)'!D270</f>
        <v>5.7459513218442773</v>
      </c>
      <c r="E271" s="268">
        <f t="shared" ca="1" si="23"/>
        <v>0.57459513218442759</v>
      </c>
      <c r="F271" s="266">
        <f ca="1">C271*E271*'Premissas (Legados)'!$C$44*'Premissas (Legados)'!$F$20*1000</f>
        <v>2620799.6116193552</v>
      </c>
      <c r="K271" s="129"/>
      <c r="L271" s="128"/>
    </row>
    <row r="272" spans="1:13" ht="18.5" x14ac:dyDescent="0.45">
      <c r="B272" s="246" t="s">
        <v>453</v>
      </c>
      <c r="C272" s="271">
        <f>'Demanda (Legados)'!I17</f>
        <v>7011</v>
      </c>
      <c r="D272" s="265">
        <f ca="1">'CWD 2028 Legados (sem desc.)'!D271</f>
        <v>3.0415148533969147</v>
      </c>
      <c r="E272" s="268">
        <f ca="1">D272*(1-$C$263)</f>
        <v>0.30415148533969139</v>
      </c>
      <c r="F272" s="266">
        <f ca="1">C272*E272*'Premissas (Legados)'!$C$44*'Premissas (Legados)'!$F$20*1000</f>
        <v>29033338.33164601</v>
      </c>
      <c r="K272" s="129"/>
      <c r="L272" s="128"/>
    </row>
    <row r="273" spans="2:13" ht="18.5" x14ac:dyDescent="0.45">
      <c r="B273" s="248" t="s">
        <v>454</v>
      </c>
      <c r="C273" s="271">
        <f>'Demanda (Legados)'!I18</f>
        <v>200</v>
      </c>
      <c r="D273" s="265">
        <f ca="1">'CWD 2028 Legados (sem desc.)'!D272</f>
        <v>2.6281815713874876</v>
      </c>
      <c r="E273" s="268">
        <f ca="1">D273*(1-$C$263)</f>
        <v>0.26281815713874873</v>
      </c>
      <c r="F273" s="266">
        <f ca="1">C273*E273*'Premissas (Legados)'!$C$44*'Premissas (Legados)'!$F$20*1000</f>
        <v>715669.36576890049</v>
      </c>
      <c r="K273" s="129"/>
      <c r="L273" s="128"/>
    </row>
    <row r="274" spans="2:13" ht="19" thickBot="1" x14ac:dyDescent="0.5">
      <c r="B274" s="248"/>
      <c r="C274" s="269"/>
      <c r="D274" s="269"/>
      <c r="E274" s="269"/>
      <c r="F274" s="267">
        <f ca="1">SUM(F268:F273)</f>
        <v>79128366.092776537</v>
      </c>
      <c r="K274" s="129"/>
      <c r="L274" s="128"/>
    </row>
    <row r="275" spans="2:13" ht="15" thickTop="1" x14ac:dyDescent="0.35">
      <c r="K275" s="129"/>
      <c r="L275" s="128"/>
    </row>
    <row r="276" spans="2:13" x14ac:dyDescent="0.35">
      <c r="E276" t="s">
        <v>110</v>
      </c>
      <c r="F276" s="235">
        <f ca="1">F254+M260+F274</f>
        <v>7216061989.1959</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0FED-6B0B-4331-998E-48B25DDA82D3}">
  <sheetPr codeName="Planilha25">
    <tabColor theme="1" tint="0.499984740745262"/>
  </sheetPr>
  <dimension ref="A1:V39"/>
  <sheetViews>
    <sheetView showGridLines="0" zoomScale="110" zoomScaleNormal="110" workbookViewId="0">
      <selection activeCell="C24" sqref="C24"/>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2028 Legados (com desc.)'!A246</f>
        <v>TEN1</v>
      </c>
      <c r="B2" s="320" t="str">
        <f>'CWD 2028 Legados (com desc.)'!B246</f>
        <v>PR-CARAGUATATUBA</v>
      </c>
      <c r="C2" s="321">
        <f>'CWD 2028 Legados (sem desc.)'!H24</f>
        <v>193037657.25962999</v>
      </c>
      <c r="D2" s="322">
        <f ca="1">'CWD 2028 Legados (com desc.)'!E246</f>
        <v>6.2143778255532336</v>
      </c>
      <c r="E2" s="323">
        <f t="shared" ref="E2:E11" ca="1" si="0">IFERROR(C2*D2," ")</f>
        <v>1199608936.7709899</v>
      </c>
      <c r="F2" s="363"/>
      <c r="L2" s="68" t="s">
        <v>58</v>
      </c>
      <c r="M2" s="67">
        <f ca="1">IFERROR($D$2+$C34," ")</f>
        <v>9.780125365287347</v>
      </c>
      <c r="N2" s="67">
        <f ca="1">IFERROR($D$3+$C34," ")</f>
        <v>9.1305697785272795</v>
      </c>
      <c r="O2" s="67">
        <f ca="1">IFERROR($D$4+$C34," ")</f>
        <v>9.2758994134499737</v>
      </c>
      <c r="P2" s="67">
        <f ca="1">IFERROR($D$5+$C34," ")</f>
        <v>4.1403426719185399</v>
      </c>
      <c r="Q2" s="67" t="str">
        <f ca="1">IFERROR($D$6+$C34," ")</f>
        <v xml:space="preserve"> </v>
      </c>
      <c r="R2" s="67" t="str">
        <f ca="1">IFERROR($D$7+$C34," ")</f>
        <v xml:space="preserve"> </v>
      </c>
      <c r="S2" s="67">
        <f ca="1">IFERROR($D$8+$C34," ")</f>
        <v>9.7035420773585415</v>
      </c>
      <c r="T2" s="67">
        <f ca="1">IFERROR($D$9+$C34," ")</f>
        <v>4.1002582717963127</v>
      </c>
      <c r="U2" s="67">
        <f ca="1">IFERROR($D$10+$C34," ")</f>
        <v>4.1403426719185399</v>
      </c>
      <c r="V2" s="67">
        <f ca="1">IFERROR($D$11+$C34," ")</f>
        <v>4.1271651957801225</v>
      </c>
    </row>
    <row r="3" spans="1:22" s="62" customFormat="1" x14ac:dyDescent="0.35">
      <c r="A3" s="292" t="str">
        <f>'CWD 2028 Legados (com desc.)'!A247</f>
        <v>TEN2</v>
      </c>
      <c r="B3" s="295" t="str">
        <f>'CWD 2028 Legados (com desc.)'!B247</f>
        <v>PR-GNLBGB</v>
      </c>
      <c r="C3" s="296">
        <f>'CWD 2028 Legados (sem desc.)'!H25</f>
        <v>272305906.69999999</v>
      </c>
      <c r="D3" s="297">
        <f ca="1">'CWD 2028 Legados (com desc.)'!E247</f>
        <v>5.564822238793167</v>
      </c>
      <c r="E3" s="298">
        <f t="shared" ca="1" si="0"/>
        <v>1515333965.3588972</v>
      </c>
      <c r="F3" s="363"/>
      <c r="L3" s="68" t="s">
        <v>69</v>
      </c>
      <c r="M3" s="67">
        <f t="shared" ref="M3:M7" ca="1" si="1">IFERROR($D$2+$C35," ")</f>
        <v>9.044455880655434</v>
      </c>
      <c r="N3" s="67">
        <f t="shared" ref="N3:N7" ca="1" si="2">IFERROR($D$3+$C35," ")</f>
        <v>8.3949002938953665</v>
      </c>
      <c r="O3" s="67">
        <f t="shared" ref="O3:O7" ca="1" si="3">IFERROR($D$4+$C35," ")</f>
        <v>8.5402299288180608</v>
      </c>
      <c r="P3" s="67">
        <f t="shared" ref="P3:P7" ca="1" si="4">IFERROR($D$5+$C35," ")</f>
        <v>3.4046731872866269</v>
      </c>
      <c r="Q3" s="67" t="str">
        <f t="shared" ref="Q3:Q7" ca="1" si="5">IFERROR($D$6+$C35," ")</f>
        <v xml:space="preserve"> </v>
      </c>
      <c r="R3" s="67" t="str">
        <f t="shared" ref="R3:R7" ca="1" si="6">IFERROR($D$7+$C35," ")</f>
        <v xml:space="preserve"> </v>
      </c>
      <c r="S3" s="67">
        <f t="shared" ref="S3:S7" ca="1" si="7">IFERROR($D$8+$C35," ")</f>
        <v>8.9678725927266285</v>
      </c>
      <c r="T3" s="67">
        <f t="shared" ref="T3:T7" ca="1" si="8">IFERROR($D$9+$C35," ")</f>
        <v>3.3645887871643994</v>
      </c>
      <c r="U3" s="67">
        <f t="shared" ref="U3:U7" ca="1" si="9">IFERROR($D$10+$C35," ")</f>
        <v>3.4046731872866269</v>
      </c>
      <c r="V3" s="67">
        <f t="shared" ref="V3:V7" ca="1" si="10">IFERROR($D$11+$C35," ")</f>
        <v>3.39149571114821</v>
      </c>
    </row>
    <row r="4" spans="1:22" x14ac:dyDescent="0.35">
      <c r="A4" s="292" t="str">
        <f>'CWD 2028 Legados (com desc.)'!A248</f>
        <v>TEN3</v>
      </c>
      <c r="B4" s="295" t="str">
        <f>'CWD 2028 Legados (com desc.)'!B248</f>
        <v>PR-ITABORAÍ</v>
      </c>
      <c r="C4" s="296">
        <f>'CWD 2028 Legados (sem desc.)'!H26</f>
        <v>183098491.66507998</v>
      </c>
      <c r="D4" s="297">
        <f ca="1">'CWD 2028 Legados (com desc.)'!E248</f>
        <v>5.7101518737158612</v>
      </c>
      <c r="E4" s="296">
        <f t="shared" ca="1" si="0"/>
        <v>1045520195.2559044</v>
      </c>
      <c r="F4" s="363"/>
      <c r="L4" s="68" t="s">
        <v>258</v>
      </c>
      <c r="M4" s="67">
        <f t="shared" ca="1" si="1"/>
        <v>9.5638732204285084</v>
      </c>
      <c r="N4" s="67">
        <f t="shared" ca="1" si="2"/>
        <v>8.9143176336684427</v>
      </c>
      <c r="O4" s="67">
        <f t="shared" ca="1" si="3"/>
        <v>9.0596472685911369</v>
      </c>
      <c r="P4" s="67">
        <f t="shared" ca="1" si="4"/>
        <v>3.9240905270597031</v>
      </c>
      <c r="Q4" s="67" t="str">
        <f t="shared" ca="1" si="5"/>
        <v xml:space="preserve"> </v>
      </c>
      <c r="R4" s="67" t="str">
        <f t="shared" ca="1" si="6"/>
        <v xml:space="preserve"> </v>
      </c>
      <c r="S4" s="67">
        <f t="shared" ca="1" si="7"/>
        <v>9.4872899324997046</v>
      </c>
      <c r="T4" s="67">
        <f t="shared" ca="1" si="8"/>
        <v>3.884006126937475</v>
      </c>
      <c r="U4" s="67">
        <f t="shared" ca="1" si="9"/>
        <v>3.9240905270597031</v>
      </c>
      <c r="V4" s="67">
        <f t="shared" ca="1" si="10"/>
        <v>3.9109130509212857</v>
      </c>
    </row>
    <row r="5" spans="1:22" ht="24" x14ac:dyDescent="0.35">
      <c r="A5" s="292" t="str">
        <f>'CWD 2028 Legados (com desc.)'!A249</f>
        <v>TEN4</v>
      </c>
      <c r="B5" s="295" t="str">
        <f>'CWD 2028 Legados (com desc.)'!B249</f>
        <v>PR-GASPAJ (INTERCONEXÃO)</v>
      </c>
      <c r="C5" s="296">
        <f>'CWD 2028 Legados (sem desc.)'!H27</f>
        <v>4561123.937225</v>
      </c>
      <c r="D5" s="297">
        <f ca="1">'CWD 2028 Legados (com desc.)'!E249</f>
        <v>0.57459513218442759</v>
      </c>
      <c r="E5" s="296">
        <f t="shared" ca="1" si="0"/>
        <v>2620799.6116193556</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2028 Legados (com desc.)'!A250</f>
        <v>TEN5</v>
      </c>
      <c r="B6" s="295" t="str">
        <f>'CWD 2028 Legados (com desc.)'!B250</f>
        <v>PR-REDUC</v>
      </c>
      <c r="C6" s="296">
        <f>'CWD 2028 Legados (sem desc.)'!H28</f>
        <v>0</v>
      </c>
      <c r="D6" s="297" t="str">
        <f>'CWD 2028 Legados (com desc.)'!E250</f>
        <v xml:space="preserve"> </v>
      </c>
      <c r="E6" s="296" t="str">
        <f t="shared" si="0"/>
        <v xml:space="preserve"> </v>
      </c>
      <c r="F6" s="363"/>
      <c r="L6" s="132" t="str">
        <f t="shared" ref="L6:L7" si="11">B29</f>
        <v>PE-REPLAN (INTERCONEXÃO)</v>
      </c>
      <c r="M6" s="67">
        <f t="shared" ca="1" si="1"/>
        <v>6.5185293108929248</v>
      </c>
      <c r="N6" s="67">
        <f t="shared" ca="1" si="2"/>
        <v>5.8689737241328581</v>
      </c>
      <c r="O6" s="67">
        <f t="shared" ca="1" si="3"/>
        <v>6.0143033590555524</v>
      </c>
      <c r="P6" s="67">
        <f t="shared" ca="1" si="4"/>
        <v>0.87874661752411898</v>
      </c>
      <c r="Q6" s="67" t="str">
        <f t="shared" ca="1" si="5"/>
        <v xml:space="preserve"> </v>
      </c>
      <c r="R6" s="67" t="str">
        <f t="shared" ca="1" si="6"/>
        <v xml:space="preserve"> </v>
      </c>
      <c r="S6" s="67">
        <f t="shared" ca="1" si="7"/>
        <v>6.441946022964121</v>
      </c>
      <c r="T6" s="67">
        <f t="shared" ca="1" si="8"/>
        <v>0.83866221740189129</v>
      </c>
      <c r="U6" s="67">
        <f t="shared" ca="1" si="9"/>
        <v>0.87874661752411898</v>
      </c>
      <c r="V6" s="67">
        <f t="shared" ca="1" si="10"/>
        <v>0.86556914138570185</v>
      </c>
    </row>
    <row r="7" spans="1:22" x14ac:dyDescent="0.35">
      <c r="A7" s="292" t="str">
        <f>'CWD 2028 Legados (com desc.)'!A251</f>
        <v>TEN6</v>
      </c>
      <c r="B7" s="295" t="str">
        <f>'CWD 2028 Legados (com desc.)'!B251</f>
        <v>PR-RPBC</v>
      </c>
      <c r="C7" s="296">
        <f>'CWD 2028 Legados (sem desc.)'!H29</f>
        <v>0</v>
      </c>
      <c r="D7" s="297" t="str">
        <f>'CWD 2028 Legados (com desc.)'!E251</f>
        <v xml:space="preserve"> </v>
      </c>
      <c r="E7" s="296" t="str">
        <f t="shared" si="0"/>
        <v xml:space="preserve"> </v>
      </c>
      <c r="F7" s="363"/>
      <c r="L7" s="132" t="str">
        <f t="shared" si="11"/>
        <v>PE-TECAB (INTERCONEXÃO)</v>
      </c>
      <c r="M7" s="67">
        <f t="shared" ca="1" si="1"/>
        <v>6.477195982691982</v>
      </c>
      <c r="N7" s="67">
        <f t="shared" ca="1" si="2"/>
        <v>5.8276403959319154</v>
      </c>
      <c r="O7" s="67">
        <f t="shared" ca="1" si="3"/>
        <v>5.9729700308546096</v>
      </c>
      <c r="P7" s="67">
        <f t="shared" ca="1" si="4"/>
        <v>0.83741328932317627</v>
      </c>
      <c r="Q7" s="67" t="str">
        <f t="shared" ca="1" si="5"/>
        <v xml:space="preserve"> </v>
      </c>
      <c r="R7" s="67" t="str">
        <f t="shared" ca="1" si="6"/>
        <v xml:space="preserve"> </v>
      </c>
      <c r="S7" s="67">
        <f t="shared" ca="1" si="7"/>
        <v>6.4006126947631783</v>
      </c>
      <c r="T7" s="67">
        <f t="shared" ca="1" si="8"/>
        <v>0.79732888920094869</v>
      </c>
      <c r="U7" s="67">
        <f t="shared" ca="1" si="9"/>
        <v>0.83741328932317627</v>
      </c>
      <c r="V7" s="67">
        <f t="shared" ca="1" si="10"/>
        <v>0.82423581318475914</v>
      </c>
    </row>
    <row r="8" spans="1:22" x14ac:dyDescent="0.35">
      <c r="A8" s="292" t="str">
        <f>'CWD 2028 Legados (com desc.)'!A252</f>
        <v>TEN7</v>
      </c>
      <c r="B8" s="295" t="str">
        <f>'CWD 2028 Legados (com desc.)'!B252</f>
        <v>PR-TECAB</v>
      </c>
      <c r="C8" s="296">
        <f>'CWD 2028 Legados (sem desc.)'!H30</f>
        <v>202255212.20142499</v>
      </c>
      <c r="D8" s="297">
        <f ca="1">'CWD 2028 Legados (com desc.)'!E252</f>
        <v>6.1377945376244298</v>
      </c>
      <c r="E8" s="296">
        <f t="shared" ca="1" si="0"/>
        <v>1241400936.6559763</v>
      </c>
      <c r="F8" s="363"/>
      <c r="L8" s="61"/>
    </row>
    <row r="9" spans="1:22" x14ac:dyDescent="0.35">
      <c r="A9" s="292" t="str">
        <f>'CWD 2028 Legados (com desc.)'!A253</f>
        <v>TEN8</v>
      </c>
      <c r="B9" s="295" t="str">
        <f>'CWD 2028 Legados (com desc.)'!B253</f>
        <v>PR-GUARAREMA (INTERCONEXÃO)</v>
      </c>
      <c r="C9" s="296">
        <f>'CWD 2028 Legados (sem desc.)'!H31</f>
        <v>81691772.010000005</v>
      </c>
      <c r="D9" s="297">
        <f ca="1">'CWD 2028 Legados (com desc.)'!E253</f>
        <v>0.5345107320621999</v>
      </c>
      <c r="E9" s="296">
        <f t="shared" ca="1" si="0"/>
        <v>43665128.860523432</v>
      </c>
      <c r="F9" s="363"/>
      <c r="L9" s="61"/>
    </row>
    <row r="10" spans="1:22" x14ac:dyDescent="0.35">
      <c r="A10" s="292" t="str">
        <f>'CWD 2028 Legados (com desc.)'!A254</f>
        <v>TEN9</v>
      </c>
      <c r="B10" s="295" t="str">
        <f>'CWD 2028 Legados (com desc.)'!B254</f>
        <v>PR-REPLAN (INTERCONEXÃO)</v>
      </c>
      <c r="C10" s="296">
        <f>'CWD 2028 Legados (sem desc.)'!H32</f>
        <v>2723059.0670000003</v>
      </c>
      <c r="D10" s="297">
        <f ca="1">'CWD 2028 Legados (com desc.)'!E254</f>
        <v>0.57459513218442759</v>
      </c>
      <c r="E10" s="296">
        <f t="shared" ca="1" si="0"/>
        <v>1564656.4845488693</v>
      </c>
      <c r="F10" s="363"/>
      <c r="L10" s="61"/>
    </row>
    <row r="11" spans="1:22" x14ac:dyDescent="0.35">
      <c r="A11" s="292" t="str">
        <f>'CWD 2028 Legados (com desc.)'!A255</f>
        <v>TEN10</v>
      </c>
      <c r="B11" s="295" t="str">
        <f>'CWD 2028 Legados (com desc.)'!B255</f>
        <v>PR-TECAB (INTERCONEXÃO)</v>
      </c>
      <c r="C11" s="296">
        <f>'CWD 2028 Legados (sem desc.)'!H33</f>
        <v>2723059.0670000003</v>
      </c>
      <c r="D11" s="297">
        <f ca="1">'CWD 2028 Legados (com desc.)'!E255</f>
        <v>0.56141765604601046</v>
      </c>
      <c r="E11" s="296">
        <f t="shared" ca="1" si="0"/>
        <v>1528773.4386699763</v>
      </c>
      <c r="F11" s="363"/>
      <c r="L11" s="61"/>
    </row>
    <row r="12" spans="1:22" x14ac:dyDescent="0.35">
      <c r="E12" s="65">
        <f ca="1">SUM(E2:E11)</f>
        <v>5051243392.437129</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2028 Legados (com desc.)'!H246</f>
        <v>TEX1</v>
      </c>
      <c r="B15" s="296" t="str">
        <f>'CWD 2028 Legados (com desc.)'!I246</f>
        <v>NTS MG 1</v>
      </c>
      <c r="C15" s="296">
        <f>'CWD 2028 Legados (sem desc.)'!H41</f>
        <v>8264484.2683449984</v>
      </c>
      <c r="D15" s="296"/>
      <c r="E15" s="299">
        <f ca="1">'CWD 2028 Legados (com desc.)'!L246</f>
        <v>3.2221847272861517</v>
      </c>
      <c r="F15" s="305">
        <f ca="1">IFERROR(C15*E15," ")</f>
        <v>26629694.98835792</v>
      </c>
      <c r="G15" s="308"/>
      <c r="H15" s="314" t="str">
        <f>IFERROR(G15/D15," ")</f>
        <v xml:space="preserve"> </v>
      </c>
      <c r="I15" s="66"/>
      <c r="J15" s="66"/>
      <c r="L15" s="59"/>
    </row>
    <row r="16" spans="1:22" x14ac:dyDescent="0.35">
      <c r="A16" s="296" t="str">
        <f>'CWD 2028 Legados (com desc.)'!H247</f>
        <v>TEX2</v>
      </c>
      <c r="B16" s="296" t="str">
        <f>'CWD 2028 Legados (com desc.)'!I247</f>
        <v>NTS MG 2</v>
      </c>
      <c r="C16" s="296">
        <f>'CWD 2028 Legados (sem desc.)'!H42</f>
        <v>22846465.572130002</v>
      </c>
      <c r="D16" s="296"/>
      <c r="E16" s="299">
        <f ca="1">'CWD 2028 Legados (com desc.)'!L247</f>
        <v>3.4363937242834872</v>
      </c>
      <c r="F16" s="305">
        <f t="shared" ref="F16:F30" ca="1" si="12">IFERROR(C16*E16," ")</f>
        <v>78509450.914126292</v>
      </c>
      <c r="G16" s="317"/>
      <c r="H16" s="315" t="str">
        <f t="shared" ref="H16:H30" si="13">IFERROR(G16/D16," ")</f>
        <v xml:space="preserve"> </v>
      </c>
      <c r="I16" s="66"/>
      <c r="J16" s="66"/>
      <c r="L16" s="59"/>
    </row>
    <row r="17" spans="1:12" x14ac:dyDescent="0.35">
      <c r="A17" s="296" t="str">
        <f>'CWD 2028 Legados (com desc.)'!H248</f>
        <v>TEX3</v>
      </c>
      <c r="B17" s="296" t="str">
        <f>'CWD 2028 Legados (com desc.)'!I248</f>
        <v>NTS MG 3</v>
      </c>
      <c r="C17" s="296">
        <f>'CWD 2028 Legados (sem desc.)'!H43</f>
        <v>37265063.331895001</v>
      </c>
      <c r="D17" s="296"/>
      <c r="E17" s="299">
        <f ca="1">'CWD 2028 Legados (com desc.)'!L248</f>
        <v>3.6946976225893637</v>
      </c>
      <c r="F17" s="305">
        <f ca="1">IFERROR(C17*E17," ")</f>
        <v>137683140.89799455</v>
      </c>
      <c r="G17" s="310"/>
      <c r="H17" s="316" t="str">
        <f t="shared" si="13"/>
        <v xml:space="preserve"> </v>
      </c>
      <c r="I17" s="66"/>
      <c r="J17" s="66"/>
      <c r="L17" s="59"/>
    </row>
    <row r="18" spans="1:12" x14ac:dyDescent="0.35">
      <c r="A18" s="301" t="str">
        <f>'CWD 2028 Legados (com desc.)'!H249</f>
        <v>TEX4</v>
      </c>
      <c r="B18" s="301" t="str">
        <f>'CWD 2028 Legados (com desc.)'!I249</f>
        <v>NTS MG 4</v>
      </c>
      <c r="C18" s="301">
        <f>'CWD 2028 Legados (sem desc.)'!H44</f>
        <v>4561123.937225</v>
      </c>
      <c r="D18" s="301">
        <f>SUM(C15:C18)</f>
        <v>72937137.109595001</v>
      </c>
      <c r="E18" s="302">
        <f ca="1">'CWD 2028 Legados (com desc.)'!L249</f>
        <v>3.7826488910990026</v>
      </c>
      <c r="F18" s="301">
        <f ca="1">IFERROR(C18*E18," ")</f>
        <v>17253130.403309263</v>
      </c>
      <c r="G18" s="313">
        <f ca="1">SUM(F15:F18)</f>
        <v>260075417.20378801</v>
      </c>
      <c r="H18" s="311">
        <f t="shared" ca="1" si="13"/>
        <v>3.5657475397341125</v>
      </c>
      <c r="I18" s="332"/>
      <c r="J18"/>
      <c r="L18" s="59"/>
    </row>
    <row r="19" spans="1:12" x14ac:dyDescent="0.35">
      <c r="A19" s="296" t="str">
        <f>'CWD 2028 Legados (com desc.)'!H250</f>
        <v>TEX5</v>
      </c>
      <c r="B19" s="296" t="str">
        <f>'CWD 2028 Legados (com desc.)'!I250</f>
        <v>NTS RJ 1</v>
      </c>
      <c r="C19" s="296">
        <f>'CWD 2028 Legados (sem desc.)'!H45</f>
        <v>242256949.89565501</v>
      </c>
      <c r="D19" s="296"/>
      <c r="E19" s="299">
        <f ca="1">'CWD 2028 Legados (com desc.)'!L250</f>
        <v>2.825608546320006</v>
      </c>
      <c r="F19" s="305">
        <f t="shared" ca="1" si="12"/>
        <v>684523308.03058028</v>
      </c>
      <c r="G19" s="308"/>
      <c r="H19" s="314" t="str">
        <f t="shared" si="13"/>
        <v xml:space="preserve"> </v>
      </c>
      <c r="I19"/>
      <c r="J19"/>
      <c r="L19" s="59"/>
    </row>
    <row r="20" spans="1:12" x14ac:dyDescent="0.35">
      <c r="A20" s="296" t="str">
        <f>'CWD 2028 Legados (com desc.)'!H251</f>
        <v>TEX6</v>
      </c>
      <c r="B20" s="296" t="str">
        <f>'CWD 2028 Legados (com desc.)'!I251</f>
        <v>NTS RJ 2</v>
      </c>
      <c r="C20" s="296">
        <f>'CWD 2028 Legados (sem desc.)'!H46</f>
        <v>114450172.58600999</v>
      </c>
      <c r="D20" s="296"/>
      <c r="E20" s="299">
        <f ca="1">'CWD 2028 Legados (com desc.)'!L251</f>
        <v>2.8241922999030771</v>
      </c>
      <c r="F20" s="305">
        <f t="shared" ca="1" si="12"/>
        <v>323229296.13998765</v>
      </c>
      <c r="G20" s="309"/>
      <c r="H20" s="315" t="str">
        <f t="shared" si="13"/>
        <v xml:space="preserve"> </v>
      </c>
      <c r="I20"/>
      <c r="J20"/>
      <c r="L20" s="59"/>
    </row>
    <row r="21" spans="1:12" x14ac:dyDescent="0.35">
      <c r="A21" s="296" t="str">
        <f>'CWD 2028 Legados (com desc.)'!H252</f>
        <v>TEX7</v>
      </c>
      <c r="B21" s="296" t="str">
        <f>'CWD 2028 Legados (com desc.)'!I252</f>
        <v>NTS RJ 3</v>
      </c>
      <c r="C21" s="296">
        <f>'CWD 2028 Legados (sem desc.)'!H47</f>
        <v>23336616.204189997</v>
      </c>
      <c r="D21" s="304"/>
      <c r="E21" s="299">
        <f ca="1">'CWD 2028 Legados (com desc.)'!L252</f>
        <v>2.8810814704193635</v>
      </c>
      <c r="F21" s="305">
        <f t="shared" ca="1" si="12"/>
        <v>67234692.528180063</v>
      </c>
      <c r="G21" s="312"/>
      <c r="H21" s="315" t="str">
        <f t="shared" si="13"/>
        <v xml:space="preserve"> </v>
      </c>
      <c r="I21"/>
      <c r="J21"/>
      <c r="L21" s="59"/>
    </row>
    <row r="22" spans="1:12" x14ac:dyDescent="0.35">
      <c r="A22" s="296" t="str">
        <f>'CWD 2028 Legados (com desc.)'!H253</f>
        <v>TEX8</v>
      </c>
      <c r="B22" s="296" t="str">
        <f>'CWD 2028 Legados (com desc.)'!I253</f>
        <v>NTS RJ 4</v>
      </c>
      <c r="C22" s="296">
        <f>'CWD 2028 Legados (sem desc.)'!H48</f>
        <v>4397740.3932050001</v>
      </c>
      <c r="D22" s="296"/>
      <c r="E22" s="299">
        <f ca="1">'CWD 2028 Legados (com desc.)'!L253</f>
        <v>2.9547841786407658</v>
      </c>
      <c r="F22" s="305">
        <f t="shared" ca="1" si="12"/>
        <v>12994373.735611554</v>
      </c>
      <c r="G22" s="310"/>
      <c r="H22" s="316" t="str">
        <f t="shared" si="13"/>
        <v xml:space="preserve"> </v>
      </c>
      <c r="I22"/>
      <c r="J22"/>
      <c r="L22" s="59"/>
    </row>
    <row r="23" spans="1:12" x14ac:dyDescent="0.35">
      <c r="A23" s="301" t="str">
        <f>'CWD 2028 Legados (com desc.)'!H254</f>
        <v>TEX9</v>
      </c>
      <c r="B23" s="301" t="str">
        <f>'CWD 2028 Legados (com desc.)'!I254</f>
        <v>NTS RJ 5</v>
      </c>
      <c r="C23" s="301">
        <f>'CWD 2028 Legados (sem desc.)'!H49</f>
        <v>28973348.472879995</v>
      </c>
      <c r="D23" s="301">
        <f>SUM(C19:C23)</f>
        <v>413414827.55194002</v>
      </c>
      <c r="E23" s="302">
        <f ca="1">'CWD 2028 Legados (com desc.)'!L254</f>
        <v>2.8306897544484535</v>
      </c>
      <c r="F23" s="301">
        <f t="shared" ca="1" si="12"/>
        <v>82014560.674246147</v>
      </c>
      <c r="G23" s="313">
        <f ca="1">SUM(F19:F23)</f>
        <v>1169996231.1086056</v>
      </c>
      <c r="H23" s="311">
        <f t="shared" ca="1" si="13"/>
        <v>2.8300780551021996</v>
      </c>
      <c r="I23" s="332"/>
      <c r="J23"/>
    </row>
    <row r="24" spans="1:12" x14ac:dyDescent="0.35">
      <c r="A24" s="296" t="str">
        <f>'CWD 2028 Legados (com desc.)'!H255</f>
        <v>TEX10</v>
      </c>
      <c r="B24" s="296" t="str">
        <f>'CWD 2028 Legados (com desc.)'!I255</f>
        <v>NTS SP 1</v>
      </c>
      <c r="C24" s="296">
        <f>'CWD 2028 Legados (sem desc.)'!H50</f>
        <v>16842120.329395</v>
      </c>
      <c r="D24" s="296"/>
      <c r="E24" s="299">
        <f ca="1">'CWD 2028 Legados (com desc.)'!L255</f>
        <v>3.171991887682089</v>
      </c>
      <c r="F24" s="305">
        <f t="shared" ca="1" si="12"/>
        <v>53423069.056206532</v>
      </c>
      <c r="G24" s="308"/>
      <c r="H24" s="314" t="str">
        <f t="shared" si="13"/>
        <v xml:space="preserve"> </v>
      </c>
      <c r="I24"/>
      <c r="J24"/>
    </row>
    <row r="25" spans="1:12" x14ac:dyDescent="0.35">
      <c r="A25" s="296" t="str">
        <f>'CWD 2028 Legados (com desc.)'!H256</f>
        <v>TEX11</v>
      </c>
      <c r="B25" s="296" t="str">
        <f>'CWD 2028 Legados (com desc.)'!I256</f>
        <v>NTS SP 2</v>
      </c>
      <c r="C25" s="296">
        <f>'CWD 2028 Legados (sem desc.)'!H51</f>
        <v>40464657.735619992</v>
      </c>
      <c r="D25" s="296"/>
      <c r="E25" s="299">
        <f ca="1">'CWD 2028 Legados (com desc.)'!L256</f>
        <v>3.1513418028250522</v>
      </c>
      <c r="F25" s="305">
        <f t="shared" ca="1" si="12"/>
        <v>127517967.45926739</v>
      </c>
      <c r="G25" s="309"/>
      <c r="H25" s="315" t="str">
        <f t="shared" si="13"/>
        <v xml:space="preserve"> </v>
      </c>
      <c r="I25"/>
      <c r="J25"/>
    </row>
    <row r="26" spans="1:12" x14ac:dyDescent="0.35">
      <c r="A26" s="296" t="str">
        <f>'CWD 2028 Legados (com desc.)'!H257</f>
        <v>TEX12</v>
      </c>
      <c r="B26" s="296" t="str">
        <f>'CWD 2028 Legados (com desc.)'!I257</f>
        <v>NTS SP 3</v>
      </c>
      <c r="C26" s="296">
        <f>'CWD 2028 Legados (sem desc.)'!H52</f>
        <v>108500288.52461499</v>
      </c>
      <c r="D26" s="304"/>
      <c r="E26" s="299">
        <f ca="1">'CWD 2028 Legados (com desc.)'!L257</f>
        <v>3.3985630184467519</v>
      </c>
      <c r="F26" s="305">
        <f t="shared" ca="1" si="12"/>
        <v>368745068.07055902</v>
      </c>
      <c r="G26" s="318"/>
      <c r="H26" s="316" t="str">
        <f t="shared" si="13"/>
        <v xml:space="preserve"> </v>
      </c>
      <c r="I26"/>
      <c r="J26"/>
    </row>
    <row r="27" spans="1:12" x14ac:dyDescent="0.35">
      <c r="A27" s="301" t="str">
        <f>'CWD 2028 Legados (com desc.)'!H258</f>
        <v>TEX13</v>
      </c>
      <c r="B27" s="301" t="str">
        <f>'CWD 2028 Legados (com desc.)'!I258</f>
        <v>NTS SP 4</v>
      </c>
      <c r="C27" s="301">
        <f>'CWD 2028 Legados (sem desc.)'!H53</f>
        <v>44671783.994134992</v>
      </c>
      <c r="D27" s="301">
        <f>SUM(C24:C27)</f>
        <v>210478850.58376497</v>
      </c>
      <c r="E27" s="302">
        <f ca="1">'CWD 2028 Legados (com desc.)'!L258</f>
        <v>3.4767323414556275</v>
      </c>
      <c r="F27" s="301">
        <f t="shared" ca="1" si="12"/>
        <v>155311836.16292897</v>
      </c>
      <c r="G27" s="306">
        <f ca="1">SUM(F24:F27)</f>
        <v>704997940.74896193</v>
      </c>
      <c r="H27" s="307">
        <f t="shared" ca="1" si="13"/>
        <v>3.3494953948752753</v>
      </c>
      <c r="I27" s="332"/>
      <c r="J27"/>
    </row>
    <row r="28" spans="1:12" x14ac:dyDescent="0.35">
      <c r="A28" s="296" t="str">
        <f>'CWD 2028 Legados (com desc.)'!H259</f>
        <v>TEX14</v>
      </c>
      <c r="B28" s="296" t="str">
        <f>'CWD 2028 Legados (com desc.)'!I259</f>
        <v>PE-GUARAREMA (INTERCONEXÃO)</v>
      </c>
      <c r="C28" s="296">
        <f>'CWD 2028 Legados (sem desc.)'!H54</f>
        <v>0</v>
      </c>
      <c r="D28" s="296">
        <f>C28</f>
        <v>0</v>
      </c>
      <c r="E28" s="299">
        <f>'CWD 2028 Legados (com desc.)'!L259</f>
        <v>0</v>
      </c>
      <c r="F28" s="296">
        <f t="shared" si="12"/>
        <v>0</v>
      </c>
      <c r="G28" s="296">
        <f>F28</f>
        <v>0</v>
      </c>
      <c r="H28" s="300" t="str">
        <f t="shared" si="13"/>
        <v xml:space="preserve"> </v>
      </c>
      <c r="I28"/>
      <c r="J28"/>
    </row>
    <row r="29" spans="1:12" x14ac:dyDescent="0.35">
      <c r="A29" s="301" t="str">
        <f>'CWD 2028 Legados (com desc.)'!H260</f>
        <v>TEX15</v>
      </c>
      <c r="B29" s="301" t="str">
        <f>'CWD 2028 Legados (com desc.)'!I260</f>
        <v>PE-REPLAN (INTERCONEXÃO)</v>
      </c>
      <c r="C29" s="301">
        <f>'CWD 2028 Legados (sem desc.)'!H55</f>
        <v>95456835.593685001</v>
      </c>
      <c r="D29" s="301">
        <f t="shared" ref="D29:D30" si="14">C29</f>
        <v>95456835.593685001</v>
      </c>
      <c r="E29" s="302">
        <f ca="1">'CWD 2028 Legados (com desc.)'!L260</f>
        <v>0.30415148533969139</v>
      </c>
      <c r="F29" s="301">
        <f t="shared" ca="1" si="12"/>
        <v>29033338.331646014</v>
      </c>
      <c r="G29" s="301">
        <f t="shared" ref="G29:G30" ca="1" si="15">F29</f>
        <v>29033338.331646014</v>
      </c>
      <c r="H29" s="303">
        <f t="shared" ca="1" si="13"/>
        <v>0.30415148533969139</v>
      </c>
      <c r="I29" s="332"/>
      <c r="J29"/>
    </row>
    <row r="30" spans="1:12" x14ac:dyDescent="0.35">
      <c r="A30" s="296" t="str">
        <f>'CWD 2028 Legados (com desc.)'!H261</f>
        <v>TEX16</v>
      </c>
      <c r="B30" s="296" t="str">
        <f>'CWD 2028 Legados (com desc.)'!I261</f>
        <v>PE-TECAB (INTERCONEXÃO)</v>
      </c>
      <c r="C30" s="296">
        <f>'CWD 2028 Legados (sem desc.)'!H56</f>
        <v>2723059.0670000003</v>
      </c>
      <c r="D30" s="296">
        <f t="shared" si="14"/>
        <v>2723059.0670000003</v>
      </c>
      <c r="E30" s="299">
        <f ca="1">'CWD 2028 Legados (com desc.)'!L261</f>
        <v>0.26281815713874873</v>
      </c>
      <c r="F30" s="296">
        <f t="shared" ca="1" si="12"/>
        <v>715669.36576890061</v>
      </c>
      <c r="G30" s="296">
        <f t="shared" ca="1" si="15"/>
        <v>715669.36576890061</v>
      </c>
      <c r="H30" s="300">
        <f t="shared" ca="1" si="13"/>
        <v>0.26281815713874873</v>
      </c>
      <c r="I30" s="332"/>
      <c r="J30" s="66"/>
    </row>
    <row r="31" spans="1:12" x14ac:dyDescent="0.35">
      <c r="C31" s="65">
        <f>SUM(C15:C30)</f>
        <v>795010709.905985</v>
      </c>
      <c r="D31" s="65">
        <f>SUM(D15:D30)</f>
        <v>795010709.90598512</v>
      </c>
      <c r="F31" s="65">
        <f ca="1">SUM(F15:F30)</f>
        <v>2164818596.7587705</v>
      </c>
      <c r="G31" s="65">
        <f ca="1">SUM(G15:G30)</f>
        <v>2164818596.7587705</v>
      </c>
    </row>
    <row r="32" spans="1:12" x14ac:dyDescent="0.35">
      <c r="C32" s="65"/>
      <c r="D32" s="65"/>
      <c r="F32" s="65"/>
      <c r="G32" s="65"/>
    </row>
    <row r="33" spans="2:3" x14ac:dyDescent="0.35">
      <c r="C33" s="63" t="s">
        <v>257</v>
      </c>
    </row>
    <row r="34" spans="2:3" x14ac:dyDescent="0.35">
      <c r="B34" s="68" t="s">
        <v>58</v>
      </c>
      <c r="C34" s="66">
        <f ca="1">H18</f>
        <v>3.5657475397341125</v>
      </c>
    </row>
    <row r="35" spans="2:3" x14ac:dyDescent="0.35">
      <c r="B35" s="68" t="s">
        <v>69</v>
      </c>
      <c r="C35" s="66">
        <f ca="1">H23</f>
        <v>2.8300780551021996</v>
      </c>
    </row>
    <row r="36" spans="2:3" x14ac:dyDescent="0.35">
      <c r="B36" s="68" t="s">
        <v>258</v>
      </c>
      <c r="C36" s="66">
        <f ca="1">H27</f>
        <v>3.3494953948752753</v>
      </c>
    </row>
    <row r="37" spans="2:3" x14ac:dyDescent="0.35">
      <c r="B37" s="132" t="s">
        <v>269</v>
      </c>
      <c r="C37" s="66" t="str">
        <f>H28</f>
        <v xml:space="preserve"> </v>
      </c>
    </row>
    <row r="38" spans="2:3" x14ac:dyDescent="0.35">
      <c r="B38" s="132" t="s">
        <v>268</v>
      </c>
      <c r="C38" s="66">
        <f t="shared" ref="C38:C39" ca="1" si="16">H29</f>
        <v>0.30415148533969139</v>
      </c>
    </row>
    <row r="39" spans="2:3" x14ac:dyDescent="0.35">
      <c r="B39" s="132" t="s">
        <v>267</v>
      </c>
      <c r="C39" s="66">
        <f t="shared" ca="1" si="16"/>
        <v>0.26281815713874873</v>
      </c>
    </row>
  </sheetData>
  <pageMargins left="0.511811024" right="0.511811024" top="0.78740157499999996" bottom="0.78740157499999996" header="0.31496062000000002" footer="0.31496062000000002"/>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56F-049D-4C7D-89D7-4CE697058B52}">
  <sheetPr>
    <tabColor theme="5"/>
  </sheetPr>
  <dimension ref="A2:AA302"/>
  <sheetViews>
    <sheetView showGridLines="0" zoomScale="70" zoomScaleNormal="70" workbookViewId="0">
      <selection activeCell="D38" sqref="D38"/>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6.5" x14ac:dyDescent="0.35">
      <c r="A5" s="206">
        <f>HLOOKUP($G$3,'Premissas (GASIG)'!$B$5:$F$13,9,FALSE)</f>
        <v>0.7</v>
      </c>
      <c r="B5" s="207" t="s">
        <v>112</v>
      </c>
      <c r="C5" s="208" t="s">
        <v>271</v>
      </c>
      <c r="D5" s="382">
        <f>$A$5*$D$4</f>
        <v>36.684532771966516</v>
      </c>
      <c r="E5" s="210" t="s">
        <v>113</v>
      </c>
      <c r="F5" s="211"/>
      <c r="G5" s="211"/>
      <c r="H5" s="235"/>
    </row>
    <row r="6" spans="1:9" ht="29" x14ac:dyDescent="0.35">
      <c r="A6" s="92"/>
      <c r="B6" s="212" t="s">
        <v>114</v>
      </c>
      <c r="C6" s="213" t="s">
        <v>272</v>
      </c>
      <c r="D6" s="383">
        <f>$D$34*'Premissas (GASIG)'!$F$20</f>
        <v>20385615</v>
      </c>
      <c r="E6" s="212" t="s">
        <v>115</v>
      </c>
      <c r="F6" s="230">
        <f>H34</f>
        <v>760427859.75508499</v>
      </c>
      <c r="G6" s="82" t="s">
        <v>116</v>
      </c>
    </row>
    <row r="7" spans="1:9" ht="17" thickBot="1" x14ac:dyDescent="0.4">
      <c r="A7" s="215"/>
      <c r="B7" s="216" t="s">
        <v>117</v>
      </c>
      <c r="C7" s="217" t="s">
        <v>273</v>
      </c>
      <c r="D7" s="218">
        <f>$D$5/$D$6*1000</f>
        <v>1.7995303439197943E-3</v>
      </c>
      <c r="E7" s="219" t="s">
        <v>118</v>
      </c>
      <c r="F7" s="384">
        <f>$D$5/$F$6*1000000</f>
        <v>4.824196312820745E-2</v>
      </c>
      <c r="G7" s="228" t="s">
        <v>15</v>
      </c>
      <c r="I7" s="235"/>
    </row>
    <row r="8" spans="1:9" ht="16.5" x14ac:dyDescent="0.35">
      <c r="A8" s="206">
        <f>1-A5</f>
        <v>0.30000000000000004</v>
      </c>
      <c r="B8" s="207" t="s">
        <v>119</v>
      </c>
      <c r="C8" s="208" t="s">
        <v>274</v>
      </c>
      <c r="D8" s="382">
        <f>$A$8*$D$4</f>
        <v>15.721942616557083</v>
      </c>
      <c r="E8" s="210" t="s">
        <v>113</v>
      </c>
      <c r="F8" s="231"/>
      <c r="G8" s="229"/>
    </row>
    <row r="9" spans="1:9" ht="29" x14ac:dyDescent="0.35">
      <c r="B9" s="212" t="s">
        <v>120</v>
      </c>
      <c r="C9" s="213" t="s">
        <v>275</v>
      </c>
      <c r="D9" s="383">
        <f>$D$57*'Premissas (GASIG)'!$F$20</f>
        <v>18480315</v>
      </c>
      <c r="E9" s="212" t="s">
        <v>115</v>
      </c>
      <c r="F9" s="230">
        <f>H57</f>
        <v>689356018.10638499</v>
      </c>
      <c r="G9" s="82" t="s">
        <v>116</v>
      </c>
    </row>
    <row r="10" spans="1:9" ht="17" thickBot="1" x14ac:dyDescent="0.4">
      <c r="A10" s="225"/>
      <c r="B10" s="216" t="s">
        <v>121</v>
      </c>
      <c r="C10" s="217" t="s">
        <v>276</v>
      </c>
      <c r="D10" s="218">
        <f>$D$8/$D$9*1000</f>
        <v>8.507399693434383E-4</v>
      </c>
      <c r="E10" s="219" t="s">
        <v>118</v>
      </c>
      <c r="F10" s="384">
        <f>$D$8/$F$9*1000000</f>
        <v>2.2806709745922304E-2</v>
      </c>
      <c r="G10" s="228" t="s">
        <v>15</v>
      </c>
    </row>
    <row r="11" spans="1:9" ht="15" thickBot="1" x14ac:dyDescent="0.4">
      <c r="A11" s="220"/>
      <c r="B11" s="220" t="s">
        <v>122</v>
      </c>
      <c r="C11" s="226">
        <f>HLOOKUP($G$3,'Premissas (GASIG)'!$B$5:$F$8,4,FALSE)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(GASIG)'!C3</f>
        <v>20000</v>
      </c>
      <c r="D24" s="290">
        <f>'Oferta (GASIG)'!J3</f>
        <v>9427</v>
      </c>
      <c r="F24" s="104"/>
      <c r="G24" s="43">
        <f>IFERROR($C24*$H$19*'Premissas (GASIG)'!$F$20*1000," ")</f>
        <v>272305906.69999999</v>
      </c>
      <c r="H24" s="43">
        <f>IFERROR($D24*$H$19*'Premissas (GASIG)'!$F$20*1000," ")</f>
        <v>128351389.123045</v>
      </c>
      <c r="I24" s="93"/>
    </row>
    <row r="25" spans="1:9" x14ac:dyDescent="0.35">
      <c r="A25" s="2" t="s">
        <v>133</v>
      </c>
      <c r="B25" s="44" t="s">
        <v>26</v>
      </c>
      <c r="C25" s="290">
        <f>'Oferta (GASIG)'!C4</f>
        <v>20000</v>
      </c>
      <c r="D25" s="290">
        <f>'Oferta (GASIG)'!J4</f>
        <v>20000</v>
      </c>
      <c r="F25" s="104"/>
      <c r="G25" s="43">
        <f>IFERROR($C25*$H$19*'Premissas (GASIG)'!$F$20*1000," ")</f>
        <v>272305906.69999999</v>
      </c>
      <c r="H25" s="43">
        <f>IFERROR($D25*$H$19*'Premissas (GASIG)'!$F$20*1000," ")</f>
        <v>272305906.69999999</v>
      </c>
      <c r="I25" s="93"/>
    </row>
    <row r="26" spans="1:9" x14ac:dyDescent="0.35">
      <c r="A26" s="2" t="s">
        <v>134</v>
      </c>
      <c r="B26" s="44" t="s">
        <v>488</v>
      </c>
      <c r="C26" s="290">
        <f>'Oferta (GASIG)'!C5</f>
        <v>18200</v>
      </c>
      <c r="D26" s="290">
        <f>'Oferta (GASIG)'!J5</f>
        <v>13448</v>
      </c>
      <c r="E26" s="46"/>
      <c r="F26" s="104"/>
      <c r="G26" s="43">
        <f>IFERROR($C26*$H$19*'Premissas (GASIG)'!$F$20*1000," ")</f>
        <v>247798375.097</v>
      </c>
      <c r="H26" s="43">
        <f>IFERROR($D26*$H$19*'Premissas (GASIG)'!$F$20*1000," ")</f>
        <v>183098491.66507998</v>
      </c>
      <c r="I26" s="93"/>
    </row>
    <row r="27" spans="1:9" x14ac:dyDescent="0.35">
      <c r="A27" s="2" t="s">
        <v>135</v>
      </c>
      <c r="B27" s="44" t="s">
        <v>463</v>
      </c>
      <c r="C27" s="290">
        <f>'Oferta (GASIG)'!C6</f>
        <v>1250</v>
      </c>
      <c r="D27" s="290">
        <f>'Oferta (GASIG)'!J6</f>
        <v>305</v>
      </c>
      <c r="E27" s="46"/>
      <c r="F27" s="104"/>
      <c r="G27" s="43">
        <f>IFERROR($C27*$H$19*'Premissas (GASIG)'!$F$20*1000," ")</f>
        <v>17019119.168749999</v>
      </c>
      <c r="H27" s="43">
        <f>IFERROR($D27*$H$19*'Premissas (GASIG)'!$F$20*1000," ")</f>
        <v>4152665.0771750002</v>
      </c>
      <c r="I27" s="93"/>
    </row>
    <row r="28" spans="1:9" x14ac:dyDescent="0.35">
      <c r="A28" s="2" t="s">
        <v>136</v>
      </c>
      <c r="B28" s="44" t="s">
        <v>27</v>
      </c>
      <c r="C28" s="290">
        <f>'Oferta (GASIG)'!C7</f>
        <v>5000</v>
      </c>
      <c r="D28" s="290">
        <f>'Oferta (GASIG)'!J7</f>
        <v>0</v>
      </c>
      <c r="E28" s="46"/>
      <c r="F28" s="104"/>
      <c r="G28" s="43">
        <f>IFERROR($C28*$H$19*'Premissas (GASIG)'!$F$20*1000," ")</f>
        <v>68076476.674999997</v>
      </c>
      <c r="H28" s="43">
        <f>IFERROR($D28*$H$19*'Premissas (GASIG)'!$F$20*1000," ")</f>
        <v>0</v>
      </c>
      <c r="I28" s="93"/>
    </row>
    <row r="29" spans="1:9" x14ac:dyDescent="0.35">
      <c r="A29" s="2" t="s">
        <v>239</v>
      </c>
      <c r="B29" s="44" t="s">
        <v>29</v>
      </c>
      <c r="C29" s="290">
        <f>'Oferta (GASIG)'!C8</f>
        <v>2200</v>
      </c>
      <c r="D29" s="290">
        <f>'Oferta (GASIG)'!J8</f>
        <v>0</v>
      </c>
      <c r="E29" s="46"/>
      <c r="F29" s="104"/>
      <c r="G29" s="43">
        <f>IFERROR($C29*$H$19*'Premissas (GASIG)'!$F$20*1000," ")</f>
        <v>29953649.736999996</v>
      </c>
      <c r="H29" s="43">
        <f>IFERROR($D29*$H$19*'Premissas (GASIG)'!$F$20*1000," ")</f>
        <v>0</v>
      </c>
      <c r="I29" s="93"/>
    </row>
    <row r="30" spans="1:9" x14ac:dyDescent="0.35">
      <c r="A30" s="2" t="s">
        <v>137</v>
      </c>
      <c r="B30" s="44" t="s">
        <v>24</v>
      </c>
      <c r="C30" s="290">
        <f>'Oferta (GASIG)'!C9</f>
        <v>25160</v>
      </c>
      <c r="D30" s="290">
        <f>'Oferta (GASIG)'!J9</f>
        <v>6266</v>
      </c>
      <c r="E30" s="46"/>
      <c r="F30" s="104"/>
      <c r="G30" s="43">
        <f>IFERROR($C30*$H$19*'Premissas (GASIG)'!$F$20*1000," ")</f>
        <v>342560830.6286</v>
      </c>
      <c r="H30" s="43">
        <f>IFERROR($D30*$H$19*'Premissas (GASIG)'!$F$20*1000," ")</f>
        <v>85313440.569109991</v>
      </c>
      <c r="I30" s="93"/>
    </row>
    <row r="31" spans="1:9" x14ac:dyDescent="0.35">
      <c r="A31" s="2" t="s">
        <v>240</v>
      </c>
      <c r="B31" s="44" t="s">
        <v>264</v>
      </c>
      <c r="C31" s="290">
        <f>'Oferta (GASIG)'!C10</f>
        <v>0</v>
      </c>
      <c r="D31" s="290">
        <f>'Oferta (GASIG)'!J10</f>
        <v>6000</v>
      </c>
      <c r="E31" s="46"/>
      <c r="F31" s="104"/>
      <c r="G31" s="43">
        <f>IFERROR($C31*$H$19*'Premissas (GASIG)'!$F$20*1000," ")</f>
        <v>0</v>
      </c>
      <c r="H31" s="43">
        <f>IFERROR($D31*$H$19*'Premissas (GASIG)'!$F$20*1000," ")</f>
        <v>81691772.010000005</v>
      </c>
      <c r="I31" s="93"/>
    </row>
    <row r="32" spans="1:9" x14ac:dyDescent="0.35">
      <c r="A32" s="2" t="s">
        <v>138</v>
      </c>
      <c r="B32" s="44" t="s">
        <v>266</v>
      </c>
      <c r="C32" s="290">
        <f>'Oferta (GASIG)'!C11</f>
        <v>0</v>
      </c>
      <c r="D32" s="290">
        <f>'Oferta (GASIG)'!J11</f>
        <v>205</v>
      </c>
      <c r="E32" s="46"/>
      <c r="F32" s="104"/>
      <c r="G32" s="43">
        <f>IFERROR($C32*$H$19*'Premissas (GASIG)'!$F$20*1000," ")</f>
        <v>0</v>
      </c>
      <c r="H32" s="43">
        <f>IFERROR($D32*$H$19*'Premissas (GASIG)'!$F$20*1000," ")</f>
        <v>2791135.5436749998</v>
      </c>
      <c r="I32" s="93"/>
    </row>
    <row r="33" spans="1:10" x14ac:dyDescent="0.35">
      <c r="A33" s="2" t="s">
        <v>139</v>
      </c>
      <c r="B33" s="44" t="s">
        <v>265</v>
      </c>
      <c r="C33" s="290">
        <f>'Oferta (GASIG)'!C12</f>
        <v>0</v>
      </c>
      <c r="D33" s="290">
        <f>'Oferta (GASIG)'!J12</f>
        <v>200</v>
      </c>
      <c r="E33" s="46"/>
      <c r="F33" s="104"/>
      <c r="G33" s="43">
        <f>IFERROR($C33*$H$19*'Premissas (GASIG)'!$F$20*1000," ")</f>
        <v>0</v>
      </c>
      <c r="H33" s="43">
        <f>IFERROR($D33*$H$19*'Premissas (GASIG)'!$F$20*1000," ")</f>
        <v>2723059.0670000003</v>
      </c>
      <c r="I33" s="93"/>
    </row>
    <row r="34" spans="1:10" x14ac:dyDescent="0.35">
      <c r="C34" s="105">
        <f>SUM(C24:C33)</f>
        <v>91810</v>
      </c>
      <c r="D34" s="105">
        <f>SUM(D24:D33)</f>
        <v>55851</v>
      </c>
      <c r="E34" s="105"/>
      <c r="F34" s="104"/>
      <c r="G34" s="105">
        <f>SUM(G24:G33)</f>
        <v>1250020264.7063498</v>
      </c>
      <c r="H34" s="105">
        <f>SUM(H24:H33)</f>
        <v>760427859.75508499</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(GASIG)'!C3</f>
        <v>864.5</v>
      </c>
      <c r="D41" s="290">
        <f>'Demanda (GASIG)'!J3</f>
        <v>633</v>
      </c>
      <c r="G41" s="43">
        <f>IFERROR($C41*$H$19*'Premissas (GASIG)'!$F$20*1000," ")</f>
        <v>11770422.817107499</v>
      </c>
      <c r="H41" s="43">
        <f>IFERROR($D41*$H$19*'Premissas (GASIG)'!$F$20*1000," ")</f>
        <v>8618481.9470549989</v>
      </c>
      <c r="I41" s="93"/>
    </row>
    <row r="42" spans="1:10" x14ac:dyDescent="0.35">
      <c r="A42" s="2" t="s">
        <v>42</v>
      </c>
      <c r="B42" s="44" t="s">
        <v>217</v>
      </c>
      <c r="C42" s="290">
        <f>'Demanda (GASIG)'!C4</f>
        <v>1825.9</v>
      </c>
      <c r="D42" s="290">
        <f>'Demanda (GASIG)'!J4</f>
        <v>1098</v>
      </c>
      <c r="G42" s="43">
        <f>IFERROR($C42*$H$19*'Premissas (GASIG)'!$F$20*1000," ")</f>
        <v>24860167.752176501</v>
      </c>
      <c r="H42" s="43">
        <f>IFERROR($D42*$H$19*'Premissas (GASIG)'!$F$20*1000," ")</f>
        <v>14949594.277829999</v>
      </c>
      <c r="I42" s="93"/>
    </row>
    <row r="43" spans="1:10" x14ac:dyDescent="0.35">
      <c r="A43" s="2" t="s">
        <v>43</v>
      </c>
      <c r="B43" s="44" t="s">
        <v>218</v>
      </c>
      <c r="C43" s="290">
        <f>'Demanda (GASIG)'!C5</f>
        <v>3040.95</v>
      </c>
      <c r="D43" s="290">
        <f>'Demanda (GASIG)'!J5</f>
        <v>2852</v>
      </c>
      <c r="E43" s="46"/>
      <c r="G43" s="43">
        <f>IFERROR($C43*$H$19*'Premissas (GASIG)'!$F$20*1000," ")</f>
        <v>41403432.348968253</v>
      </c>
      <c r="H43" s="43">
        <f>IFERROR($D43*$H$19*'Premissas (GASIG)'!$F$20*1000," ")</f>
        <v>38830822.295419998</v>
      </c>
      <c r="I43" s="93"/>
    </row>
    <row r="44" spans="1:10" x14ac:dyDescent="0.35">
      <c r="A44" s="2" t="s">
        <v>44</v>
      </c>
      <c r="B44" s="44" t="s">
        <v>219</v>
      </c>
      <c r="C44" s="290">
        <f>'Demanda (GASIG)'!C6</f>
        <v>1187.5</v>
      </c>
      <c r="D44" s="290">
        <f>'Demanda (GASIG)'!J6</f>
        <v>305</v>
      </c>
      <c r="E44" s="46"/>
      <c r="G44" s="43">
        <f>IFERROR($C44*$H$19*'Premissas (GASIG)'!$F$20*1000," ")</f>
        <v>16168163.210312499</v>
      </c>
      <c r="H44" s="43">
        <f>IFERROR($D44*$H$19*'Premissas (GASIG)'!$F$20*1000," ")</f>
        <v>4152665.0771750002</v>
      </c>
      <c r="I44" s="93"/>
    </row>
    <row r="45" spans="1:10" x14ac:dyDescent="0.35">
      <c r="A45" s="2" t="s">
        <v>45</v>
      </c>
      <c r="B45" s="44" t="s">
        <v>220</v>
      </c>
      <c r="C45" s="290">
        <f>'Demanda (GASIG)'!C7</f>
        <v>21185</v>
      </c>
      <c r="D45" s="290">
        <f>'Demanda (GASIG)'!J7</f>
        <v>13624</v>
      </c>
      <c r="E45" s="46"/>
      <c r="G45" s="43">
        <f>IFERROR($C45*$H$19*'Premissas (GASIG)'!$F$20*1000," ")</f>
        <v>288440031.67197496</v>
      </c>
      <c r="H45" s="43">
        <f>IFERROR($D45*$H$19*'Premissas (GASIG)'!$F$20*1000," ")</f>
        <v>185494783.64403999</v>
      </c>
      <c r="I45" s="93"/>
    </row>
    <row r="46" spans="1:10" x14ac:dyDescent="0.35">
      <c r="A46" s="2" t="s">
        <v>46</v>
      </c>
      <c r="B46" s="44" t="s">
        <v>221</v>
      </c>
      <c r="C46" s="290">
        <f>'Demanda (GASIG)'!C8</f>
        <v>11271.75</v>
      </c>
      <c r="D46" s="290">
        <f>'Demanda (GASIG)'!J8</f>
        <v>8403</v>
      </c>
      <c r="E46" s="46"/>
      <c r="G46" s="43">
        <f>IFERROR($C46*$H$19*'Premissas (GASIG)'!$F$20*1000," ")</f>
        <v>153468205.19228625</v>
      </c>
      <c r="H46" s="43">
        <f>IFERROR($D46*$H$19*'Premissas (GASIG)'!$F$20*1000," ")</f>
        <v>114409326.70000499</v>
      </c>
      <c r="I46" s="93"/>
    </row>
    <row r="47" spans="1:10" x14ac:dyDescent="0.35">
      <c r="A47" s="2" t="s">
        <v>47</v>
      </c>
      <c r="B47" s="44" t="s">
        <v>222</v>
      </c>
      <c r="C47" s="290">
        <f>'Demanda (GASIG)'!C9</f>
        <v>3249</v>
      </c>
      <c r="D47" s="290">
        <f>'Demanda (GASIG)'!J9</f>
        <v>2173</v>
      </c>
      <c r="E47" s="46"/>
      <c r="G47" s="43">
        <f>IFERROR($C47*$H$19*'Premissas (GASIG)'!$F$20*1000," ")</f>
        <v>44236094.543414995</v>
      </c>
      <c r="H47" s="43">
        <f>IFERROR($D47*$H$19*'Premissas (GASIG)'!$F$20*1000," ")</f>
        <v>29586036.762954999</v>
      </c>
      <c r="I47" s="93"/>
    </row>
    <row r="48" spans="1:10" x14ac:dyDescent="0.35">
      <c r="A48" s="2" t="s">
        <v>48</v>
      </c>
      <c r="B48" s="44" t="s">
        <v>223</v>
      </c>
      <c r="C48" s="290">
        <f>'Demanda (GASIG)'!C10</f>
        <v>498.75</v>
      </c>
      <c r="D48" s="290">
        <f>'Demanda (GASIG)'!J10</f>
        <v>283</v>
      </c>
      <c r="E48" s="46"/>
      <c r="G48" s="43">
        <f>IFERROR($C48*$H$19*'Premissas (GASIG)'!$F$20*1000," ")</f>
        <v>6790628.5483312495</v>
      </c>
      <c r="H48" s="43">
        <f>IFERROR($D48*$H$19*'Premissas (GASIG)'!$F$20*1000," ")</f>
        <v>3853128.5798049998</v>
      </c>
      <c r="I48" s="93"/>
    </row>
    <row r="49" spans="1:9" x14ac:dyDescent="0.35">
      <c r="A49" s="2" t="s">
        <v>49</v>
      </c>
      <c r="B49" s="44" t="s">
        <v>224</v>
      </c>
      <c r="C49" s="290">
        <f>'Demanda (GASIG)'!C11</f>
        <v>3321.2</v>
      </c>
      <c r="D49" s="290">
        <f>'Demanda (GASIG)'!J11</f>
        <v>2116</v>
      </c>
      <c r="E49" s="46"/>
      <c r="G49" s="43">
        <f>IFERROR($C49*$H$19*'Premissas (GASIG)'!$F$20*1000," ")</f>
        <v>45219118.866601996</v>
      </c>
      <c r="H49" s="43">
        <f>IFERROR($D49*$H$19*'Premissas (GASIG)'!$F$20*1000," ")</f>
        <v>28809964.928859998</v>
      </c>
      <c r="I49" s="93"/>
    </row>
    <row r="50" spans="1:9" x14ac:dyDescent="0.35">
      <c r="A50" s="2" t="s">
        <v>50</v>
      </c>
      <c r="B50" s="44" t="s">
        <v>225</v>
      </c>
      <c r="C50" s="290">
        <f>'Demanda (GASIG)'!C12</f>
        <v>14292.75</v>
      </c>
      <c r="D50" s="290">
        <f>'Demanda (GASIG)'!J12</f>
        <v>1050</v>
      </c>
      <c r="E50" s="46"/>
      <c r="G50" s="43">
        <f>IFERROR($C50*$H$19*'Premissas (GASIG)'!$F$20*1000," ")</f>
        <v>194600012.39932126</v>
      </c>
      <c r="H50" s="43">
        <f>IFERROR($D50*$H$19*'Premissas (GASIG)'!$F$20*1000," ")</f>
        <v>14296060.101749998</v>
      </c>
      <c r="I50" s="93"/>
    </row>
    <row r="51" spans="1:9" x14ac:dyDescent="0.35">
      <c r="A51" s="2" t="s">
        <v>51</v>
      </c>
      <c r="B51" s="44" t="s">
        <v>226</v>
      </c>
      <c r="C51" s="290">
        <f>'Demanda (GASIG)'!C13</f>
        <v>3971</v>
      </c>
      <c r="D51" s="290">
        <f>'Demanda (GASIG)'!J13</f>
        <v>3003</v>
      </c>
      <c r="E51" s="46"/>
      <c r="G51" s="43">
        <f>IFERROR($C51*$H$19*'Premissas (GASIG)'!$F$20*1000," ")</f>
        <v>54066337.775284998</v>
      </c>
      <c r="H51" s="43">
        <f>IFERROR($D51*$H$19*'Premissas (GASIG)'!$F$20*1000," ")</f>
        <v>40886731.891005002</v>
      </c>
      <c r="I51" s="93"/>
    </row>
    <row r="52" spans="1:9" x14ac:dyDescent="0.35">
      <c r="A52" s="2" t="s">
        <v>52</v>
      </c>
      <c r="B52" s="44" t="s">
        <v>227</v>
      </c>
      <c r="C52" s="290">
        <f>'Demanda (GASIG)'!C14</f>
        <v>9941.75</v>
      </c>
      <c r="D52" s="290">
        <f>'Demanda (GASIG)'!J14</f>
        <v>5584</v>
      </c>
      <c r="E52" s="46"/>
      <c r="G52" s="43">
        <f>IFERROR($C52*$H$19*'Premissas (GASIG)'!$F$20*1000," ")</f>
        <v>135359862.39673626</v>
      </c>
      <c r="H52" s="43">
        <f>IFERROR($D52*$H$19*'Premissas (GASIG)'!$F$20*1000," ")</f>
        <v>76027809.150639996</v>
      </c>
      <c r="I52" s="93"/>
    </row>
    <row r="53" spans="1:9" x14ac:dyDescent="0.35">
      <c r="A53" s="2" t="s">
        <v>53</v>
      </c>
      <c r="B53" s="44" t="s">
        <v>228</v>
      </c>
      <c r="C53" s="290">
        <f>'Demanda (GASIG)'!C15</f>
        <v>3809.5</v>
      </c>
      <c r="D53" s="290">
        <f>'Demanda (GASIG)'!J15</f>
        <v>2483</v>
      </c>
      <c r="E53" s="46"/>
      <c r="G53" s="43">
        <f>IFERROR($C53*$H$19*'Premissas (GASIG)'!$F$20*1000," ")</f>
        <v>51867467.578682497</v>
      </c>
      <c r="H53" s="43">
        <f>IFERROR($D53*$H$19*'Premissas (GASIG)'!$F$20*1000," ")</f>
        <v>33806778.316804998</v>
      </c>
      <c r="I53" s="93"/>
    </row>
    <row r="54" spans="1:9" x14ac:dyDescent="0.35">
      <c r="A54" s="2" t="s">
        <v>54</v>
      </c>
      <c r="B54" s="44" t="s">
        <v>269</v>
      </c>
      <c r="C54" s="290">
        <f>'Demanda (GASIG)'!C16</f>
        <v>0</v>
      </c>
      <c r="D54" s="290">
        <f>'Demanda (GASIG)'!J16</f>
        <v>0</v>
      </c>
      <c r="E54" s="46"/>
      <c r="G54" s="43">
        <f>IFERROR($C54*$H$19*'Premissas (GASIG)'!$F$20*1000," ")</f>
        <v>0</v>
      </c>
      <c r="H54" s="43">
        <f>IFERROR($D54*$H$19*'Premissas (GASIG)'!$F$20*1000," ")</f>
        <v>0</v>
      </c>
      <c r="I54" s="93"/>
    </row>
    <row r="55" spans="1:9" x14ac:dyDescent="0.35">
      <c r="A55" s="2" t="s">
        <v>55</v>
      </c>
      <c r="B55" s="44" t="s">
        <v>268</v>
      </c>
      <c r="C55" s="290">
        <f>'Demanda (GASIG)'!C17</f>
        <v>0</v>
      </c>
      <c r="D55" s="290">
        <f>'Demanda (GASIG)'!J17</f>
        <v>6824</v>
      </c>
      <c r="E55" s="46"/>
      <c r="G55" s="43">
        <f>IFERROR($C55*$H$19*'Premissas (GASIG)'!$F$20*1000," ")</f>
        <v>0</v>
      </c>
      <c r="H55" s="43">
        <f>IFERROR($D55*$H$19*'Premissas (GASIG)'!$F$20*1000," ")</f>
        <v>92910775.366039991</v>
      </c>
      <c r="I55" s="93"/>
    </row>
    <row r="56" spans="1:9" x14ac:dyDescent="0.35">
      <c r="A56" s="2" t="s">
        <v>56</v>
      </c>
      <c r="B56" s="44" t="s">
        <v>267</v>
      </c>
      <c r="C56" s="290">
        <f>'Demanda (GASIG)'!C18</f>
        <v>0</v>
      </c>
      <c r="D56" s="290">
        <f>'Demanda (GASIG)'!J18</f>
        <v>200</v>
      </c>
      <c r="E56" s="46"/>
      <c r="G56" s="43">
        <f>IFERROR($C56*$H$19*'Premissas (GASIG)'!$F$20*1000," ")</f>
        <v>0</v>
      </c>
      <c r="H56" s="43">
        <f>IFERROR($D56*$H$19*'Premissas (GASIG)'!$F$20*1000," ")</f>
        <v>2723059.0670000003</v>
      </c>
      <c r="I56" s="93"/>
    </row>
    <row r="57" spans="1:9" x14ac:dyDescent="0.35">
      <c r="C57" s="105">
        <f>SUM(C41:C56)</f>
        <v>78459.549999999988</v>
      </c>
      <c r="D57" s="105">
        <f>SUM(D41:D56)</f>
        <v>50631</v>
      </c>
      <c r="E57" s="105"/>
      <c r="G57" s="105">
        <f>SUM(G41:G56)</f>
        <v>1068249945.1011992</v>
      </c>
      <c r="H57" s="105">
        <f>SUM(H41:H56)</f>
        <v>689356018.10638499</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0.16878838337720004</v>
      </c>
      <c r="C99" s="9"/>
      <c r="D99" t="s">
        <v>304</v>
      </c>
      <c r="E99" s="110">
        <f>H41/$H$57</f>
        <v>1.2502221958878946E-2</v>
      </c>
      <c r="G99" s="109" t="s">
        <v>148</v>
      </c>
      <c r="H99" s="111">
        <f>H24/$H$34</f>
        <v>0.16878838337720004</v>
      </c>
      <c r="I99" s="111">
        <f>H25/$H$34</f>
        <v>0.35809564734740645</v>
      </c>
      <c r="J99" s="111">
        <f>$H26/$H$34</f>
        <v>0.24078351327639611</v>
      </c>
      <c r="K99" s="111">
        <f>$H27/$H$34</f>
        <v>5.4609586220479497E-3</v>
      </c>
      <c r="L99" s="111">
        <f>$H28/$H$34</f>
        <v>0</v>
      </c>
      <c r="M99" s="111">
        <f>$H29/$H$34</f>
        <v>0</v>
      </c>
      <c r="N99" s="111">
        <f>$H30/$H$34</f>
        <v>0.11219136631394244</v>
      </c>
      <c r="O99" s="111">
        <f>$H31/$H$34</f>
        <v>0.10742869420422195</v>
      </c>
      <c r="P99" s="111">
        <f>$H32/$H$34</f>
        <v>3.6704803853109163E-3</v>
      </c>
      <c r="Q99" s="111">
        <f>$H33/$H$34</f>
        <v>3.5809564734740652E-3</v>
      </c>
      <c r="R99" s="111">
        <f>SUM(H99:Q99)</f>
        <v>1</v>
      </c>
      <c r="S99" s="110"/>
      <c r="T99" s="110"/>
      <c r="U99" s="110"/>
      <c r="V99" s="110"/>
      <c r="W99" s="110"/>
    </row>
    <row r="100" spans="1:27" ht="16.5" x14ac:dyDescent="0.45">
      <c r="A100" t="s">
        <v>295</v>
      </c>
      <c r="B100" s="112">
        <f t="shared" ref="B100:B108" si="1">H25/$H$34</f>
        <v>0.35809564734740645</v>
      </c>
      <c r="C100" s="4"/>
      <c r="D100" t="s">
        <v>305</v>
      </c>
      <c r="E100" s="110">
        <f t="shared" ref="E100:E114" si="2">H42/$H$57</f>
        <v>2.1686318658529359E-2</v>
      </c>
    </row>
    <row r="101" spans="1:27" ht="16.5" x14ac:dyDescent="0.45">
      <c r="A101" t="s">
        <v>296</v>
      </c>
      <c r="B101" s="112">
        <f t="shared" si="1"/>
        <v>0.24078351327639611</v>
      </c>
      <c r="C101" s="4"/>
      <c r="D101" t="s">
        <v>306</v>
      </c>
      <c r="E101" s="110">
        <f t="shared" si="2"/>
        <v>5.6329126424522521E-2</v>
      </c>
      <c r="G101" s="110"/>
    </row>
    <row r="102" spans="1:27" ht="16.5" x14ac:dyDescent="0.45">
      <c r="A102" t="s">
        <v>297</v>
      </c>
      <c r="B102" s="112">
        <f t="shared" si="1"/>
        <v>5.4609586220479497E-3</v>
      </c>
      <c r="C102" s="4"/>
      <c r="D102" t="s">
        <v>307</v>
      </c>
      <c r="E102" s="110">
        <f t="shared" si="2"/>
        <v>6.0239774051470451E-3</v>
      </c>
      <c r="G102" s="110"/>
      <c r="H102" s="112"/>
      <c r="I102" s="112"/>
    </row>
    <row r="103" spans="1:27" ht="16.5" x14ac:dyDescent="0.45">
      <c r="A103" t="s">
        <v>298</v>
      </c>
      <c r="B103" s="112">
        <f t="shared" si="1"/>
        <v>0</v>
      </c>
      <c r="C103" s="4"/>
      <c r="D103" t="s">
        <v>308</v>
      </c>
      <c r="E103" s="110">
        <f t="shared" si="2"/>
        <v>0.26908415792696172</v>
      </c>
      <c r="G103" s="110"/>
      <c r="H103" s="112"/>
      <c r="I103" s="112"/>
    </row>
    <row r="104" spans="1:27" ht="16.5" x14ac:dyDescent="0.45">
      <c r="A104" t="s">
        <v>299</v>
      </c>
      <c r="B104" s="112">
        <f t="shared" si="1"/>
        <v>0</v>
      </c>
      <c r="C104" s="4"/>
      <c r="D104" t="s">
        <v>309</v>
      </c>
      <c r="E104" s="110">
        <f t="shared" si="2"/>
        <v>0.16596551519819872</v>
      </c>
      <c r="G104" s="110"/>
      <c r="H104" s="112"/>
      <c r="I104" s="112"/>
    </row>
    <row r="105" spans="1:27" ht="16.5" x14ac:dyDescent="0.45">
      <c r="A105" t="s">
        <v>300</v>
      </c>
      <c r="B105" s="112">
        <f t="shared" si="1"/>
        <v>0.11219136631394244</v>
      </c>
      <c r="C105" s="4"/>
      <c r="D105" t="s">
        <v>310</v>
      </c>
      <c r="E105" s="110">
        <f t="shared" si="2"/>
        <v>4.2918370168473857E-2</v>
      </c>
      <c r="G105" s="110"/>
      <c r="H105" s="112"/>
      <c r="I105" s="112"/>
    </row>
    <row r="106" spans="1:27" ht="16.5" x14ac:dyDescent="0.45">
      <c r="A106" t="s">
        <v>301</v>
      </c>
      <c r="B106" s="112">
        <f t="shared" si="1"/>
        <v>0.10742869420422195</v>
      </c>
      <c r="C106" s="4"/>
      <c r="D106" t="s">
        <v>311</v>
      </c>
      <c r="E106" s="110">
        <f t="shared" si="2"/>
        <v>5.5894610021528313E-3</v>
      </c>
      <c r="G106" s="110"/>
      <c r="H106" s="112"/>
      <c r="I106" s="112"/>
    </row>
    <row r="107" spans="1:27" ht="16.5" x14ac:dyDescent="0.45">
      <c r="A107" t="s">
        <v>302</v>
      </c>
      <c r="B107" s="112">
        <f t="shared" si="1"/>
        <v>3.6704803853109163E-3</v>
      </c>
      <c r="C107" s="4"/>
      <c r="D107" t="s">
        <v>312</v>
      </c>
      <c r="E107" s="110">
        <f t="shared" si="2"/>
        <v>4.1792577669807034E-2</v>
      </c>
      <c r="G107" s="110"/>
      <c r="H107" s="112"/>
      <c r="I107" s="112"/>
    </row>
    <row r="108" spans="1:27" ht="16.5" x14ac:dyDescent="0.45">
      <c r="A108" t="s">
        <v>303</v>
      </c>
      <c r="B108" s="112">
        <f t="shared" si="1"/>
        <v>3.5809564734740652E-3</v>
      </c>
      <c r="D108" t="s">
        <v>313</v>
      </c>
      <c r="E108" s="110">
        <f t="shared" si="2"/>
        <v>2.0738282870178346E-2</v>
      </c>
      <c r="G108" s="110"/>
    </row>
    <row r="109" spans="1:27" ht="16.5" x14ac:dyDescent="0.45">
      <c r="B109" s="112">
        <f>SUM(B99:B108)</f>
        <v>1</v>
      </c>
      <c r="D109" t="s">
        <v>314</v>
      </c>
      <c r="E109" s="110">
        <f t="shared" si="2"/>
        <v>5.9311489008710083E-2</v>
      </c>
      <c r="G109" s="110"/>
    </row>
    <row r="110" spans="1:27" ht="16.5" x14ac:dyDescent="0.45">
      <c r="B110" s="112"/>
      <c r="D110" t="s">
        <v>315</v>
      </c>
      <c r="E110" s="110">
        <f t="shared" si="2"/>
        <v>0.11028816337816752</v>
      </c>
      <c r="G110" s="110"/>
    </row>
    <row r="111" spans="1:27" ht="16.5" x14ac:dyDescent="0.45">
      <c r="B111" s="112"/>
      <c r="D111" t="s">
        <v>316</v>
      </c>
      <c r="E111" s="110">
        <f t="shared" si="2"/>
        <v>4.904110130157413E-2</v>
      </c>
    </row>
    <row r="112" spans="1:27" ht="16.5" x14ac:dyDescent="0.45">
      <c r="B112" s="112"/>
      <c r="D112" t="s">
        <v>317</v>
      </c>
      <c r="E112" s="110">
        <f t="shared" si="2"/>
        <v>0</v>
      </c>
    </row>
    <row r="113" spans="1:5" ht="16.5" x14ac:dyDescent="0.45">
      <c r="B113" s="112"/>
      <c r="D113" t="s">
        <v>318</v>
      </c>
      <c r="E113" s="110">
        <f t="shared" si="2"/>
        <v>0.13477908791056861</v>
      </c>
    </row>
    <row r="114" spans="1:5" ht="16.5" x14ac:dyDescent="0.45">
      <c r="B114" s="112"/>
      <c r="D114" t="s">
        <v>319</v>
      </c>
      <c r="E114" s="110">
        <f t="shared" si="2"/>
        <v>3.9501491181292096E-3</v>
      </c>
    </row>
    <row r="115" spans="1:5" x14ac:dyDescent="0.35">
      <c r="E115" s="110">
        <f>SUM(E99:E114)</f>
        <v>0.99999999999999989</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351.36630696608796</v>
      </c>
      <c r="C130" s="114"/>
      <c r="D130" t="s">
        <v>325</v>
      </c>
      <c r="E130" s="4">
        <f ca="1">SUMPRODUCT($H$99:$Q$99,$C67:$L67)</f>
        <v>337.66860511002483</v>
      </c>
    </row>
    <row r="131" spans="1:5" ht="16.5" x14ac:dyDescent="0.45">
      <c r="A131" t="s">
        <v>326</v>
      </c>
      <c r="B131" s="110">
        <f ca="1">SUMPRODUCT($E$99:$E$114,D$67:D$82)</f>
        <v>237.42916805382737</v>
      </c>
      <c r="C131" s="114"/>
      <c r="D131" t="s">
        <v>327</v>
      </c>
      <c r="E131" s="4">
        <f t="shared" ref="E131:E145" ca="1" si="3">SUMPRODUCT($H$99:$Q$99,$C68:$L68)</f>
        <v>434.83260511002487</v>
      </c>
    </row>
    <row r="132" spans="1:5" ht="16.5" x14ac:dyDescent="0.45">
      <c r="A132" t="s">
        <v>328</v>
      </c>
      <c r="B132" s="110">
        <f ca="1">SUMPRODUCT($E$99:$E$114,E$67:E$82)</f>
        <v>274.76063295082724</v>
      </c>
      <c r="C132" s="114"/>
      <c r="D132" t="s">
        <v>329</v>
      </c>
      <c r="E132" s="4">
        <f t="shared" ca="1" si="3"/>
        <v>551.99780511002484</v>
      </c>
    </row>
    <row r="133" spans="1:5" ht="16.5" x14ac:dyDescent="0.45">
      <c r="A133" t="s">
        <v>330</v>
      </c>
      <c r="B133" s="110">
        <f ca="1">SUMPRODUCT($E$99:$E$114,F$67:F$82)</f>
        <v>409.94607776263553</v>
      </c>
      <c r="C133" s="114"/>
      <c r="D133" t="s">
        <v>331</v>
      </c>
      <c r="E133" s="4">
        <f t="shared" ca="1" si="3"/>
        <v>565.02201727811496</v>
      </c>
    </row>
    <row r="134" spans="1:5" ht="16.5" x14ac:dyDescent="0.45">
      <c r="A134" t="s">
        <v>332</v>
      </c>
      <c r="B134" s="110">
        <f ca="1">SUMPRODUCT($E$99:$E$114,G$67:G$82)</f>
        <v>225.99651239227609</v>
      </c>
      <c r="C134" s="114"/>
      <c r="D134" t="s">
        <v>333</v>
      </c>
      <c r="E134" s="4">
        <f t="shared" ca="1" si="3"/>
        <v>183.43202008319753</v>
      </c>
    </row>
    <row r="135" spans="1:5" ht="16.5" x14ac:dyDescent="0.45">
      <c r="A135" t="s">
        <v>334</v>
      </c>
      <c r="B135" s="110">
        <f ca="1">SUMPRODUCT($E$99:$E$114,H$67:H$82)</f>
        <v>386.26987939931388</v>
      </c>
      <c r="C135" s="114"/>
      <c r="D135" t="s">
        <v>335</v>
      </c>
      <c r="E135" s="4">
        <f t="shared" ca="1" si="3"/>
        <v>163.66209527134694</v>
      </c>
    </row>
    <row r="136" spans="1:5" ht="16.5" x14ac:dyDescent="0.45">
      <c r="A136" t="s">
        <v>336</v>
      </c>
      <c r="B136" s="110">
        <f ca="1">SUMPRODUCT($E$99:$E$114,I$67:I$82)</f>
        <v>381.45579607223505</v>
      </c>
      <c r="D136" t="s">
        <v>337</v>
      </c>
      <c r="E136" s="4">
        <f t="shared" ca="1" si="3"/>
        <v>184.446970954862</v>
      </c>
    </row>
    <row r="137" spans="1:5" ht="16.5" x14ac:dyDescent="0.45">
      <c r="A137" t="s">
        <v>338</v>
      </c>
      <c r="B137" s="110">
        <f ca="1">SUMPRODUCT($E$99:$E$114,J$67:J$82)</f>
        <v>304.947813625381</v>
      </c>
      <c r="D137" t="s">
        <v>339</v>
      </c>
      <c r="E137" s="4">
        <f t="shared" ca="1" si="3"/>
        <v>210.26098821865315</v>
      </c>
    </row>
    <row r="138" spans="1:5" ht="16.5" x14ac:dyDescent="0.45">
      <c r="A138" t="s">
        <v>340</v>
      </c>
      <c r="B138" s="110">
        <f ca="1">SUMPRODUCT($E$99:$E$114,K$67:K$82)</f>
        <v>409.94607776263553</v>
      </c>
      <c r="D138" t="s">
        <v>341</v>
      </c>
      <c r="E138" s="4">
        <f t="shared" ca="1" si="3"/>
        <v>169.1388566990743</v>
      </c>
    </row>
    <row r="139" spans="1:5" ht="16.5" x14ac:dyDescent="0.45">
      <c r="A139" t="s">
        <v>342</v>
      </c>
      <c r="B139" s="110">
        <f ca="1">SUMPRODUCT($E$99:$E$114,L$67:L$82)</f>
        <v>381.45579607223505</v>
      </c>
      <c r="D139" t="s">
        <v>343</v>
      </c>
      <c r="E139" s="4">
        <f t="shared" ca="1" si="3"/>
        <v>298.68661041879284</v>
      </c>
    </row>
    <row r="140" spans="1:5" ht="16.5" x14ac:dyDescent="0.45">
      <c r="B140" s="110"/>
      <c r="D140" t="s">
        <v>344</v>
      </c>
      <c r="E140" s="4">
        <f t="shared" ca="1" si="3"/>
        <v>280.70772837251502</v>
      </c>
    </row>
    <row r="141" spans="1:5" ht="16.5" x14ac:dyDescent="0.45">
      <c r="B141" s="110"/>
      <c r="D141" t="s">
        <v>345</v>
      </c>
      <c r="E141" s="4">
        <f t="shared" ca="1" si="3"/>
        <v>384.02704360530697</v>
      </c>
    </row>
    <row r="142" spans="1:5" ht="16.5" x14ac:dyDescent="0.45">
      <c r="B142" s="110"/>
      <c r="D142" t="s">
        <v>346</v>
      </c>
      <c r="E142" s="4">
        <f t="shared" ca="1" si="3"/>
        <v>419.38322887683285</v>
      </c>
    </row>
    <row r="143" spans="1:5" ht="16.5" x14ac:dyDescent="0.45">
      <c r="B143" s="110"/>
      <c r="D143" t="s">
        <v>347</v>
      </c>
      <c r="E143" s="4">
        <f t="shared" si="3"/>
        <v>314.04622887683291</v>
      </c>
    </row>
    <row r="144" spans="1:5" ht="16.5" x14ac:dyDescent="0.45">
      <c r="B144" s="110"/>
      <c r="D144" t="s">
        <v>348</v>
      </c>
      <c r="E144" s="4">
        <f t="shared" si="3"/>
        <v>471.25601727811494</v>
      </c>
    </row>
    <row r="145" spans="1:5" ht="16.5" x14ac:dyDescent="0.45">
      <c r="B145" s="110"/>
      <c r="D145" t="s">
        <v>349</v>
      </c>
      <c r="E145" s="4">
        <f t="shared" si="3"/>
        <v>264.01972045263284</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0.20369597285659063</v>
      </c>
      <c r="C162" s="36"/>
      <c r="D162" t="s">
        <v>355</v>
      </c>
      <c r="E162" s="115">
        <f t="shared" ref="E162:E177" ca="1" si="4">($H41*$E130)/SUMPRODUCT($H$41:$H$56,$E$130:$E$145)</f>
        <v>1.4499654836143832E-2</v>
      </c>
    </row>
    <row r="163" spans="1:9" ht="16.5" x14ac:dyDescent="0.45">
      <c r="A163" t="s">
        <v>356</v>
      </c>
      <c r="B163" s="115">
        <f t="shared" ref="B163:B171" ca="1" si="5">($H25*$B131)/SUMPRODUCT($H$24:$H$33,$B$130:$B$139)</f>
        <v>0.29202019608460439</v>
      </c>
      <c r="C163" s="4"/>
      <c r="D163" t="s">
        <v>357</v>
      </c>
      <c r="E163" s="115">
        <f t="shared" ca="1" si="4"/>
        <v>3.2388267064929636E-2</v>
      </c>
    </row>
    <row r="164" spans="1:9" ht="16.5" x14ac:dyDescent="0.45">
      <c r="A164" t="s">
        <v>358</v>
      </c>
      <c r="B164" s="115">
        <f t="shared" ca="1" si="5"/>
        <v>0.22722757330841906</v>
      </c>
      <c r="C164" s="4"/>
      <c r="D164" t="s">
        <v>359</v>
      </c>
      <c r="E164" s="115">
        <f t="shared" ca="1" si="4"/>
        <v>0.1067948087231438</v>
      </c>
      <c r="H164" s="116"/>
      <c r="I164" s="116"/>
    </row>
    <row r="165" spans="1:9" ht="16.5" x14ac:dyDescent="0.45">
      <c r="A165" t="s">
        <v>360</v>
      </c>
      <c r="B165" s="115">
        <f t="shared" ca="1" si="5"/>
        <v>7.6890980103783866E-3</v>
      </c>
      <c r="C165" s="4"/>
      <c r="D165" t="s">
        <v>361</v>
      </c>
      <c r="E165" s="115">
        <f t="shared" ca="1" si="4"/>
        <v>1.1690376032135172E-2</v>
      </c>
    </row>
    <row r="166" spans="1:9" ht="16.5" x14ac:dyDescent="0.45">
      <c r="A166" t="s">
        <v>362</v>
      </c>
      <c r="B166" s="115">
        <f t="shared" ca="1" si="5"/>
        <v>0</v>
      </c>
      <c r="C166" s="4"/>
      <c r="D166" t="s">
        <v>363</v>
      </c>
      <c r="E166" s="115">
        <f t="shared" ca="1" si="4"/>
        <v>0.16952863061970505</v>
      </c>
    </row>
    <row r="167" spans="1:9" ht="16.5" x14ac:dyDescent="0.45">
      <c r="A167" t="s">
        <v>364</v>
      </c>
      <c r="B167" s="115">
        <f t="shared" ca="1" si="5"/>
        <v>0</v>
      </c>
      <c r="C167" s="4"/>
      <c r="D167" t="s">
        <v>365</v>
      </c>
      <c r="E167" s="115">
        <f t="shared" ca="1" si="4"/>
        <v>9.3292287208656149E-2</v>
      </c>
    </row>
    <row r="168" spans="1:9" ht="16.5" x14ac:dyDescent="0.45">
      <c r="A168" t="s">
        <v>366</v>
      </c>
      <c r="B168" s="115">
        <f t="shared" ca="1" si="5"/>
        <v>0.14698852456809755</v>
      </c>
      <c r="C168" s="4"/>
      <c r="D168" t="s">
        <v>367</v>
      </c>
      <c r="E168" s="115">
        <f t="shared" ca="1" si="4"/>
        <v>2.7189080716494746E-2</v>
      </c>
    </row>
    <row r="169" spans="1:9" ht="16.5" x14ac:dyDescent="0.45">
      <c r="A169" t="s">
        <v>368</v>
      </c>
      <c r="B169" s="115">
        <f t="shared" ca="1" si="5"/>
        <v>0.11251893066937736</v>
      </c>
      <c r="C169" s="4"/>
      <c r="D169" t="s">
        <v>369</v>
      </c>
      <c r="E169" s="115">
        <f t="shared" ca="1" si="4"/>
        <v>4.0365320670566482E-3</v>
      </c>
    </row>
    <row r="170" spans="1:9" ht="16.5" x14ac:dyDescent="0.45">
      <c r="A170" t="s">
        <v>370</v>
      </c>
      <c r="B170" s="115">
        <f t="shared" ca="1" si="5"/>
        <v>5.1680822692707178E-3</v>
      </c>
      <c r="D170" t="s">
        <v>371</v>
      </c>
      <c r="E170" s="115">
        <f t="shared" ca="1" si="4"/>
        <v>2.4278526441829547E-2</v>
      </c>
    </row>
    <row r="171" spans="1:9" ht="16.5" x14ac:dyDescent="0.45">
      <c r="A171" t="s">
        <v>372</v>
      </c>
      <c r="B171" s="115">
        <f t="shared" ca="1" si="5"/>
        <v>4.6916222332619717E-3</v>
      </c>
      <c r="D171" t="s">
        <v>373</v>
      </c>
      <c r="E171" s="115">
        <f t="shared" ca="1" si="4"/>
        <v>2.1274939005841244E-2</v>
      </c>
    </row>
    <row r="172" spans="1:9" ht="16.5" x14ac:dyDescent="0.45">
      <c r="B172" s="233">
        <f ca="1">SUM(B162:B171)</f>
        <v>1</v>
      </c>
      <c r="D172" t="s">
        <v>374</v>
      </c>
      <c r="E172" s="115">
        <f t="shared" ca="1" si="4"/>
        <v>5.7183794756950346E-2</v>
      </c>
    </row>
    <row r="173" spans="1:9" ht="16.5" x14ac:dyDescent="0.45">
      <c r="B173" s="115"/>
      <c r="D173" t="s">
        <v>375</v>
      </c>
      <c r="E173" s="115">
        <f t="shared" ca="1" si="4"/>
        <v>0.14546901184751687</v>
      </c>
    </row>
    <row r="174" spans="1:9" ht="16.5" x14ac:dyDescent="0.45">
      <c r="B174" s="115"/>
      <c r="D174" t="s">
        <v>376</v>
      </c>
      <c r="E174" s="115">
        <f t="shared" ca="1" si="4"/>
        <v>7.0640058266646419E-2</v>
      </c>
    </row>
    <row r="175" spans="1:9" ht="16.5" x14ac:dyDescent="0.45">
      <c r="B175" s="115"/>
      <c r="D175" t="s">
        <v>377</v>
      </c>
      <c r="E175" s="115">
        <f t="shared" ca="1" si="4"/>
        <v>0</v>
      </c>
    </row>
    <row r="176" spans="1:9" ht="16.5" x14ac:dyDescent="0.45">
      <c r="B176" s="115"/>
      <c r="D176" t="s">
        <v>378</v>
      </c>
      <c r="E176" s="115">
        <f t="shared" ca="1" si="4"/>
        <v>0.21815199899889454</v>
      </c>
    </row>
    <row r="177" spans="1:5" ht="16.5" x14ac:dyDescent="0.45">
      <c r="B177" s="115"/>
      <c r="D177" t="s">
        <v>379</v>
      </c>
      <c r="E177" s="115">
        <f t="shared" ca="1" si="4"/>
        <v>3.582033414055997E-3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7.4724915917752011</v>
      </c>
      <c r="C193" s="47"/>
      <c r="D193" t="s">
        <v>383</v>
      </c>
      <c r="E193" s="6">
        <f t="shared" ref="E193:E208" ca="1" si="7">$E162*$D$8</f>
        <v>0.22796274129373773</v>
      </c>
    </row>
    <row r="194" spans="1:5" ht="16.5" x14ac:dyDescent="0.45">
      <c r="A194" t="s">
        <v>384</v>
      </c>
      <c r="B194" s="7">
        <f t="shared" ca="1" si="6"/>
        <v>10.712624453341759</v>
      </c>
      <c r="D194" t="s">
        <v>385</v>
      </c>
      <c r="E194" s="6">
        <f t="shared" ca="1" si="7"/>
        <v>0.5092064762445494</v>
      </c>
    </row>
    <row r="195" spans="1:5" ht="16.5" x14ac:dyDescent="0.45">
      <c r="A195" t="s">
        <v>386</v>
      </c>
      <c r="B195" s="7">
        <f t="shared" ca="1" si="6"/>
        <v>8.3357373597271227</v>
      </c>
      <c r="D195" t="s">
        <v>387</v>
      </c>
      <c r="E195" s="6">
        <f t="shared" ca="1" si="7"/>
        <v>1.6790218544914566</v>
      </c>
    </row>
    <row r="196" spans="1:5" ht="16.5" x14ac:dyDescent="0.45">
      <c r="A196" t="s">
        <v>388</v>
      </c>
      <c r="B196" s="7">
        <f t="shared" ca="1" si="6"/>
        <v>0.28207096794858844</v>
      </c>
      <c r="D196" t="s">
        <v>389</v>
      </c>
      <c r="E196" s="6">
        <f t="shared" ca="1" si="7"/>
        <v>0.18379542114320346</v>
      </c>
    </row>
    <row r="197" spans="1:5" ht="16.5" x14ac:dyDescent="0.45">
      <c r="A197" t="s">
        <v>390</v>
      </c>
      <c r="B197" s="7">
        <f t="shared" ca="1" si="6"/>
        <v>0</v>
      </c>
      <c r="D197" t="s">
        <v>391</v>
      </c>
      <c r="E197" s="6">
        <f t="shared" ca="1" si="7"/>
        <v>2.6653194024665048</v>
      </c>
    </row>
    <row r="198" spans="1:5" ht="16.5" x14ac:dyDescent="0.45">
      <c r="A198" t="s">
        <v>392</v>
      </c>
      <c r="B198" s="7">
        <f t="shared" ca="1" si="6"/>
        <v>0</v>
      </c>
      <c r="D198" t="s">
        <v>393</v>
      </c>
      <c r="E198" s="6">
        <f t="shared" ca="1" si="7"/>
        <v>1.4667359860618543</v>
      </c>
    </row>
    <row r="199" spans="1:5" ht="16.5" x14ac:dyDescent="0.45">
      <c r="A199" t="s">
        <v>394</v>
      </c>
      <c r="B199" s="7">
        <f t="shared" ca="1" si="6"/>
        <v>5.3922053466213802</v>
      </c>
      <c r="D199" t="s">
        <v>395</v>
      </c>
      <c r="E199" s="6">
        <f t="shared" ca="1" si="7"/>
        <v>0.42746516682166913</v>
      </c>
    </row>
    <row r="200" spans="1:5" ht="16.5" x14ac:dyDescent="0.45">
      <c r="A200" t="s">
        <v>396</v>
      </c>
      <c r="B200" s="7">
        <f t="shared" ca="1" si="6"/>
        <v>4.1277043996074019</v>
      </c>
      <c r="D200" t="s">
        <v>397</v>
      </c>
      <c r="E200" s="6">
        <f t="shared" ca="1" si="7"/>
        <v>6.3462125528157165E-2</v>
      </c>
    </row>
    <row r="201" spans="1:5" ht="16.5" x14ac:dyDescent="0.45">
      <c r="A201" t="s">
        <v>398</v>
      </c>
      <c r="B201" s="7">
        <f t="shared" ca="1" si="6"/>
        <v>0.18958868337528073</v>
      </c>
      <c r="D201" t="s">
        <v>399</v>
      </c>
      <c r="E201" s="6">
        <f t="shared" ca="1" si="7"/>
        <v>0.38170559953300798</v>
      </c>
    </row>
    <row r="202" spans="1:5" ht="16.5" x14ac:dyDescent="0.45">
      <c r="A202" t="s">
        <v>400</v>
      </c>
      <c r="B202" s="7">
        <f t="shared" ca="1" si="6"/>
        <v>0.17210996956978553</v>
      </c>
      <c r="D202" t="s">
        <v>401</v>
      </c>
      <c r="E202" s="6">
        <f t="shared" ca="1" si="7"/>
        <v>0.33448337022058805</v>
      </c>
    </row>
    <row r="203" spans="1:5" ht="16.5" x14ac:dyDescent="0.45">
      <c r="B203" s="7">
        <f ca="1">SUM(B193:B202)</f>
        <v>36.684532771966524</v>
      </c>
      <c r="D203" t="s">
        <v>402</v>
      </c>
      <c r="E203" s="6">
        <f t="shared" ca="1" si="7"/>
        <v>0.89904033976575115</v>
      </c>
    </row>
    <row r="204" spans="1:5" ht="16.5" x14ac:dyDescent="0.45">
      <c r="B204" s="7"/>
      <c r="D204" t="s">
        <v>403</v>
      </c>
      <c r="E204" s="6">
        <f t="shared" ca="1" si="7"/>
        <v>2.2870554567539227</v>
      </c>
    </row>
    <row r="205" spans="1:5" ht="16.5" x14ac:dyDescent="0.45">
      <c r="B205" s="7"/>
      <c r="D205" t="s">
        <v>404</v>
      </c>
      <c r="E205" s="6">
        <f t="shared" ca="1" si="7"/>
        <v>1.1105989424984637</v>
      </c>
    </row>
    <row r="206" spans="1:5" ht="16.5" x14ac:dyDescent="0.45">
      <c r="B206" s="7"/>
      <c r="D206" t="s">
        <v>405</v>
      </c>
      <c r="E206" s="6">
        <f t="shared" ca="1" si="7"/>
        <v>0</v>
      </c>
    </row>
    <row r="207" spans="1:5" ht="16.5" x14ac:dyDescent="0.45">
      <c r="B207" s="7"/>
      <c r="D207" t="s">
        <v>406</v>
      </c>
      <c r="E207" s="6">
        <f t="shared" ca="1" si="7"/>
        <v>3.4297732099478382</v>
      </c>
    </row>
    <row r="208" spans="1:5" ht="16.5" x14ac:dyDescent="0.45">
      <c r="B208" s="7"/>
      <c r="D208" t="s">
        <v>407</v>
      </c>
      <c r="E208" s="6">
        <f t="shared" ca="1" si="7"/>
        <v>5.6316523786378442E-2</v>
      </c>
    </row>
    <row r="209" spans="1:5" x14ac:dyDescent="0.35">
      <c r="B209" s="7"/>
      <c r="E209" s="6">
        <f ca="1">SUM(E193:E208)</f>
        <v>15.721942616557081</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5.8219016115296132E-2</v>
      </c>
      <c r="D226" s="121"/>
      <c r="E226" s="8"/>
      <c r="F226" s="8"/>
      <c r="G226" s="122"/>
      <c r="H226" s="48" t="s">
        <v>415</v>
      </c>
      <c r="I226" s="48" t="str">
        <f t="shared" ref="I226:I241" si="8">B41</f>
        <v>NTS MG 1</v>
      </c>
      <c r="J226" s="12">
        <f ca="1">IFERROR($E193/$H41*1000000," ")</f>
        <v>2.6450451795821693E-2</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3.9340404265060178E-2</v>
      </c>
      <c r="D227" s="121"/>
      <c r="E227" s="8"/>
      <c r="F227" s="8"/>
      <c r="G227" s="122"/>
      <c r="H227" s="48" t="s">
        <v>417</v>
      </c>
      <c r="I227" s="48" t="str">
        <f t="shared" si="8"/>
        <v>NTS MG 2</v>
      </c>
      <c r="J227" s="12">
        <f t="shared" ref="J227:J241" ca="1" si="11">IFERROR($E194/$H42*1000000," ")</f>
        <v>3.4061558245744111E-2</v>
      </c>
      <c r="L227" s="21"/>
      <c r="M227" s="123"/>
      <c r="Q227" s="8"/>
      <c r="R227" s="124"/>
      <c r="S227" s="125"/>
      <c r="T227" s="125"/>
      <c r="U227" s="125"/>
    </row>
    <row r="228" spans="1:22" ht="16.5" x14ac:dyDescent="0.35">
      <c r="A228" s="48" t="s">
        <v>418</v>
      </c>
      <c r="B228" s="48" t="str">
        <f t="shared" si="9"/>
        <v>PR-ITABORAÍ</v>
      </c>
      <c r="C228" s="12">
        <f t="shared" ca="1" si="10"/>
        <v>4.5525975030830307E-2</v>
      </c>
      <c r="D228" s="121"/>
      <c r="E228" s="8"/>
      <c r="F228" s="8"/>
      <c r="G228" s="122"/>
      <c r="H228" s="48" t="s">
        <v>419</v>
      </c>
      <c r="I228" s="48" t="str">
        <f t="shared" si="8"/>
        <v>NTS MG 3</v>
      </c>
      <c r="J228" s="12">
        <f t="shared" ca="1" si="11"/>
        <v>4.3239410222056851E-2</v>
      </c>
      <c r="L228" s="21"/>
      <c r="M228" s="123"/>
      <c r="Q228" s="8"/>
      <c r="R228" s="124"/>
      <c r="S228" s="125"/>
      <c r="T228" s="125"/>
      <c r="U228" s="125"/>
    </row>
    <row r="229" spans="1:22" ht="16.5" x14ac:dyDescent="0.35">
      <c r="A229" s="48" t="s">
        <v>420</v>
      </c>
      <c r="B229" s="48" t="str">
        <f t="shared" si="9"/>
        <v>PR-GASPAJ (INTERCONEXÃO)</v>
      </c>
      <c r="C229" s="12">
        <f t="shared" ca="1" si="10"/>
        <v>6.7925287184604194E-2</v>
      </c>
      <c r="D229" s="121"/>
      <c r="E229" s="8"/>
      <c r="F229" s="8"/>
      <c r="G229" s="122"/>
      <c r="H229" s="48" t="s">
        <v>421</v>
      </c>
      <c r="I229" s="48" t="str">
        <f t="shared" si="8"/>
        <v>NTS MG 4</v>
      </c>
      <c r="J229" s="12">
        <f t="shared" ca="1" si="11"/>
        <v>4.4259630316306871E-2</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1.4368702720941137E-2</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1.2820073575887849E-2</v>
      </c>
      <c r="L231" s="21"/>
      <c r="M231" s="123"/>
      <c r="Q231" s="8"/>
      <c r="R231" s="124"/>
      <c r="S231" s="125"/>
      <c r="T231" s="125"/>
      <c r="U231" s="125"/>
    </row>
    <row r="232" spans="1:22" ht="16.5" x14ac:dyDescent="0.35">
      <c r="A232" s="48" t="s">
        <v>426</v>
      </c>
      <c r="B232" s="48" t="str">
        <f t="shared" si="9"/>
        <v>PR-TECAB</v>
      </c>
      <c r="C232" s="12">
        <f t="shared" ca="1" si="10"/>
        <v>6.3204640566023221E-2</v>
      </c>
      <c r="D232" s="121"/>
      <c r="E232" s="8"/>
      <c r="F232" s="8"/>
      <c r="G232" s="122"/>
      <c r="H232" s="48" t="s">
        <v>427</v>
      </c>
      <c r="I232" s="48" t="str">
        <f t="shared" si="8"/>
        <v>NTS RJ 3</v>
      </c>
      <c r="J232" s="12">
        <f t="shared" ca="1" si="11"/>
        <v>1.4448206437602449E-2</v>
      </c>
      <c r="L232" s="21"/>
      <c r="M232" s="123"/>
      <c r="Q232" s="8"/>
      <c r="R232" s="124"/>
      <c r="S232" s="125"/>
      <c r="T232" s="125"/>
      <c r="U232" s="125"/>
    </row>
    <row r="233" spans="1:22" ht="16.5" x14ac:dyDescent="0.35">
      <c r="A233" s="48" t="s">
        <v>428</v>
      </c>
      <c r="B233" s="48" t="str">
        <f t="shared" si="9"/>
        <v>PR-GUARAREMA (INTERCONEXÃO)</v>
      </c>
      <c r="C233" s="12">
        <f t="shared" ca="1" si="10"/>
        <v>5.0527786312459029E-2</v>
      </c>
      <c r="D233" s="121"/>
      <c r="E233" s="8"/>
      <c r="F233" s="8"/>
      <c r="G233" s="122"/>
      <c r="H233" s="48" t="s">
        <v>429</v>
      </c>
      <c r="I233" s="48" t="str">
        <f t="shared" si="8"/>
        <v>NTS RJ 4</v>
      </c>
      <c r="J233" s="12">
        <f t="shared" ca="1" si="11"/>
        <v>1.647028491620409E-2</v>
      </c>
      <c r="L233" s="21"/>
      <c r="M233" s="123"/>
      <c r="Q233" s="8"/>
      <c r="R233" s="124"/>
      <c r="S233" s="125"/>
      <c r="T233" s="125"/>
      <c r="U233" s="125"/>
    </row>
    <row r="234" spans="1:22" ht="16.5" x14ac:dyDescent="0.35">
      <c r="A234" s="48" t="s">
        <v>430</v>
      </c>
      <c r="B234" s="48" t="str">
        <f t="shared" si="9"/>
        <v>PR-REPLAN (INTERCONEXÃO)</v>
      </c>
      <c r="C234" s="12">
        <f t="shared" ca="1" si="10"/>
        <v>6.7925287184604194E-2</v>
      </c>
      <c r="D234" s="116"/>
      <c r="E234" s="8"/>
      <c r="F234" s="8"/>
      <c r="G234" s="116"/>
      <c r="H234" s="48" t="s">
        <v>431</v>
      </c>
      <c r="I234" s="48" t="str">
        <f t="shared" si="8"/>
        <v>NTS RJ 5</v>
      </c>
      <c r="J234" s="12">
        <f t="shared" ca="1" si="11"/>
        <v>1.3249082408657829E-2</v>
      </c>
      <c r="L234" s="21"/>
      <c r="Q234" s="8"/>
      <c r="R234" s="124"/>
      <c r="S234" s="125"/>
      <c r="T234" s="125"/>
      <c r="U234" s="125"/>
    </row>
    <row r="235" spans="1:22" ht="16.5" x14ac:dyDescent="0.35">
      <c r="A235" s="48" t="s">
        <v>432</v>
      </c>
      <c r="B235" s="48" t="str">
        <f t="shared" si="9"/>
        <v>PR-TECAB (INTERCONEXÃO)</v>
      </c>
      <c r="C235" s="12">
        <f t="shared" ca="1" si="10"/>
        <v>6.3204640566023207E-2</v>
      </c>
      <c r="D235" s="116"/>
      <c r="E235" s="8"/>
      <c r="F235" s="8"/>
      <c r="G235" s="116"/>
      <c r="H235" s="48" t="s">
        <v>433</v>
      </c>
      <c r="I235" s="48" t="str">
        <f t="shared" si="8"/>
        <v>NTS SP 1</v>
      </c>
      <c r="J235" s="12">
        <f t="shared" ca="1" si="11"/>
        <v>2.3396891719813316E-2</v>
      </c>
      <c r="L235" s="21"/>
      <c r="Q235" s="8"/>
      <c r="R235" s="124"/>
      <c r="S235" s="125"/>
      <c r="T235" s="125"/>
      <c r="U235" s="125"/>
    </row>
    <row r="236" spans="1:22" ht="16.5" x14ac:dyDescent="0.35">
      <c r="D236" s="116"/>
      <c r="E236" s="8"/>
      <c r="F236" s="8"/>
      <c r="G236" s="116"/>
      <c r="H236" s="48" t="s">
        <v>434</v>
      </c>
      <c r="I236" s="48" t="str">
        <f t="shared" si="8"/>
        <v>NTS SP 2</v>
      </c>
      <c r="J236" s="12">
        <f t="shared" ca="1" si="11"/>
        <v>2.1988559568967118E-2</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3.0081827719412466E-2</v>
      </c>
      <c r="L237" s="21"/>
      <c r="Q237" s="8"/>
      <c r="R237" s="124"/>
      <c r="S237" s="125"/>
      <c r="T237" s="125"/>
      <c r="U237" s="125"/>
    </row>
    <row r="238" spans="1:22" ht="16.5" x14ac:dyDescent="0.35">
      <c r="D238" s="116"/>
      <c r="E238" s="8"/>
      <c r="F238" s="8"/>
      <c r="G238" s="116"/>
      <c r="H238" s="48" t="s">
        <v>436</v>
      </c>
      <c r="I238" s="48" t="str">
        <f t="shared" si="8"/>
        <v>NTS SP 4</v>
      </c>
      <c r="J238" s="12">
        <f t="shared" ca="1" si="11"/>
        <v>3.2851368802167005E-2</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3.6914697960872482E-2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2.0681344914204331E-2</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1.1643803223059223E-2</v>
      </c>
      <c r="D245" s="12">
        <f t="shared" ref="D245:D254" si="13">$F$7*$C$11</f>
        <v>3.8593570502565962E-2</v>
      </c>
      <c r="E245" s="12">
        <f ca="1">IFERROR(C245+D245," ")</f>
        <v>5.0237373725625187E-2</v>
      </c>
      <c r="G245" s="123"/>
      <c r="H245" s="48" t="s">
        <v>415</v>
      </c>
      <c r="I245" s="48" t="str">
        <f t="shared" ref="I245:I260" si="14">I226</f>
        <v>NTS MG 1</v>
      </c>
      <c r="J245" s="12">
        <f ca="1">IF(H41=0," ",J226*(1-$C$11))</f>
        <v>5.2900903591643371E-3</v>
      </c>
      <c r="K245" s="12">
        <f t="shared" ref="K245:K260" si="15">$F$10*$C$11</f>
        <v>1.8245367796737844E-2</v>
      </c>
      <c r="L245" s="12">
        <f ca="1">IFERROR(J245+K245," ")</f>
        <v>2.3535458155902182E-2</v>
      </c>
    </row>
    <row r="246" spans="1:22" ht="16.5" x14ac:dyDescent="0.35">
      <c r="A246" s="48" t="s">
        <v>416</v>
      </c>
      <c r="B246" s="48" t="str">
        <f t="shared" si="12"/>
        <v>PR-GNLBGB</v>
      </c>
      <c r="C246" s="12">
        <f t="shared" ref="C246:C254" ca="1" si="16">IF(H25=0," ",C227*(1-$C$11))</f>
        <v>7.8680808530120338E-3</v>
      </c>
      <c r="D246" s="12">
        <f t="shared" si="13"/>
        <v>3.8593570502565962E-2</v>
      </c>
      <c r="E246" s="12">
        <f t="shared" ref="E246:E254" ca="1" si="17">IFERROR(C246+D246," ")</f>
        <v>4.6461651355577997E-2</v>
      </c>
      <c r="G246" s="123"/>
      <c r="H246" s="48" t="s">
        <v>417</v>
      </c>
      <c r="I246" s="48" t="str">
        <f t="shared" si="14"/>
        <v>NTS MG 2</v>
      </c>
      <c r="J246" s="12">
        <f t="shared" ref="J246:J247" ca="1" si="18">IF(H42=0," ",J227*(1-$C$11))</f>
        <v>6.8123116491488203E-3</v>
      </c>
      <c r="K246" s="12">
        <f t="shared" si="15"/>
        <v>1.8245367796737844E-2</v>
      </c>
      <c r="L246" s="12">
        <f t="shared" ref="L246:L260" ca="1" si="19">IFERROR(J246+K246," ")</f>
        <v>2.5057679445886664E-2</v>
      </c>
    </row>
    <row r="247" spans="1:22" ht="16.5" x14ac:dyDescent="0.35">
      <c r="A247" s="48" t="s">
        <v>418</v>
      </c>
      <c r="B247" s="48" t="str">
        <f t="shared" si="12"/>
        <v>PR-ITABORAÍ</v>
      </c>
      <c r="C247" s="12">
        <f t="shared" ca="1" si="16"/>
        <v>9.1051950061660589E-3</v>
      </c>
      <c r="D247" s="12">
        <f t="shared" si="13"/>
        <v>3.8593570502565962E-2</v>
      </c>
      <c r="E247" s="12">
        <f t="shared" ca="1" si="17"/>
        <v>4.7698765508732019E-2</v>
      </c>
      <c r="G247" s="123"/>
      <c r="H247" s="48" t="s">
        <v>419</v>
      </c>
      <c r="I247" s="48" t="str">
        <f t="shared" si="14"/>
        <v>NTS MG 3</v>
      </c>
      <c r="J247" s="12">
        <f t="shared" ca="1" si="18"/>
        <v>8.6478820444113678E-3</v>
      </c>
      <c r="K247" s="12">
        <f t="shared" si="15"/>
        <v>1.8245367796737844E-2</v>
      </c>
      <c r="L247" s="12">
        <f t="shared" ca="1" si="19"/>
        <v>2.6893249841149214E-2</v>
      </c>
    </row>
    <row r="248" spans="1:22" ht="16.5" x14ac:dyDescent="0.35">
      <c r="A248" s="48" t="s">
        <v>420</v>
      </c>
      <c r="B248" s="48" t="str">
        <f t="shared" si="12"/>
        <v>PR-GASPAJ (INTERCONEXÃO)</v>
      </c>
      <c r="C248" s="12">
        <f t="shared" ca="1" si="16"/>
        <v>1.3585057436920836E-2</v>
      </c>
      <c r="D248" s="12">
        <f t="shared" si="13"/>
        <v>3.8593570502565962E-2</v>
      </c>
      <c r="E248" s="12">
        <f t="shared" ca="1" si="17"/>
        <v>5.2178627939486799E-2</v>
      </c>
      <c r="G248" s="123"/>
      <c r="H248" s="48" t="s">
        <v>421</v>
      </c>
      <c r="I248" s="48" t="str">
        <f t="shared" si="14"/>
        <v>NTS MG 4</v>
      </c>
      <c r="J248" s="12">
        <f ca="1">IF(H44=0," ",J229*(1-$C$11))</f>
        <v>8.8519260632613714E-3</v>
      </c>
      <c r="K248" s="12">
        <f t="shared" si="15"/>
        <v>1.8245367796737844E-2</v>
      </c>
      <c r="L248" s="12">
        <f t="shared" ca="1" si="19"/>
        <v>2.7097293859999216E-2</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2.8737405441882267E-3</v>
      </c>
      <c r="K249" s="12">
        <f t="shared" si="15"/>
        <v>1.8245367796737844E-2</v>
      </c>
      <c r="L249" s="12">
        <f t="shared" ca="1" si="19"/>
        <v>2.111910834092607E-2</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2.5640147151775694E-3</v>
      </c>
      <c r="K250" s="12">
        <f t="shared" si="15"/>
        <v>1.8245367796737844E-2</v>
      </c>
      <c r="L250" s="12">
        <f t="shared" ca="1" si="19"/>
        <v>2.0809382511915414E-2</v>
      </c>
    </row>
    <row r="251" spans="1:22" ht="16.5" x14ac:dyDescent="0.35">
      <c r="A251" s="48" t="s">
        <v>426</v>
      </c>
      <c r="B251" s="48" t="str">
        <f t="shared" si="12"/>
        <v>PR-TECAB</v>
      </c>
      <c r="C251" s="12">
        <f t="shared" ca="1" si="16"/>
        <v>1.2640928113204641E-2</v>
      </c>
      <c r="D251" s="12">
        <f t="shared" si="13"/>
        <v>3.8593570502565962E-2</v>
      </c>
      <c r="E251" s="12">
        <f t="shared" ca="1" si="17"/>
        <v>5.1234498615770604E-2</v>
      </c>
      <c r="G251" s="123"/>
      <c r="H251" s="48" t="s">
        <v>427</v>
      </c>
      <c r="I251" s="48" t="str">
        <f t="shared" si="14"/>
        <v>NTS RJ 3</v>
      </c>
      <c r="J251" s="12">
        <f t="shared" ca="1" si="20"/>
        <v>2.8896412875204893E-3</v>
      </c>
      <c r="K251" s="12">
        <f t="shared" si="15"/>
        <v>1.8245367796737844E-2</v>
      </c>
      <c r="L251" s="12">
        <f t="shared" ca="1" si="19"/>
        <v>2.1135009084258333E-2</v>
      </c>
    </row>
    <row r="252" spans="1:22" ht="16.5" x14ac:dyDescent="0.35">
      <c r="A252" s="48" t="s">
        <v>428</v>
      </c>
      <c r="B252" s="48" t="str">
        <f t="shared" si="12"/>
        <v>PR-GUARAREMA (INTERCONEXÃO)</v>
      </c>
      <c r="C252" s="12">
        <f t="shared" ca="1" si="16"/>
        <v>1.0105557262491804E-2</v>
      </c>
      <c r="D252" s="12">
        <f t="shared" si="13"/>
        <v>3.8593570502565962E-2</v>
      </c>
      <c r="E252" s="12">
        <f t="shared" ca="1" si="17"/>
        <v>4.8699127765057762E-2</v>
      </c>
      <c r="G252" s="123"/>
      <c r="H252" s="48" t="s">
        <v>429</v>
      </c>
      <c r="I252" s="48" t="str">
        <f t="shared" si="14"/>
        <v>NTS RJ 4</v>
      </c>
      <c r="J252" s="12">
        <f t="shared" ca="1" si="20"/>
        <v>3.2940569832408174E-3</v>
      </c>
      <c r="K252" s="12">
        <f t="shared" si="15"/>
        <v>1.8245367796737844E-2</v>
      </c>
      <c r="L252" s="12">
        <f t="shared" ca="1" si="19"/>
        <v>2.1539424779978663E-2</v>
      </c>
    </row>
    <row r="253" spans="1:22" ht="16.5" x14ac:dyDescent="0.35">
      <c r="A253" s="48" t="s">
        <v>430</v>
      </c>
      <c r="B253" s="48" t="str">
        <f t="shared" si="12"/>
        <v>PR-REPLAN (INTERCONEXÃO)</v>
      </c>
      <c r="C253" s="12">
        <f t="shared" ca="1" si="16"/>
        <v>1.3585057436920836E-2</v>
      </c>
      <c r="D253" s="12">
        <f t="shared" si="13"/>
        <v>3.8593570502565962E-2</v>
      </c>
      <c r="E253" s="12">
        <f t="shared" ca="1" si="17"/>
        <v>5.2178627939486799E-2</v>
      </c>
      <c r="G253" s="123"/>
      <c r="H253" s="48" t="s">
        <v>431</v>
      </c>
      <c r="I253" s="48" t="str">
        <f t="shared" si="14"/>
        <v>NTS RJ 5</v>
      </c>
      <c r="J253" s="12">
        <f t="shared" ca="1" si="20"/>
        <v>2.6498164817315649E-3</v>
      </c>
      <c r="K253" s="12">
        <f t="shared" si="15"/>
        <v>1.8245367796737844E-2</v>
      </c>
      <c r="L253" s="12">
        <f t="shared" ca="1" si="19"/>
        <v>2.0895184278469408E-2</v>
      </c>
    </row>
    <row r="254" spans="1:22" ht="16.5" x14ac:dyDescent="0.35">
      <c r="A254" s="48" t="s">
        <v>432</v>
      </c>
      <c r="B254" s="48" t="str">
        <f t="shared" si="12"/>
        <v>PR-TECAB (INTERCONEXÃO)</v>
      </c>
      <c r="C254" s="12">
        <f t="shared" ca="1" si="16"/>
        <v>1.2640928113204639E-2</v>
      </c>
      <c r="D254" s="12">
        <f t="shared" si="13"/>
        <v>3.8593570502565962E-2</v>
      </c>
      <c r="E254" s="12">
        <f t="shared" ca="1" si="17"/>
        <v>5.1234498615770604E-2</v>
      </c>
      <c r="G254" s="123"/>
      <c r="H254" s="48" t="s">
        <v>433</v>
      </c>
      <c r="I254" s="48" t="str">
        <f t="shared" si="14"/>
        <v>NTS SP 1</v>
      </c>
      <c r="J254" s="12">
        <f t="shared" ca="1" si="20"/>
        <v>4.6793783439626618E-3</v>
      </c>
      <c r="K254" s="12">
        <f t="shared" si="15"/>
        <v>1.8245367796737844E-2</v>
      </c>
      <c r="L254" s="12">
        <f t="shared" ca="1" si="19"/>
        <v>2.2924746140700506E-2</v>
      </c>
    </row>
    <row r="255" spans="1:22" ht="16.5" x14ac:dyDescent="0.35">
      <c r="H255" s="48" t="s">
        <v>434</v>
      </c>
      <c r="I255" s="48" t="str">
        <f t="shared" si="14"/>
        <v>NTS SP 2</v>
      </c>
      <c r="J255" s="12">
        <f t="shared" ca="1" si="20"/>
        <v>4.3977119137934223E-3</v>
      </c>
      <c r="K255" s="12">
        <f t="shared" si="15"/>
        <v>1.8245367796737844E-2</v>
      </c>
      <c r="L255" s="12">
        <f t="shared" ca="1" si="19"/>
        <v>2.2643079710531266E-2</v>
      </c>
    </row>
    <row r="256" spans="1:22" ht="16.5" x14ac:dyDescent="0.35">
      <c r="H256" s="48" t="s">
        <v>435</v>
      </c>
      <c r="I256" s="48" t="str">
        <f t="shared" si="14"/>
        <v>NTS SP 3</v>
      </c>
      <c r="J256" s="12">
        <f t="shared" ca="1" si="20"/>
        <v>6.0163655438824921E-3</v>
      </c>
      <c r="K256" s="12">
        <f t="shared" si="15"/>
        <v>1.8245367796737844E-2</v>
      </c>
      <c r="L256" s="12">
        <f t="shared" ca="1" si="19"/>
        <v>2.4261733340620338E-2</v>
      </c>
    </row>
    <row r="257" spans="1:13" ht="16.5" x14ac:dyDescent="0.35">
      <c r="H257" s="48" t="s">
        <v>436</v>
      </c>
      <c r="I257" s="48" t="str">
        <f t="shared" si="14"/>
        <v>NTS SP 4</v>
      </c>
      <c r="J257" s="12">
        <f t="shared" ca="1" si="20"/>
        <v>6.5702737604334E-3</v>
      </c>
      <c r="K257" s="12">
        <f t="shared" si="15"/>
        <v>1.8245367796737844E-2</v>
      </c>
      <c r="L257" s="12">
        <f t="shared" ca="1" si="19"/>
        <v>2.4815641557171246E-2</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7.382939592174495E-3</v>
      </c>
      <c r="K259" s="12">
        <f t="shared" si="15"/>
        <v>1.8245367796737844E-2</v>
      </c>
      <c r="L259" s="12">
        <f t="shared" ca="1" si="19"/>
        <v>2.5628307388912339E-2</v>
      </c>
    </row>
    <row r="260" spans="1:13" ht="16.5" x14ac:dyDescent="0.35">
      <c r="H260" s="48" t="s">
        <v>439</v>
      </c>
      <c r="I260" s="48" t="str">
        <f t="shared" si="14"/>
        <v>PE-TECAB (INTERCONEXÃO)</v>
      </c>
      <c r="J260" s="12">
        <f t="shared" ca="1" si="20"/>
        <v>4.1362689828408654E-3</v>
      </c>
      <c r="K260" s="12">
        <f t="shared" si="15"/>
        <v>1.8245367796737844E-2</v>
      </c>
      <c r="L260" s="12">
        <f t="shared" ca="1" si="19"/>
        <v>2.2381636779578711E-2</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(GASIG)'!I11</f>
        <v>205</v>
      </c>
      <c r="D267" s="265">
        <f ca="1">E253</f>
        <v>5.2178627939486799E-2</v>
      </c>
      <c r="E267" s="268">
        <f ca="1">D267*(1-$C$262)</f>
        <v>5.2178627939486787E-3</v>
      </c>
      <c r="F267" s="266">
        <f ca="1">C267*E267*'Premissas (GASIG)'!$C$36*'Premissas (GASIG)'!$F$20*1000</f>
        <v>14563.762306209497</v>
      </c>
      <c r="L267" s="128"/>
    </row>
    <row r="268" spans="1:13" ht="18.5" x14ac:dyDescent="0.45">
      <c r="B268" s="247" t="s">
        <v>451</v>
      </c>
      <c r="C268" s="271">
        <f>'Oferta (GASIG)'!I10</f>
        <v>6000</v>
      </c>
      <c r="D268" s="265">
        <f ca="1">E252</f>
        <v>4.8699127765057762E-2</v>
      </c>
      <c r="E268" s="268">
        <f t="shared" ref="E268:E270" ca="1" si="21">D268*(1-$C$262)</f>
        <v>4.8699127765057752E-3</v>
      </c>
      <c r="F268" s="266">
        <f ca="1">C268*E268*'Premissas (GASIG)'!$C$36*'Premissas (GASIG)'!$F$20*1000</f>
        <v>397831.80424689589</v>
      </c>
      <c r="G268" s="129"/>
      <c r="K268" s="129"/>
      <c r="L268" s="128"/>
    </row>
    <row r="269" spans="1:13" ht="18.5" x14ac:dyDescent="0.45">
      <c r="B269" s="248" t="s">
        <v>452</v>
      </c>
      <c r="C269" s="271">
        <f>'Oferta (GASIG)'!I12</f>
        <v>200</v>
      </c>
      <c r="D269" s="265">
        <f ca="1">E254</f>
        <v>5.1234498615770604E-2</v>
      </c>
      <c r="E269" s="268">
        <f t="shared" ca="1" si="21"/>
        <v>5.1234498615770592E-3</v>
      </c>
      <c r="F269" s="266">
        <f ca="1">C269*E269*'Premissas (GASIG)'!$C$36*'Premissas (GASIG)'!$F$20*1000</f>
        <v>13951.456599887306</v>
      </c>
      <c r="K269" s="129"/>
      <c r="L269" s="128"/>
    </row>
    <row r="270" spans="1:13" ht="18.5" x14ac:dyDescent="0.45">
      <c r="B270" s="248" t="s">
        <v>243</v>
      </c>
      <c r="C270" s="271">
        <f>'Oferta (GASIG)'!I6</f>
        <v>305</v>
      </c>
      <c r="D270" s="265">
        <f ca="1">E248</f>
        <v>5.2178627939486799E-2</v>
      </c>
      <c r="E270" s="268">
        <f t="shared" ca="1" si="21"/>
        <v>5.2178627939486787E-3</v>
      </c>
      <c r="F270" s="266">
        <f ca="1">C270*E270*'Premissas (GASIG)'!$C$36*'Premissas (GASIG)'!$F$20*1000</f>
        <v>21668.036601921449</v>
      </c>
      <c r="K270" s="129"/>
      <c r="L270" s="128"/>
    </row>
    <row r="271" spans="1:13" ht="18.5" x14ac:dyDescent="0.45">
      <c r="B271" s="246" t="s">
        <v>453</v>
      </c>
      <c r="C271" s="271">
        <f>'Demanda (GASIG)'!I17</f>
        <v>6824</v>
      </c>
      <c r="D271" s="265">
        <f ca="1">L259</f>
        <v>2.5628307388912339E-2</v>
      </c>
      <c r="E271" s="268">
        <f ca="1">D271*(1-$C$262)</f>
        <v>2.5628307388912332E-3</v>
      </c>
      <c r="F271" s="266">
        <f ca="1">C271*E271*'Premissas (GASIG)'!$C$36*'Premissas (GASIG)'!$F$20*1000</f>
        <v>238114.59108230568</v>
      </c>
      <c r="K271" s="129"/>
      <c r="L271" s="128"/>
    </row>
    <row r="272" spans="1:13" ht="18.5" x14ac:dyDescent="0.45">
      <c r="B272" s="248" t="s">
        <v>454</v>
      </c>
      <c r="C272" s="271">
        <f>'Demanda (GASIG)'!I18</f>
        <v>200</v>
      </c>
      <c r="D272" s="265">
        <f ca="1">L260</f>
        <v>2.2381636779578711E-2</v>
      </c>
      <c r="E272" s="268">
        <f ca="1">D272*(1-$C$262)</f>
        <v>2.2381636779578704E-3</v>
      </c>
      <c r="F272" s="266">
        <f ca="1">C272*E272*'Premissas (GASIG)'!$C$36*'Premissas (GASIG)'!$F$20*1000</f>
        <v>6094.6518966932463</v>
      </c>
      <c r="K272" s="129"/>
      <c r="L272" s="128"/>
    </row>
    <row r="273" spans="2:13" ht="19" thickBot="1" x14ac:dyDescent="0.5">
      <c r="B273" s="248"/>
      <c r="C273" s="248"/>
      <c r="D273" s="248"/>
      <c r="E273" s="248"/>
      <c r="F273" s="267">
        <f ca="1">SUM(F267:F272)</f>
        <v>692224.30273391306</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A0F0-6727-412C-89E1-5E3155D8F59C}">
  <sheetPr>
    <tabColor theme="5"/>
  </sheetPr>
  <dimension ref="A2:AA303"/>
  <sheetViews>
    <sheetView showGridLines="0" zoomScale="70" zoomScaleNormal="70" workbookViewId="0">
      <selection activeCell="D38" sqref="D38"/>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c r="G3" s="205">
        <v>2025</v>
      </c>
    </row>
    <row r="4" spans="1:9" ht="17" thickBot="1" x14ac:dyDescent="0.4">
      <c r="A4" s="220"/>
      <c r="B4" s="221" t="s">
        <v>110</v>
      </c>
      <c r="C4" s="222" t="s">
        <v>270</v>
      </c>
      <c r="D4" s="381">
        <f>('Premissas (GASIG)'!D32)/1000</f>
        <v>52.406475388523603</v>
      </c>
      <c r="E4" s="224" t="s">
        <v>111</v>
      </c>
      <c r="F4" s="220"/>
      <c r="G4" s="220"/>
      <c r="H4" s="235"/>
      <c r="I4" s="235"/>
    </row>
    <row r="5" spans="1:9" ht="15" thickBot="1" x14ac:dyDescent="0.4">
      <c r="A5" s="211"/>
      <c r="B5" s="255" t="s">
        <v>460</v>
      </c>
      <c r="C5" s="208"/>
      <c r="D5" s="382">
        <f ca="1">D6+D9</f>
        <v>51.714251085789684</v>
      </c>
      <c r="E5" s="224" t="s">
        <v>111</v>
      </c>
      <c r="F5" s="273" t="s">
        <v>465</v>
      </c>
      <c r="G5" s="211"/>
      <c r="H5" s="235"/>
      <c r="I5" s="235"/>
    </row>
    <row r="6" spans="1:9" ht="16.5" x14ac:dyDescent="0.35">
      <c r="A6" s="206">
        <f>HLOOKUP($G$3,'Premissas (GASIG)'!$B$5:$F$13,9,FALSE)</f>
        <v>0.7</v>
      </c>
      <c r="B6" s="207" t="s">
        <v>112</v>
      </c>
      <c r="C6" s="208" t="s">
        <v>271</v>
      </c>
      <c r="D6" s="382">
        <f ca="1">($A$6*$D$4)-(SUM($F$268:$F$271)/10^6)</f>
        <v>36.236517712211601</v>
      </c>
      <c r="E6" s="210" t="s">
        <v>113</v>
      </c>
      <c r="F6" s="273" t="s">
        <v>458</v>
      </c>
      <c r="G6" s="211"/>
      <c r="H6" s="235"/>
    </row>
    <row r="7" spans="1:9" ht="29" x14ac:dyDescent="0.35">
      <c r="A7" s="92"/>
      <c r="B7" s="212" t="s">
        <v>114</v>
      </c>
      <c r="C7" s="213" t="s">
        <v>272</v>
      </c>
      <c r="D7" s="383">
        <f>$D$35*'Premissas (GASIG)'!$F$20</f>
        <v>17936465</v>
      </c>
      <c r="E7" s="212" t="s">
        <v>115</v>
      </c>
      <c r="F7" s="230">
        <f>H35</f>
        <v>669069228.057235</v>
      </c>
      <c r="G7" s="82" t="s">
        <v>116</v>
      </c>
    </row>
    <row r="8" spans="1:9" ht="17" thickBot="1" x14ac:dyDescent="0.4">
      <c r="A8" s="215"/>
      <c r="B8" s="216" t="s">
        <v>117</v>
      </c>
      <c r="C8" s="217" t="s">
        <v>273</v>
      </c>
      <c r="D8" s="218">
        <f ca="1">$D$6/$D$7*1000</f>
        <v>2.0202708678779013E-3</v>
      </c>
      <c r="E8" s="219" t="s">
        <v>118</v>
      </c>
      <c r="F8" s="384">
        <f ca="1">$D$6/$F$7*1000000</f>
        <v>5.4159593944308221E-2</v>
      </c>
      <c r="G8" s="228" t="s">
        <v>15</v>
      </c>
      <c r="I8" s="235"/>
    </row>
    <row r="9" spans="1:9" ht="16.5" x14ac:dyDescent="0.35">
      <c r="A9" s="206">
        <f>1-A6</f>
        <v>0.30000000000000004</v>
      </c>
      <c r="B9" s="207" t="s">
        <v>119</v>
      </c>
      <c r="C9" s="208" t="s">
        <v>274</v>
      </c>
      <c r="D9" s="382">
        <f ca="1">($A$9*$D$4)-(SUM($F$272:$F$273)/10^6)</f>
        <v>15.477733373578085</v>
      </c>
      <c r="E9" s="210" t="s">
        <v>113</v>
      </c>
      <c r="F9" s="273" t="s">
        <v>459</v>
      </c>
      <c r="G9" s="229"/>
    </row>
    <row r="10" spans="1:9" ht="29" x14ac:dyDescent="0.35">
      <c r="B10" s="212" t="s">
        <v>120</v>
      </c>
      <c r="C10" s="213" t="s">
        <v>275</v>
      </c>
      <c r="D10" s="383">
        <f>$D$58*'Premissas (GASIG)'!$F$20</f>
        <v>15916555</v>
      </c>
      <c r="E10" s="212" t="s">
        <v>115</v>
      </c>
      <c r="F10" s="230">
        <f>H58</f>
        <v>593722183.67334497</v>
      </c>
      <c r="G10" s="82" t="s">
        <v>116</v>
      </c>
    </row>
    <row r="11" spans="1:9" ht="17" thickBot="1" x14ac:dyDescent="0.4">
      <c r="A11" s="225"/>
      <c r="B11" s="216" t="s">
        <v>121</v>
      </c>
      <c r="C11" s="217" t="s">
        <v>276</v>
      </c>
      <c r="D11" s="218">
        <f ca="1">$D$9/$D$10*1000</f>
        <v>9.724298614604785E-4</v>
      </c>
      <c r="E11" s="219" t="s">
        <v>118</v>
      </c>
      <c r="F11" s="384">
        <f ca="1">$D$9/$F$10*1000000</f>
        <v>2.6068982765335997E-2</v>
      </c>
      <c r="G11" s="228" t="s">
        <v>15</v>
      </c>
    </row>
    <row r="12" spans="1:9" ht="15" thickBot="1" x14ac:dyDescent="0.4">
      <c r="A12" s="220"/>
      <c r="B12" s="220" t="s">
        <v>122</v>
      </c>
      <c r="C12" s="226">
        <f>HLOOKUP($G$3,'Premissas (GASIG)'!$B$5:$F$8,4,FALSE)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(GASIG)'!C3</f>
        <v>20000</v>
      </c>
      <c r="D25" s="290">
        <f>'Oferta (GASIG)'!J3</f>
        <v>9427</v>
      </c>
      <c r="F25" s="104"/>
      <c r="G25" s="43">
        <f>IFERROR($C25*$H$20*'Premissas (GASIG)'!$F$20*1000," ")</f>
        <v>272305906.69999999</v>
      </c>
      <c r="H25" s="43">
        <f>IFERROR($D25*$H$20*'Premissas (GASIG)'!$F$20*1000," ")</f>
        <v>128351389.123045</v>
      </c>
      <c r="I25" s="93"/>
    </row>
    <row r="26" spans="1:9" x14ac:dyDescent="0.35">
      <c r="A26" s="2" t="s">
        <v>133</v>
      </c>
      <c r="B26" s="44" t="s">
        <v>26</v>
      </c>
      <c r="C26" s="290">
        <f>'Oferta (GASIG)'!C4</f>
        <v>20000</v>
      </c>
      <c r="D26" s="290">
        <f>'Oferta (GASIG)'!J4</f>
        <v>20000</v>
      </c>
      <c r="F26" s="104"/>
      <c r="G26" s="43">
        <f>IFERROR($C26*$H$20*'Premissas (GASIG)'!$F$20*1000," ")</f>
        <v>272305906.69999999</v>
      </c>
      <c r="H26" s="43">
        <f>IFERROR($D26*$H$20*'Premissas (GASIG)'!$F$20*1000," ")</f>
        <v>272305906.69999999</v>
      </c>
      <c r="I26" s="93"/>
    </row>
    <row r="27" spans="1:9" x14ac:dyDescent="0.35">
      <c r="A27" s="2" t="s">
        <v>134</v>
      </c>
      <c r="B27" s="44" t="s">
        <v>488</v>
      </c>
      <c r="C27" s="290">
        <f>'Oferta (GASIG)'!C5</f>
        <v>18200</v>
      </c>
      <c r="D27" s="290">
        <f>'Oferta (GASIG)'!J5</f>
        <v>13448</v>
      </c>
      <c r="E27" s="46"/>
      <c r="F27" s="104"/>
      <c r="G27" s="43">
        <f>IFERROR($C27*$H$20*'Premissas (GASIG)'!$F$20*1000," ")</f>
        <v>247798375.097</v>
      </c>
      <c r="H27" s="43">
        <f>IFERROR($D27*$H$20*'Premissas (GASIG)'!$F$20*1000," ")</f>
        <v>183098491.66507998</v>
      </c>
      <c r="I27" s="93"/>
    </row>
    <row r="28" spans="1:9" x14ac:dyDescent="0.35">
      <c r="A28" s="2" t="s">
        <v>135</v>
      </c>
      <c r="B28" s="44" t="s">
        <v>463</v>
      </c>
      <c r="C28" s="293"/>
      <c r="D28" s="293"/>
      <c r="E28" s="274" t="s">
        <v>461</v>
      </c>
      <c r="F28" s="104"/>
      <c r="G28" s="43">
        <f>IFERROR($C28*$H$20*'Premissas (GASIG)'!$F$20*1000," ")</f>
        <v>0</v>
      </c>
      <c r="H28" s="43">
        <f>IFERROR($D28*$H$20*'Premissas (GASIG)'!$F$20*1000," ")</f>
        <v>0</v>
      </c>
      <c r="I28" s="93"/>
    </row>
    <row r="29" spans="1:9" x14ac:dyDescent="0.35">
      <c r="A29" s="2" t="s">
        <v>136</v>
      </c>
      <c r="B29" s="44" t="s">
        <v>27</v>
      </c>
      <c r="C29" s="290">
        <f>'Oferta (GASIG)'!C7</f>
        <v>5000</v>
      </c>
      <c r="D29" s="290">
        <f>'Oferta (GASIG)'!J7</f>
        <v>0</v>
      </c>
      <c r="E29" s="46"/>
      <c r="F29" s="104"/>
      <c r="G29" s="43">
        <f>IFERROR($C29*$H$20*'Premissas (GASIG)'!$F$20*1000," ")</f>
        <v>68076476.674999997</v>
      </c>
      <c r="H29" s="43">
        <f>IFERROR($D29*$H$20*'Premissas (GASIG)'!$F$20*1000," ")</f>
        <v>0</v>
      </c>
      <c r="I29" s="93"/>
    </row>
    <row r="30" spans="1:9" x14ac:dyDescent="0.35">
      <c r="A30" s="2" t="s">
        <v>239</v>
      </c>
      <c r="B30" s="44" t="s">
        <v>29</v>
      </c>
      <c r="C30" s="290">
        <f>'Oferta (GASIG)'!C8</f>
        <v>2200</v>
      </c>
      <c r="D30" s="290">
        <f>'Oferta (GASIG)'!J8</f>
        <v>0</v>
      </c>
      <c r="E30" s="46"/>
      <c r="F30" s="104"/>
      <c r="G30" s="43">
        <f>IFERROR($C30*$H$20*'Premissas (GASIG)'!$F$20*1000," ")</f>
        <v>29953649.736999996</v>
      </c>
      <c r="H30" s="43">
        <f>IFERROR($D30*$H$20*'Premissas (GASIG)'!$F$20*1000," ")</f>
        <v>0</v>
      </c>
      <c r="I30" s="93"/>
    </row>
    <row r="31" spans="1:9" x14ac:dyDescent="0.35">
      <c r="A31" s="2" t="s">
        <v>137</v>
      </c>
      <c r="B31" s="44" t="s">
        <v>24</v>
      </c>
      <c r="C31" s="290">
        <f>'Oferta (GASIG)'!C9</f>
        <v>25160</v>
      </c>
      <c r="D31" s="290">
        <f>'Oferta (GASIG)'!J9</f>
        <v>6266</v>
      </c>
      <c r="E31" s="46"/>
      <c r="F31" s="104"/>
      <c r="G31" s="43">
        <f>IFERROR($C31*$H$20*'Premissas (GASIG)'!$F$20*1000," ")</f>
        <v>342560830.6286</v>
      </c>
      <c r="H31" s="43">
        <f>IFERROR($D31*$H$20*'Premissas (GASIG)'!$F$20*1000," ")</f>
        <v>85313440.569109991</v>
      </c>
      <c r="I31" s="93"/>
    </row>
    <row r="32" spans="1:9" x14ac:dyDescent="0.35">
      <c r="A32" s="2" t="s">
        <v>240</v>
      </c>
      <c r="B32" s="44" t="s">
        <v>264</v>
      </c>
      <c r="C32" s="249"/>
      <c r="D32" s="249"/>
      <c r="E32" s="274" t="s">
        <v>461</v>
      </c>
      <c r="F32" s="104"/>
      <c r="G32" s="43">
        <f>IFERROR($C32*$H$20*'Premissas (GASIG)'!$F$20*1000," ")</f>
        <v>0</v>
      </c>
      <c r="H32" s="43">
        <f>IFERROR($D32*$H$20*'Premissas (GASIG)'!$F$20*1000," ")</f>
        <v>0</v>
      </c>
      <c r="I32" s="93"/>
    </row>
    <row r="33" spans="1:10" x14ac:dyDescent="0.35">
      <c r="A33" s="2" t="s">
        <v>138</v>
      </c>
      <c r="B33" s="44" t="s">
        <v>266</v>
      </c>
      <c r="C33" s="249"/>
      <c r="D33" s="249"/>
      <c r="E33" s="274" t="s">
        <v>461</v>
      </c>
      <c r="F33" s="104"/>
      <c r="G33" s="43">
        <f>IFERROR($C33*$H$20*'Premissas (GASIG)'!$F$20*1000," ")</f>
        <v>0</v>
      </c>
      <c r="H33" s="43">
        <f>IFERROR($D33*$H$20*'Premissas (GASIG)'!$F$20*1000," ")</f>
        <v>0</v>
      </c>
      <c r="I33" s="93"/>
    </row>
    <row r="34" spans="1:10" x14ac:dyDescent="0.35">
      <c r="A34" s="2" t="s">
        <v>139</v>
      </c>
      <c r="B34" s="44" t="s">
        <v>265</v>
      </c>
      <c r="C34" s="249"/>
      <c r="D34" s="249"/>
      <c r="E34" s="274" t="s">
        <v>461</v>
      </c>
      <c r="F34" s="104"/>
      <c r="G34" s="43">
        <f>IFERROR($C34*$H$20*'Premissas (GASIG)'!$F$20*1000," ")</f>
        <v>0</v>
      </c>
      <c r="H34" s="43">
        <f>IFERROR($D34*$H$20*'Premissas (GASIG)'!$F$20*1000," ")</f>
        <v>0</v>
      </c>
      <c r="I34" s="93"/>
    </row>
    <row r="35" spans="1:10" x14ac:dyDescent="0.35">
      <c r="C35" s="105">
        <f>SUM(C25:C34)</f>
        <v>90560</v>
      </c>
      <c r="D35" s="105">
        <f>SUM(D25:D34)</f>
        <v>49141</v>
      </c>
      <c r="E35" s="105"/>
      <c r="F35" s="104"/>
      <c r="G35" s="105">
        <f>SUM(G25:G34)</f>
        <v>1233001145.5376</v>
      </c>
      <c r="H35" s="105">
        <f>SUM(H25:H34)</f>
        <v>669069228.057235</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(GASIG)'!C3</f>
        <v>864.5</v>
      </c>
      <c r="D42" s="290">
        <f>'Demanda (GASIG)'!J3</f>
        <v>633</v>
      </c>
      <c r="G42" s="43">
        <f>IFERROR($C42*$H$20*'Premissas (GASIG)'!$F$20*1000," ")</f>
        <v>11770422.817107499</v>
      </c>
      <c r="H42" s="43">
        <f>IFERROR($D42*$H$20*'Premissas (GASIG)'!$F$20*1000," ")</f>
        <v>8618481.9470549989</v>
      </c>
      <c r="I42" s="93"/>
    </row>
    <row r="43" spans="1:10" x14ac:dyDescent="0.35">
      <c r="A43" s="2" t="s">
        <v>42</v>
      </c>
      <c r="B43" s="44" t="s">
        <v>217</v>
      </c>
      <c r="C43" s="290">
        <f>'Demanda (GASIG)'!C4</f>
        <v>1825.9</v>
      </c>
      <c r="D43" s="290">
        <f>'Demanda (GASIG)'!J4</f>
        <v>1098</v>
      </c>
      <c r="E43" s="46"/>
      <c r="G43" s="43">
        <f>IFERROR($C43*$H$20*'Premissas (GASIG)'!$F$20*1000," ")</f>
        <v>24860167.752176501</v>
      </c>
      <c r="H43" s="43">
        <f>IFERROR($D43*$H$20*'Premissas (GASIG)'!$F$20*1000," ")</f>
        <v>14949594.277829999</v>
      </c>
      <c r="I43" s="93"/>
    </row>
    <row r="44" spans="1:10" x14ac:dyDescent="0.35">
      <c r="A44" s="2" t="s">
        <v>43</v>
      </c>
      <c r="B44" s="44" t="s">
        <v>218</v>
      </c>
      <c r="C44" s="290">
        <f>'Demanda (GASIG)'!C5</f>
        <v>3040.95</v>
      </c>
      <c r="D44" s="290">
        <f>'Demanda (GASIG)'!J5</f>
        <v>2852</v>
      </c>
      <c r="E44" s="46"/>
      <c r="G44" s="43">
        <f>IFERROR($C44*$H$20*'Premissas (GASIG)'!$F$20*1000," ")</f>
        <v>41403432.348968253</v>
      </c>
      <c r="H44" s="43">
        <f>IFERROR($D44*$H$20*'Premissas (GASIG)'!$F$20*1000," ")</f>
        <v>38830822.295419998</v>
      </c>
      <c r="I44" s="93"/>
    </row>
    <row r="45" spans="1:10" x14ac:dyDescent="0.35">
      <c r="A45" s="2" t="s">
        <v>44</v>
      </c>
      <c r="B45" s="44" t="s">
        <v>219</v>
      </c>
      <c r="C45" s="290">
        <f>'Demanda (GASIG)'!C6</f>
        <v>1187.5</v>
      </c>
      <c r="D45" s="290">
        <f>'Demanda (GASIG)'!J6</f>
        <v>305</v>
      </c>
      <c r="E45" s="46"/>
      <c r="G45" s="43">
        <f>IFERROR($C45*$H$20*'Premissas (GASIG)'!$F$20*1000," ")</f>
        <v>16168163.210312499</v>
      </c>
      <c r="H45" s="43">
        <f>IFERROR($D45*$H$20*'Premissas (GASIG)'!$F$20*1000," ")</f>
        <v>4152665.0771750002</v>
      </c>
      <c r="I45" s="93"/>
    </row>
    <row r="46" spans="1:10" x14ac:dyDescent="0.35">
      <c r="A46" s="2" t="s">
        <v>45</v>
      </c>
      <c r="B46" s="44" t="s">
        <v>220</v>
      </c>
      <c r="C46" s="290">
        <f>'Demanda (GASIG)'!C7</f>
        <v>21185</v>
      </c>
      <c r="D46" s="290">
        <f>'Demanda (GASIG)'!J7</f>
        <v>13624</v>
      </c>
      <c r="E46" s="46"/>
      <c r="G46" s="43">
        <f>IFERROR($C46*$H$20*'Premissas (GASIG)'!$F$20*1000," ")</f>
        <v>288440031.67197496</v>
      </c>
      <c r="H46" s="43">
        <f>IFERROR($D46*$H$20*'Premissas (GASIG)'!$F$20*1000," ")</f>
        <v>185494783.64403999</v>
      </c>
      <c r="I46" s="93"/>
    </row>
    <row r="47" spans="1:10" x14ac:dyDescent="0.35">
      <c r="A47" s="2" t="s">
        <v>46</v>
      </c>
      <c r="B47" s="44" t="s">
        <v>221</v>
      </c>
      <c r="C47" s="290">
        <f>'Demanda (GASIG)'!C8</f>
        <v>11271.75</v>
      </c>
      <c r="D47" s="290">
        <f>'Demanda (GASIG)'!J8</f>
        <v>8403</v>
      </c>
      <c r="E47" s="46"/>
      <c r="G47" s="43">
        <f>IFERROR($C47*$H$20*'Premissas (GASIG)'!$F$20*1000," ")</f>
        <v>153468205.19228625</v>
      </c>
      <c r="H47" s="43">
        <f>IFERROR($D47*$H$20*'Premissas (GASIG)'!$F$20*1000," ")</f>
        <v>114409326.70000499</v>
      </c>
      <c r="I47" s="93"/>
    </row>
    <row r="48" spans="1:10" x14ac:dyDescent="0.35">
      <c r="A48" s="2" t="s">
        <v>47</v>
      </c>
      <c r="B48" s="44" t="s">
        <v>222</v>
      </c>
      <c r="C48" s="290">
        <f>'Demanda (GASIG)'!C9</f>
        <v>3249</v>
      </c>
      <c r="D48" s="290">
        <f>'Demanda (GASIG)'!J9</f>
        <v>2173</v>
      </c>
      <c r="E48" s="46"/>
      <c r="G48" s="43">
        <f>IFERROR($C48*$H$20*'Premissas (GASIG)'!$F$20*1000," ")</f>
        <v>44236094.543414995</v>
      </c>
      <c r="H48" s="43">
        <f>IFERROR($D48*$H$20*'Premissas (GASIG)'!$F$20*1000," ")</f>
        <v>29586036.762954999</v>
      </c>
      <c r="I48" s="93"/>
    </row>
    <row r="49" spans="1:9" x14ac:dyDescent="0.35">
      <c r="A49" s="2" t="s">
        <v>48</v>
      </c>
      <c r="B49" s="44" t="s">
        <v>223</v>
      </c>
      <c r="C49" s="290">
        <f>'Demanda (GASIG)'!C10</f>
        <v>498.75</v>
      </c>
      <c r="D49" s="290">
        <f>'Demanda (GASIG)'!J10</f>
        <v>283</v>
      </c>
      <c r="E49" s="46"/>
      <c r="G49" s="43">
        <f>IFERROR($C49*$H$20*'Premissas (GASIG)'!$F$20*1000," ")</f>
        <v>6790628.5483312495</v>
      </c>
      <c r="H49" s="43">
        <f>IFERROR($D49*$H$20*'Premissas (GASIG)'!$F$20*1000," ")</f>
        <v>3853128.5798049998</v>
      </c>
      <c r="I49" s="93"/>
    </row>
    <row r="50" spans="1:9" x14ac:dyDescent="0.35">
      <c r="A50" s="2" t="s">
        <v>49</v>
      </c>
      <c r="B50" s="44" t="s">
        <v>224</v>
      </c>
      <c r="C50" s="290">
        <f>'Demanda (GASIG)'!C11</f>
        <v>3321.2</v>
      </c>
      <c r="D50" s="290">
        <f>'Demanda (GASIG)'!J11</f>
        <v>2116</v>
      </c>
      <c r="E50" s="46"/>
      <c r="G50" s="43">
        <f>IFERROR($C50*$H$20*'Premissas (GASIG)'!$F$20*1000," ")</f>
        <v>45219118.866601996</v>
      </c>
      <c r="H50" s="43">
        <f>IFERROR($D50*$H$20*'Premissas (GASIG)'!$F$20*1000," ")</f>
        <v>28809964.928859998</v>
      </c>
      <c r="I50" s="93"/>
    </row>
    <row r="51" spans="1:9" x14ac:dyDescent="0.35">
      <c r="A51" s="2" t="s">
        <v>50</v>
      </c>
      <c r="B51" s="44" t="s">
        <v>225</v>
      </c>
      <c r="C51" s="290">
        <f>'Demanda (GASIG)'!C12</f>
        <v>14292.75</v>
      </c>
      <c r="D51" s="290">
        <f>'Demanda (GASIG)'!J12</f>
        <v>1050</v>
      </c>
      <c r="E51" s="46"/>
      <c r="G51" s="43">
        <f>IFERROR($C51*$H$20*'Premissas (GASIG)'!$F$20*1000," ")</f>
        <v>194600012.39932126</v>
      </c>
      <c r="H51" s="43">
        <f>IFERROR($D51*$H$20*'Premissas (GASIG)'!$F$20*1000," ")</f>
        <v>14296060.101749998</v>
      </c>
      <c r="I51" s="93"/>
    </row>
    <row r="52" spans="1:9" x14ac:dyDescent="0.35">
      <c r="A52" s="2" t="s">
        <v>51</v>
      </c>
      <c r="B52" s="44" t="s">
        <v>226</v>
      </c>
      <c r="C52" s="290">
        <f>'Demanda (GASIG)'!C13</f>
        <v>3971</v>
      </c>
      <c r="D52" s="290">
        <f>'Demanda (GASIG)'!J13</f>
        <v>3003</v>
      </c>
      <c r="E52" s="46"/>
      <c r="G52" s="43">
        <f>IFERROR($C52*$H$20*'Premissas (GASIG)'!$F$20*1000," ")</f>
        <v>54066337.775284998</v>
      </c>
      <c r="H52" s="43">
        <f>IFERROR($D52*$H$20*'Premissas (GASIG)'!$F$20*1000," ")</f>
        <v>40886731.891005002</v>
      </c>
      <c r="I52" s="93"/>
    </row>
    <row r="53" spans="1:9" x14ac:dyDescent="0.35">
      <c r="A53" s="2" t="s">
        <v>52</v>
      </c>
      <c r="B53" s="44" t="s">
        <v>227</v>
      </c>
      <c r="C53" s="290">
        <f>'Demanda (GASIG)'!C14</f>
        <v>9941.75</v>
      </c>
      <c r="D53" s="290">
        <f>'Demanda (GASIG)'!J14</f>
        <v>5584</v>
      </c>
      <c r="E53" s="46"/>
      <c r="G53" s="43">
        <f>IFERROR($C53*$H$20*'Premissas (GASIG)'!$F$20*1000," ")</f>
        <v>135359862.39673626</v>
      </c>
      <c r="H53" s="43">
        <f>IFERROR($D53*$H$20*'Premissas (GASIG)'!$F$20*1000," ")</f>
        <v>76027809.150639996</v>
      </c>
      <c r="I53" s="93"/>
    </row>
    <row r="54" spans="1:9" x14ac:dyDescent="0.35">
      <c r="A54" s="2" t="s">
        <v>53</v>
      </c>
      <c r="B54" s="44" t="s">
        <v>228</v>
      </c>
      <c r="C54" s="290">
        <f>'Demanda (GASIG)'!C15</f>
        <v>3809.5</v>
      </c>
      <c r="D54" s="290">
        <f>'Demanda (GASIG)'!J15</f>
        <v>2483</v>
      </c>
      <c r="E54" s="46"/>
      <c r="G54" s="43">
        <f>IFERROR($C54*$H$20*'Premissas (GASIG)'!$F$20*1000," ")</f>
        <v>51867467.578682497</v>
      </c>
      <c r="H54" s="43">
        <f>IFERROR($D54*$H$20*'Premissas (GASIG)'!$F$20*1000," ")</f>
        <v>33806778.316804998</v>
      </c>
      <c r="I54" s="93"/>
    </row>
    <row r="55" spans="1:9" x14ac:dyDescent="0.35">
      <c r="A55" s="2" t="s">
        <v>54</v>
      </c>
      <c r="B55" s="44" t="s">
        <v>269</v>
      </c>
      <c r="C55" s="249"/>
      <c r="D55" s="249"/>
      <c r="E55" s="274" t="s">
        <v>461</v>
      </c>
      <c r="G55" s="43">
        <f>IFERROR($C55*$H$20*'Premissas (GASIG)'!$F$20*1000," ")</f>
        <v>0</v>
      </c>
      <c r="H55" s="43">
        <f>IFERROR($D55*$H$20*'Premissas (GASIG)'!$F$20*1000," ")</f>
        <v>0</v>
      </c>
      <c r="I55" s="93"/>
    </row>
    <row r="56" spans="1:9" x14ac:dyDescent="0.35">
      <c r="A56" s="2" t="s">
        <v>55</v>
      </c>
      <c r="B56" s="44" t="s">
        <v>268</v>
      </c>
      <c r="C56" s="249"/>
      <c r="D56" s="249"/>
      <c r="E56" s="274" t="s">
        <v>461</v>
      </c>
      <c r="G56" s="43">
        <f>IFERROR($C56*$H$20*'Premissas (GASIG)'!$F$20*1000," ")</f>
        <v>0</v>
      </c>
      <c r="H56" s="43">
        <f>IFERROR($D56*$H$20*'Premissas (GASIG)'!$F$20*1000," ")</f>
        <v>0</v>
      </c>
      <c r="I56" s="93"/>
    </row>
    <row r="57" spans="1:9" x14ac:dyDescent="0.35">
      <c r="A57" s="2" t="s">
        <v>56</v>
      </c>
      <c r="B57" s="44" t="s">
        <v>267</v>
      </c>
      <c r="C57" s="249"/>
      <c r="D57" s="249"/>
      <c r="E57" s="274" t="s">
        <v>461</v>
      </c>
      <c r="G57" s="43">
        <f>IFERROR($C57*$H$20*'Premissas (GASIG)'!$F$20*1000," ")</f>
        <v>0</v>
      </c>
      <c r="H57" s="43">
        <f>IFERROR($D57*$H$20*'Premissas (GASIG)'!$F$20*1000," ")</f>
        <v>0</v>
      </c>
      <c r="I57" s="93"/>
    </row>
    <row r="58" spans="1:9" x14ac:dyDescent="0.35">
      <c r="C58" s="105">
        <f>SUM(C42:C57)</f>
        <v>78459.549999999988</v>
      </c>
      <c r="D58" s="105">
        <f>SUM(D42:D57)</f>
        <v>43607</v>
      </c>
      <c r="E58" s="105"/>
      <c r="G58" s="105">
        <f>SUM(G42:G57)</f>
        <v>1068249945.1011992</v>
      </c>
      <c r="H58" s="105">
        <f>SUM(H42:H57)</f>
        <v>593722183.67334497</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0.19183573797847012</v>
      </c>
      <c r="C100" s="9"/>
      <c r="D100" t="s">
        <v>304</v>
      </c>
      <c r="E100" s="110">
        <f>H42/$H$58</f>
        <v>1.4516018070493268E-2</v>
      </c>
      <c r="G100" s="109" t="s">
        <v>148</v>
      </c>
      <c r="H100" s="111">
        <f>H25/$H$35</f>
        <v>0.19183573797847012</v>
      </c>
      <c r="I100" s="111">
        <f>H26/$H$35</f>
        <v>0.40699212470238699</v>
      </c>
      <c r="J100" s="111">
        <f>$H27/$H$35</f>
        <v>0.27366150464988498</v>
      </c>
      <c r="K100" s="111">
        <f>$H28/$H$35</f>
        <v>0</v>
      </c>
      <c r="L100" s="111">
        <f>$H29/$H$35</f>
        <v>0</v>
      </c>
      <c r="M100" s="111">
        <f>$H30/$H$35</f>
        <v>0</v>
      </c>
      <c r="N100" s="111">
        <f>$H31/$H$35</f>
        <v>0.12751063266925783</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0.40699212470238699</v>
      </c>
      <c r="C101" s="4"/>
      <c r="D101" t="s">
        <v>305</v>
      </c>
      <c r="E101" s="110">
        <f t="shared" ref="E101:E115" si="2">H43/$H$58</f>
        <v>2.517944366730112E-2</v>
      </c>
      <c r="W101" s="113"/>
    </row>
    <row r="102" spans="1:27" ht="16.5" x14ac:dyDescent="0.45">
      <c r="A102" t="s">
        <v>296</v>
      </c>
      <c r="B102" s="110">
        <f t="shared" si="1"/>
        <v>0.27366150464988498</v>
      </c>
      <c r="C102" s="4"/>
      <c r="D102" t="s">
        <v>306</v>
      </c>
      <c r="E102" s="110">
        <f t="shared" si="2"/>
        <v>6.5402343660421497E-2</v>
      </c>
      <c r="G102" s="110"/>
      <c r="H102" s="112"/>
      <c r="I102" s="112"/>
    </row>
    <row r="103" spans="1:27" ht="16.5" x14ac:dyDescent="0.45">
      <c r="A103" t="s">
        <v>297</v>
      </c>
      <c r="B103" s="110">
        <f t="shared" si="1"/>
        <v>0</v>
      </c>
      <c r="C103" s="4"/>
      <c r="D103" t="s">
        <v>307</v>
      </c>
      <c r="E103" s="110">
        <f t="shared" si="2"/>
        <v>6.9942899075836453E-3</v>
      </c>
      <c r="G103" s="110"/>
      <c r="H103" s="112"/>
      <c r="I103" s="112"/>
    </row>
    <row r="104" spans="1:27" ht="16.5" x14ac:dyDescent="0.45">
      <c r="A104" t="s">
        <v>298</v>
      </c>
      <c r="B104" s="110">
        <f t="shared" si="1"/>
        <v>0</v>
      </c>
      <c r="C104" s="4"/>
      <c r="D104" t="s">
        <v>308</v>
      </c>
      <c r="E104" s="110">
        <f t="shared" si="2"/>
        <v>0.31242690393744121</v>
      </c>
      <c r="G104" s="110"/>
      <c r="H104" s="112"/>
      <c r="I104" s="112"/>
    </row>
    <row r="105" spans="1:27" ht="16.5" x14ac:dyDescent="0.45">
      <c r="A105" t="s">
        <v>299</v>
      </c>
      <c r="B105" s="110">
        <f t="shared" si="1"/>
        <v>0</v>
      </c>
      <c r="C105" s="4"/>
      <c r="D105" t="s">
        <v>309</v>
      </c>
      <c r="E105" s="110">
        <f t="shared" si="2"/>
        <v>0.19269841997844384</v>
      </c>
      <c r="G105" s="110"/>
      <c r="H105" s="112"/>
      <c r="I105" s="112"/>
    </row>
    <row r="106" spans="1:27" ht="16.5" x14ac:dyDescent="0.45">
      <c r="A106" t="s">
        <v>300</v>
      </c>
      <c r="B106" s="110">
        <f t="shared" si="1"/>
        <v>0.12751063266925783</v>
      </c>
      <c r="C106" s="4"/>
      <c r="D106" t="s">
        <v>310</v>
      </c>
      <c r="E106" s="110">
        <f t="shared" si="2"/>
        <v>4.9831449079276266E-2</v>
      </c>
      <c r="G106" s="110"/>
      <c r="H106" s="112"/>
      <c r="I106" s="112"/>
    </row>
    <row r="107" spans="1:27" ht="16.5" x14ac:dyDescent="0.45">
      <c r="A107" t="s">
        <v>301</v>
      </c>
      <c r="B107" s="110">
        <f t="shared" si="1"/>
        <v>0</v>
      </c>
      <c r="C107" s="4"/>
      <c r="D107" t="s">
        <v>311</v>
      </c>
      <c r="E107" s="110">
        <f t="shared" si="2"/>
        <v>6.4897837503153167E-3</v>
      </c>
      <c r="G107" s="110"/>
      <c r="H107" s="112"/>
      <c r="I107" s="112"/>
    </row>
    <row r="108" spans="1:27" ht="16.5" x14ac:dyDescent="0.45">
      <c r="A108" t="s">
        <v>302</v>
      </c>
      <c r="B108" s="110">
        <f t="shared" si="1"/>
        <v>0</v>
      </c>
      <c r="C108" s="4"/>
      <c r="D108" t="s">
        <v>312</v>
      </c>
      <c r="E108" s="110">
        <f t="shared" si="2"/>
        <v>4.8524319489990135E-2</v>
      </c>
      <c r="G108" s="110"/>
      <c r="H108" s="112"/>
      <c r="I108" s="112"/>
    </row>
    <row r="109" spans="1:27" ht="16.5" x14ac:dyDescent="0.45">
      <c r="A109" t="s">
        <v>303</v>
      </c>
      <c r="B109" s="110">
        <f t="shared" si="1"/>
        <v>0</v>
      </c>
      <c r="D109" t="s">
        <v>313</v>
      </c>
      <c r="E109" s="110">
        <f t="shared" si="2"/>
        <v>2.4078702960533858E-2</v>
      </c>
      <c r="G109" s="110"/>
    </row>
    <row r="110" spans="1:27" ht="16.5" x14ac:dyDescent="0.45">
      <c r="B110" s="110">
        <f>SUM(B100:B109)</f>
        <v>1</v>
      </c>
      <c r="D110" t="s">
        <v>314</v>
      </c>
      <c r="E110" s="110">
        <f t="shared" si="2"/>
        <v>6.8865090467126841E-2</v>
      </c>
      <c r="G110" s="110"/>
    </row>
    <row r="111" spans="1:27" ht="16.5" x14ac:dyDescent="0.45">
      <c r="B111" s="112"/>
      <c r="D111" t="s">
        <v>315</v>
      </c>
      <c r="E111" s="110">
        <f t="shared" si="2"/>
        <v>0.12805283555392483</v>
      </c>
      <c r="G111" s="110"/>
    </row>
    <row r="112" spans="1:27" ht="16.5" x14ac:dyDescent="0.45">
      <c r="B112" s="112"/>
      <c r="D112" t="s">
        <v>316</v>
      </c>
      <c r="E112" s="110">
        <f t="shared" si="2"/>
        <v>5.6940399477148164E-2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0.99999999999999989</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358.22292237484805</v>
      </c>
      <c r="C131" s="114"/>
      <c r="D131" t="s">
        <v>325</v>
      </c>
      <c r="E131" s="4">
        <f ca="1">SUMPRODUCT($H$100:$Q$100,$C68:$L68)</f>
        <v>325.88943273437656</v>
      </c>
    </row>
    <row r="132" spans="1:5" ht="16.5" x14ac:dyDescent="0.45">
      <c r="A132" t="s">
        <v>326</v>
      </c>
      <c r="B132" s="110">
        <f ca="1">SUMPRODUCT($E$100:$E$115,D$68:D$83)</f>
        <v>196.22408034795637</v>
      </c>
      <c r="C132" s="114"/>
      <c r="D132" t="s">
        <v>327</v>
      </c>
      <c r="E132" s="4">
        <f t="shared" ref="E132:E146" ca="1" si="3">SUMPRODUCT($H$100:$Q$100,$C69:$L69)</f>
        <v>423.05343273437654</v>
      </c>
    </row>
    <row r="133" spans="1:5" ht="16.5" x14ac:dyDescent="0.45">
      <c r="A133" t="s">
        <v>328</v>
      </c>
      <c r="B133" s="110">
        <f ca="1">SUMPRODUCT($E$100:$E$115,E$68:E$83)</f>
        <v>231.96050044564714</v>
      </c>
      <c r="C133" s="114"/>
      <c r="D133" t="s">
        <v>329</v>
      </c>
      <c r="E133" s="4">
        <f t="shared" ca="1" si="3"/>
        <v>540.21863273437646</v>
      </c>
    </row>
    <row r="134" spans="1:5" ht="16.5" x14ac:dyDescent="0.45">
      <c r="A134" t="s">
        <v>330</v>
      </c>
      <c r="B134" s="110">
        <f ca="1">SUMPRODUCT($E$100:$E$115,F$68:F$83)</f>
        <v>472.8469617997111</v>
      </c>
      <c r="C134" s="114"/>
      <c r="D134" t="s">
        <v>331</v>
      </c>
      <c r="E134" s="4">
        <f t="shared" ca="1" si="3"/>
        <v>594.03012610650978</v>
      </c>
    </row>
    <row r="135" spans="1:5" ht="16.5" x14ac:dyDescent="0.45">
      <c r="A135" t="s">
        <v>332</v>
      </c>
      <c r="B135" s="110">
        <f ca="1">SUMPRODUCT($E$100:$E$115,G$68:G$83)</f>
        <v>182.58998516140375</v>
      </c>
      <c r="C135" s="114"/>
      <c r="D135" t="s">
        <v>333</v>
      </c>
      <c r="E135" s="4">
        <f t="shared" ca="1" si="3"/>
        <v>150.37183058952809</v>
      </c>
    </row>
    <row r="136" spans="1:5" ht="16.5" x14ac:dyDescent="0.45">
      <c r="A136" t="s">
        <v>334</v>
      </c>
      <c r="B136" s="110">
        <f ca="1">SUMPRODUCT($E$100:$E$115,H$68:H$83)</f>
        <v>387.1539239082411</v>
      </c>
      <c r="C136" s="114"/>
      <c r="D136" t="s">
        <v>335</v>
      </c>
      <c r="E136" s="4">
        <f t="shared" ca="1" si="3"/>
        <v>141.44940727701916</v>
      </c>
    </row>
    <row r="137" spans="1:5" ht="16.5" x14ac:dyDescent="0.45">
      <c r="A137" t="s">
        <v>336</v>
      </c>
      <c r="B137" s="110">
        <f ca="1">SUMPRODUCT($E$100:$E$115,I$68:I$83)</f>
        <v>336.06213963201623</v>
      </c>
      <c r="D137" t="s">
        <v>337</v>
      </c>
      <c r="E137" s="4">
        <f t="shared" ca="1" si="3"/>
        <v>170.4750636901976</v>
      </c>
    </row>
    <row r="138" spans="1:5" ht="16.5" x14ac:dyDescent="0.45">
      <c r="A138" t="s">
        <v>338</v>
      </c>
      <c r="B138" s="110">
        <f ca="1">SUMPRODUCT($E$100:$E$115,J$68:J$83)</f>
        <v>309.83311302466728</v>
      </c>
      <c r="D138" t="s">
        <v>339</v>
      </c>
      <c r="E138" s="4">
        <f t="shared" ca="1" si="3"/>
        <v>208.28901107018578</v>
      </c>
    </row>
    <row r="139" spans="1:5" ht="16.5" x14ac:dyDescent="0.45">
      <c r="A139" t="s">
        <v>340</v>
      </c>
      <c r="B139" s="110">
        <f ca="1">SUMPRODUCT($E$100:$E$115,K$68:K$83)</f>
        <v>472.8469617997111</v>
      </c>
      <c r="D139" t="s">
        <v>341</v>
      </c>
      <c r="E139" s="4">
        <f t="shared" ca="1" si="3"/>
        <v>142.49052930343296</v>
      </c>
    </row>
    <row r="140" spans="1:5" ht="16.5" x14ac:dyDescent="0.45">
      <c r="A140" t="s">
        <v>342</v>
      </c>
      <c r="B140" s="110">
        <f ca="1">SUMPRODUCT($E$100:$E$115,L$68:L$83)</f>
        <v>336.06213963201623</v>
      </c>
      <c r="D140" t="s">
        <v>343</v>
      </c>
      <c r="E140" s="4">
        <f t="shared" ca="1" si="3"/>
        <v>319.58322378801131</v>
      </c>
    </row>
    <row r="141" spans="1:5" ht="16.5" x14ac:dyDescent="0.45">
      <c r="B141" s="110"/>
      <c r="D141" t="s">
        <v>344</v>
      </c>
      <c r="E141" s="4">
        <f t="shared" ca="1" si="3"/>
        <v>309.14421061842449</v>
      </c>
    </row>
    <row r="142" spans="1:5" ht="16.5" x14ac:dyDescent="0.45">
      <c r="B142" s="110"/>
      <c r="D142" t="s">
        <v>345</v>
      </c>
      <c r="E142" s="4">
        <f t="shared" ca="1" si="3"/>
        <v>421.87467573716447</v>
      </c>
    </row>
    <row r="143" spans="1:5" ht="16.5" x14ac:dyDescent="0.45">
      <c r="B143" s="110"/>
      <c r="D143" t="s">
        <v>346</v>
      </c>
      <c r="E143" s="4">
        <f t="shared" ca="1" si="3"/>
        <v>457.27758319936504</v>
      </c>
    </row>
    <row r="144" spans="1:5" ht="16.5" x14ac:dyDescent="0.45">
      <c r="B144" s="110"/>
      <c r="D144" t="s">
        <v>347</v>
      </c>
      <c r="E144" s="4">
        <f t="shared" si="3"/>
        <v>351.94058319936505</v>
      </c>
    </row>
    <row r="145" spans="1:5" ht="16.5" x14ac:dyDescent="0.45">
      <c r="B145" s="110"/>
      <c r="D145" t="s">
        <v>348</v>
      </c>
      <c r="E145" s="4">
        <f t="shared" si="3"/>
        <v>500.26412610650982</v>
      </c>
    </row>
    <row r="146" spans="1:5" ht="16.5" x14ac:dyDescent="0.45">
      <c r="B146" s="110"/>
      <c r="D146" t="s">
        <v>349</v>
      </c>
      <c r="E146" s="4">
        <f t="shared" si="3"/>
        <v>226.39588708003498</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0.26958331019732384</v>
      </c>
      <c r="C163" s="36"/>
      <c r="D163" t="s">
        <v>355</v>
      </c>
      <c r="E163" s="115">
        <f t="shared" ref="E163:E178" ca="1" si="4">($H42*$E131)/SUMPRODUCT($H$42:$H$57,$E$131:$E$146)</f>
        <v>1.8557859846053806E-2</v>
      </c>
    </row>
    <row r="164" spans="1:9" ht="16.5" x14ac:dyDescent="0.45">
      <c r="A164" t="s">
        <v>356</v>
      </c>
      <c r="B164" s="115">
        <f t="shared" ref="B164:B172" ca="1" si="5">($H26*$B132)/SUMPRODUCT($H$25:$H$34,$B$131:$B$140)</f>
        <v>0.31329136149146397</v>
      </c>
      <c r="C164" s="4"/>
      <c r="D164" t="s">
        <v>357</v>
      </c>
      <c r="E164" s="115">
        <f t="shared" ca="1" si="4"/>
        <v>4.1787988415706315E-2</v>
      </c>
    </row>
    <row r="165" spans="1:9" ht="16.5" x14ac:dyDescent="0.45">
      <c r="A165" t="s">
        <v>358</v>
      </c>
      <c r="B165" s="115">
        <f t="shared" ca="1" si="5"/>
        <v>0.24902208185477839</v>
      </c>
      <c r="C165" s="4"/>
      <c r="D165" t="s">
        <v>359</v>
      </c>
      <c r="E165" s="115">
        <f t="shared" ca="1" si="4"/>
        <v>0.1386031124269817</v>
      </c>
      <c r="H165" s="116"/>
      <c r="I165" s="116"/>
    </row>
    <row r="166" spans="1:9" ht="16.5" x14ac:dyDescent="0.45">
      <c r="A166" t="s">
        <v>360</v>
      </c>
      <c r="B166" s="115">
        <f t="shared" ca="1" si="5"/>
        <v>0</v>
      </c>
      <c r="C166" s="4"/>
      <c r="D166" t="s">
        <v>361</v>
      </c>
      <c r="E166" s="115">
        <f t="shared" ca="1" si="4"/>
        <v>1.6299047004716505E-2</v>
      </c>
    </row>
    <row r="167" spans="1:9" ht="16.5" x14ac:dyDescent="0.45">
      <c r="A167" t="s">
        <v>362</v>
      </c>
      <c r="B167" s="115">
        <f t="shared" ca="1" si="5"/>
        <v>0</v>
      </c>
      <c r="C167" s="4"/>
      <c r="D167" t="s">
        <v>363</v>
      </c>
      <c r="E167" s="115">
        <f t="shared" ca="1" si="4"/>
        <v>0.18429986788059413</v>
      </c>
    </row>
    <row r="168" spans="1:9" ht="16.5" x14ac:dyDescent="0.45">
      <c r="A168" t="s">
        <v>364</v>
      </c>
      <c r="B168" s="115">
        <f t="shared" ca="1" si="5"/>
        <v>0</v>
      </c>
      <c r="C168" s="4"/>
      <c r="D168" t="s">
        <v>365</v>
      </c>
      <c r="E168" s="115">
        <f t="shared" ca="1" si="4"/>
        <v>0.10692749622732574</v>
      </c>
    </row>
    <row r="169" spans="1:9" ht="16.5" x14ac:dyDescent="0.45">
      <c r="A169" t="s">
        <v>366</v>
      </c>
      <c r="B169" s="115">
        <f t="shared" ca="1" si="5"/>
        <v>0.1681032464564339</v>
      </c>
      <c r="C169" s="4"/>
      <c r="D169" t="s">
        <v>367</v>
      </c>
      <c r="E169" s="115">
        <f t="shared" ca="1" si="4"/>
        <v>3.3325332395299577E-2</v>
      </c>
    </row>
    <row r="170" spans="1:9" ht="16.5" x14ac:dyDescent="0.45">
      <c r="A170" t="s">
        <v>368</v>
      </c>
      <c r="B170" s="115">
        <f t="shared" ca="1" si="5"/>
        <v>0</v>
      </c>
      <c r="C170" s="4"/>
      <c r="D170" t="s">
        <v>369</v>
      </c>
      <c r="E170" s="115">
        <f t="shared" ca="1" si="4"/>
        <v>5.3028176815385951E-3</v>
      </c>
    </row>
    <row r="171" spans="1:9" ht="16.5" x14ac:dyDescent="0.45">
      <c r="A171" t="s">
        <v>370</v>
      </c>
      <c r="B171" s="115">
        <f t="shared" ca="1" si="5"/>
        <v>0</v>
      </c>
      <c r="D171" t="s">
        <v>371</v>
      </c>
      <c r="E171" s="115">
        <f t="shared" ca="1" si="4"/>
        <v>2.712411426628385E-2</v>
      </c>
    </row>
    <row r="172" spans="1:9" ht="16.5" x14ac:dyDescent="0.45">
      <c r="A172" t="s">
        <v>372</v>
      </c>
      <c r="B172" s="115">
        <f t="shared" ca="1" si="5"/>
        <v>0</v>
      </c>
      <c r="D172" t="s">
        <v>373</v>
      </c>
      <c r="E172" s="115">
        <f t="shared" ca="1" si="4"/>
        <v>3.0187501843756636E-2</v>
      </c>
    </row>
    <row r="173" spans="1:9" ht="16.5" x14ac:dyDescent="0.45">
      <c r="B173" s="233">
        <f ca="1">SUM(B163:B172)</f>
        <v>1</v>
      </c>
      <c r="D173" t="s">
        <v>374</v>
      </c>
      <c r="E173" s="115">
        <f t="shared" ca="1" si="4"/>
        <v>8.3516128186601452E-2</v>
      </c>
    </row>
    <row r="174" spans="1:9" ht="16.5" x14ac:dyDescent="0.45">
      <c r="B174" s="115"/>
      <c r="D174" t="s">
        <v>375</v>
      </c>
      <c r="E174" s="115">
        <f t="shared" ca="1" si="4"/>
        <v>0.21192528123555909</v>
      </c>
    </row>
    <row r="175" spans="1:9" ht="16.5" x14ac:dyDescent="0.45">
      <c r="B175" s="115"/>
      <c r="D175" t="s">
        <v>376</v>
      </c>
      <c r="E175" s="115">
        <f t="shared" ca="1" si="4"/>
        <v>0.10214345258958267</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9.7687603948819604</v>
      </c>
      <c r="C194" s="47"/>
      <c r="D194" t="s">
        <v>383</v>
      </c>
      <c r="E194" s="6">
        <f t="shared" ref="E194:E209" ca="1" si="7">$E163*$D$9</f>
        <v>0.28723360668145165</v>
      </c>
    </row>
    <row r="195" spans="1:5" ht="16.5" x14ac:dyDescent="0.45">
      <c r="A195" t="s">
        <v>384</v>
      </c>
      <c r="B195" s="7">
        <f t="shared" ca="1" si="6"/>
        <v>11.352587969768322</v>
      </c>
      <c r="D195" t="s">
        <v>385</v>
      </c>
      <c r="E195" s="6">
        <f t="shared" ca="1" si="7"/>
        <v>0.64678334291647199</v>
      </c>
    </row>
    <row r="196" spans="1:5" ht="16.5" x14ac:dyDescent="0.45">
      <c r="A196" t="s">
        <v>386</v>
      </c>
      <c r="B196" s="7">
        <f t="shared" ca="1" si="6"/>
        <v>9.0236930798624844</v>
      </c>
      <c r="D196" t="s">
        <v>387</v>
      </c>
      <c r="E196" s="6">
        <f t="shared" ca="1" si="7"/>
        <v>2.1452620188928901</v>
      </c>
    </row>
    <row r="197" spans="1:5" ht="16.5" x14ac:dyDescent="0.45">
      <c r="A197" t="s">
        <v>388</v>
      </c>
      <c r="B197" s="7">
        <f t="shared" ca="1" si="6"/>
        <v>0</v>
      </c>
      <c r="D197" t="s">
        <v>389</v>
      </c>
      <c r="E197" s="6">
        <f t="shared" ca="1" si="7"/>
        <v>0.25227230378241855</v>
      </c>
    </row>
    <row r="198" spans="1:5" ht="16.5" x14ac:dyDescent="0.45">
      <c r="A198" t="s">
        <v>390</v>
      </c>
      <c r="B198" s="7">
        <f t="shared" ca="1" si="6"/>
        <v>0</v>
      </c>
      <c r="D198" t="s">
        <v>391</v>
      </c>
      <c r="E198" s="6">
        <f t="shared" ca="1" si="7"/>
        <v>2.8525442158415033</v>
      </c>
    </row>
    <row r="199" spans="1:5" ht="16.5" x14ac:dyDescent="0.45">
      <c r="A199" t="s">
        <v>392</v>
      </c>
      <c r="B199" s="7">
        <f t="shared" ca="1" si="6"/>
        <v>0</v>
      </c>
      <c r="D199" t="s">
        <v>393</v>
      </c>
      <c r="E199" s="6">
        <f t="shared" ca="1" si="7"/>
        <v>1.6549952769108243</v>
      </c>
    </row>
    <row r="200" spans="1:5" ht="16.5" x14ac:dyDescent="0.45">
      <c r="A200" t="s">
        <v>394</v>
      </c>
      <c r="B200" s="7">
        <f t="shared" ca="1" si="6"/>
        <v>6.0914762676988392</v>
      </c>
      <c r="D200" t="s">
        <v>395</v>
      </c>
      <c r="E200" s="6">
        <f t="shared" ca="1" si="7"/>
        <v>0.51580060940031114</v>
      </c>
    </row>
    <row r="201" spans="1:5" ht="16.5" x14ac:dyDescent="0.45">
      <c r="A201" t="s">
        <v>396</v>
      </c>
      <c r="B201" s="7">
        <f t="shared" ca="1" si="6"/>
        <v>0</v>
      </c>
      <c r="D201" t="s">
        <v>397</v>
      </c>
      <c r="E201" s="6">
        <f t="shared" ca="1" si="7"/>
        <v>8.2075598203549871E-2</v>
      </c>
    </row>
    <row r="202" spans="1:5" ht="16.5" x14ac:dyDescent="0.45">
      <c r="A202" t="s">
        <v>398</v>
      </c>
      <c r="B202" s="7">
        <f t="shared" ca="1" si="6"/>
        <v>0</v>
      </c>
      <c r="D202" t="s">
        <v>399</v>
      </c>
      <c r="E202" s="6">
        <f t="shared" ca="1" si="7"/>
        <v>0.41981980860800699</v>
      </c>
    </row>
    <row r="203" spans="1:5" ht="16.5" x14ac:dyDescent="0.45">
      <c r="A203" t="s">
        <v>400</v>
      </c>
      <c r="B203" s="7">
        <f t="shared" ca="1" si="6"/>
        <v>0</v>
      </c>
      <c r="D203" t="s">
        <v>401</v>
      </c>
      <c r="E203" s="6">
        <f t="shared" ca="1" si="7"/>
        <v>0.46723410475206206</v>
      </c>
    </row>
    <row r="204" spans="1:5" ht="16.5" x14ac:dyDescent="0.45">
      <c r="B204" s="7">
        <f ca="1">SUM(B194:B203)</f>
        <v>36.236517712211601</v>
      </c>
      <c r="D204" t="s">
        <v>402</v>
      </c>
      <c r="E204" s="6">
        <f t="shared" ca="1" si="7"/>
        <v>1.2926403644657867</v>
      </c>
    </row>
    <row r="205" spans="1:5" ht="16.5" x14ac:dyDescent="0.45">
      <c r="B205" s="7"/>
      <c r="D205" t="s">
        <v>403</v>
      </c>
      <c r="E205" s="6">
        <f t="shared" ca="1" si="7"/>
        <v>3.2801229980845346</v>
      </c>
    </row>
    <row r="206" spans="1:5" ht="16.5" x14ac:dyDescent="0.45">
      <c r="B206" s="7"/>
      <c r="D206" t="s">
        <v>404</v>
      </c>
      <c r="E206" s="6">
        <f t="shared" ca="1" si="7"/>
        <v>1.5809491250382746</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15.477733373578088</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7.6109502683426866E-2</v>
      </c>
      <c r="D227" s="121"/>
      <c r="E227" s="8"/>
      <c r="F227" s="8"/>
      <c r="G227" s="122"/>
      <c r="H227" s="48" t="s">
        <v>415</v>
      </c>
      <c r="I227" s="48" t="str">
        <f t="shared" ref="I227:I242" si="8">B42</f>
        <v>NTS MG 1</v>
      </c>
      <c r="J227" s="12">
        <f ca="1">IFERROR($E194/$H42*1000000," ")</f>
        <v>3.3327633386712789E-2</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4.1690568182479765E-2</v>
      </c>
      <c r="D228" s="121"/>
      <c r="E228" s="8"/>
      <c r="F228" s="8"/>
      <c r="G228" s="122"/>
      <c r="H228" s="48" t="s">
        <v>417</v>
      </c>
      <c r="I228" s="48" t="str">
        <f t="shared" si="8"/>
        <v>NTS MG 2</v>
      </c>
      <c r="J228" s="12">
        <f t="shared" ref="J228:J242" ca="1" si="11">IFERROR($E195/$H43*1000000," ")</f>
        <v>4.3264273992749153E-2</v>
      </c>
      <c r="L228" s="21"/>
      <c r="M228" s="123"/>
      <c r="Q228" s="8"/>
      <c r="R228" s="124"/>
      <c r="S228" s="125"/>
      <c r="T228" s="125"/>
      <c r="U228" s="125"/>
    </row>
    <row r="229" spans="1:21" ht="16.5" x14ac:dyDescent="0.35">
      <c r="A229" s="48" t="s">
        <v>418</v>
      </c>
      <c r="B229" s="48" t="str">
        <f t="shared" si="9"/>
        <v>PR-ITABORAÍ</v>
      </c>
      <c r="C229" s="12">
        <f t="shared" ca="1" si="10"/>
        <v>4.9283273705872134E-2</v>
      </c>
      <c r="D229" s="121"/>
      <c r="E229" s="8"/>
      <c r="F229" s="8"/>
      <c r="G229" s="122"/>
      <c r="H229" s="48" t="s">
        <v>419</v>
      </c>
      <c r="I229" s="48" t="str">
        <f t="shared" si="8"/>
        <v>NTS MG 3</v>
      </c>
      <c r="J229" s="12">
        <f t="shared" ca="1" si="11"/>
        <v>5.5246371106231214E-2</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6.0749494383504639E-2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1.5378029289036324E-2</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1.4465562595700093E-2</v>
      </c>
      <c r="L232" s="21"/>
      <c r="M232" s="123"/>
      <c r="Q232" s="8"/>
      <c r="R232" s="124"/>
      <c r="S232" s="125"/>
      <c r="T232" s="125"/>
      <c r="U232" s="125"/>
    </row>
    <row r="233" spans="1:21" ht="16.5" x14ac:dyDescent="0.35">
      <c r="A233" s="48" t="s">
        <v>426</v>
      </c>
      <c r="B233" s="48" t="str">
        <f t="shared" si="9"/>
        <v>PR-TECAB</v>
      </c>
      <c r="C233" s="12">
        <f t="shared" ca="1" si="10"/>
        <v>7.1401132424899774E-2</v>
      </c>
      <c r="D233" s="121"/>
      <c r="E233" s="8"/>
      <c r="F233" s="8"/>
      <c r="G233" s="122"/>
      <c r="H233" s="48" t="s">
        <v>427</v>
      </c>
      <c r="I233" s="48" t="str">
        <f t="shared" si="8"/>
        <v>NTS RJ 3</v>
      </c>
      <c r="J233" s="12">
        <f t="shared" ca="1" si="11"/>
        <v>1.7433920383893756E-2</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2.1301027594491428E-2</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1.4572034698572579E-2</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3.2682718275286723E-2</v>
      </c>
      <c r="L236" s="21"/>
      <c r="Q236" s="8"/>
      <c r="R236" s="124"/>
      <c r="S236" s="125"/>
      <c r="T236" s="125"/>
      <c r="U236" s="125"/>
    </row>
    <row r="237" spans="1:21" ht="16.5" x14ac:dyDescent="0.35">
      <c r="D237" s="116"/>
      <c r="E237" s="8"/>
      <c r="F237" s="8"/>
      <c r="G237" s="116"/>
      <c r="H237" s="48" t="s">
        <v>434</v>
      </c>
      <c r="I237" s="48" t="str">
        <f t="shared" si="8"/>
        <v>NTS SP 2</v>
      </c>
      <c r="J237" s="12">
        <f t="shared" ca="1" si="11"/>
        <v>3.1615154958133621E-2</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4.3143726417071461E-2</v>
      </c>
      <c r="L238" s="21"/>
      <c r="Q238" s="8"/>
      <c r="R238" s="124"/>
      <c r="S238" s="125"/>
      <c r="T238" s="125"/>
      <c r="U238" s="125"/>
    </row>
    <row r="239" spans="1:21" ht="16.5" x14ac:dyDescent="0.35">
      <c r="D239" s="116"/>
      <c r="E239" s="8"/>
      <c r="F239" s="8"/>
      <c r="G239" s="116"/>
      <c r="H239" s="48" t="s">
        <v>436</v>
      </c>
      <c r="I239" s="48" t="str">
        <f t="shared" si="8"/>
        <v>NTS SP 4</v>
      </c>
      <c r="J239" s="12">
        <f t="shared" ca="1" si="11"/>
        <v>4.6764264557335865E-2</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1.522190053668537E-2</v>
      </c>
      <c r="D246" s="12">
        <f t="shared" ref="D246:D252" ca="1" si="13">$F$8*$C$12</f>
        <v>4.3327675155446582E-2</v>
      </c>
      <c r="E246" s="12">
        <f ca="1">IFERROR(C246+D246," ")</f>
        <v>5.8549575692131955E-2</v>
      </c>
      <c r="F246" s="256">
        <f ca="1">E246*H25</f>
        <v>7514919.3726500049</v>
      </c>
      <c r="G246" s="123"/>
      <c r="H246" s="48" t="s">
        <v>415</v>
      </c>
      <c r="I246" s="48" t="str">
        <f t="shared" ref="I246:I261" si="14">I227</f>
        <v>NTS MG 1</v>
      </c>
      <c r="J246" s="12">
        <f ca="1">IF(H42=0," ",J227*(1-$C$12))</f>
        <v>6.6655266773425559E-3</v>
      </c>
      <c r="K246" s="12">
        <f t="shared" ref="K246:K258" ca="1" si="15">$F$11*$C$12</f>
        <v>2.0855186212268798E-2</v>
      </c>
      <c r="L246" s="12">
        <f ca="1">IFERROR(J246+K246," ")</f>
        <v>2.7520712889611353E-2</v>
      </c>
      <c r="M246" s="256">
        <f ca="1">L246*H42</f>
        <v>237186.76720919926</v>
      </c>
      <c r="N246" s="131"/>
    </row>
    <row r="247" spans="1:22" ht="16.5" x14ac:dyDescent="0.35">
      <c r="A247" s="48" t="s">
        <v>416</v>
      </c>
      <c r="B247" s="48" t="str">
        <f t="shared" si="12"/>
        <v>PR-GNLBGB</v>
      </c>
      <c r="C247" s="12">
        <f t="shared" ref="C247:C255" ca="1" si="16">IF(H26=0," ",C228*(1-$C$12))</f>
        <v>8.3381136364959509E-3</v>
      </c>
      <c r="D247" s="12">
        <f t="shared" ca="1" si="13"/>
        <v>4.3327675155446582E-2</v>
      </c>
      <c r="E247" s="12">
        <f t="shared" ref="E247:E252" ca="1" si="17">IFERROR(C247+D247," ")</f>
        <v>5.166578879194253E-2</v>
      </c>
      <c r="F247" s="256">
        <f t="shared" ref="F247:F252" ca="1" si="18">E247*H26</f>
        <v>14068899.462360607</v>
      </c>
      <c r="G247" s="123"/>
      <c r="H247" s="48" t="s">
        <v>417</v>
      </c>
      <c r="I247" s="48" t="str">
        <f t="shared" si="14"/>
        <v>NTS MG 2</v>
      </c>
      <c r="J247" s="12">
        <f t="shared" ref="J247:J248" ca="1" si="19">IF(H43=0," ",J228*(1-$C$12))</f>
        <v>8.6528547985498284E-3</v>
      </c>
      <c r="K247" s="12">
        <f t="shared" ca="1" si="15"/>
        <v>2.0855186212268798E-2</v>
      </c>
      <c r="L247" s="12">
        <f t="shared" ref="L247:L258" ca="1" si="20">IFERROR(J247+K247," ")</f>
        <v>2.9508041010818626E-2</v>
      </c>
      <c r="M247" s="256">
        <f t="shared" ref="M247:M258" ca="1" si="21">L247*H43</f>
        <v>441133.24104530708</v>
      </c>
    </row>
    <row r="248" spans="1:22" ht="16.5" x14ac:dyDescent="0.35">
      <c r="A248" s="48" t="s">
        <v>418</v>
      </c>
      <c r="B248" s="48" t="str">
        <f t="shared" si="12"/>
        <v>PR-ITABORAÍ</v>
      </c>
      <c r="C248" s="12">
        <f t="shared" ca="1" si="16"/>
        <v>9.8566547411744251E-3</v>
      </c>
      <c r="D248" s="12">
        <f t="shared" ca="1" si="13"/>
        <v>4.3327675155446582E-2</v>
      </c>
      <c r="E248" s="12">
        <f t="shared" ca="1" si="17"/>
        <v>5.3184329896621009E-2</v>
      </c>
      <c r="F248" s="256">
        <f t="shared" ca="1" si="18"/>
        <v>9737970.5842893254</v>
      </c>
      <c r="G248" s="123"/>
      <c r="H248" s="48" t="s">
        <v>419</v>
      </c>
      <c r="I248" s="48" t="str">
        <f t="shared" si="14"/>
        <v>NTS MG 3</v>
      </c>
      <c r="J248" s="12">
        <f t="shared" ca="1" si="19"/>
        <v>1.104927422124624E-2</v>
      </c>
      <c r="K248" s="12">
        <f t="shared" ca="1" si="15"/>
        <v>2.0855186212268798E-2</v>
      </c>
      <c r="L248" s="12">
        <f t="shared" ca="1" si="20"/>
        <v>3.1904460433515039E-2</v>
      </c>
      <c r="M248" s="256">
        <f t="shared" ca="1" si="21"/>
        <v>1238876.433525081</v>
      </c>
    </row>
    <row r="249" spans="1:22" ht="16.5" x14ac:dyDescent="0.35">
      <c r="A249" s="48" t="s">
        <v>420</v>
      </c>
      <c r="B249" s="48" t="str">
        <f t="shared" si="12"/>
        <v>PR-GASPAJ (INTERCONEXÃO)</v>
      </c>
      <c r="C249" s="12" t="str">
        <f t="shared" si="16"/>
        <v xml:space="preserve"> </v>
      </c>
      <c r="D249" s="12">
        <f t="shared" ca="1" si="13"/>
        <v>4.3327675155446582E-2</v>
      </c>
      <c r="E249" s="127">
        <f ca="1">E271</f>
        <v>5.2178627939486787E-3</v>
      </c>
      <c r="F249" s="256">
        <f t="shared" ca="1" si="18"/>
        <v>0</v>
      </c>
      <c r="G249" s="123"/>
      <c r="H249" s="48" t="s">
        <v>421</v>
      </c>
      <c r="I249" s="48" t="str">
        <f t="shared" si="14"/>
        <v>NTS MG 4</v>
      </c>
      <c r="J249" s="12">
        <f ca="1">IF(H45=0," ",J230*(1-$C$12))</f>
        <v>1.2149898876700925E-2</v>
      </c>
      <c r="K249" s="12">
        <f t="shared" ca="1" si="15"/>
        <v>2.0855186212268798E-2</v>
      </c>
      <c r="L249" s="12">
        <f t="shared" ca="1" si="20"/>
        <v>3.3005085088969724E-2</v>
      </c>
      <c r="M249" s="256">
        <f t="shared" ca="1" si="21"/>
        <v>137059.06421815392</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3.0756058578072639E-3</v>
      </c>
      <c r="K250" s="12">
        <f t="shared" ca="1" si="15"/>
        <v>2.0855186212268798E-2</v>
      </c>
      <c r="L250" s="12">
        <f t="shared" ca="1" si="20"/>
        <v>2.3930792070076062E-2</v>
      </c>
      <c r="M250" s="256">
        <f t="shared" ca="1" si="21"/>
        <v>4439037.0974692674</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2.8931125191400181E-3</v>
      </c>
      <c r="K251" s="12">
        <f t="shared" ca="1" si="15"/>
        <v>2.0855186212268798E-2</v>
      </c>
      <c r="L251" s="12">
        <f t="shared" ca="1" si="20"/>
        <v>2.3748298731408816E-2</v>
      </c>
      <c r="M251" s="256">
        <f t="shared" ca="1" si="21"/>
        <v>2717026.8681310653</v>
      </c>
    </row>
    <row r="252" spans="1:22" ht="16.5" x14ac:dyDescent="0.35">
      <c r="A252" s="48" t="s">
        <v>426</v>
      </c>
      <c r="B252" s="48" t="str">
        <f t="shared" si="12"/>
        <v>PR-TECAB</v>
      </c>
      <c r="C252" s="12">
        <f t="shared" ca="1" si="16"/>
        <v>1.4280226484979952E-2</v>
      </c>
      <c r="D252" s="12">
        <f t="shared" ca="1" si="13"/>
        <v>4.3327675155446582E-2</v>
      </c>
      <c r="E252" s="12">
        <f t="shared" ca="1" si="17"/>
        <v>5.7607901640426534E-2</v>
      </c>
      <c r="F252" s="256">
        <f t="shared" ca="1" si="18"/>
        <v>4914728.2929116627</v>
      </c>
      <c r="G252" s="123"/>
      <c r="H252" s="48" t="s">
        <v>427</v>
      </c>
      <c r="I252" s="48" t="str">
        <f t="shared" si="14"/>
        <v>NTS RJ 3</v>
      </c>
      <c r="J252" s="12">
        <f t="shared" ca="1" si="22"/>
        <v>3.4867840767787502E-3</v>
      </c>
      <c r="K252" s="12">
        <f t="shared" ca="1" si="15"/>
        <v>2.0855186212268798E-2</v>
      </c>
      <c r="L252" s="12">
        <f t="shared" ca="1" si="20"/>
        <v>2.4341970289047547E-2</v>
      </c>
      <c r="M252" s="256">
        <f t="shared" ca="1" si="21"/>
        <v>720182.4278545191</v>
      </c>
    </row>
    <row r="253" spans="1:22" ht="16.5" x14ac:dyDescent="0.35">
      <c r="A253" s="48" t="s">
        <v>428</v>
      </c>
      <c r="B253" s="48" t="str">
        <f t="shared" si="12"/>
        <v>PR-GUARAREMA (INTERCONEXÃO)</v>
      </c>
      <c r="C253" s="12" t="str">
        <f t="shared" si="16"/>
        <v xml:space="preserve"> </v>
      </c>
      <c r="D253" s="12"/>
      <c r="E253" s="127">
        <f ca="1">E269</f>
        <v>4.8699127765057752E-3</v>
      </c>
      <c r="F253" s="257"/>
      <c r="G253" s="123"/>
      <c r="H253" s="48" t="s">
        <v>429</v>
      </c>
      <c r="I253" s="48" t="str">
        <f t="shared" si="14"/>
        <v>NTS RJ 4</v>
      </c>
      <c r="J253" s="12">
        <f t="shared" ca="1" si="22"/>
        <v>4.260205518898285E-3</v>
      </c>
      <c r="K253" s="12">
        <f t="shared" ca="1" si="15"/>
        <v>2.0855186212268798E-2</v>
      </c>
      <c r="L253" s="12">
        <f t="shared" ca="1" si="20"/>
        <v>2.5115391731167083E-2</v>
      </c>
      <c r="M253" s="256">
        <f t="shared" ca="1" si="21"/>
        <v>96772.833672358058</v>
      </c>
    </row>
    <row r="254" spans="1:22" ht="16.5" x14ac:dyDescent="0.35">
      <c r="A254" s="48" t="s">
        <v>430</v>
      </c>
      <c r="B254" s="48" t="str">
        <f t="shared" si="12"/>
        <v>PR-REPLAN (INTERCONEXÃO)</v>
      </c>
      <c r="C254" s="12" t="str">
        <f t="shared" si="16"/>
        <v xml:space="preserve"> </v>
      </c>
      <c r="D254" s="12"/>
      <c r="E254" s="127">
        <f ca="1">E268</f>
        <v>5.2178627939486787E-3</v>
      </c>
      <c r="F254" s="258">
        <f ca="1">SUM(F246:F252)</f>
        <v>36236517.712211601</v>
      </c>
      <c r="G254" s="123"/>
      <c r="H254" s="48" t="s">
        <v>431</v>
      </c>
      <c r="I254" s="48" t="str">
        <f t="shared" si="14"/>
        <v>NTS RJ 5</v>
      </c>
      <c r="J254" s="12">
        <f t="shared" ca="1" si="22"/>
        <v>2.9144069397145154E-3</v>
      </c>
      <c r="K254" s="12">
        <f t="shared" ca="1" si="15"/>
        <v>2.0855186212268798E-2</v>
      </c>
      <c r="L254" s="12">
        <f t="shared" ca="1" si="20"/>
        <v>2.3769593151983313E-2</v>
      </c>
      <c r="M254" s="256">
        <f t="shared" ca="1" si="21"/>
        <v>684801.14508191007</v>
      </c>
    </row>
    <row r="255" spans="1:22" ht="16.5" x14ac:dyDescent="0.35">
      <c r="A255" s="48" t="s">
        <v>432</v>
      </c>
      <c r="B255" s="48" t="str">
        <f t="shared" si="12"/>
        <v>PR-TECAB (INTERCONEXÃO)</v>
      </c>
      <c r="C255" s="12" t="str">
        <f t="shared" si="16"/>
        <v xml:space="preserve"> </v>
      </c>
      <c r="D255" s="12"/>
      <c r="E255" s="127">
        <f ca="1">E270</f>
        <v>5.1234498615770592E-3</v>
      </c>
      <c r="G255" s="123"/>
      <c r="H255" s="48" t="s">
        <v>433</v>
      </c>
      <c r="I255" s="48" t="str">
        <f t="shared" si="14"/>
        <v>NTS SP 1</v>
      </c>
      <c r="J255" s="12">
        <f t="shared" ca="1" si="22"/>
        <v>6.5365436550573431E-3</v>
      </c>
      <c r="K255" s="12">
        <f t="shared" ca="1" si="15"/>
        <v>2.0855186212268798E-2</v>
      </c>
      <c r="L255" s="12">
        <f t="shared" ca="1" si="20"/>
        <v>2.7391729867326142E-2</v>
      </c>
      <c r="M255" s="256">
        <f t="shared" ca="1" si="21"/>
        <v>391593.81647419499</v>
      </c>
    </row>
    <row r="256" spans="1:22" ht="16.5" x14ac:dyDescent="0.35">
      <c r="F256" s="131"/>
      <c r="H256" s="48" t="s">
        <v>434</v>
      </c>
      <c r="I256" s="48" t="str">
        <f t="shared" si="14"/>
        <v>NTS SP 2</v>
      </c>
      <c r="J256" s="12">
        <f t="shared" ca="1" si="22"/>
        <v>6.3230309916267229E-3</v>
      </c>
      <c r="K256" s="12">
        <f t="shared" ca="1" si="15"/>
        <v>2.0855186212268798E-2</v>
      </c>
      <c r="L256" s="12">
        <f t="shared" ca="1" si="20"/>
        <v>2.717821720389552E-2</v>
      </c>
      <c r="M256" s="256">
        <f t="shared" ca="1" si="21"/>
        <v>1111228.4800911758</v>
      </c>
    </row>
    <row r="257" spans="1:13" ht="16.5" x14ac:dyDescent="0.35">
      <c r="H257" s="48" t="s">
        <v>435</v>
      </c>
      <c r="I257" s="48" t="str">
        <f t="shared" si="14"/>
        <v>NTS SP 3</v>
      </c>
      <c r="J257" s="12">
        <f t="shared" ca="1" si="22"/>
        <v>8.6287452834142905E-3</v>
      </c>
      <c r="K257" s="12">
        <f t="shared" ca="1" si="15"/>
        <v>2.0855186212268798E-2</v>
      </c>
      <c r="L257" s="12">
        <f t="shared" ca="1" si="20"/>
        <v>2.948393149568309E-2</v>
      </c>
      <c r="M257" s="256">
        <f t="shared" ca="1" si="21"/>
        <v>2241598.7167643374</v>
      </c>
    </row>
    <row r="258" spans="1:13" ht="16.5" x14ac:dyDescent="0.35">
      <c r="H258" s="48" t="s">
        <v>436</v>
      </c>
      <c r="I258" s="48" t="str">
        <f t="shared" si="14"/>
        <v>NTS SP 4</v>
      </c>
      <c r="J258" s="12">
        <f t="shared" ca="1" si="22"/>
        <v>9.3528529114671709E-3</v>
      </c>
      <c r="K258" s="12">
        <f t="shared" ca="1" si="15"/>
        <v>2.0855186212268798E-2</v>
      </c>
      <c r="L258" s="12">
        <f t="shared" ca="1" si="20"/>
        <v>3.0208039123735968E-2</v>
      </c>
      <c r="M258" s="256">
        <f t="shared" ca="1" si="21"/>
        <v>1021236.4820415141</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2.5628307388912332E-3</v>
      </c>
      <c r="M260" s="258">
        <f ca="1">SUM(M246:M258)</f>
        <v>15477733.373578081</v>
      </c>
    </row>
    <row r="261" spans="1:13" ht="16.5" x14ac:dyDescent="0.35">
      <c r="H261" s="48" t="s">
        <v>439</v>
      </c>
      <c r="I261" s="48" t="str">
        <f t="shared" si="14"/>
        <v>PE-TECAB (INTERCONEXÃO)</v>
      </c>
      <c r="J261" s="12" t="str">
        <f t="shared" si="22"/>
        <v xml:space="preserve"> </v>
      </c>
      <c r="K261" s="12"/>
      <c r="L261" s="127">
        <f ca="1">E273</f>
        <v>2.2381636779578704E-3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(GASIG)'!I11</f>
        <v>205</v>
      </c>
      <c r="D268" s="265">
        <f ca="1">'CWD 2029 GASIG (sem desc.)'!D267</f>
        <v>5.2178627939486799E-2</v>
      </c>
      <c r="E268" s="268">
        <f ca="1">D268*(1-$C$263)</f>
        <v>5.2178627939486787E-3</v>
      </c>
      <c r="F268" s="266">
        <f ca="1">C268*E268*'Premissas (GASIG)'!$C$36*'Premissas (GASIG)'!$F$20*1000</f>
        <v>14563.762306209497</v>
      </c>
      <c r="L268" s="128"/>
    </row>
    <row r="269" spans="1:13" ht="18.5" x14ac:dyDescent="0.45">
      <c r="B269" s="247" t="s">
        <v>451</v>
      </c>
      <c r="C269" s="271">
        <f>'Oferta (GASIG)'!I10</f>
        <v>6000</v>
      </c>
      <c r="D269" s="265">
        <f ca="1">'CWD 2029 GASIG (sem desc.)'!D268</f>
        <v>4.8699127765057762E-2</v>
      </c>
      <c r="E269" s="268">
        <f t="shared" ref="E269:E271" ca="1" si="23">D269*(1-$C$263)</f>
        <v>4.8699127765057752E-3</v>
      </c>
      <c r="F269" s="266">
        <f ca="1">C269*E269*'Premissas (GASIG)'!$C$36*'Premissas (GASIG)'!$F$20*1000</f>
        <v>397831.80424689589</v>
      </c>
      <c r="G269" s="129"/>
      <c r="K269" s="129"/>
      <c r="L269" s="128"/>
    </row>
    <row r="270" spans="1:13" ht="18.5" x14ac:dyDescent="0.45">
      <c r="B270" s="248" t="s">
        <v>452</v>
      </c>
      <c r="C270" s="271">
        <f>'Oferta (GASIG)'!I12</f>
        <v>200</v>
      </c>
      <c r="D270" s="265">
        <f ca="1">'CWD 2029 GASIG (sem desc.)'!D269</f>
        <v>5.1234498615770604E-2</v>
      </c>
      <c r="E270" s="268">
        <f t="shared" ca="1" si="23"/>
        <v>5.1234498615770592E-3</v>
      </c>
      <c r="F270" s="266">
        <f ca="1">C270*E270*'Premissas (GASIG)'!$C$36*'Premissas (GASIG)'!$F$20*1000</f>
        <v>13951.456599887306</v>
      </c>
      <c r="K270" s="129"/>
      <c r="L270" s="128"/>
    </row>
    <row r="271" spans="1:13" ht="18.5" x14ac:dyDescent="0.45">
      <c r="B271" s="248" t="s">
        <v>243</v>
      </c>
      <c r="C271" s="271">
        <f>'Oferta (GASIG)'!I6</f>
        <v>305</v>
      </c>
      <c r="D271" s="265">
        <f ca="1">'CWD 2029 GASIG (sem desc.)'!D270</f>
        <v>5.2178627939486799E-2</v>
      </c>
      <c r="E271" s="268">
        <f t="shared" ca="1" si="23"/>
        <v>5.2178627939486787E-3</v>
      </c>
      <c r="F271" s="266">
        <f ca="1">C271*E271*'Premissas (GASIG)'!$C$36*'Premissas (GASIG)'!$F$20*1000</f>
        <v>21668.036601921449</v>
      </c>
      <c r="K271" s="129"/>
      <c r="L271" s="128"/>
    </row>
    <row r="272" spans="1:13" ht="18.5" x14ac:dyDescent="0.45">
      <c r="B272" s="246" t="s">
        <v>453</v>
      </c>
      <c r="C272" s="271">
        <f>'Demanda (GASIG)'!I17</f>
        <v>6824</v>
      </c>
      <c r="D272" s="265">
        <f ca="1">'CWD 2029 GASIG (sem desc.)'!D271</f>
        <v>2.5628307388912339E-2</v>
      </c>
      <c r="E272" s="268">
        <f ca="1">D272*(1-$C$263)</f>
        <v>2.5628307388912332E-3</v>
      </c>
      <c r="F272" s="266">
        <f ca="1">C272*E272*'Premissas (GASIG)'!$C$36*'Premissas (GASIG)'!$F$20*1000</f>
        <v>238114.59108230568</v>
      </c>
      <c r="K272" s="129"/>
      <c r="L272" s="128"/>
    </row>
    <row r="273" spans="2:13" ht="18.5" x14ac:dyDescent="0.45">
      <c r="B273" s="248" t="s">
        <v>454</v>
      </c>
      <c r="C273" s="271">
        <f>'Demanda (GASIG)'!I18</f>
        <v>200</v>
      </c>
      <c r="D273" s="265">
        <f ca="1">'CWD 2029 GASIG (sem desc.)'!D272</f>
        <v>2.2381636779578711E-2</v>
      </c>
      <c r="E273" s="268">
        <f ca="1">D273*(1-$C$263)</f>
        <v>2.2381636779578704E-3</v>
      </c>
      <c r="F273" s="266">
        <f ca="1">C273*E273*'Premissas (GASIG)'!$C$36*'Premissas (GASIG)'!$F$20*1000</f>
        <v>6094.6518966932463</v>
      </c>
      <c r="K273" s="129"/>
      <c r="L273" s="128"/>
    </row>
    <row r="274" spans="2:13" ht="19" thickBot="1" x14ac:dyDescent="0.5">
      <c r="B274" s="248"/>
      <c r="C274" s="269"/>
      <c r="D274" s="269"/>
      <c r="E274" s="269"/>
      <c r="F274" s="267">
        <f ca="1">SUM(F268:F273)</f>
        <v>692224.30273391306</v>
      </c>
      <c r="K274" s="129"/>
      <c r="L274" s="128"/>
    </row>
    <row r="275" spans="2:13" ht="15" thickTop="1" x14ac:dyDescent="0.35">
      <c r="K275" s="129"/>
      <c r="L275" s="128"/>
    </row>
    <row r="276" spans="2:13" x14ac:dyDescent="0.35">
      <c r="E276" t="s">
        <v>110</v>
      </c>
      <c r="F276" s="235">
        <f ca="1">F254+M260+F274</f>
        <v>52406475.388523594</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DFDD-ACFD-4FEC-94F2-909009CBEABC}">
  <sheetPr codeName="Planilha1">
    <tabColor theme="1" tint="0.499984740745262"/>
  </sheetPr>
  <dimension ref="A1:AJ46"/>
  <sheetViews>
    <sheetView showGridLines="0" topLeftCell="A21" zoomScaleNormal="100" workbookViewId="0">
      <selection activeCell="F38" sqref="F38"/>
    </sheetView>
  </sheetViews>
  <sheetFormatPr defaultColWidth="8.81640625" defaultRowHeight="13" x14ac:dyDescent="0.3"/>
  <cols>
    <col min="1" max="1" width="50.26953125" style="139" customWidth="1"/>
    <col min="2" max="2" width="11.1796875" style="139" customWidth="1"/>
    <col min="3" max="3" width="13.453125" style="139" customWidth="1"/>
    <col min="4" max="4" width="14" style="139" bestFit="1" customWidth="1"/>
    <col min="5" max="5" width="12" style="139" customWidth="1"/>
    <col min="6" max="6" width="13.81640625" style="139" customWidth="1"/>
    <col min="7" max="32" width="9.81640625" style="139" hidden="1" customWidth="1"/>
    <col min="33" max="33" width="11" style="139" bestFit="1" customWidth="1"/>
    <col min="34" max="34" width="12.1796875" style="139" bestFit="1" customWidth="1"/>
    <col min="35" max="35" width="8.81640625" style="139"/>
    <col min="36" max="36" width="29.81640625" style="139" bestFit="1" customWidth="1"/>
    <col min="37" max="16384" width="8.81640625" style="139"/>
  </cols>
  <sheetData>
    <row r="1" spans="1:36" s="137" customFormat="1" x14ac:dyDescent="0.3">
      <c r="A1" s="136"/>
    </row>
    <row r="2" spans="1:36" x14ac:dyDescent="0.3">
      <c r="A2" s="138"/>
    </row>
    <row r="3" spans="1:36" s="137" customFormat="1" ht="20.25" customHeight="1" x14ac:dyDescent="0.3">
      <c r="A3" s="409" t="s">
        <v>0</v>
      </c>
      <c r="B3" s="410"/>
      <c r="C3" s="410"/>
      <c r="D3" s="410"/>
      <c r="E3" s="410"/>
      <c r="F3" s="410"/>
      <c r="AG3" s="139"/>
    </row>
    <row r="4" spans="1:36" s="137" customFormat="1" ht="15" customHeight="1" x14ac:dyDescent="0.3">
      <c r="AG4" s="139"/>
    </row>
    <row r="5" spans="1:36" s="137" customFormat="1" ht="15" customHeight="1" x14ac:dyDescent="0.3">
      <c r="A5" s="140" t="s">
        <v>1</v>
      </c>
      <c r="B5" s="142">
        <v>2021</v>
      </c>
      <c r="C5" s="142">
        <f>B5+1</f>
        <v>2022</v>
      </c>
      <c r="D5" s="142">
        <f>C5+1</f>
        <v>2023</v>
      </c>
      <c r="E5" s="142">
        <f>D5+1</f>
        <v>2024</v>
      </c>
      <c r="F5" s="141">
        <f>E5+1</f>
        <v>2025</v>
      </c>
      <c r="AG5" s="139"/>
    </row>
    <row r="6" spans="1:36" s="143" customFormat="1" ht="15" customHeight="1" x14ac:dyDescent="0.3">
      <c r="A6" s="139"/>
      <c r="AJ6" s="139"/>
    </row>
    <row r="7" spans="1:36" s="143" customFormat="1" ht="15" customHeight="1" x14ac:dyDescent="0.3">
      <c r="A7" s="144" t="s">
        <v>2</v>
      </c>
      <c r="B7" s="145"/>
      <c r="C7" s="145"/>
      <c r="D7" s="145"/>
      <c r="E7" s="145"/>
      <c r="F7" s="145"/>
      <c r="AJ7" s="139"/>
    </row>
    <row r="8" spans="1:36" s="143" customFormat="1" ht="15" customHeight="1" x14ac:dyDescent="0.3">
      <c r="A8" s="146" t="s">
        <v>3</v>
      </c>
      <c r="B8" s="147">
        <v>0.8</v>
      </c>
      <c r="C8" s="147">
        <v>0.8</v>
      </c>
      <c r="D8" s="148">
        <v>0.8</v>
      </c>
      <c r="E8" s="148">
        <v>0.8</v>
      </c>
      <c r="F8" s="171">
        <v>0.8</v>
      </c>
    </row>
    <row r="9" spans="1:36" s="143" customFormat="1" ht="15" customHeight="1" x14ac:dyDescent="0.3">
      <c r="A9" s="146" t="s">
        <v>4</v>
      </c>
      <c r="B9" s="149">
        <f>1-B8</f>
        <v>0.19999999999999996</v>
      </c>
      <c r="C9" s="149">
        <f>1-C8</f>
        <v>0.19999999999999996</v>
      </c>
      <c r="D9" s="149">
        <f>1-D8</f>
        <v>0.19999999999999996</v>
      </c>
      <c r="E9" s="149">
        <f>1-E8</f>
        <v>0.19999999999999996</v>
      </c>
      <c r="F9" s="172">
        <f>1-F8</f>
        <v>0.19999999999999996</v>
      </c>
    </row>
    <row r="10" spans="1:36" s="143" customFormat="1" ht="15" customHeight="1" x14ac:dyDescent="0.3"/>
    <row r="11" spans="1:36" s="143" customFormat="1" ht="15" customHeight="1" x14ac:dyDescent="0.3"/>
    <row r="12" spans="1:36" s="143" customFormat="1" ht="15" customHeight="1" x14ac:dyDescent="0.3">
      <c r="A12" s="144" t="s">
        <v>5</v>
      </c>
      <c r="B12" s="145"/>
      <c r="C12" s="145"/>
      <c r="D12" s="145"/>
      <c r="E12" s="145"/>
      <c r="F12" s="145"/>
    </row>
    <row r="13" spans="1:36" s="143" customFormat="1" ht="15" customHeight="1" x14ac:dyDescent="0.3">
      <c r="A13" s="150" t="s">
        <v>6</v>
      </c>
      <c r="B13" s="148">
        <v>0.7</v>
      </c>
      <c r="C13" s="148">
        <v>0.7</v>
      </c>
      <c r="D13" s="148">
        <v>0.7</v>
      </c>
      <c r="E13" s="148">
        <v>0.7</v>
      </c>
      <c r="F13" s="148">
        <v>0.7</v>
      </c>
    </row>
    <row r="14" spans="1:36" s="143" customFormat="1" ht="15" customHeight="1" x14ac:dyDescent="0.3">
      <c r="A14" s="150" t="s">
        <v>7</v>
      </c>
      <c r="B14" s="151">
        <f>1-B13</f>
        <v>0.30000000000000004</v>
      </c>
      <c r="C14" s="151">
        <f>1-C13</f>
        <v>0.30000000000000004</v>
      </c>
      <c r="D14" s="151">
        <f>1-D13</f>
        <v>0.30000000000000004</v>
      </c>
      <c r="E14" s="151">
        <f>1-E13</f>
        <v>0.30000000000000004</v>
      </c>
      <c r="F14" s="151">
        <f>1-F13</f>
        <v>0.30000000000000004</v>
      </c>
    </row>
    <row r="15" spans="1:36" s="143" customFormat="1" ht="15" customHeight="1" x14ac:dyDescent="0.3"/>
    <row r="16" spans="1:36" s="137" customFormat="1" ht="15" customHeight="1" x14ac:dyDescent="0.3">
      <c r="B16" s="143"/>
      <c r="AH16" s="152"/>
    </row>
    <row r="17" spans="1:32" s="137" customFormat="1" ht="15" customHeight="1" x14ac:dyDescent="0.3">
      <c r="A17" s="144" t="s">
        <v>8</v>
      </c>
      <c r="B17" s="145"/>
      <c r="C17" s="145"/>
      <c r="D17" s="145"/>
      <c r="E17" s="145"/>
      <c r="F17" s="145"/>
      <c r="G17" s="153">
        <v>2025</v>
      </c>
      <c r="H17" s="154">
        <v>2026</v>
      </c>
      <c r="I17" s="154">
        <v>2027</v>
      </c>
      <c r="J17" s="154">
        <v>2028</v>
      </c>
      <c r="K17" s="154">
        <v>2029</v>
      </c>
      <c r="L17" s="154">
        <v>2030</v>
      </c>
      <c r="M17" s="154">
        <v>2031</v>
      </c>
      <c r="N17" s="154">
        <v>2032</v>
      </c>
      <c r="O17" s="154">
        <v>2033</v>
      </c>
      <c r="P17" s="154">
        <v>2034</v>
      </c>
      <c r="Q17" s="154">
        <v>2035</v>
      </c>
      <c r="R17" s="154">
        <v>2036</v>
      </c>
      <c r="S17" s="154">
        <v>2037</v>
      </c>
      <c r="T17" s="154">
        <v>2038</v>
      </c>
      <c r="U17" s="154">
        <v>2039</v>
      </c>
      <c r="V17" s="154">
        <v>2040</v>
      </c>
      <c r="W17" s="154">
        <v>2041</v>
      </c>
      <c r="X17" s="154">
        <v>2042</v>
      </c>
      <c r="Y17" s="154">
        <v>2043</v>
      </c>
      <c r="Z17" s="154">
        <v>2044</v>
      </c>
      <c r="AA17" s="154">
        <v>2045</v>
      </c>
      <c r="AB17" s="154">
        <v>2046</v>
      </c>
      <c r="AC17" s="154">
        <v>2047</v>
      </c>
      <c r="AD17" s="154">
        <v>2048</v>
      </c>
      <c r="AE17" s="154">
        <v>2049</v>
      </c>
      <c r="AF17" s="154">
        <v>2050</v>
      </c>
    </row>
    <row r="18" spans="1:32" s="137" customFormat="1" ht="15" customHeight="1" x14ac:dyDescent="0.3">
      <c r="A18" s="155" t="s">
        <v>444</v>
      </c>
      <c r="B18" s="156">
        <v>9400</v>
      </c>
      <c r="C18" s="156">
        <f>+B18</f>
        <v>9400</v>
      </c>
      <c r="D18" s="156">
        <f>+C18</f>
        <v>9400</v>
      </c>
      <c r="E18" s="156">
        <f>+D18</f>
        <v>9400</v>
      </c>
      <c r="F18" s="156">
        <f>+E18</f>
        <v>9400</v>
      </c>
      <c r="G18" s="157">
        <f>+F18</f>
        <v>9400</v>
      </c>
      <c r="H18" s="158">
        <f t="shared" ref="H18:AF18" si="0">+G18</f>
        <v>9400</v>
      </c>
      <c r="I18" s="158">
        <f t="shared" si="0"/>
        <v>9400</v>
      </c>
      <c r="J18" s="158">
        <f t="shared" si="0"/>
        <v>9400</v>
      </c>
      <c r="K18" s="158">
        <f t="shared" si="0"/>
        <v>9400</v>
      </c>
      <c r="L18" s="158">
        <f t="shared" si="0"/>
        <v>9400</v>
      </c>
      <c r="M18" s="158">
        <f t="shared" si="0"/>
        <v>9400</v>
      </c>
      <c r="N18" s="158">
        <f t="shared" si="0"/>
        <v>9400</v>
      </c>
      <c r="O18" s="158">
        <f t="shared" si="0"/>
        <v>9400</v>
      </c>
      <c r="P18" s="158">
        <f t="shared" si="0"/>
        <v>9400</v>
      </c>
      <c r="Q18" s="158">
        <f t="shared" si="0"/>
        <v>9400</v>
      </c>
      <c r="R18" s="158">
        <f t="shared" si="0"/>
        <v>9400</v>
      </c>
      <c r="S18" s="158">
        <f t="shared" si="0"/>
        <v>9400</v>
      </c>
      <c r="T18" s="158">
        <f t="shared" si="0"/>
        <v>9400</v>
      </c>
      <c r="U18" s="158">
        <f t="shared" si="0"/>
        <v>9400</v>
      </c>
      <c r="V18" s="158">
        <f t="shared" si="0"/>
        <v>9400</v>
      </c>
      <c r="W18" s="158">
        <f t="shared" si="0"/>
        <v>9400</v>
      </c>
      <c r="X18" s="158">
        <f t="shared" si="0"/>
        <v>9400</v>
      </c>
      <c r="Y18" s="158">
        <f t="shared" si="0"/>
        <v>9400</v>
      </c>
      <c r="Z18" s="158">
        <f t="shared" si="0"/>
        <v>9400</v>
      </c>
      <c r="AA18" s="158">
        <f t="shared" si="0"/>
        <v>9400</v>
      </c>
      <c r="AB18" s="158">
        <f t="shared" si="0"/>
        <v>9400</v>
      </c>
      <c r="AC18" s="158">
        <f t="shared" si="0"/>
        <v>9400</v>
      </c>
      <c r="AD18" s="158">
        <f t="shared" si="0"/>
        <v>9400</v>
      </c>
      <c r="AE18" s="158">
        <f t="shared" si="0"/>
        <v>9400</v>
      </c>
      <c r="AF18" s="158">
        <f t="shared" si="0"/>
        <v>9400</v>
      </c>
    </row>
    <row r="19" spans="1:32" s="137" customFormat="1" ht="15" customHeight="1" x14ac:dyDescent="0.3">
      <c r="A19" s="159" t="s">
        <v>9</v>
      </c>
      <c r="B19" s="160">
        <v>37.302179000000002</v>
      </c>
      <c r="C19" s="160">
        <v>37.302179000000002</v>
      </c>
      <c r="D19" s="160">
        <v>37.302179000000002</v>
      </c>
      <c r="E19" s="160">
        <v>37.302179000000002</v>
      </c>
      <c r="F19" s="160">
        <v>37.302179000000002</v>
      </c>
      <c r="G19" s="161">
        <f t="shared" ref="G19:AF19" si="1">G18/251996</f>
        <v>3.7302179399673008E-2</v>
      </c>
      <c r="H19" s="162">
        <f t="shared" si="1"/>
        <v>3.7302179399673008E-2</v>
      </c>
      <c r="I19" s="162">
        <f t="shared" si="1"/>
        <v>3.7302179399673008E-2</v>
      </c>
      <c r="J19" s="162">
        <f t="shared" si="1"/>
        <v>3.7302179399673008E-2</v>
      </c>
      <c r="K19" s="162">
        <f t="shared" si="1"/>
        <v>3.7302179399673008E-2</v>
      </c>
      <c r="L19" s="162">
        <f t="shared" si="1"/>
        <v>3.7302179399673008E-2</v>
      </c>
      <c r="M19" s="162">
        <f t="shared" si="1"/>
        <v>3.7302179399673008E-2</v>
      </c>
      <c r="N19" s="162">
        <f t="shared" si="1"/>
        <v>3.7302179399673008E-2</v>
      </c>
      <c r="O19" s="162">
        <f t="shared" si="1"/>
        <v>3.7302179399673008E-2</v>
      </c>
      <c r="P19" s="162">
        <f t="shared" si="1"/>
        <v>3.7302179399673008E-2</v>
      </c>
      <c r="Q19" s="162">
        <f t="shared" si="1"/>
        <v>3.7302179399673008E-2</v>
      </c>
      <c r="R19" s="162">
        <f t="shared" si="1"/>
        <v>3.7302179399673008E-2</v>
      </c>
      <c r="S19" s="162">
        <f t="shared" si="1"/>
        <v>3.7302179399673008E-2</v>
      </c>
      <c r="T19" s="162">
        <f t="shared" si="1"/>
        <v>3.7302179399673008E-2</v>
      </c>
      <c r="U19" s="162">
        <f t="shared" si="1"/>
        <v>3.7302179399673008E-2</v>
      </c>
      <c r="V19" s="162">
        <f t="shared" si="1"/>
        <v>3.7302179399673008E-2</v>
      </c>
      <c r="W19" s="162">
        <f t="shared" si="1"/>
        <v>3.7302179399673008E-2</v>
      </c>
      <c r="X19" s="162">
        <f t="shared" si="1"/>
        <v>3.7302179399673008E-2</v>
      </c>
      <c r="Y19" s="162">
        <f t="shared" si="1"/>
        <v>3.7302179399673008E-2</v>
      </c>
      <c r="Z19" s="162">
        <f t="shared" si="1"/>
        <v>3.7302179399673008E-2</v>
      </c>
      <c r="AA19" s="162">
        <f t="shared" si="1"/>
        <v>3.7302179399673008E-2</v>
      </c>
      <c r="AB19" s="162">
        <f t="shared" si="1"/>
        <v>3.7302179399673008E-2</v>
      </c>
      <c r="AC19" s="162">
        <f t="shared" si="1"/>
        <v>3.7302179399673008E-2</v>
      </c>
      <c r="AD19" s="162">
        <f t="shared" si="1"/>
        <v>3.7302179399673008E-2</v>
      </c>
      <c r="AE19" s="162">
        <f t="shared" si="1"/>
        <v>3.7302179399673008E-2</v>
      </c>
      <c r="AF19" s="162">
        <f t="shared" si="1"/>
        <v>3.7302179399673008E-2</v>
      </c>
    </row>
    <row r="20" spans="1:32" s="137" customFormat="1" ht="15" customHeight="1" x14ac:dyDescent="0.3">
      <c r="A20" s="155" t="s">
        <v>10</v>
      </c>
      <c r="B20" s="156">
        <v>365</v>
      </c>
      <c r="C20" s="156">
        <v>365</v>
      </c>
      <c r="D20" s="156">
        <v>365</v>
      </c>
      <c r="E20" s="156">
        <v>365</v>
      </c>
      <c r="F20" s="156">
        <v>365</v>
      </c>
      <c r="G20" s="163">
        <v>365</v>
      </c>
      <c r="H20" s="164">
        <v>365</v>
      </c>
      <c r="I20" s="164">
        <v>365</v>
      </c>
      <c r="J20" s="164">
        <v>366</v>
      </c>
      <c r="K20" s="164">
        <v>365</v>
      </c>
      <c r="L20" s="164">
        <v>365</v>
      </c>
      <c r="M20" s="164">
        <v>365</v>
      </c>
      <c r="N20" s="164">
        <v>366</v>
      </c>
      <c r="O20" s="164">
        <v>365</v>
      </c>
      <c r="P20" s="164">
        <v>365</v>
      </c>
      <c r="Q20" s="164">
        <v>365</v>
      </c>
      <c r="R20" s="164">
        <v>366</v>
      </c>
      <c r="S20" s="164">
        <v>365</v>
      </c>
      <c r="T20" s="164">
        <v>365</v>
      </c>
      <c r="U20" s="164">
        <v>365</v>
      </c>
      <c r="V20" s="164">
        <v>366</v>
      </c>
      <c r="W20" s="164">
        <v>365</v>
      </c>
      <c r="X20" s="164">
        <v>365</v>
      </c>
      <c r="Y20" s="164">
        <v>365</v>
      </c>
      <c r="Z20" s="164">
        <v>366</v>
      </c>
      <c r="AA20" s="164">
        <v>365</v>
      </c>
      <c r="AB20" s="164">
        <v>365</v>
      </c>
      <c r="AC20" s="164">
        <v>365</v>
      </c>
      <c r="AD20" s="164">
        <v>366</v>
      </c>
      <c r="AE20" s="164">
        <v>260</v>
      </c>
      <c r="AF20" s="164">
        <v>365</v>
      </c>
    </row>
    <row r="21" spans="1:32" ht="15" customHeight="1" x14ac:dyDescent="0.3">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row>
    <row r="22" spans="1:32" ht="15" customHeight="1" thickBot="1" x14ac:dyDescent="0.3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row>
    <row r="23" spans="1:32" ht="15" customHeight="1" thickBot="1" x14ac:dyDescent="0.35">
      <c r="A23" s="166" t="s">
        <v>11</v>
      </c>
      <c r="B23" s="167">
        <v>1</v>
      </c>
    </row>
    <row r="24" spans="1:32" ht="15" customHeight="1" x14ac:dyDescent="0.3">
      <c r="A24" s="168" t="s">
        <v>210</v>
      </c>
    </row>
    <row r="27" spans="1:32" ht="15" customHeight="1" x14ac:dyDescent="0.3">
      <c r="A27" s="411" t="s">
        <v>235</v>
      </c>
      <c r="B27" s="412"/>
      <c r="C27" s="412"/>
      <c r="D27" s="412"/>
      <c r="E27" s="371"/>
    </row>
    <row r="28" spans="1:32" x14ac:dyDescent="0.3">
      <c r="A28" s="85"/>
      <c r="B28" s="85"/>
      <c r="C28" s="85"/>
      <c r="D28" s="284" t="s">
        <v>527</v>
      </c>
    </row>
    <row r="29" spans="1:32" x14ac:dyDescent="0.3">
      <c r="A29" s="413" t="s">
        <v>472</v>
      </c>
      <c r="B29" s="86" t="s">
        <v>12</v>
      </c>
      <c r="C29" s="277" t="s">
        <v>13</v>
      </c>
      <c r="D29" s="86" t="s">
        <v>468</v>
      </c>
    </row>
    <row r="30" spans="1:32" x14ac:dyDescent="0.3">
      <c r="A30" s="413"/>
      <c r="B30" s="86" t="s">
        <v>14</v>
      </c>
      <c r="C30" s="278" t="s">
        <v>15</v>
      </c>
      <c r="D30" s="86" t="s">
        <v>16</v>
      </c>
    </row>
    <row r="31" spans="1:32" x14ac:dyDescent="0.3">
      <c r="A31" s="87" t="s">
        <v>17</v>
      </c>
      <c r="B31" s="88">
        <v>43805</v>
      </c>
      <c r="C31" s="368">
        <v>3.5201600000000002</v>
      </c>
      <c r="D31" s="279">
        <f>(B31*$F$20*$C$44)*C31</f>
        <v>2099486.8296487997</v>
      </c>
    </row>
    <row r="32" spans="1:32" x14ac:dyDescent="0.3">
      <c r="A32" s="87" t="s">
        <v>18</v>
      </c>
      <c r="B32" s="88">
        <v>49400</v>
      </c>
      <c r="C32" s="367">
        <v>3.2772999999999999</v>
      </c>
      <c r="D32" s="279">
        <f>(B32*$F$20*$C$44)*C32</f>
        <v>2204297.5256289374</v>
      </c>
    </row>
    <row r="33" spans="1:32" x14ac:dyDescent="0.3">
      <c r="A33" s="87" t="s">
        <v>19</v>
      </c>
      <c r="B33" s="88">
        <v>5000</v>
      </c>
      <c r="C33" s="367">
        <v>3.0823</v>
      </c>
      <c r="D33" s="279">
        <f>(B33*$F$20*$C$44)*C33</f>
        <v>209832.1240553525</v>
      </c>
      <c r="AF33" s="169"/>
    </row>
    <row r="34" spans="1:32" x14ac:dyDescent="0.3">
      <c r="A34" s="87" t="s">
        <v>20</v>
      </c>
      <c r="B34" s="88">
        <v>40000</v>
      </c>
      <c r="C34" s="367">
        <v>2.6647999999999996</v>
      </c>
      <c r="D34" s="279">
        <f>(B34*$F$20*$C$44)*C34</f>
        <v>1451281.5603483198</v>
      </c>
    </row>
    <row r="35" spans="1:32" x14ac:dyDescent="0.3">
      <c r="A35" s="87" t="s">
        <v>21</v>
      </c>
      <c r="B35" s="88">
        <v>20000</v>
      </c>
      <c r="C35" s="367">
        <v>4.5947000000000005</v>
      </c>
      <c r="D35" s="279">
        <f>(B35*$F$20*$C$44)*C35</f>
        <v>1251163.9495144901</v>
      </c>
    </row>
    <row r="36" spans="1:32" x14ac:dyDescent="0.3">
      <c r="A36" s="328" t="s">
        <v>470</v>
      </c>
      <c r="B36" s="329"/>
      <c r="C36" s="330"/>
      <c r="D36" s="331">
        <f>SUM(D31:D35)</f>
        <v>7216061.9891959</v>
      </c>
      <c r="E36" s="281"/>
    </row>
    <row r="37" spans="1:32" x14ac:dyDescent="0.3">
      <c r="A37" s="87" t="s">
        <v>518</v>
      </c>
      <c r="B37" s="88">
        <v>0</v>
      </c>
      <c r="C37" s="275">
        <v>0</v>
      </c>
      <c r="D37" s="283">
        <f>-'Conta Regulatória (C.Reg)'!E4/10^3</f>
        <v>-158161.10042676353</v>
      </c>
      <c r="E37" s="327"/>
    </row>
    <row r="38" spans="1:32" customFormat="1" ht="15" thickBot="1" x14ac:dyDescent="0.4">
      <c r="D38" s="89">
        <f>SUM(D36:D37)</f>
        <v>7057900.8887691367</v>
      </c>
      <c r="F38" s="405"/>
    </row>
    <row r="39" spans="1:32" ht="15" thickTop="1" x14ac:dyDescent="0.35">
      <c r="A39"/>
      <c r="B39"/>
      <c r="C39"/>
      <c r="D39"/>
      <c r="E39"/>
      <c r="F39" s="281"/>
    </row>
    <row r="40" spans="1:32" x14ac:dyDescent="0.3">
      <c r="E40" s="281"/>
    </row>
    <row r="42" spans="1:32" x14ac:dyDescent="0.3">
      <c r="A42" s="85"/>
      <c r="B42" s="276"/>
      <c r="C42" s="85"/>
      <c r="E42" s="280"/>
    </row>
    <row r="43" spans="1:32" x14ac:dyDescent="0.3">
      <c r="A43" s="85"/>
      <c r="B43" s="85"/>
      <c r="C43" s="85"/>
      <c r="D43" s="85"/>
    </row>
    <row r="44" spans="1:32" x14ac:dyDescent="0.3">
      <c r="A44" s="170" t="s">
        <v>22</v>
      </c>
      <c r="B44" s="170"/>
      <c r="C44" s="282">
        <v>3.7302178999999998E-2</v>
      </c>
      <c r="D44" s="85"/>
      <c r="E44" s="280"/>
    </row>
    <row r="45" spans="1:32" x14ac:dyDescent="0.3">
      <c r="A45" s="85"/>
      <c r="B45" s="85"/>
      <c r="C45" s="85"/>
      <c r="D45" s="85"/>
    </row>
    <row r="46" spans="1:32" x14ac:dyDescent="0.3">
      <c r="A46" s="85"/>
      <c r="B46" s="85"/>
      <c r="C46" s="85"/>
      <c r="D46" s="85"/>
    </row>
  </sheetData>
  <mergeCells count="3">
    <mergeCell ref="A3:F3"/>
    <mergeCell ref="A29:A30"/>
    <mergeCell ref="A27:D27"/>
  </mergeCells>
  <printOptions gridLines="1"/>
  <pageMargins left="0.7" right="0.7" top="0.75" bottom="0.75" header="0.3" footer="0.3"/>
  <pageSetup paperSize="9" scale="8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ED7D-F8F6-4175-8114-904D908EC944}">
  <sheetPr>
    <tabColor theme="5"/>
  </sheetPr>
  <dimension ref="A1:V39"/>
  <sheetViews>
    <sheetView showGridLines="0" zoomScale="110" zoomScaleNormal="110" workbookViewId="0">
      <selection activeCell="D38" sqref="D38"/>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2029 GASIG (com desc.)'!A246</f>
        <v>TEN1</v>
      </c>
      <c r="B2" s="320" t="str">
        <f>'CWD 2029 GASIG (com desc.)'!B246</f>
        <v>PR-CARAGUATATUBA</v>
      </c>
      <c r="C2" s="321">
        <f>'CWD 2029 GASIG (sem desc.)'!H24</f>
        <v>128351389.123045</v>
      </c>
      <c r="D2" s="322">
        <f ca="1">'CWD 2029 GASIG (com desc.)'!E246</f>
        <v>5.8549575692131955E-2</v>
      </c>
      <c r="E2" s="323">
        <f t="shared" ref="E2:E11" ca="1" si="0">IFERROR(C2*D2," ")</f>
        <v>7514919.3726500049</v>
      </c>
      <c r="F2" s="363"/>
      <c r="L2" s="68" t="s">
        <v>58</v>
      </c>
      <c r="M2" s="67">
        <f ca="1">IFERROR($D$2+$C34," ")</f>
        <v>8.9416701796371623E-2</v>
      </c>
      <c r="N2" s="67">
        <f ca="1">IFERROR($D$3+$C34," ")</f>
        <v>8.2532914896182197E-2</v>
      </c>
      <c r="O2" s="67">
        <f ca="1">IFERROR($D$4+$C34," ")</f>
        <v>8.4051456000860683E-2</v>
      </c>
      <c r="P2" s="67">
        <f ca="1">IFERROR($D$5+$C34," ")</f>
        <v>3.6084988898188348E-2</v>
      </c>
      <c r="Q2" s="67" t="str">
        <f ca="1">IFERROR($D$6+$C34," ")</f>
        <v xml:space="preserve"> </v>
      </c>
      <c r="R2" s="67" t="str">
        <f ca="1">IFERROR($D$7+$C34," ")</f>
        <v xml:space="preserve"> </v>
      </c>
      <c r="S2" s="67">
        <f ca="1">IFERROR($D$8+$C34," ")</f>
        <v>8.8475027744666201E-2</v>
      </c>
      <c r="T2" s="67">
        <f ca="1">IFERROR($D$9+$C34," ")</f>
        <v>3.5737038880745448E-2</v>
      </c>
      <c r="U2" s="67">
        <f ca="1">IFERROR($D$10+$C34," ")</f>
        <v>3.6084988898188348E-2</v>
      </c>
      <c r="V2" s="67">
        <f ca="1">IFERROR($D$11+$C34," ")</f>
        <v>3.5990575965816729E-2</v>
      </c>
    </row>
    <row r="3" spans="1:22" s="62" customFormat="1" x14ac:dyDescent="0.35">
      <c r="A3" s="292" t="str">
        <f>'CWD 2029 GASIG (com desc.)'!A247</f>
        <v>TEN2</v>
      </c>
      <c r="B3" s="295" t="str">
        <f>'CWD 2029 GASIG (com desc.)'!B247</f>
        <v>PR-GNLBGB</v>
      </c>
      <c r="C3" s="296">
        <f>'CWD 2029 GASIG (sem desc.)'!H25</f>
        <v>272305906.69999999</v>
      </c>
      <c r="D3" s="297">
        <f ca="1">'CWD 2029 GASIG (com desc.)'!E247</f>
        <v>5.166578879194253E-2</v>
      </c>
      <c r="E3" s="298">
        <f t="shared" ca="1" si="0"/>
        <v>14068899.462360607</v>
      </c>
      <c r="F3" s="363"/>
      <c r="L3" s="68" t="s">
        <v>69</v>
      </c>
      <c r="M3" s="67">
        <f t="shared" ref="M3:M7" ca="1" si="1">IFERROR($D$2+$C35," ")</f>
        <v>8.2456086531274841E-2</v>
      </c>
      <c r="N3" s="67">
        <f t="shared" ref="N3:N7" ca="1" si="2">IFERROR($D$3+$C35," ")</f>
        <v>7.5572299631085416E-2</v>
      </c>
      <c r="O3" s="67">
        <f t="shared" ref="O3:O7" ca="1" si="3">IFERROR($D$4+$C35," ")</f>
        <v>7.7090840735763902E-2</v>
      </c>
      <c r="P3" s="67">
        <f t="shared" ref="P3:P7" ca="1" si="4">IFERROR($D$5+$C35," ")</f>
        <v>2.9124373633091567E-2</v>
      </c>
      <c r="Q3" s="67" t="str">
        <f t="shared" ref="Q3:Q7" ca="1" si="5">IFERROR($D$6+$C35," ")</f>
        <v xml:space="preserve"> </v>
      </c>
      <c r="R3" s="67" t="str">
        <f t="shared" ref="R3:R7" ca="1" si="6">IFERROR($D$7+$C35," ")</f>
        <v xml:space="preserve"> </v>
      </c>
      <c r="S3" s="67">
        <f t="shared" ref="S3:S7" ca="1" si="7">IFERROR($D$8+$C35," ")</f>
        <v>8.151441247956942E-2</v>
      </c>
      <c r="T3" s="67">
        <f t="shared" ref="T3:T7" ca="1" si="8">IFERROR($D$9+$C35," ")</f>
        <v>2.8776423615648666E-2</v>
      </c>
      <c r="U3" s="67">
        <f t="shared" ref="U3:U7" ca="1" si="9">IFERROR($D$10+$C35," ")</f>
        <v>2.9124373633091567E-2</v>
      </c>
      <c r="V3" s="67">
        <f t="shared" ref="V3:V7" ca="1" si="10">IFERROR($D$11+$C35," ")</f>
        <v>2.9029960700719948E-2</v>
      </c>
    </row>
    <row r="4" spans="1:22" x14ac:dyDescent="0.35">
      <c r="A4" s="292" t="str">
        <f>'CWD 2029 GASIG (com desc.)'!A248</f>
        <v>TEN3</v>
      </c>
      <c r="B4" s="295" t="str">
        <f>'CWD 2029 GASIG (com desc.)'!B248</f>
        <v>PR-ITABORAÍ</v>
      </c>
      <c r="C4" s="296">
        <f>'CWD 2029 GASIG (sem desc.)'!H26</f>
        <v>183098491.66507998</v>
      </c>
      <c r="D4" s="297">
        <f ca="1">'CWD 2029 GASIG (com desc.)'!E248</f>
        <v>5.3184329896621009E-2</v>
      </c>
      <c r="E4" s="296">
        <f t="shared" ca="1" si="0"/>
        <v>9737970.5842893254</v>
      </c>
      <c r="F4" s="363"/>
      <c r="L4" s="68" t="s">
        <v>258</v>
      </c>
      <c r="M4" s="67">
        <f t="shared" ca="1" si="1"/>
        <v>8.7429306487521521E-2</v>
      </c>
      <c r="N4" s="67">
        <f t="shared" ca="1" si="2"/>
        <v>8.0545519587332096E-2</v>
      </c>
      <c r="O4" s="67">
        <f t="shared" ca="1" si="3"/>
        <v>8.2064060692010568E-2</v>
      </c>
      <c r="P4" s="67">
        <f t="shared" ca="1" si="4"/>
        <v>3.409759358933824E-2</v>
      </c>
      <c r="Q4" s="67" t="str">
        <f t="shared" ca="1" si="5"/>
        <v xml:space="preserve"> </v>
      </c>
      <c r="R4" s="67" t="str">
        <f t="shared" ca="1" si="6"/>
        <v xml:space="preserve"> </v>
      </c>
      <c r="S4" s="67">
        <f t="shared" ca="1" si="7"/>
        <v>8.64876324358161E-2</v>
      </c>
      <c r="T4" s="67">
        <f t="shared" ca="1" si="8"/>
        <v>3.3749643571895339E-2</v>
      </c>
      <c r="U4" s="67">
        <f t="shared" ca="1" si="9"/>
        <v>3.409759358933824E-2</v>
      </c>
      <c r="V4" s="67">
        <f t="shared" ca="1" si="10"/>
        <v>3.4003180656966621E-2</v>
      </c>
    </row>
    <row r="5" spans="1:22" ht="24" x14ac:dyDescent="0.35">
      <c r="A5" s="292" t="str">
        <f>'CWD 2029 GASIG (com desc.)'!A249</f>
        <v>TEN4</v>
      </c>
      <c r="B5" s="295" t="str">
        <f>'CWD 2029 GASIG (com desc.)'!B249</f>
        <v>PR-GASPAJ (INTERCONEXÃO)</v>
      </c>
      <c r="C5" s="296">
        <f>'CWD 2029 GASIG (sem desc.)'!H27</f>
        <v>4152665.0771750002</v>
      </c>
      <c r="D5" s="297">
        <f ca="1">'CWD 2029 GASIG (com desc.)'!E249</f>
        <v>5.2178627939486787E-3</v>
      </c>
      <c r="E5" s="296">
        <f t="shared" ca="1" si="0"/>
        <v>21668.036601921453</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2029 GASIG (com desc.)'!A250</f>
        <v>TEN5</v>
      </c>
      <c r="B6" s="295" t="str">
        <f>'CWD 2029 GASIG (com desc.)'!B250</f>
        <v>PR-REDUC</v>
      </c>
      <c r="C6" s="296">
        <f>'CWD 2029 GASIG (sem desc.)'!H28</f>
        <v>0</v>
      </c>
      <c r="D6" s="297" t="str">
        <f>'CWD 2029 GASIG (com desc.)'!E250</f>
        <v xml:space="preserve"> </v>
      </c>
      <c r="E6" s="296" t="str">
        <f t="shared" si="0"/>
        <v xml:space="preserve"> </v>
      </c>
      <c r="F6" s="363"/>
      <c r="L6" s="132" t="str">
        <f t="shared" ref="L6:L7" si="11">B29</f>
        <v>PE-REPLAN (INTERCONEXÃO)</v>
      </c>
      <c r="M6" s="67">
        <f t="shared" ca="1" si="1"/>
        <v>6.111240643102319E-2</v>
      </c>
      <c r="N6" s="67">
        <f t="shared" ca="1" si="2"/>
        <v>5.4228619530833765E-2</v>
      </c>
      <c r="O6" s="67">
        <f t="shared" ca="1" si="3"/>
        <v>5.5747160635512244E-2</v>
      </c>
      <c r="P6" s="67">
        <f t="shared" ca="1" si="4"/>
        <v>7.7806935328399119E-3</v>
      </c>
      <c r="Q6" s="67" t="str">
        <f t="shared" ca="1" si="5"/>
        <v xml:space="preserve"> </v>
      </c>
      <c r="R6" s="67" t="str">
        <f t="shared" ca="1" si="6"/>
        <v xml:space="preserve"> </v>
      </c>
      <c r="S6" s="67">
        <f t="shared" ca="1" si="7"/>
        <v>6.0170732379317769E-2</v>
      </c>
      <c r="T6" s="67">
        <f t="shared" ca="1" si="8"/>
        <v>7.4327435153970084E-3</v>
      </c>
      <c r="U6" s="67">
        <f t="shared" ca="1" si="9"/>
        <v>7.7806935328399119E-3</v>
      </c>
      <c r="V6" s="67">
        <f t="shared" ca="1" si="10"/>
        <v>7.6862806004682925E-3</v>
      </c>
    </row>
    <row r="7" spans="1:22" x14ac:dyDescent="0.35">
      <c r="A7" s="292" t="str">
        <f>'CWD 2029 GASIG (com desc.)'!A251</f>
        <v>TEN6</v>
      </c>
      <c r="B7" s="295" t="str">
        <f>'CWD 2029 GASIG (com desc.)'!B251</f>
        <v>PR-RPBC</v>
      </c>
      <c r="C7" s="296">
        <f>'CWD 2029 GASIG (sem desc.)'!H29</f>
        <v>0</v>
      </c>
      <c r="D7" s="297" t="str">
        <f>'CWD 2029 GASIG (com desc.)'!E251</f>
        <v xml:space="preserve"> </v>
      </c>
      <c r="E7" s="296" t="str">
        <f t="shared" si="0"/>
        <v xml:space="preserve"> </v>
      </c>
      <c r="F7" s="363"/>
      <c r="L7" s="132" t="str">
        <f t="shared" si="11"/>
        <v>PE-TECAB (INTERCONEXÃO)</v>
      </c>
      <c r="M7" s="67">
        <f t="shared" ca="1" si="1"/>
        <v>6.0787739370089827E-2</v>
      </c>
      <c r="N7" s="67">
        <f t="shared" ca="1" si="2"/>
        <v>5.3903952469900401E-2</v>
      </c>
      <c r="O7" s="67">
        <f t="shared" ca="1" si="3"/>
        <v>5.5422493574578881E-2</v>
      </c>
      <c r="P7" s="67">
        <f t="shared" ca="1" si="4"/>
        <v>7.4560264719065496E-3</v>
      </c>
      <c r="Q7" s="67" t="str">
        <f t="shared" ca="1" si="5"/>
        <v xml:space="preserve"> </v>
      </c>
      <c r="R7" s="67" t="str">
        <f t="shared" ca="1" si="6"/>
        <v xml:space="preserve"> </v>
      </c>
      <c r="S7" s="67">
        <f t="shared" ca="1" si="7"/>
        <v>5.9846065318384406E-2</v>
      </c>
      <c r="T7" s="67">
        <f t="shared" ca="1" si="8"/>
        <v>7.1080764544636452E-3</v>
      </c>
      <c r="U7" s="67">
        <f t="shared" ca="1" si="9"/>
        <v>7.4560264719065496E-3</v>
      </c>
      <c r="V7" s="67">
        <f t="shared" ca="1" si="10"/>
        <v>7.3616135395349301E-3</v>
      </c>
    </row>
    <row r="8" spans="1:22" x14ac:dyDescent="0.35">
      <c r="A8" s="292" t="str">
        <f>'CWD 2029 GASIG (com desc.)'!A252</f>
        <v>TEN7</v>
      </c>
      <c r="B8" s="295" t="str">
        <f>'CWD 2029 GASIG (com desc.)'!B252</f>
        <v>PR-TECAB</v>
      </c>
      <c r="C8" s="296">
        <f>'CWD 2029 GASIG (sem desc.)'!H30</f>
        <v>85313440.569109991</v>
      </c>
      <c r="D8" s="297">
        <f ca="1">'CWD 2029 GASIG (com desc.)'!E252</f>
        <v>5.7607901640426534E-2</v>
      </c>
      <c r="E8" s="296">
        <f t="shared" ca="1" si="0"/>
        <v>4914728.2929116627</v>
      </c>
      <c r="F8" s="363"/>
      <c r="L8" s="61"/>
    </row>
    <row r="9" spans="1:22" x14ac:dyDescent="0.35">
      <c r="A9" s="292" t="str">
        <f>'CWD 2029 GASIG (com desc.)'!A253</f>
        <v>TEN8</v>
      </c>
      <c r="B9" s="295" t="str">
        <f>'CWD 2029 GASIG (com desc.)'!B253</f>
        <v>PR-GUARAREMA (INTERCONEXÃO)</v>
      </c>
      <c r="C9" s="296">
        <f>'CWD 2029 GASIG (sem desc.)'!H31</f>
        <v>81691772.010000005</v>
      </c>
      <c r="D9" s="297">
        <f ca="1">'CWD 2029 GASIG (com desc.)'!E253</f>
        <v>4.8699127765057752E-3</v>
      </c>
      <c r="E9" s="296">
        <f t="shared" ca="1" si="0"/>
        <v>397831.80424689589</v>
      </c>
      <c r="F9" s="363"/>
      <c r="L9" s="61"/>
    </row>
    <row r="10" spans="1:22" x14ac:dyDescent="0.35">
      <c r="A10" s="292" t="str">
        <f>'CWD 2029 GASIG (com desc.)'!A254</f>
        <v>TEN9</v>
      </c>
      <c r="B10" s="295" t="str">
        <f>'CWD 2029 GASIG (com desc.)'!B254</f>
        <v>PR-REPLAN (INTERCONEXÃO)</v>
      </c>
      <c r="C10" s="296">
        <f>'CWD 2029 GASIG (sem desc.)'!H32</f>
        <v>2791135.5436749998</v>
      </c>
      <c r="D10" s="297">
        <f ca="1">'CWD 2029 GASIG (com desc.)'!E254</f>
        <v>5.2178627939486787E-3</v>
      </c>
      <c r="E10" s="296">
        <f t="shared" ca="1" si="0"/>
        <v>14563.762306209499</v>
      </c>
      <c r="F10" s="363"/>
      <c r="L10" s="61"/>
    </row>
    <row r="11" spans="1:22" x14ac:dyDescent="0.35">
      <c r="A11" s="292" t="str">
        <f>'CWD 2029 GASIG (com desc.)'!A255</f>
        <v>TEN10</v>
      </c>
      <c r="B11" s="295" t="str">
        <f>'CWD 2029 GASIG (com desc.)'!B255</f>
        <v>PR-TECAB (INTERCONEXÃO)</v>
      </c>
      <c r="C11" s="296">
        <f>'CWD 2029 GASIG (sem desc.)'!H33</f>
        <v>2723059.0670000003</v>
      </c>
      <c r="D11" s="297">
        <f ca="1">'CWD 2029 GASIG (com desc.)'!E255</f>
        <v>5.1234498615770592E-3</v>
      </c>
      <c r="E11" s="296">
        <f t="shared" ca="1" si="0"/>
        <v>13951.456599887308</v>
      </c>
      <c r="F11" s="363"/>
      <c r="L11" s="61"/>
    </row>
    <row r="12" spans="1:22" x14ac:dyDescent="0.35">
      <c r="E12" s="65">
        <f ca="1">SUM(E2:E11)</f>
        <v>36684532.771966502</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2029 GASIG (com desc.)'!H246</f>
        <v>TEX1</v>
      </c>
      <c r="B15" s="296" t="str">
        <f>'CWD 2029 GASIG (com desc.)'!I246</f>
        <v>NTS MG 1</v>
      </c>
      <c r="C15" s="296">
        <f>'CWD 2029 GASIG (sem desc.)'!H41</f>
        <v>8618481.9470549989</v>
      </c>
      <c r="D15" s="296"/>
      <c r="E15" s="299">
        <f ca="1">'CWD 2029 GASIG (com desc.)'!L246</f>
        <v>2.7520712889611353E-2</v>
      </c>
      <c r="F15" s="305">
        <f ca="1">IFERROR(C15*E15," ")</f>
        <v>237186.76720919926</v>
      </c>
      <c r="G15" s="308"/>
      <c r="H15" s="314" t="str">
        <f>IFERROR(G15/D15," ")</f>
        <v xml:space="preserve"> </v>
      </c>
      <c r="I15" s="66"/>
      <c r="J15" s="66"/>
      <c r="L15" s="59"/>
    </row>
    <row r="16" spans="1:22" x14ac:dyDescent="0.35">
      <c r="A16" s="296" t="str">
        <f>'CWD 2029 GASIG (com desc.)'!H247</f>
        <v>TEX2</v>
      </c>
      <c r="B16" s="296" t="str">
        <f>'CWD 2029 GASIG (com desc.)'!I247</f>
        <v>NTS MG 2</v>
      </c>
      <c r="C16" s="296">
        <f>'CWD 2029 GASIG (sem desc.)'!H42</f>
        <v>14949594.277829999</v>
      </c>
      <c r="D16" s="296"/>
      <c r="E16" s="299">
        <f ca="1">'CWD 2029 GASIG (com desc.)'!L247</f>
        <v>2.9508041010818626E-2</v>
      </c>
      <c r="F16" s="305">
        <f t="shared" ref="F16:F30" ca="1" si="12">IFERROR(C16*E16," ")</f>
        <v>441133.24104530708</v>
      </c>
      <c r="G16" s="317"/>
      <c r="H16" s="315" t="str">
        <f t="shared" ref="H16:H30" si="13">IFERROR(G16/D16," ")</f>
        <v xml:space="preserve"> </v>
      </c>
      <c r="I16" s="66"/>
      <c r="J16" s="66"/>
      <c r="L16" s="59"/>
    </row>
    <row r="17" spans="1:12" x14ac:dyDescent="0.35">
      <c r="A17" s="296" t="str">
        <f>'CWD 2029 GASIG (com desc.)'!H248</f>
        <v>TEX3</v>
      </c>
      <c r="B17" s="296" t="str">
        <f>'CWD 2029 GASIG (com desc.)'!I248</f>
        <v>NTS MG 3</v>
      </c>
      <c r="C17" s="296">
        <f>'CWD 2029 GASIG (sem desc.)'!H43</f>
        <v>38830822.295419998</v>
      </c>
      <c r="D17" s="296"/>
      <c r="E17" s="299">
        <f ca="1">'CWD 2029 GASIG (com desc.)'!L248</f>
        <v>3.1904460433515039E-2</v>
      </c>
      <c r="F17" s="305">
        <f ca="1">IFERROR(C17*E17," ")</f>
        <v>1238876.433525081</v>
      </c>
      <c r="G17" s="310"/>
      <c r="H17" s="316" t="str">
        <f t="shared" si="13"/>
        <v xml:space="preserve"> </v>
      </c>
      <c r="I17" s="66"/>
      <c r="J17" s="66"/>
      <c r="L17" s="59"/>
    </row>
    <row r="18" spans="1:12" x14ac:dyDescent="0.35">
      <c r="A18" s="301" t="str">
        <f>'CWD 2029 GASIG (com desc.)'!H249</f>
        <v>TEX4</v>
      </c>
      <c r="B18" s="301" t="str">
        <f>'CWD 2029 GASIG (com desc.)'!I249</f>
        <v>NTS MG 4</v>
      </c>
      <c r="C18" s="301">
        <f>'CWD 2029 GASIG (sem desc.)'!H44</f>
        <v>4152665.0771750002</v>
      </c>
      <c r="D18" s="301">
        <f>SUM(C15:C18)</f>
        <v>66551563.597479992</v>
      </c>
      <c r="E18" s="302">
        <f ca="1">'CWD 2029 GASIG (com desc.)'!L249</f>
        <v>3.3005085088969724E-2</v>
      </c>
      <c r="F18" s="301">
        <f ca="1">IFERROR(C18*E18," ")</f>
        <v>137059.06421815392</v>
      </c>
      <c r="G18" s="313">
        <f ca="1">SUM(F15:F18)</f>
        <v>2054255.5059977414</v>
      </c>
      <c r="H18" s="311">
        <f t="shared" ca="1" si="13"/>
        <v>3.0867126104239671E-2</v>
      </c>
      <c r="I18" s="332"/>
      <c r="J18"/>
      <c r="L18" s="59"/>
    </row>
    <row r="19" spans="1:12" x14ac:dyDescent="0.35">
      <c r="A19" s="296" t="str">
        <f>'CWD 2029 GASIG (com desc.)'!H250</f>
        <v>TEX5</v>
      </c>
      <c r="B19" s="296" t="str">
        <f>'CWD 2029 GASIG (com desc.)'!I250</f>
        <v>NTS RJ 1</v>
      </c>
      <c r="C19" s="296">
        <f>'CWD 2029 GASIG (sem desc.)'!H45</f>
        <v>185494783.64403999</v>
      </c>
      <c r="D19" s="296"/>
      <c r="E19" s="299">
        <f ca="1">'CWD 2029 GASIG (com desc.)'!L250</f>
        <v>2.3930792070076062E-2</v>
      </c>
      <c r="F19" s="305">
        <f t="shared" ca="1" si="12"/>
        <v>4439037.0974692674</v>
      </c>
      <c r="G19" s="308"/>
      <c r="H19" s="314" t="str">
        <f t="shared" si="13"/>
        <v xml:space="preserve"> </v>
      </c>
      <c r="I19"/>
      <c r="J19"/>
      <c r="L19" s="59"/>
    </row>
    <row r="20" spans="1:12" x14ac:dyDescent="0.35">
      <c r="A20" s="296" t="str">
        <f>'CWD 2029 GASIG (com desc.)'!H251</f>
        <v>TEX6</v>
      </c>
      <c r="B20" s="296" t="str">
        <f>'CWD 2029 GASIG (com desc.)'!I251</f>
        <v>NTS RJ 2</v>
      </c>
      <c r="C20" s="296">
        <f>'CWD 2029 GASIG (sem desc.)'!H46</f>
        <v>114409326.70000499</v>
      </c>
      <c r="D20" s="296"/>
      <c r="E20" s="299">
        <f ca="1">'CWD 2029 GASIG (com desc.)'!L251</f>
        <v>2.3748298731408816E-2</v>
      </c>
      <c r="F20" s="305">
        <f t="shared" ca="1" si="12"/>
        <v>2717026.8681310653</v>
      </c>
      <c r="G20" s="309"/>
      <c r="H20" s="315" t="str">
        <f t="shared" si="13"/>
        <v xml:space="preserve"> </v>
      </c>
      <c r="I20"/>
      <c r="J20"/>
      <c r="L20" s="59"/>
    </row>
    <row r="21" spans="1:12" x14ac:dyDescent="0.35">
      <c r="A21" s="296" t="str">
        <f>'CWD 2029 GASIG (com desc.)'!H252</f>
        <v>TEX7</v>
      </c>
      <c r="B21" s="296" t="str">
        <f>'CWD 2029 GASIG (com desc.)'!I252</f>
        <v>NTS RJ 3</v>
      </c>
      <c r="C21" s="296">
        <f>'CWD 2029 GASIG (sem desc.)'!H47</f>
        <v>29586036.762954999</v>
      </c>
      <c r="D21" s="304"/>
      <c r="E21" s="299">
        <f ca="1">'CWD 2029 GASIG (com desc.)'!L252</f>
        <v>2.4341970289047547E-2</v>
      </c>
      <c r="F21" s="305">
        <f t="shared" ca="1" si="12"/>
        <v>720182.4278545191</v>
      </c>
      <c r="G21" s="312"/>
      <c r="H21" s="315" t="str">
        <f t="shared" si="13"/>
        <v xml:space="preserve"> </v>
      </c>
      <c r="I21"/>
      <c r="J21"/>
      <c r="L21" s="59"/>
    </row>
    <row r="22" spans="1:12" x14ac:dyDescent="0.35">
      <c r="A22" s="296" t="str">
        <f>'CWD 2029 GASIG (com desc.)'!H253</f>
        <v>TEX8</v>
      </c>
      <c r="B22" s="296" t="str">
        <f>'CWD 2029 GASIG (com desc.)'!I253</f>
        <v>NTS RJ 4</v>
      </c>
      <c r="C22" s="296">
        <f>'CWD 2029 GASIG (sem desc.)'!H48</f>
        <v>3853128.5798049998</v>
      </c>
      <c r="D22" s="296"/>
      <c r="E22" s="299">
        <f ca="1">'CWD 2029 GASIG (com desc.)'!L253</f>
        <v>2.5115391731167083E-2</v>
      </c>
      <c r="F22" s="305">
        <f t="shared" ca="1" si="12"/>
        <v>96772.833672358058</v>
      </c>
      <c r="G22" s="310"/>
      <c r="H22" s="316" t="str">
        <f t="shared" si="13"/>
        <v xml:space="preserve"> </v>
      </c>
      <c r="I22"/>
      <c r="J22"/>
      <c r="L22" s="59"/>
    </row>
    <row r="23" spans="1:12" x14ac:dyDescent="0.35">
      <c r="A23" s="301" t="str">
        <f>'CWD 2029 GASIG (com desc.)'!H254</f>
        <v>TEX9</v>
      </c>
      <c r="B23" s="301" t="str">
        <f>'CWD 2029 GASIG (com desc.)'!I254</f>
        <v>NTS RJ 5</v>
      </c>
      <c r="C23" s="301">
        <f>'CWD 2029 GASIG (sem desc.)'!H49</f>
        <v>28809964.928859998</v>
      </c>
      <c r="D23" s="301">
        <f>SUM(C19:C23)</f>
        <v>362153240.61566502</v>
      </c>
      <c r="E23" s="302">
        <f ca="1">'CWD 2029 GASIG (com desc.)'!L254</f>
        <v>2.3769593151983313E-2</v>
      </c>
      <c r="F23" s="301">
        <f t="shared" ca="1" si="12"/>
        <v>684801.14508191007</v>
      </c>
      <c r="G23" s="313">
        <f ca="1">SUM(F19:F23)</f>
        <v>8657820.3722091187</v>
      </c>
      <c r="H23" s="311">
        <f t="shared" ca="1" si="13"/>
        <v>2.3906510839142889E-2</v>
      </c>
      <c r="I23" s="332"/>
      <c r="J23"/>
    </row>
    <row r="24" spans="1:12" x14ac:dyDescent="0.35">
      <c r="A24" s="296" t="str">
        <f>'CWD 2029 GASIG (com desc.)'!H255</f>
        <v>TEX10</v>
      </c>
      <c r="B24" s="296" t="str">
        <f>'CWD 2029 GASIG (com desc.)'!I255</f>
        <v>NTS SP 1</v>
      </c>
      <c r="C24" s="296">
        <f>'CWD 2029 GASIG (sem desc.)'!H50</f>
        <v>14296060.101749998</v>
      </c>
      <c r="D24" s="296"/>
      <c r="E24" s="299">
        <f ca="1">'CWD 2029 GASIG (com desc.)'!L255</f>
        <v>2.7391729867326142E-2</v>
      </c>
      <c r="F24" s="305">
        <f t="shared" ca="1" si="12"/>
        <v>391593.81647419499</v>
      </c>
      <c r="G24" s="308"/>
      <c r="H24" s="314" t="str">
        <f t="shared" si="13"/>
        <v xml:space="preserve"> </v>
      </c>
      <c r="I24"/>
      <c r="J24"/>
    </row>
    <row r="25" spans="1:12" x14ac:dyDescent="0.35">
      <c r="A25" s="296" t="str">
        <f>'CWD 2029 GASIG (com desc.)'!H256</f>
        <v>TEX11</v>
      </c>
      <c r="B25" s="296" t="str">
        <f>'CWD 2029 GASIG (com desc.)'!I256</f>
        <v>NTS SP 2</v>
      </c>
      <c r="C25" s="296">
        <f>'CWD 2029 GASIG (sem desc.)'!H51</f>
        <v>40886731.891005002</v>
      </c>
      <c r="D25" s="296"/>
      <c r="E25" s="299">
        <f ca="1">'CWD 2029 GASIG (com desc.)'!L256</f>
        <v>2.717821720389552E-2</v>
      </c>
      <c r="F25" s="305">
        <f t="shared" ca="1" si="12"/>
        <v>1111228.4800911758</v>
      </c>
      <c r="G25" s="309"/>
      <c r="H25" s="315" t="str">
        <f t="shared" si="13"/>
        <v xml:space="preserve"> </v>
      </c>
      <c r="I25"/>
      <c r="J25"/>
    </row>
    <row r="26" spans="1:12" x14ac:dyDescent="0.35">
      <c r="A26" s="296" t="str">
        <f>'CWD 2029 GASIG (com desc.)'!H257</f>
        <v>TEX12</v>
      </c>
      <c r="B26" s="296" t="str">
        <f>'CWD 2029 GASIG (com desc.)'!I257</f>
        <v>NTS SP 3</v>
      </c>
      <c r="C26" s="296">
        <f>'CWD 2029 GASIG (sem desc.)'!H52</f>
        <v>76027809.150639996</v>
      </c>
      <c r="D26" s="304"/>
      <c r="E26" s="299">
        <f ca="1">'CWD 2029 GASIG (com desc.)'!L257</f>
        <v>2.948393149568309E-2</v>
      </c>
      <c r="F26" s="305">
        <f t="shared" ca="1" si="12"/>
        <v>2241598.7167643374</v>
      </c>
      <c r="G26" s="318"/>
      <c r="H26" s="316" t="str">
        <f t="shared" si="13"/>
        <v xml:space="preserve"> </v>
      </c>
      <c r="I26"/>
      <c r="J26"/>
    </row>
    <row r="27" spans="1:12" x14ac:dyDescent="0.35">
      <c r="A27" s="301" t="str">
        <f>'CWD 2029 GASIG (com desc.)'!H258</f>
        <v>TEX13</v>
      </c>
      <c r="B27" s="301" t="str">
        <f>'CWD 2029 GASIG (com desc.)'!I258</f>
        <v>NTS SP 4</v>
      </c>
      <c r="C27" s="301">
        <f>'CWD 2029 GASIG (sem desc.)'!H53</f>
        <v>33806778.316804998</v>
      </c>
      <c r="D27" s="301">
        <f>SUM(C24:C27)</f>
        <v>165017379.46019998</v>
      </c>
      <c r="E27" s="302">
        <f ca="1">'CWD 2029 GASIG (com desc.)'!L258</f>
        <v>3.0208039123735968E-2</v>
      </c>
      <c r="F27" s="301">
        <f t="shared" ca="1" si="12"/>
        <v>1021236.4820415141</v>
      </c>
      <c r="G27" s="306">
        <f ca="1">SUM(F24:F27)</f>
        <v>4765657.4953712225</v>
      </c>
      <c r="H27" s="307">
        <f t="shared" ca="1" si="13"/>
        <v>2.8879730795389563E-2</v>
      </c>
      <c r="I27" s="332"/>
      <c r="J27"/>
    </row>
    <row r="28" spans="1:12" x14ac:dyDescent="0.35">
      <c r="A28" s="296" t="str">
        <f>'CWD 2029 GASIG (com desc.)'!H259</f>
        <v>TEX14</v>
      </c>
      <c r="B28" s="296" t="str">
        <f>'CWD 2029 GASIG (com desc.)'!I259</f>
        <v>PE-GUARAREMA (INTERCONEXÃO)</v>
      </c>
      <c r="C28" s="296">
        <f>'CWD 2029 GASIG (sem desc.)'!H54</f>
        <v>0</v>
      </c>
      <c r="D28" s="296">
        <f>C28</f>
        <v>0</v>
      </c>
      <c r="E28" s="299">
        <f>'CWD 2029 GASIG (com desc.)'!L259</f>
        <v>0</v>
      </c>
      <c r="F28" s="296">
        <f t="shared" si="12"/>
        <v>0</v>
      </c>
      <c r="G28" s="296">
        <f>F28</f>
        <v>0</v>
      </c>
      <c r="H28" s="300" t="str">
        <f t="shared" si="13"/>
        <v xml:space="preserve"> </v>
      </c>
      <c r="I28"/>
      <c r="J28"/>
    </row>
    <row r="29" spans="1:12" x14ac:dyDescent="0.35">
      <c r="A29" s="301" t="str">
        <f>'CWD 2029 GASIG (com desc.)'!H260</f>
        <v>TEX15</v>
      </c>
      <c r="B29" s="301" t="str">
        <f>'CWD 2029 GASIG (com desc.)'!I260</f>
        <v>PE-REPLAN (INTERCONEXÃO)</v>
      </c>
      <c r="C29" s="301">
        <f>'CWD 2029 GASIG (sem desc.)'!H55</f>
        <v>92910775.366039991</v>
      </c>
      <c r="D29" s="301">
        <f t="shared" ref="D29:D30" si="14">C29</f>
        <v>92910775.366039991</v>
      </c>
      <c r="E29" s="302">
        <f ca="1">'CWD 2029 GASIG (com desc.)'!L260</f>
        <v>2.5628307388912332E-3</v>
      </c>
      <c r="F29" s="301">
        <f t="shared" ca="1" si="12"/>
        <v>238114.59108230568</v>
      </c>
      <c r="G29" s="301">
        <f t="shared" ref="G29:G30" ca="1" si="15">F29</f>
        <v>238114.59108230568</v>
      </c>
      <c r="H29" s="303">
        <f t="shared" ca="1" si="13"/>
        <v>2.5628307388912332E-3</v>
      </c>
      <c r="I29" s="332"/>
      <c r="J29"/>
    </row>
    <row r="30" spans="1:12" x14ac:dyDescent="0.35">
      <c r="A30" s="296" t="str">
        <f>'CWD 2029 GASIG (com desc.)'!H261</f>
        <v>TEX16</v>
      </c>
      <c r="B30" s="296" t="str">
        <f>'CWD 2029 GASIG (com desc.)'!I261</f>
        <v>PE-TECAB (INTERCONEXÃO)</v>
      </c>
      <c r="C30" s="296">
        <f>'CWD 2029 GASIG (sem desc.)'!H56</f>
        <v>2723059.0670000003</v>
      </c>
      <c r="D30" s="296">
        <f t="shared" si="14"/>
        <v>2723059.0670000003</v>
      </c>
      <c r="E30" s="299">
        <f ca="1">'CWD 2029 GASIG (com desc.)'!L261</f>
        <v>2.2381636779578704E-3</v>
      </c>
      <c r="F30" s="296">
        <f t="shared" ca="1" si="12"/>
        <v>6094.6518966932481</v>
      </c>
      <c r="G30" s="296">
        <f t="shared" ca="1" si="15"/>
        <v>6094.6518966932481</v>
      </c>
      <c r="H30" s="300">
        <f t="shared" ca="1" si="13"/>
        <v>2.2381636779578704E-3</v>
      </c>
      <c r="I30" s="332"/>
      <c r="J30" s="66"/>
    </row>
    <row r="31" spans="1:12" x14ac:dyDescent="0.35">
      <c r="C31" s="65">
        <f>SUM(C15:C30)</f>
        <v>689356018.10638499</v>
      </c>
      <c r="D31" s="65">
        <f>SUM(D15:D30)</f>
        <v>689356018.10638499</v>
      </c>
      <c r="F31" s="65">
        <f ca="1">SUM(F15:F30)</f>
        <v>15721942.61655708</v>
      </c>
      <c r="G31" s="65">
        <f ca="1">SUM(G15:G30)</f>
        <v>15721942.616557082</v>
      </c>
    </row>
    <row r="32" spans="1:12" x14ac:dyDescent="0.35">
      <c r="C32" s="65"/>
      <c r="D32" s="65"/>
      <c r="F32" s="65"/>
      <c r="G32" s="65"/>
    </row>
    <row r="33" spans="2:3" x14ac:dyDescent="0.35">
      <c r="C33" s="63" t="s">
        <v>257</v>
      </c>
    </row>
    <row r="34" spans="2:3" x14ac:dyDescent="0.35">
      <c r="B34" s="68" t="s">
        <v>58</v>
      </c>
      <c r="C34" s="66">
        <f ca="1">H18</f>
        <v>3.0867126104239671E-2</v>
      </c>
    </row>
    <row r="35" spans="2:3" x14ac:dyDescent="0.35">
      <c r="B35" s="68" t="s">
        <v>69</v>
      </c>
      <c r="C35" s="66">
        <f ca="1">H23</f>
        <v>2.3906510839142889E-2</v>
      </c>
    </row>
    <row r="36" spans="2:3" x14ac:dyDescent="0.35">
      <c r="B36" s="68" t="s">
        <v>258</v>
      </c>
      <c r="C36" s="66">
        <f ca="1">H27</f>
        <v>2.8879730795389563E-2</v>
      </c>
    </row>
    <row r="37" spans="2:3" x14ac:dyDescent="0.35">
      <c r="B37" s="132" t="s">
        <v>269</v>
      </c>
      <c r="C37" s="66" t="str">
        <f>H28</f>
        <v xml:space="preserve"> </v>
      </c>
    </row>
    <row r="38" spans="2:3" x14ac:dyDescent="0.35">
      <c r="B38" s="132" t="s">
        <v>268</v>
      </c>
      <c r="C38" s="66">
        <f t="shared" ref="C38:C39" ca="1" si="16">H29</f>
        <v>2.5628307388912332E-3</v>
      </c>
    </row>
    <row r="39" spans="2:3" x14ac:dyDescent="0.35">
      <c r="B39" s="132" t="s">
        <v>267</v>
      </c>
      <c r="C39" s="66">
        <f t="shared" ca="1" si="16"/>
        <v>2.2381636779578704E-3</v>
      </c>
    </row>
  </sheetData>
  <pageMargins left="0.511811024" right="0.511811024" top="0.78740157499999996" bottom="0.78740157499999996" header="0.31496062000000002" footer="0.31496062000000002"/>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7B0-1D41-D64C-8419-F951BFCE3438}">
  <sheetPr codeName="Planilha7"/>
  <dimension ref="A1:AB121"/>
  <sheetViews>
    <sheetView workbookViewId="0">
      <selection activeCell="A42" sqref="A42"/>
    </sheetView>
  </sheetViews>
  <sheetFormatPr defaultColWidth="10.81640625" defaultRowHeight="14.5" x14ac:dyDescent="0.35"/>
  <cols>
    <col min="1" max="1" width="11.81640625" bestFit="1" customWidth="1"/>
    <col min="18" max="18" width="17.1796875" style="81" bestFit="1" customWidth="1"/>
    <col min="19" max="19" width="13.453125" style="81" bestFit="1" customWidth="1"/>
    <col min="20" max="20" width="14.81640625" style="81" bestFit="1" customWidth="1"/>
    <col min="21" max="21" width="8.1796875" style="81" bestFit="1" customWidth="1"/>
    <col min="22" max="22" width="10" style="81" bestFit="1" customWidth="1"/>
    <col min="23" max="23" width="8.81640625" style="81" bestFit="1" customWidth="1"/>
    <col min="24" max="24" width="14.1796875" style="81" bestFit="1" customWidth="1"/>
    <col min="25" max="25" width="7.81640625" style="81" bestFit="1" customWidth="1"/>
    <col min="26" max="26" width="13.453125" style="81" bestFit="1" customWidth="1"/>
    <col min="27" max="27" width="6.1796875" bestFit="1" customWidth="1"/>
    <col min="28" max="28" width="6.81640625" bestFit="1" customWidth="1"/>
  </cols>
  <sheetData>
    <row r="1" spans="1:28" x14ac:dyDescent="0.35">
      <c r="A1" s="429" t="s">
        <v>259</v>
      </c>
      <c r="B1" s="429"/>
      <c r="C1" s="429"/>
      <c r="D1" s="429"/>
      <c r="E1" s="429"/>
      <c r="F1" s="429"/>
      <c r="G1" s="429"/>
      <c r="H1" s="429"/>
      <c r="I1" s="429"/>
      <c r="J1" s="429"/>
      <c r="K1" s="429"/>
      <c r="L1" s="69"/>
      <c r="M1" s="69"/>
      <c r="N1" s="69"/>
      <c r="O1" s="69"/>
    </row>
    <row r="2" spans="1:28" ht="35.15" customHeight="1" x14ac:dyDescent="0.35">
      <c r="A2" s="70"/>
      <c r="B2" s="5" t="s">
        <v>241</v>
      </c>
      <c r="C2" s="71" t="s">
        <v>244</v>
      </c>
      <c r="D2" s="5" t="s">
        <v>243</v>
      </c>
      <c r="E2" s="71" t="s">
        <v>26</v>
      </c>
      <c r="F2" s="5" t="s">
        <v>245</v>
      </c>
      <c r="G2" s="71" t="s">
        <v>27</v>
      </c>
      <c r="H2" s="5" t="s">
        <v>242</v>
      </c>
      <c r="I2" s="72" t="s">
        <v>29</v>
      </c>
      <c r="J2" s="1" t="s">
        <v>260</v>
      </c>
      <c r="K2" s="73" t="s">
        <v>261</v>
      </c>
      <c r="L2" s="74" t="s">
        <v>247</v>
      </c>
      <c r="M2" s="74" t="s">
        <v>246</v>
      </c>
      <c r="N2" s="74" t="s">
        <v>248</v>
      </c>
      <c r="O2" s="5" t="s">
        <v>249</v>
      </c>
      <c r="R2" s="82" t="s">
        <v>213</v>
      </c>
      <c r="S2" s="82" t="s">
        <v>211</v>
      </c>
      <c r="T2" s="82" t="s">
        <v>212</v>
      </c>
      <c r="U2" s="82" t="s">
        <v>24</v>
      </c>
      <c r="V2" s="82" t="s">
        <v>26</v>
      </c>
      <c r="W2" s="82" t="s">
        <v>27</v>
      </c>
      <c r="X2" s="82" t="s">
        <v>28</v>
      </c>
      <c r="Y2" s="82" t="s">
        <v>29</v>
      </c>
      <c r="Z2" s="82" t="s">
        <v>30</v>
      </c>
      <c r="AA2" s="82" t="s">
        <v>247</v>
      </c>
      <c r="AB2" s="82" t="s">
        <v>248</v>
      </c>
    </row>
    <row r="3" spans="1:28" x14ac:dyDescent="0.35">
      <c r="A3" s="1" t="s">
        <v>61</v>
      </c>
      <c r="B3" s="75">
        <v>492.714</v>
      </c>
      <c r="C3" s="75">
        <v>507.58100000000002</v>
      </c>
      <c r="D3" s="75">
        <v>610.73599999999999</v>
      </c>
      <c r="E3" s="75">
        <v>312.416</v>
      </c>
      <c r="F3" s="75">
        <v>473.40100000000001</v>
      </c>
      <c r="G3" s="75">
        <v>194.41399999999999</v>
      </c>
      <c r="H3" s="75">
        <v>610.73599999999999</v>
      </c>
      <c r="I3" s="75">
        <v>579.56399999999996</v>
      </c>
      <c r="J3" s="75">
        <v>312.416</v>
      </c>
      <c r="K3" s="75">
        <v>312.416</v>
      </c>
      <c r="L3" s="76">
        <v>311.61799999999999</v>
      </c>
      <c r="M3" s="76">
        <v>350.83799999999997</v>
      </c>
      <c r="N3" s="76">
        <v>417.416</v>
      </c>
      <c r="O3" s="75">
        <v>492.714</v>
      </c>
      <c r="R3" s="83">
        <f>VLOOKUP($A3,'Matriz Distâncias NTS'!$D$2:$O$42,3,0)-F3</f>
        <v>34.180000000000007</v>
      </c>
      <c r="S3" s="83">
        <f>VLOOKUP($A3,'Matriz Distâncias NTS'!$D$2:$O$42,4,0)-O3</f>
        <v>-180.298</v>
      </c>
      <c r="T3" s="83">
        <f>VLOOKUP($A3,'Matriz Distâncias NTS'!$D$2:$O$42,5,0)-H3</f>
        <v>-248.89800000000002</v>
      </c>
      <c r="U3" s="83">
        <f>VLOOKUP($A3,'Matriz Distâncias NTS'!$D$2:$O$42,6,0)-O3</f>
        <v>-19.312999999999988</v>
      </c>
      <c r="V3" s="83">
        <f>VLOOKUP($A3,'Matriz Distâncias NTS'!$D$2:$O$42,7,0)-E3</f>
        <v>298.32</v>
      </c>
      <c r="W3" s="83">
        <f>VLOOKUP($A3,'Matriz Distâncias NTS'!$D$2:$O$42,8,0)-G3</f>
        <v>0</v>
      </c>
      <c r="X3" s="83">
        <f>VLOOKUP($A3,'Matriz Distâncias NTS'!$D$2:$O$42,9,0)-C3</f>
        <v>103.15499999999997</v>
      </c>
      <c r="Y3" s="83">
        <f>VLOOKUP($A3,'Matriz Distâncias NTS'!$D$2:$O$42,10,0)-I3</f>
        <v>0</v>
      </c>
      <c r="Z3" s="83">
        <f>VLOOKUP($A3,'Matriz Distâncias NTS'!$D$2:$O$42,11,0)-M3</f>
        <v>141.87600000000003</v>
      </c>
      <c r="AA3" s="83">
        <f>VLOOKUP($A3,'Matriz Distâncias NTS'!$D$2:$O$42,12,0)-L3</f>
        <v>181.096</v>
      </c>
      <c r="AB3" s="83" t="e">
        <f>VLOOKUP($A3,'Matriz Distâncias NTS'!$D$2:$O$42,13,0)-N3</f>
        <v>#REF!</v>
      </c>
    </row>
    <row r="4" spans="1:28" x14ac:dyDescent="0.35">
      <c r="A4" s="1" t="s">
        <v>64</v>
      </c>
      <c r="B4" s="75">
        <v>654.14400000000001</v>
      </c>
      <c r="C4" s="75">
        <v>669.01099999999997</v>
      </c>
      <c r="D4" s="75">
        <v>772.16600000000005</v>
      </c>
      <c r="E4" s="75">
        <v>473.846</v>
      </c>
      <c r="F4" s="75">
        <v>634.83100000000002</v>
      </c>
      <c r="G4" s="75">
        <v>355.84399999999999</v>
      </c>
      <c r="H4" s="75">
        <v>772.16600000000005</v>
      </c>
      <c r="I4" s="75">
        <v>740.99400000000003</v>
      </c>
      <c r="J4" s="75">
        <v>473.846</v>
      </c>
      <c r="K4" s="75">
        <v>473.846</v>
      </c>
      <c r="L4" s="76">
        <v>473.04800000000006</v>
      </c>
      <c r="M4" s="76">
        <v>512.26800000000003</v>
      </c>
      <c r="N4" s="76">
        <v>578.846</v>
      </c>
      <c r="O4" s="75">
        <v>654.14400000000001</v>
      </c>
      <c r="R4" s="83">
        <f>VLOOKUP($A4,'Matriz Distâncias NTS'!$D$2:$O$42,3,0)-F4</f>
        <v>34.17999999999995</v>
      </c>
      <c r="S4" s="83">
        <f>VLOOKUP($A4,'Matriz Distâncias NTS'!$D$2:$O$42,4,0)-O4</f>
        <v>-180.298</v>
      </c>
      <c r="T4" s="83">
        <f>VLOOKUP($A4,'Matriz Distâncias NTS'!$D$2:$O$42,5,0)-H4</f>
        <v>-248.89800000000002</v>
      </c>
      <c r="U4" s="83">
        <f>VLOOKUP($A4,'Matriz Distâncias NTS'!$D$2:$O$42,6,0)-O4</f>
        <v>-19.312999999999988</v>
      </c>
      <c r="V4" s="83">
        <f>VLOOKUP($A4,'Matriz Distâncias NTS'!$D$2:$O$42,7,0)-E4</f>
        <v>298.32000000000005</v>
      </c>
      <c r="W4" s="83">
        <f>VLOOKUP($A4,'Matriz Distâncias NTS'!$D$2:$O$42,8,0)-G4</f>
        <v>0</v>
      </c>
      <c r="X4" s="83">
        <f>VLOOKUP($A4,'Matriz Distâncias NTS'!$D$2:$O$42,9,0)-C4</f>
        <v>103.15500000000009</v>
      </c>
      <c r="Y4" s="83">
        <f>VLOOKUP($A4,'Matriz Distâncias NTS'!$D$2:$O$42,10,0)-I4</f>
        <v>0</v>
      </c>
      <c r="Z4" s="83">
        <f>VLOOKUP($A4,'Matriz Distâncias NTS'!$D$2:$O$42,11,0)-M4</f>
        <v>141.87599999999998</v>
      </c>
      <c r="AA4" s="83">
        <f>VLOOKUP($A4,'Matriz Distâncias NTS'!$D$2:$O$42,12,0)-L4</f>
        <v>181.09599999999995</v>
      </c>
      <c r="AB4" s="83" t="e">
        <f>VLOOKUP($A4,'Matriz Distâncias NTS'!$D$2:$O$42,13,0)-N4</f>
        <v>#REF!</v>
      </c>
    </row>
    <row r="5" spans="1:28" x14ac:dyDescent="0.35">
      <c r="A5" s="77" t="s">
        <v>79</v>
      </c>
      <c r="B5" s="75">
        <v>299.70800000000003</v>
      </c>
      <c r="C5" s="75">
        <v>278.76900000000001</v>
      </c>
      <c r="D5" s="75">
        <v>381.92399999999998</v>
      </c>
      <c r="E5" s="75">
        <v>119.41</v>
      </c>
      <c r="F5" s="75">
        <v>244.589</v>
      </c>
      <c r="G5" s="75">
        <v>117.11</v>
      </c>
      <c r="H5" s="75">
        <v>381.92399999999998</v>
      </c>
      <c r="I5" s="75">
        <v>350.75200000000001</v>
      </c>
      <c r="J5" s="75">
        <v>119.41</v>
      </c>
      <c r="K5" s="75">
        <v>119.41</v>
      </c>
      <c r="L5" s="76">
        <v>118.61200000000004</v>
      </c>
      <c r="M5" s="76">
        <v>157.83200000000002</v>
      </c>
      <c r="N5" s="76">
        <v>224.41</v>
      </c>
      <c r="O5" s="75">
        <v>299.70800000000003</v>
      </c>
      <c r="R5" s="83">
        <f>VLOOKUP($A5,'Matriz Distâncias NTS'!$D$2:$O$42,3,0)-F5</f>
        <v>34.180000000000007</v>
      </c>
      <c r="S5" s="83">
        <f>VLOOKUP($A5,'Matriz Distâncias NTS'!$D$2:$O$42,4,0)-O5</f>
        <v>-180.29800000000003</v>
      </c>
      <c r="T5" s="83">
        <f>VLOOKUP($A5,'Matriz Distâncias NTS'!$D$2:$O$42,5,0)-H5</f>
        <v>-213.09199999999996</v>
      </c>
      <c r="U5" s="83">
        <f>VLOOKUP($A5,'Matriz Distâncias NTS'!$D$2:$O$42,6,0)-O5</f>
        <v>-55.119000000000085</v>
      </c>
      <c r="V5" s="83">
        <f>VLOOKUP($A5,'Matriz Distâncias NTS'!$D$2:$O$42,7,0)-E5</f>
        <v>262.51400000000001</v>
      </c>
      <c r="W5" s="83">
        <f>VLOOKUP($A5,'Matriz Distâncias NTS'!$D$2:$O$42,8,0)-G5</f>
        <v>0</v>
      </c>
      <c r="X5" s="83">
        <f>VLOOKUP($A5,'Matriz Distâncias NTS'!$D$2:$O$42,9,0)-C5</f>
        <v>103.15499999999997</v>
      </c>
      <c r="Y5" s="83">
        <f>VLOOKUP($A5,'Matriz Distâncias NTS'!$D$2:$O$42,10,0)-I5</f>
        <v>0</v>
      </c>
      <c r="Z5" s="83">
        <f>VLOOKUP($A5,'Matriz Distâncias NTS'!$D$2:$O$42,11,0)-M5</f>
        <v>141.876</v>
      </c>
      <c r="AA5" s="83">
        <f>VLOOKUP($A5,'Matriz Distâncias NTS'!$D$2:$O$42,12,0)-L5</f>
        <v>181.096</v>
      </c>
      <c r="AB5" s="83" t="e">
        <f>VLOOKUP($A5,'Matriz Distâncias NTS'!$D$2:$O$42,13,0)-N5</f>
        <v>#REF!</v>
      </c>
    </row>
    <row r="6" spans="1:28" x14ac:dyDescent="0.35">
      <c r="A6" s="77" t="s">
        <v>88</v>
      </c>
      <c r="B6" s="75">
        <v>599.62599999999998</v>
      </c>
      <c r="C6" s="75">
        <v>217.77699999999999</v>
      </c>
      <c r="D6" s="75">
        <v>83.085999999999999</v>
      </c>
      <c r="E6" s="75">
        <v>419.32799999999997</v>
      </c>
      <c r="F6" s="75">
        <v>183.59700000000001</v>
      </c>
      <c r="G6" s="75">
        <v>421.62799999999999</v>
      </c>
      <c r="H6" s="75">
        <v>83.085999999999999</v>
      </c>
      <c r="I6" s="75">
        <v>289.76</v>
      </c>
      <c r="J6" s="75">
        <v>419.32799999999997</v>
      </c>
      <c r="K6" s="75">
        <v>419.32799999999997</v>
      </c>
      <c r="L6" s="76">
        <v>425.89400000000001</v>
      </c>
      <c r="M6" s="76">
        <v>457.75</v>
      </c>
      <c r="N6" s="76">
        <v>524.32799999999997</v>
      </c>
      <c r="O6" s="75">
        <v>599.62599999999998</v>
      </c>
      <c r="R6" s="83">
        <f>VLOOKUP($A6,'Matriz Distâncias NTS'!$D$2:$O$42,3,0)-F6</f>
        <v>34.179999999999978</v>
      </c>
      <c r="S6" s="83">
        <f>VLOOKUP($A6,'Matriz Distâncias NTS'!$D$2:$O$42,4,0)-O6</f>
        <v>-180.298</v>
      </c>
      <c r="T6" s="83">
        <f>VLOOKUP($A6,'Matriz Distâncias NTS'!$D$2:$O$42,5,0)-H6</f>
        <v>385.66399999999999</v>
      </c>
      <c r="U6" s="83">
        <f>VLOOKUP($A6,'Matriz Distâncias NTS'!$D$2:$O$42,6,0)-O6</f>
        <v>-416.029</v>
      </c>
      <c r="V6" s="83">
        <f>VLOOKUP($A6,'Matriz Distâncias NTS'!$D$2:$O$42,7,0)-E6</f>
        <v>-336.24199999999996</v>
      </c>
      <c r="W6" s="83">
        <f>VLOOKUP($A6,'Matriz Distâncias NTS'!$D$2:$O$42,8,0)-G6</f>
        <v>0</v>
      </c>
      <c r="X6" s="83">
        <f>VLOOKUP($A6,'Matriz Distâncias NTS'!$D$2:$O$42,9,0)-C6</f>
        <v>-134.69099999999997</v>
      </c>
      <c r="Y6" s="83">
        <f>VLOOKUP($A6,'Matriz Distâncias NTS'!$D$2:$O$42,10,0)-I6</f>
        <v>0</v>
      </c>
      <c r="Z6" s="83">
        <f>VLOOKUP($A6,'Matriz Distâncias NTS'!$D$2:$O$42,11,0)-M6</f>
        <v>141.87599999999998</v>
      </c>
      <c r="AA6" s="83">
        <f>VLOOKUP($A6,'Matriz Distâncias NTS'!$D$2:$O$42,12,0)-L6</f>
        <v>173.73199999999997</v>
      </c>
      <c r="AB6" s="83" t="e">
        <f>VLOOKUP($A6,'Matriz Distâncias NTS'!$D$2:$O$42,13,0)-N6</f>
        <v>#REF!</v>
      </c>
    </row>
    <row r="7" spans="1:28" x14ac:dyDescent="0.35">
      <c r="A7" s="77" t="s">
        <v>63</v>
      </c>
      <c r="B7" s="75">
        <v>616.23500000000001</v>
      </c>
      <c r="C7" s="75">
        <v>631.10199999999998</v>
      </c>
      <c r="D7" s="75">
        <v>734.25699999999995</v>
      </c>
      <c r="E7" s="75">
        <v>435.93700000000001</v>
      </c>
      <c r="F7" s="75">
        <v>596.92200000000003</v>
      </c>
      <c r="G7" s="75">
        <v>317.935</v>
      </c>
      <c r="H7" s="75">
        <v>734.25699999999995</v>
      </c>
      <c r="I7" s="75">
        <v>703.08500000000004</v>
      </c>
      <c r="J7" s="75">
        <v>435.93700000000001</v>
      </c>
      <c r="K7" s="75">
        <v>435.93700000000001</v>
      </c>
      <c r="L7" s="76">
        <v>322.20100000000002</v>
      </c>
      <c r="M7" s="76">
        <v>474.35900000000004</v>
      </c>
      <c r="N7" s="76">
        <v>540.93700000000001</v>
      </c>
      <c r="O7" s="75">
        <v>616.23500000000001</v>
      </c>
      <c r="R7" s="83">
        <f>VLOOKUP($A7,'Matriz Distâncias NTS'!$D$2:$O$42,3,0)-F7</f>
        <v>34.17999999999995</v>
      </c>
      <c r="S7" s="83">
        <f>VLOOKUP($A7,'Matriz Distâncias NTS'!$D$2:$O$42,4,0)-O7</f>
        <v>-180.298</v>
      </c>
      <c r="T7" s="83">
        <f>VLOOKUP($A7,'Matriz Distâncias NTS'!$D$2:$O$42,5,0)-H7</f>
        <v>-248.89799999999991</v>
      </c>
      <c r="U7" s="83">
        <f>VLOOKUP($A7,'Matriz Distâncias NTS'!$D$2:$O$42,6,0)-O7</f>
        <v>-19.312999999999988</v>
      </c>
      <c r="V7" s="83">
        <f>VLOOKUP($A7,'Matriz Distâncias NTS'!$D$2:$O$42,7,0)-E7</f>
        <v>298.31999999999994</v>
      </c>
      <c r="W7" s="83">
        <f>VLOOKUP($A7,'Matriz Distâncias NTS'!$D$2:$O$42,8,0)-G7</f>
        <v>0</v>
      </c>
      <c r="X7" s="83">
        <f>VLOOKUP($A7,'Matriz Distâncias NTS'!$D$2:$O$42,9,0)-C7</f>
        <v>103.15499999999997</v>
      </c>
      <c r="Y7" s="83">
        <f>VLOOKUP($A7,'Matriz Distâncias NTS'!$D$2:$O$42,10,0)-I7</f>
        <v>0</v>
      </c>
      <c r="Z7" s="83">
        <f>VLOOKUP($A7,'Matriz Distâncias NTS'!$D$2:$O$42,11,0)-M7</f>
        <v>141.87599999999998</v>
      </c>
      <c r="AA7" s="83">
        <f>VLOOKUP($A7,'Matriz Distâncias NTS'!$D$2:$O$42,12,0)-L7</f>
        <v>294.03399999999999</v>
      </c>
      <c r="AB7" s="83" t="e">
        <f>VLOOKUP($A7,'Matriz Distâncias NTS'!$D$2:$O$42,13,0)-N7</f>
        <v>#REF!</v>
      </c>
    </row>
    <row r="8" spans="1:28" x14ac:dyDescent="0.35">
      <c r="A8" s="77" t="s">
        <v>89</v>
      </c>
      <c r="B8" s="75">
        <v>493.04500000000002</v>
      </c>
      <c r="C8" s="75">
        <v>111.196</v>
      </c>
      <c r="D8" s="75">
        <v>189.667</v>
      </c>
      <c r="E8" s="75">
        <v>312.74700000000001</v>
      </c>
      <c r="F8" s="75">
        <v>77.016000000000005</v>
      </c>
      <c r="G8" s="75">
        <v>315.04700000000003</v>
      </c>
      <c r="H8" s="75">
        <v>189.667</v>
      </c>
      <c r="I8" s="75">
        <v>183.179</v>
      </c>
      <c r="J8" s="75">
        <v>312.74700000000001</v>
      </c>
      <c r="K8" s="75">
        <v>312.74700000000001</v>
      </c>
      <c r="L8" s="76">
        <v>319.31300000000005</v>
      </c>
      <c r="M8" s="76">
        <v>351.16899999999998</v>
      </c>
      <c r="N8" s="76">
        <v>417.74700000000001</v>
      </c>
      <c r="O8" s="75">
        <v>493.04500000000002</v>
      </c>
      <c r="R8" s="83">
        <f>VLOOKUP($A8,'Matriz Distâncias NTS'!$D$2:$O$42,3,0)-F8</f>
        <v>34.179999999999993</v>
      </c>
      <c r="S8" s="83">
        <f>VLOOKUP($A8,'Matriz Distâncias NTS'!$D$2:$O$42,4,0)-O8</f>
        <v>-180.298</v>
      </c>
      <c r="T8" s="83">
        <f>VLOOKUP($A8,'Matriz Distâncias NTS'!$D$2:$O$42,5,0)-H8</f>
        <v>172.50199999999998</v>
      </c>
      <c r="U8" s="83">
        <f>VLOOKUP($A8,'Matriz Distâncias NTS'!$D$2:$O$42,6,0)-O8</f>
        <v>-416.029</v>
      </c>
      <c r="V8" s="83">
        <f>VLOOKUP($A8,'Matriz Distâncias NTS'!$D$2:$O$42,7,0)-E8</f>
        <v>-123.08000000000001</v>
      </c>
      <c r="W8" s="83">
        <f>VLOOKUP($A8,'Matriz Distâncias NTS'!$D$2:$O$42,8,0)-G8</f>
        <v>0</v>
      </c>
      <c r="X8" s="83">
        <f>VLOOKUP($A8,'Matriz Distâncias NTS'!$D$2:$O$42,9,0)-C8</f>
        <v>78.471000000000004</v>
      </c>
      <c r="Y8" s="83">
        <f>VLOOKUP($A8,'Matriz Distâncias NTS'!$D$2:$O$42,10,0)-I8</f>
        <v>0</v>
      </c>
      <c r="Z8" s="83">
        <f>VLOOKUP($A8,'Matriz Distâncias NTS'!$D$2:$O$42,11,0)-M8</f>
        <v>141.87600000000003</v>
      </c>
      <c r="AA8" s="83">
        <f>VLOOKUP($A8,'Matriz Distâncias NTS'!$D$2:$O$42,12,0)-L8</f>
        <v>173.73199999999997</v>
      </c>
      <c r="AB8" s="83" t="e">
        <f>VLOOKUP($A8,'Matriz Distâncias NTS'!$D$2:$O$42,13,0)-N8</f>
        <v>#REF!</v>
      </c>
    </row>
    <row r="9" spans="1:28" x14ac:dyDescent="0.35">
      <c r="A9" s="1" t="s">
        <v>98</v>
      </c>
      <c r="B9" s="75">
        <v>607.57799999999997</v>
      </c>
      <c r="C9" s="75">
        <v>170.52600000000001</v>
      </c>
      <c r="D9" s="75">
        <v>330.96199999999999</v>
      </c>
      <c r="E9" s="75">
        <v>429.358</v>
      </c>
      <c r="F9" s="75">
        <v>64.278999999999996</v>
      </c>
      <c r="G9" s="75">
        <v>431.65800000000002</v>
      </c>
      <c r="H9" s="75">
        <v>330.96199999999999</v>
      </c>
      <c r="I9" s="75">
        <v>60.747999999999998</v>
      </c>
      <c r="J9" s="75">
        <v>429.358</v>
      </c>
      <c r="K9" s="75">
        <v>429.358</v>
      </c>
      <c r="L9" s="76">
        <v>435.92400000000004</v>
      </c>
      <c r="M9" s="76">
        <v>465.702</v>
      </c>
      <c r="N9" s="76">
        <v>534.35799999999995</v>
      </c>
      <c r="O9" s="75">
        <v>607.57799999999997</v>
      </c>
      <c r="R9" s="83">
        <f>VLOOKUP($A9,'Matriz Distâncias NTS'!$D$2:$O$42,3,0)-F9</f>
        <v>106.24700000000001</v>
      </c>
      <c r="S9" s="83">
        <f>VLOOKUP($A9,'Matriz Distâncias NTS'!$D$2:$O$42,4,0)-O9</f>
        <v>-178.21999999999997</v>
      </c>
      <c r="T9" s="83">
        <f>VLOOKUP($A9,'Matriz Distâncias NTS'!$D$2:$O$42,5,0)-H9</f>
        <v>145.74</v>
      </c>
      <c r="U9" s="83">
        <f>VLOOKUP($A9,'Matriz Distâncias NTS'!$D$2:$O$42,6,0)-O9</f>
        <v>-543.29899999999998</v>
      </c>
      <c r="V9" s="83">
        <f>VLOOKUP($A9,'Matriz Distâncias NTS'!$D$2:$O$42,7,0)-E9</f>
        <v>-98.396000000000015</v>
      </c>
      <c r="W9" s="83">
        <f>VLOOKUP($A9,'Matriz Distâncias NTS'!$D$2:$O$42,8,0)-G9</f>
        <v>0</v>
      </c>
      <c r="X9" s="83">
        <f>VLOOKUP($A9,'Matriz Distâncias NTS'!$D$2:$O$42,9,0)-C9</f>
        <v>160.43599999999998</v>
      </c>
      <c r="Y9" s="83">
        <f>VLOOKUP($A9,'Matriz Distâncias NTS'!$D$2:$O$42,10,0)-I9</f>
        <v>0</v>
      </c>
      <c r="Z9" s="83">
        <f>VLOOKUP($A9,'Matriz Distâncias NTS'!$D$2:$O$42,11,0)-M9</f>
        <v>141.87599999999998</v>
      </c>
      <c r="AA9" s="83">
        <f>VLOOKUP($A9,'Matriz Distâncias NTS'!$D$2:$O$42,12,0)-L9</f>
        <v>171.65399999999994</v>
      </c>
      <c r="AB9" s="83" t="e">
        <f>VLOOKUP($A9,'Matriz Distâncias NTS'!$D$2:$O$42,13,0)-N9</f>
        <v>#REF!</v>
      </c>
    </row>
    <row r="10" spans="1:28" x14ac:dyDescent="0.35">
      <c r="A10" s="1" t="s">
        <v>80</v>
      </c>
      <c r="B10" s="75">
        <v>287.02</v>
      </c>
      <c r="C10" s="75">
        <v>291.45699999999999</v>
      </c>
      <c r="D10" s="75">
        <v>394.61200000000002</v>
      </c>
      <c r="E10" s="75">
        <v>106.72199999999999</v>
      </c>
      <c r="F10" s="75">
        <v>257.27699999999999</v>
      </c>
      <c r="G10" s="75">
        <v>104.422</v>
      </c>
      <c r="H10" s="75">
        <v>394.61200000000002</v>
      </c>
      <c r="I10" s="75">
        <v>363.44</v>
      </c>
      <c r="J10" s="75">
        <v>106.72199999999999</v>
      </c>
      <c r="K10" s="75">
        <v>106.72199999999999</v>
      </c>
      <c r="L10" s="76">
        <v>108.68799999999999</v>
      </c>
      <c r="M10" s="76">
        <v>145.14399999999998</v>
      </c>
      <c r="N10" s="76">
        <v>211.72199999999998</v>
      </c>
      <c r="O10" s="75">
        <v>287.02</v>
      </c>
      <c r="R10" s="83">
        <f>VLOOKUP($A10,'Matriz Distâncias NTS'!$D$2:$O$42,3,0)-F10</f>
        <v>34.180000000000007</v>
      </c>
      <c r="S10" s="83">
        <f>VLOOKUP($A10,'Matriz Distâncias NTS'!$D$2:$O$42,4,0)-O10</f>
        <v>-180.298</v>
      </c>
      <c r="T10" s="83">
        <f>VLOOKUP($A10,'Matriz Distâncias NTS'!$D$2:$O$42,5,0)-H10</f>
        <v>-238.46800000000005</v>
      </c>
      <c r="U10" s="83">
        <f>VLOOKUP($A10,'Matriz Distâncias NTS'!$D$2:$O$42,6,0)-O10</f>
        <v>-29.743000000000052</v>
      </c>
      <c r="V10" s="83">
        <f>VLOOKUP($A10,'Matriz Distâncias NTS'!$D$2:$O$42,7,0)-E10</f>
        <v>287.89000000000004</v>
      </c>
      <c r="W10" s="83">
        <f>VLOOKUP($A10,'Matriz Distâncias NTS'!$D$2:$O$42,8,0)-G10</f>
        <v>0</v>
      </c>
      <c r="X10" s="83">
        <f>VLOOKUP($A10,'Matriz Distâncias NTS'!$D$2:$O$42,9,0)-C10</f>
        <v>103.15500000000003</v>
      </c>
      <c r="Y10" s="83">
        <f>VLOOKUP($A10,'Matriz Distâncias NTS'!$D$2:$O$42,10,0)-I10</f>
        <v>0</v>
      </c>
      <c r="Z10" s="83">
        <f>VLOOKUP($A10,'Matriz Distâncias NTS'!$D$2:$O$42,11,0)-M10</f>
        <v>141.876</v>
      </c>
      <c r="AA10" s="83">
        <f>VLOOKUP($A10,'Matriz Distâncias NTS'!$D$2:$O$42,12,0)-L10</f>
        <v>178.33199999999999</v>
      </c>
      <c r="AB10" s="83" t="e">
        <f>VLOOKUP($A10,'Matriz Distâncias NTS'!$D$2:$O$42,13,0)-N10</f>
        <v>#REF!</v>
      </c>
    </row>
    <row r="11" spans="1:28" x14ac:dyDescent="0.35">
      <c r="A11" s="77" t="s">
        <v>93</v>
      </c>
      <c r="B11" s="75">
        <v>388.23399999999998</v>
      </c>
      <c r="C11" s="75">
        <v>190.24299999999999</v>
      </c>
      <c r="D11" s="75">
        <v>293.39800000000002</v>
      </c>
      <c r="E11" s="75">
        <v>391.79399999999998</v>
      </c>
      <c r="F11" s="75">
        <v>156.06299999999999</v>
      </c>
      <c r="G11" s="75">
        <v>203.27199999999999</v>
      </c>
      <c r="H11" s="75">
        <v>293.39800000000002</v>
      </c>
      <c r="I11" s="75">
        <v>262.226</v>
      </c>
      <c r="J11" s="75">
        <v>391.79399999999998</v>
      </c>
      <c r="K11" s="75">
        <v>391.79399999999998</v>
      </c>
      <c r="L11" s="76">
        <v>207.53800000000001</v>
      </c>
      <c r="M11" s="76">
        <v>246.35799999999998</v>
      </c>
      <c r="N11" s="76">
        <v>496.79399999999998</v>
      </c>
      <c r="O11" s="75">
        <v>388.23399999999998</v>
      </c>
      <c r="R11" s="83">
        <f>VLOOKUP($A11,'Matriz Distâncias NTS'!$D$2:$O$42,3,0)-F11</f>
        <v>34.180000000000007</v>
      </c>
      <c r="S11" s="83">
        <f>VLOOKUP($A11,'Matriz Distâncias NTS'!$D$2:$O$42,4,0)-O11</f>
        <v>3.5600000000000023</v>
      </c>
      <c r="T11" s="83">
        <f>VLOOKUP($A11,'Matriz Distâncias NTS'!$D$2:$O$42,5,0)-H11</f>
        <v>-36.040000000000077</v>
      </c>
      <c r="U11" s="83">
        <f>VLOOKUP($A11,'Matriz Distâncias NTS'!$D$2:$O$42,6,0)-O11</f>
        <v>-232.17099999999999</v>
      </c>
      <c r="V11" s="83">
        <f>VLOOKUP($A11,'Matriz Distâncias NTS'!$D$2:$O$42,7,0)-E11</f>
        <v>-98.395999999999958</v>
      </c>
      <c r="W11" s="83">
        <f>VLOOKUP($A11,'Matriz Distâncias NTS'!$D$2:$O$42,8,0)-G11</f>
        <v>0</v>
      </c>
      <c r="X11" s="83">
        <f>VLOOKUP($A11,'Matriz Distâncias NTS'!$D$2:$O$42,9,0)-C11</f>
        <v>103.15500000000003</v>
      </c>
      <c r="Y11" s="83">
        <f>VLOOKUP($A11,'Matriz Distâncias NTS'!$D$2:$O$42,10,0)-I11</f>
        <v>0</v>
      </c>
      <c r="Z11" s="83">
        <f>VLOOKUP($A11,'Matriz Distâncias NTS'!$D$2:$O$42,11,0)-M11</f>
        <v>141.876</v>
      </c>
      <c r="AA11" s="83">
        <f>VLOOKUP($A11,'Matriz Distâncias NTS'!$D$2:$O$42,12,0)-L11</f>
        <v>180.69599999999997</v>
      </c>
      <c r="AB11" s="83" t="e">
        <f>VLOOKUP($A11,'Matriz Distâncias NTS'!$D$2:$O$42,13,0)-N11</f>
        <v>#REF!</v>
      </c>
    </row>
    <row r="12" spans="1:28" x14ac:dyDescent="0.35">
      <c r="A12" s="77" t="s">
        <v>102</v>
      </c>
      <c r="B12" s="75">
        <v>651.54</v>
      </c>
      <c r="C12" s="75">
        <v>212.41</v>
      </c>
      <c r="D12" s="75">
        <v>372.846</v>
      </c>
      <c r="E12" s="75">
        <v>471.24200000000002</v>
      </c>
      <c r="F12" s="75">
        <v>106.163</v>
      </c>
      <c r="G12" s="75">
        <v>473.54200000000003</v>
      </c>
      <c r="H12" s="75">
        <v>372.846</v>
      </c>
      <c r="I12" s="75">
        <v>0</v>
      </c>
      <c r="J12" s="75">
        <v>471.24200000000002</v>
      </c>
      <c r="K12" s="75">
        <v>471.24200000000002</v>
      </c>
      <c r="L12" s="76">
        <v>477.80800000000005</v>
      </c>
      <c r="M12" s="76">
        <v>509.66399999999999</v>
      </c>
      <c r="N12" s="76">
        <v>576.24199999999996</v>
      </c>
      <c r="O12" s="75">
        <v>651.54</v>
      </c>
      <c r="R12" s="83" t="e">
        <f>VLOOKUP($A12,'Matriz Distâncias NTS'!$D$2:$O$42,3,0)-F12</f>
        <v>#N/A</v>
      </c>
      <c r="S12" s="83" t="e">
        <f>VLOOKUP($A12,'Matriz Distâncias NTS'!$D$2:$O$42,4,0)-O12</f>
        <v>#N/A</v>
      </c>
      <c r="T12" s="83" t="e">
        <f>VLOOKUP($A12,'Matriz Distâncias NTS'!$D$2:$O$42,5,0)-H12</f>
        <v>#N/A</v>
      </c>
      <c r="U12" s="83" t="e">
        <f>VLOOKUP($A12,'Matriz Distâncias NTS'!$D$2:$O$42,6,0)-O12</f>
        <v>#N/A</v>
      </c>
      <c r="V12" s="83" t="e">
        <f>VLOOKUP($A12,'Matriz Distâncias NTS'!$D$2:$O$42,7,0)-E12</f>
        <v>#N/A</v>
      </c>
      <c r="W12" s="83" t="e">
        <f>VLOOKUP($A12,'Matriz Distâncias NTS'!$D$2:$O$42,8,0)-G12</f>
        <v>#N/A</v>
      </c>
      <c r="X12" s="83" t="e">
        <f>VLOOKUP($A12,'Matriz Distâncias NTS'!$D$2:$O$42,9,0)-C12</f>
        <v>#N/A</v>
      </c>
      <c r="Y12" s="83" t="e">
        <f>VLOOKUP($A12,'Matriz Distâncias NTS'!$D$2:$O$42,10,0)-I12</f>
        <v>#N/A</v>
      </c>
      <c r="Z12" s="83" t="e">
        <f>VLOOKUP($A12,'Matriz Distâncias NTS'!$D$2:$O$42,11,0)-M12</f>
        <v>#N/A</v>
      </c>
      <c r="AA12" s="83" t="e">
        <f>VLOOKUP($A12,'Matriz Distâncias NTS'!$D$2:$O$42,12,0)-L12</f>
        <v>#N/A</v>
      </c>
      <c r="AB12" s="83" t="e">
        <f>VLOOKUP($A12,'Matriz Distâncias NTS'!$D$2:$O$42,13,0)-N12</f>
        <v>#N/A</v>
      </c>
    </row>
    <row r="13" spans="1:28" x14ac:dyDescent="0.35">
      <c r="A13" s="77" t="s">
        <v>70</v>
      </c>
      <c r="B13" s="75">
        <v>187.886</v>
      </c>
      <c r="C13" s="75">
        <v>391.67099999999999</v>
      </c>
      <c r="D13" s="75">
        <v>494.82600000000002</v>
      </c>
      <c r="E13" s="75">
        <v>7.5880000000000001</v>
      </c>
      <c r="F13" s="75">
        <v>357.49099999999999</v>
      </c>
      <c r="G13" s="75">
        <v>9.8879999999999999</v>
      </c>
      <c r="H13" s="75">
        <v>494.82600000000002</v>
      </c>
      <c r="I13" s="75">
        <v>463.654</v>
      </c>
      <c r="J13" s="75">
        <v>7.5880000000000001</v>
      </c>
      <c r="K13" s="75">
        <v>7.5880000000000001</v>
      </c>
      <c r="L13" s="76">
        <v>83.809999999999988</v>
      </c>
      <c r="M13" s="76">
        <v>46.009999999999991</v>
      </c>
      <c r="N13" s="76">
        <v>112.58799999999999</v>
      </c>
      <c r="O13" s="75">
        <v>187.886</v>
      </c>
      <c r="R13" s="83">
        <f>VLOOKUP($A13,'Matriz Distâncias NTS'!$D$2:$O$42,3,0)-F13</f>
        <v>34.180000000000007</v>
      </c>
      <c r="S13" s="83">
        <f>VLOOKUP($A13,'Matriz Distâncias NTS'!$D$2:$O$42,4,0)-O13</f>
        <v>-180.298</v>
      </c>
      <c r="T13" s="83">
        <f>VLOOKUP($A13,'Matriz Distâncias NTS'!$D$2:$O$42,5,0)-H13</f>
        <v>-437.81600000000003</v>
      </c>
      <c r="U13" s="83">
        <f>VLOOKUP($A13,'Matriz Distâncias NTS'!$D$2:$O$42,6,0)-O13</f>
        <v>169.60499999999999</v>
      </c>
      <c r="V13" s="83">
        <f>VLOOKUP($A13,'Matriz Distâncias NTS'!$D$2:$O$42,7,0)-E13</f>
        <v>487.238</v>
      </c>
      <c r="W13" s="83">
        <f>VLOOKUP($A13,'Matriz Distâncias NTS'!$D$2:$O$42,8,0)-G13</f>
        <v>0</v>
      </c>
      <c r="X13" s="83">
        <f>VLOOKUP($A13,'Matriz Distâncias NTS'!$D$2:$O$42,9,0)-C13</f>
        <v>103.15500000000003</v>
      </c>
      <c r="Y13" s="83">
        <f>VLOOKUP($A13,'Matriz Distâncias NTS'!$D$2:$O$42,10,0)-I13</f>
        <v>0</v>
      </c>
      <c r="Z13" s="83">
        <f>VLOOKUP($A13,'Matriz Distâncias NTS'!$D$2:$O$42,11,0)-M13</f>
        <v>141.876</v>
      </c>
      <c r="AA13" s="83">
        <f>VLOOKUP($A13,'Matriz Distâncias NTS'!$D$2:$O$42,12,0)-L13</f>
        <v>104.07600000000001</v>
      </c>
      <c r="AB13" s="83" t="e">
        <f>VLOOKUP($A13,'Matriz Distâncias NTS'!$D$2:$O$42,13,0)-N13</f>
        <v>#REF!</v>
      </c>
    </row>
    <row r="14" spans="1:28" x14ac:dyDescent="0.35">
      <c r="A14" s="1" t="s">
        <v>73</v>
      </c>
      <c r="B14" s="78">
        <v>141.876</v>
      </c>
      <c r="C14" s="78">
        <v>437.68099999999998</v>
      </c>
      <c r="D14" s="78">
        <v>540.83600000000001</v>
      </c>
      <c r="E14" s="78">
        <v>38.421999999999997</v>
      </c>
      <c r="F14" s="78">
        <v>403.50099999999998</v>
      </c>
      <c r="G14" s="78">
        <v>40.721999999999994</v>
      </c>
      <c r="H14" s="78">
        <v>540.83600000000001</v>
      </c>
      <c r="I14" s="78">
        <v>509.66399999999999</v>
      </c>
      <c r="J14" s="78">
        <v>38.421999999999997</v>
      </c>
      <c r="K14" s="78">
        <v>38.421999999999997</v>
      </c>
      <c r="L14" s="76">
        <v>129.82</v>
      </c>
      <c r="M14" s="76">
        <v>0</v>
      </c>
      <c r="N14" s="76">
        <v>143.422</v>
      </c>
      <c r="O14" s="78">
        <v>141.876</v>
      </c>
      <c r="R14" s="83">
        <f>VLOOKUP($A14,'Matriz Distâncias NTS'!$D$2:$O$42,3,0)-F14</f>
        <v>34.180000000000007</v>
      </c>
      <c r="S14" s="83">
        <f>VLOOKUP($A14,'Matriz Distâncias NTS'!$D$2:$O$42,4,0)-O14</f>
        <v>-103.45400000000001</v>
      </c>
      <c r="T14" s="83">
        <f>VLOOKUP($A14,'Matriz Distâncias NTS'!$D$2:$O$42,5,0)-H14</f>
        <v>-529.83600000000001</v>
      </c>
      <c r="U14" s="83">
        <f>VLOOKUP($A14,'Matriz Distâncias NTS'!$D$2:$O$42,6,0)-O14</f>
        <v>261.625</v>
      </c>
      <c r="V14" s="83">
        <f>VLOOKUP($A14,'Matriz Distâncias NTS'!$D$2:$O$42,7,0)-E14</f>
        <v>502.41399999999999</v>
      </c>
      <c r="W14" s="83">
        <f>VLOOKUP($A14,'Matriz Distâncias NTS'!$D$2:$O$42,8,0)-G14</f>
        <v>0</v>
      </c>
      <c r="X14" s="83">
        <f>VLOOKUP($A14,'Matriz Distâncias NTS'!$D$2:$O$42,9,0)-C14</f>
        <v>103.15500000000003</v>
      </c>
      <c r="Y14" s="83">
        <f>VLOOKUP($A14,'Matriz Distâncias NTS'!$D$2:$O$42,10,0)-I14</f>
        <v>0</v>
      </c>
      <c r="Z14" s="83">
        <f>VLOOKUP($A14,'Matriz Distâncias NTS'!$D$2:$O$42,11,0)-M14</f>
        <v>141.876</v>
      </c>
      <c r="AA14" s="83">
        <f>VLOOKUP($A14,'Matriz Distâncias NTS'!$D$2:$O$42,12,0)-L14</f>
        <v>12.056000000000012</v>
      </c>
      <c r="AB14" s="83" t="e">
        <f>VLOOKUP($A14,'Matriz Distâncias NTS'!$D$2:$O$42,13,0)-N14</f>
        <v>#REF!</v>
      </c>
    </row>
    <row r="15" spans="1:28" x14ac:dyDescent="0.35">
      <c r="A15" s="1" t="s">
        <v>262</v>
      </c>
      <c r="B15" s="75">
        <v>545.37699999999995</v>
      </c>
      <c r="C15" s="75">
        <v>106.247</v>
      </c>
      <c r="D15" s="75">
        <v>266.68299999999999</v>
      </c>
      <c r="E15" s="75">
        <v>365.07900000000001</v>
      </c>
      <c r="F15" s="75">
        <v>0</v>
      </c>
      <c r="G15" s="75">
        <v>367.37900000000002</v>
      </c>
      <c r="H15" s="75">
        <v>266.68299999999999</v>
      </c>
      <c r="I15" s="75">
        <v>106.163</v>
      </c>
      <c r="J15" s="75">
        <v>365.07900000000001</v>
      </c>
      <c r="K15" s="75">
        <v>365.07900000000001</v>
      </c>
      <c r="L15" s="76">
        <v>371.64500000000004</v>
      </c>
      <c r="M15" s="76">
        <v>403.50099999999998</v>
      </c>
      <c r="N15" s="76">
        <v>470.07900000000001</v>
      </c>
      <c r="O15" s="75">
        <v>545.37699999999995</v>
      </c>
      <c r="R15" s="83" t="e">
        <f>VLOOKUP($A15,'Matriz Distâncias NTS'!$D$2:$O$42,3,0)-F15</f>
        <v>#N/A</v>
      </c>
      <c r="S15" s="83" t="e">
        <f>VLOOKUP($A15,'Matriz Distâncias NTS'!$D$2:$O$42,4,0)-O15</f>
        <v>#N/A</v>
      </c>
      <c r="T15" s="83" t="e">
        <f>VLOOKUP($A15,'Matriz Distâncias NTS'!$D$2:$O$42,5,0)-H15</f>
        <v>#N/A</v>
      </c>
      <c r="U15" s="83" t="e">
        <f>VLOOKUP($A15,'Matriz Distâncias NTS'!$D$2:$O$42,6,0)-O15</f>
        <v>#N/A</v>
      </c>
      <c r="V15" s="83" t="e">
        <f>VLOOKUP($A15,'Matriz Distâncias NTS'!$D$2:$O$42,7,0)-E15</f>
        <v>#N/A</v>
      </c>
      <c r="W15" s="83" t="e">
        <f>VLOOKUP($A15,'Matriz Distâncias NTS'!$D$2:$O$42,8,0)-G15</f>
        <v>#N/A</v>
      </c>
      <c r="X15" s="83" t="e">
        <f>VLOOKUP($A15,'Matriz Distâncias NTS'!$D$2:$O$42,9,0)-C15</f>
        <v>#N/A</v>
      </c>
      <c r="Y15" s="83" t="e">
        <f>VLOOKUP($A15,'Matriz Distâncias NTS'!$D$2:$O$42,10,0)-I15</f>
        <v>#N/A</v>
      </c>
      <c r="Z15" s="83" t="e">
        <f>VLOOKUP($A15,'Matriz Distâncias NTS'!$D$2:$O$42,11,0)-M15</f>
        <v>#N/A</v>
      </c>
      <c r="AA15" s="83" t="e">
        <f>VLOOKUP($A15,'Matriz Distâncias NTS'!$D$2:$O$42,12,0)-L15</f>
        <v>#N/A</v>
      </c>
      <c r="AB15" s="83" t="e">
        <f>VLOOKUP($A15,'Matriz Distâncias NTS'!$D$2:$O$42,13,0)-N15</f>
        <v>#N/A</v>
      </c>
    </row>
    <row r="16" spans="1:28" x14ac:dyDescent="0.35">
      <c r="A16" s="1" t="s">
        <v>91</v>
      </c>
      <c r="B16" s="75">
        <v>416.89600000000002</v>
      </c>
      <c r="C16" s="75">
        <v>162.661</v>
      </c>
      <c r="D16" s="75">
        <v>265.81599999999997</v>
      </c>
      <c r="E16" s="75">
        <v>236.59800000000001</v>
      </c>
      <c r="F16" s="75">
        <v>128.48099999999999</v>
      </c>
      <c r="G16" s="75">
        <v>238.89800000000002</v>
      </c>
      <c r="H16" s="75">
        <v>265.81599999999997</v>
      </c>
      <c r="I16" s="75">
        <v>234.64400000000001</v>
      </c>
      <c r="J16" s="75">
        <v>236.59800000000001</v>
      </c>
      <c r="K16" s="75">
        <v>236.59800000000001</v>
      </c>
      <c r="L16" s="76">
        <v>243.16400000000004</v>
      </c>
      <c r="M16" s="76">
        <v>275.02</v>
      </c>
      <c r="N16" s="76">
        <v>341.59800000000001</v>
      </c>
      <c r="O16" s="75">
        <v>416.89600000000002</v>
      </c>
      <c r="R16" s="83">
        <f>VLOOKUP($A16,'Matriz Distâncias NTS'!$D$2:$O$42,3,0)-F16</f>
        <v>34.180000000000007</v>
      </c>
      <c r="S16" s="83">
        <f>VLOOKUP($A16,'Matriz Distâncias NTS'!$D$2:$O$42,4,0)-O16</f>
        <v>-180.298</v>
      </c>
      <c r="T16" s="83">
        <f>VLOOKUP($A16,'Matriz Distâncias NTS'!$D$2:$O$42,5,0)-H16</f>
        <v>20.204000000000008</v>
      </c>
      <c r="U16" s="83">
        <f>VLOOKUP($A16,'Matriz Distâncias NTS'!$D$2:$O$42,6,0)-O16</f>
        <v>-288.41499999999996</v>
      </c>
      <c r="V16" s="83">
        <f>VLOOKUP($A16,'Matriz Distâncias NTS'!$D$2:$O$42,7,0)-E16</f>
        <v>29.217999999999961</v>
      </c>
      <c r="W16" s="83">
        <f>VLOOKUP($A16,'Matriz Distâncias NTS'!$D$2:$O$42,8,0)-G16</f>
        <v>0</v>
      </c>
      <c r="X16" s="83">
        <f>VLOOKUP($A16,'Matriz Distâncias NTS'!$D$2:$O$42,9,0)-C16</f>
        <v>103.15499999999997</v>
      </c>
      <c r="Y16" s="83">
        <f>VLOOKUP($A16,'Matriz Distâncias NTS'!$D$2:$O$42,10,0)-I16</f>
        <v>0</v>
      </c>
      <c r="Z16" s="83">
        <f>VLOOKUP($A16,'Matriz Distâncias NTS'!$D$2:$O$42,11,0)-M16</f>
        <v>141.87600000000003</v>
      </c>
      <c r="AA16" s="83">
        <f>VLOOKUP($A16,'Matriz Distâncias NTS'!$D$2:$O$42,12,0)-L16</f>
        <v>173.73199999999997</v>
      </c>
      <c r="AB16" s="83" t="e">
        <f>VLOOKUP($A16,'Matriz Distâncias NTS'!$D$2:$O$42,13,0)-N16</f>
        <v>#REF!</v>
      </c>
    </row>
    <row r="17" spans="1:28" x14ac:dyDescent="0.35">
      <c r="A17" s="77" t="s">
        <v>68</v>
      </c>
      <c r="B17" s="75">
        <v>776.47799999999995</v>
      </c>
      <c r="C17" s="75">
        <v>394.62900000000002</v>
      </c>
      <c r="D17" s="75">
        <v>93.766000000000005</v>
      </c>
      <c r="E17" s="75">
        <v>596.17999999999995</v>
      </c>
      <c r="F17" s="78">
        <v>360.44900000000001</v>
      </c>
      <c r="G17" s="75">
        <v>598.4799999999999</v>
      </c>
      <c r="H17" s="75">
        <v>93.766000000000005</v>
      </c>
      <c r="I17" s="75">
        <v>466.61200000000002</v>
      </c>
      <c r="J17" s="75">
        <v>596.17999999999995</v>
      </c>
      <c r="K17" s="75">
        <v>596.17999999999995</v>
      </c>
      <c r="L17" s="76">
        <v>602.74599999999987</v>
      </c>
      <c r="M17" s="76">
        <v>634.60199999999998</v>
      </c>
      <c r="N17" s="76">
        <v>701.18</v>
      </c>
      <c r="O17" s="75">
        <v>776.47799999999995</v>
      </c>
      <c r="R17" s="83">
        <f>VLOOKUP($A17,'Matriz Distâncias NTS'!$D$2:$O$42,3,0)-F17</f>
        <v>34.180000000000007</v>
      </c>
      <c r="S17" s="83">
        <f>VLOOKUP($A17,'Matriz Distâncias NTS'!$D$2:$O$42,4,0)-O17</f>
        <v>-180.298</v>
      </c>
      <c r="T17" s="83">
        <f>VLOOKUP($A17,'Matriz Distâncias NTS'!$D$2:$O$42,5,0)-H17</f>
        <v>551.83600000000001</v>
      </c>
      <c r="U17" s="83">
        <f>VLOOKUP($A17,'Matriz Distâncias NTS'!$D$2:$O$42,6,0)-O17</f>
        <v>-416.02899999999994</v>
      </c>
      <c r="V17" s="83">
        <f>VLOOKUP($A17,'Matriz Distâncias NTS'!$D$2:$O$42,7,0)-E17</f>
        <v>-502.41399999999993</v>
      </c>
      <c r="W17" s="83">
        <f>VLOOKUP($A17,'Matriz Distâncias NTS'!$D$2:$O$42,8,0)-G17</f>
        <v>0</v>
      </c>
      <c r="X17" s="83">
        <f>VLOOKUP($A17,'Matriz Distâncias NTS'!$D$2:$O$42,9,0)-C17</f>
        <v>-300.863</v>
      </c>
      <c r="Y17" s="83">
        <f>VLOOKUP($A17,'Matriz Distâncias NTS'!$D$2:$O$42,10,0)-I17</f>
        <v>0</v>
      </c>
      <c r="Z17" s="83">
        <f>VLOOKUP($A17,'Matriz Distâncias NTS'!$D$2:$O$42,11,0)-M17</f>
        <v>141.87599999999998</v>
      </c>
      <c r="AA17" s="83">
        <f>VLOOKUP($A17,'Matriz Distâncias NTS'!$D$2:$O$42,12,0)-L17</f>
        <v>173.73200000000008</v>
      </c>
      <c r="AB17" s="83" t="e">
        <f>VLOOKUP($A17,'Matriz Distâncias NTS'!$D$2:$O$42,13,0)-N17</f>
        <v>#REF!</v>
      </c>
    </row>
    <row r="18" spans="1:28" x14ac:dyDescent="0.35">
      <c r="A18" s="79" t="s">
        <v>76</v>
      </c>
      <c r="B18" s="80">
        <v>226.39599999999999</v>
      </c>
      <c r="C18" s="80">
        <v>352.08100000000002</v>
      </c>
      <c r="D18" s="80">
        <v>456.31599999999997</v>
      </c>
      <c r="E18" s="80">
        <v>46.097999999999999</v>
      </c>
      <c r="F18" s="80">
        <v>317.90100000000001</v>
      </c>
      <c r="G18" s="80">
        <v>41.033999999999999</v>
      </c>
      <c r="H18" s="80">
        <v>456.31599999999997</v>
      </c>
      <c r="I18" s="80">
        <v>424.06400000000002</v>
      </c>
      <c r="J18" s="80">
        <v>46.097999999999999</v>
      </c>
      <c r="K18" s="80">
        <v>46.097999999999999</v>
      </c>
      <c r="L18" s="76">
        <v>45.3</v>
      </c>
      <c r="M18" s="76">
        <v>84.519999999999982</v>
      </c>
      <c r="N18" s="76">
        <v>151.09800000000001</v>
      </c>
      <c r="O18" s="80">
        <v>226.39599999999999</v>
      </c>
      <c r="R18" s="83">
        <f>VLOOKUP($A18,'Matriz Distâncias NTS'!$D$2:$O$42,3,0)-F18</f>
        <v>34.180000000000007</v>
      </c>
      <c r="S18" s="83">
        <f>VLOOKUP($A18,'Matriz Distâncias NTS'!$D$2:$O$42,4,0)-O18</f>
        <v>-180.298</v>
      </c>
      <c r="T18" s="83">
        <f>VLOOKUP($A18,'Matriz Distâncias NTS'!$D$2:$O$42,5,0)-H18</f>
        <v>-360.79599999999999</v>
      </c>
      <c r="U18" s="83">
        <f>VLOOKUP($A18,'Matriz Distâncias NTS'!$D$2:$O$42,6,0)-O18</f>
        <v>91.505000000000024</v>
      </c>
      <c r="V18" s="83">
        <f>VLOOKUP($A18,'Matriz Distâncias NTS'!$D$2:$O$42,7,0)-E18</f>
        <v>410.21799999999996</v>
      </c>
      <c r="W18" s="83">
        <f>VLOOKUP($A18,'Matriz Distâncias NTS'!$D$2:$O$42,8,0)-G18</f>
        <v>0</v>
      </c>
      <c r="X18" s="83">
        <f>VLOOKUP($A18,'Matriz Distâncias NTS'!$D$2:$O$42,9,0)-C18</f>
        <v>104.23499999999996</v>
      </c>
      <c r="Y18" s="83">
        <f>VLOOKUP($A18,'Matriz Distâncias NTS'!$D$2:$O$42,10,0)-I18</f>
        <v>0</v>
      </c>
      <c r="Z18" s="83">
        <f>VLOOKUP($A18,'Matriz Distâncias NTS'!$D$2:$O$42,11,0)-M18</f>
        <v>141.876</v>
      </c>
      <c r="AA18" s="83">
        <f>VLOOKUP($A18,'Matriz Distâncias NTS'!$D$2:$O$42,12,0)-L18</f>
        <v>181.096</v>
      </c>
      <c r="AB18" s="83" t="e">
        <f>VLOOKUP($A18,'Matriz Distâncias NTS'!$D$2:$O$42,13,0)-N18</f>
        <v>#REF!</v>
      </c>
    </row>
    <row r="19" spans="1:28" x14ac:dyDescent="0.35">
      <c r="A19" s="77" t="s">
        <v>77</v>
      </c>
      <c r="B19" s="75">
        <v>226.39599999999999</v>
      </c>
      <c r="C19" s="75">
        <v>353.161</v>
      </c>
      <c r="D19" s="75">
        <v>456.31599999999997</v>
      </c>
      <c r="E19" s="75">
        <v>46.097999999999999</v>
      </c>
      <c r="F19" s="75">
        <v>318.98099999999999</v>
      </c>
      <c r="G19" s="75">
        <v>48.397999999999996</v>
      </c>
      <c r="H19" s="75">
        <v>456.31599999999997</v>
      </c>
      <c r="I19" s="75">
        <v>424.06400000000002</v>
      </c>
      <c r="J19" s="75">
        <v>46.097999999999999</v>
      </c>
      <c r="K19" s="75">
        <v>46.097999999999999</v>
      </c>
      <c r="L19" s="76">
        <v>45.3</v>
      </c>
      <c r="M19" s="76">
        <v>84.519999999999982</v>
      </c>
      <c r="N19" s="76">
        <v>151.09800000000001</v>
      </c>
      <c r="O19" s="75">
        <v>226.39599999999999</v>
      </c>
      <c r="R19" s="83">
        <f>VLOOKUP($A19,'Matriz Distâncias NTS'!$D$2:$O$42,3,0)-F19</f>
        <v>34.180000000000007</v>
      </c>
      <c r="S19" s="83">
        <f>VLOOKUP($A19,'Matriz Distâncias NTS'!$D$2:$O$42,4,0)-O19</f>
        <v>-180.298</v>
      </c>
      <c r="T19" s="83">
        <f>VLOOKUP($A19,'Matriz Distâncias NTS'!$D$2:$O$42,5,0)-H19</f>
        <v>-360.79599999999999</v>
      </c>
      <c r="U19" s="83">
        <f>VLOOKUP($A19,'Matriz Distâncias NTS'!$D$2:$O$42,6,0)-O19</f>
        <v>92.585000000000008</v>
      </c>
      <c r="V19" s="83">
        <f>VLOOKUP($A19,'Matriz Distâncias NTS'!$D$2:$O$42,7,0)-E19</f>
        <v>410.21799999999996</v>
      </c>
      <c r="W19" s="83">
        <f>VLOOKUP($A19,'Matriz Distâncias NTS'!$D$2:$O$42,8,0)-G19</f>
        <v>0</v>
      </c>
      <c r="X19" s="83">
        <f>VLOOKUP($A19,'Matriz Distâncias NTS'!$D$2:$O$42,9,0)-C19</f>
        <v>103.15499999999997</v>
      </c>
      <c r="Y19" s="83">
        <f>VLOOKUP($A19,'Matriz Distâncias NTS'!$D$2:$O$42,10,0)-I19</f>
        <v>0</v>
      </c>
      <c r="Z19" s="83">
        <f>VLOOKUP($A19,'Matriz Distâncias NTS'!$D$2:$O$42,11,0)-M19</f>
        <v>141.876</v>
      </c>
      <c r="AA19" s="83">
        <f>VLOOKUP($A19,'Matriz Distâncias NTS'!$D$2:$O$42,12,0)-L19</f>
        <v>181.096</v>
      </c>
      <c r="AB19" s="83" t="e">
        <f>VLOOKUP($A19,'Matriz Distâncias NTS'!$D$2:$O$42,13,0)-N19</f>
        <v>#REF!</v>
      </c>
    </row>
    <row r="20" spans="1:28" x14ac:dyDescent="0.35">
      <c r="A20" s="79" t="s">
        <v>60</v>
      </c>
      <c r="B20" s="75">
        <v>436.53199999999998</v>
      </c>
      <c r="C20" s="75">
        <v>451.399</v>
      </c>
      <c r="D20" s="75">
        <v>554.55399999999997</v>
      </c>
      <c r="E20" s="75">
        <v>256.23399999999998</v>
      </c>
      <c r="F20" s="75">
        <v>417.21899999999999</v>
      </c>
      <c r="G20" s="75">
        <v>138.232</v>
      </c>
      <c r="H20" s="75">
        <v>554.55399999999997</v>
      </c>
      <c r="I20" s="75">
        <v>523.38199999999995</v>
      </c>
      <c r="J20" s="75">
        <v>256.23399999999998</v>
      </c>
      <c r="K20" s="75">
        <v>256.23399999999998</v>
      </c>
      <c r="L20" s="76">
        <v>142.49799999999999</v>
      </c>
      <c r="M20" s="76">
        <v>294.65599999999995</v>
      </c>
      <c r="N20" s="76">
        <v>361.23399999999998</v>
      </c>
      <c r="O20" s="75">
        <v>436.53199999999998</v>
      </c>
      <c r="R20" s="83">
        <f>VLOOKUP($A20,'Matriz Distâncias NTS'!$D$2:$O$42,3,0)-F20</f>
        <v>34.180000000000007</v>
      </c>
      <c r="S20" s="83">
        <f>VLOOKUP($A20,'Matriz Distâncias NTS'!$D$2:$O$42,4,0)-O20</f>
        <v>-180.298</v>
      </c>
      <c r="T20" s="83">
        <f>VLOOKUP($A20,'Matriz Distâncias NTS'!$D$2:$O$42,5,0)-H20</f>
        <v>-248.89800000000002</v>
      </c>
      <c r="U20" s="83">
        <f>VLOOKUP($A20,'Matriz Distâncias NTS'!$D$2:$O$42,6,0)-O20</f>
        <v>-19.312999999999988</v>
      </c>
      <c r="V20" s="83">
        <f>VLOOKUP($A20,'Matriz Distâncias NTS'!$D$2:$O$42,7,0)-E20</f>
        <v>298.32</v>
      </c>
      <c r="W20" s="83">
        <f>VLOOKUP($A20,'Matriz Distâncias NTS'!$D$2:$O$42,8,0)-G20</f>
        <v>0</v>
      </c>
      <c r="X20" s="83">
        <f>VLOOKUP($A20,'Matriz Distâncias NTS'!$D$2:$O$42,9,0)-C20</f>
        <v>103.15499999999997</v>
      </c>
      <c r="Y20" s="83">
        <f>VLOOKUP($A20,'Matriz Distâncias NTS'!$D$2:$O$42,10,0)-I20</f>
        <v>0</v>
      </c>
      <c r="Z20" s="83">
        <f>VLOOKUP($A20,'Matriz Distâncias NTS'!$D$2:$O$42,11,0)-M20</f>
        <v>141.87600000000003</v>
      </c>
      <c r="AA20" s="83">
        <f>VLOOKUP($A20,'Matriz Distâncias NTS'!$D$2:$O$42,12,0)-L20</f>
        <v>294.03399999999999</v>
      </c>
      <c r="AB20" s="83" t="e">
        <f>VLOOKUP($A20,'Matriz Distâncias NTS'!$D$2:$O$42,13,0)-N20</f>
        <v>#REF!</v>
      </c>
    </row>
    <row r="21" spans="1:28" x14ac:dyDescent="0.35">
      <c r="A21" s="1" t="s">
        <v>92</v>
      </c>
      <c r="B21" s="75">
        <v>411.90499999999997</v>
      </c>
      <c r="C21" s="75">
        <v>166.572</v>
      </c>
      <c r="D21" s="75">
        <v>269.72699999999998</v>
      </c>
      <c r="E21" s="75">
        <v>368.12299999999999</v>
      </c>
      <c r="F21" s="75">
        <v>132.392</v>
      </c>
      <c r="G21" s="75">
        <v>226.94300000000001</v>
      </c>
      <c r="H21" s="75">
        <v>269.72699999999998</v>
      </c>
      <c r="I21" s="75">
        <v>238.55500000000001</v>
      </c>
      <c r="J21" s="75">
        <v>368.12299999999999</v>
      </c>
      <c r="K21" s="75">
        <v>368.12299999999999</v>
      </c>
      <c r="L21" s="76">
        <v>231.209</v>
      </c>
      <c r="M21" s="76">
        <v>270.029</v>
      </c>
      <c r="N21" s="76">
        <v>473.12299999999999</v>
      </c>
      <c r="O21" s="75">
        <v>411.90499999999997</v>
      </c>
      <c r="R21" s="83">
        <f>VLOOKUP($A21,'Matriz Distâncias NTS'!$D$2:$O$42,3,0)-F21</f>
        <v>34.180000000000007</v>
      </c>
      <c r="S21" s="83">
        <f>VLOOKUP($A21,'Matriz Distâncias NTS'!$D$2:$O$42,4,0)-O21</f>
        <v>-43.781999999999982</v>
      </c>
      <c r="T21" s="83">
        <f>VLOOKUP($A21,'Matriz Distâncias NTS'!$D$2:$O$42,5,0)-H21</f>
        <v>11.302000000000021</v>
      </c>
      <c r="U21" s="83">
        <f>VLOOKUP($A21,'Matriz Distâncias NTS'!$D$2:$O$42,6,0)-O21</f>
        <v>-279.51299999999998</v>
      </c>
      <c r="V21" s="83">
        <f>VLOOKUP($A21,'Matriz Distâncias NTS'!$D$2:$O$42,7,0)-E21</f>
        <v>-98.396000000000015</v>
      </c>
      <c r="W21" s="83">
        <f>VLOOKUP($A21,'Matriz Distâncias NTS'!$D$2:$O$42,8,0)-G21</f>
        <v>0</v>
      </c>
      <c r="X21" s="83">
        <f>VLOOKUP($A21,'Matriz Distâncias NTS'!$D$2:$O$42,9,0)-C21</f>
        <v>103.15499999999997</v>
      </c>
      <c r="Y21" s="83">
        <f>VLOOKUP($A21,'Matriz Distâncias NTS'!$D$2:$O$42,10,0)-I21</f>
        <v>0</v>
      </c>
      <c r="Z21" s="83">
        <f>VLOOKUP($A21,'Matriz Distâncias NTS'!$D$2:$O$42,11,0)-M21</f>
        <v>141.87599999999998</v>
      </c>
      <c r="AA21" s="83">
        <f>VLOOKUP($A21,'Matriz Distâncias NTS'!$D$2:$O$42,12,0)-L21</f>
        <v>180.69599999999997</v>
      </c>
      <c r="AB21" s="83" t="e">
        <f>VLOOKUP($A21,'Matriz Distâncias NTS'!$D$2:$O$42,13,0)-N21</f>
        <v>#REF!</v>
      </c>
    </row>
    <row r="22" spans="1:28" x14ac:dyDescent="0.35">
      <c r="A22" s="77" t="s">
        <v>81</v>
      </c>
      <c r="B22" s="75">
        <v>236.922</v>
      </c>
      <c r="C22" s="75">
        <v>341.55500000000001</v>
      </c>
      <c r="D22" s="75">
        <v>466.84199999999998</v>
      </c>
      <c r="E22" s="75">
        <v>56.624000000000002</v>
      </c>
      <c r="F22" s="75">
        <v>307.375</v>
      </c>
      <c r="G22" s="75">
        <v>51.96</v>
      </c>
      <c r="H22" s="75">
        <v>466.84199999999998</v>
      </c>
      <c r="I22" s="75">
        <v>413.53800000000001</v>
      </c>
      <c r="J22" s="75">
        <v>56.624000000000002</v>
      </c>
      <c r="K22" s="75">
        <v>56.624000000000002</v>
      </c>
      <c r="L22" s="76">
        <v>56.225999999999999</v>
      </c>
      <c r="M22" s="76">
        <v>95.045999999999992</v>
      </c>
      <c r="N22" s="76">
        <v>161.624</v>
      </c>
      <c r="O22" s="75">
        <v>236.922</v>
      </c>
      <c r="R22" s="83">
        <f>VLOOKUP($A22,'Matriz Distâncias NTS'!$D$2:$O$42,3,0)-F22</f>
        <v>34.180000000000007</v>
      </c>
      <c r="S22" s="83">
        <f>VLOOKUP($A22,'Matriz Distâncias NTS'!$D$2:$O$42,4,0)-O22</f>
        <v>-180.298</v>
      </c>
      <c r="T22" s="83">
        <f>VLOOKUP($A22,'Matriz Distâncias NTS'!$D$2:$O$42,5,0)-H22</f>
        <v>-360.79599999999999</v>
      </c>
      <c r="U22" s="83">
        <f>VLOOKUP($A22,'Matriz Distâncias NTS'!$D$2:$O$42,6,0)-O22</f>
        <v>70.453000000000003</v>
      </c>
      <c r="V22" s="83">
        <f>VLOOKUP($A22,'Matriz Distâncias NTS'!$D$2:$O$42,7,0)-E22</f>
        <v>410.21799999999996</v>
      </c>
      <c r="W22" s="83">
        <f>VLOOKUP($A22,'Matriz Distâncias NTS'!$D$2:$O$42,8,0)-G22</f>
        <v>0</v>
      </c>
      <c r="X22" s="83">
        <f>VLOOKUP($A22,'Matriz Distâncias NTS'!$D$2:$O$42,9,0)-C22</f>
        <v>125.28699999999998</v>
      </c>
      <c r="Y22" s="83">
        <f>VLOOKUP($A22,'Matriz Distâncias NTS'!$D$2:$O$42,10,0)-I22</f>
        <v>0</v>
      </c>
      <c r="Z22" s="83">
        <f>VLOOKUP($A22,'Matriz Distâncias NTS'!$D$2:$O$42,11,0)-M22</f>
        <v>141.876</v>
      </c>
      <c r="AA22" s="83">
        <f>VLOOKUP($A22,'Matriz Distâncias NTS'!$D$2:$O$42,12,0)-L22</f>
        <v>180.696</v>
      </c>
      <c r="AB22" s="83" t="e">
        <f>VLOOKUP($A22,'Matriz Distâncias NTS'!$D$2:$O$42,13,0)-N22</f>
        <v>#REF!</v>
      </c>
    </row>
    <row r="23" spans="1:28" x14ac:dyDescent="0.35">
      <c r="A23" s="1" t="s">
        <v>90</v>
      </c>
      <c r="B23" s="75">
        <v>449.86900000000003</v>
      </c>
      <c r="C23" s="75">
        <v>128.608</v>
      </c>
      <c r="D23" s="75">
        <v>231.76300000000001</v>
      </c>
      <c r="E23" s="75">
        <v>330.15899999999999</v>
      </c>
      <c r="F23" s="75">
        <v>94.427999999999997</v>
      </c>
      <c r="G23" s="75">
        <v>264.90699999999998</v>
      </c>
      <c r="H23" s="75">
        <v>231.76300000000001</v>
      </c>
      <c r="I23" s="75">
        <v>200.59100000000001</v>
      </c>
      <c r="J23" s="75">
        <v>330.15899999999999</v>
      </c>
      <c r="K23" s="75">
        <v>330.15899999999999</v>
      </c>
      <c r="L23" s="76">
        <v>269.173</v>
      </c>
      <c r="M23" s="76">
        <v>307.99300000000005</v>
      </c>
      <c r="N23" s="76">
        <v>435.15899999999999</v>
      </c>
      <c r="O23" s="75">
        <v>449.86900000000003</v>
      </c>
      <c r="R23" s="83">
        <f>VLOOKUP($A23,'Matriz Distâncias NTS'!$D$2:$O$42,3,0)-F23</f>
        <v>34.180000000000007</v>
      </c>
      <c r="S23" s="83">
        <f>VLOOKUP($A23,'Matriz Distâncias NTS'!$D$2:$O$42,4,0)-O23</f>
        <v>-119.71000000000004</v>
      </c>
      <c r="T23" s="83">
        <f>VLOOKUP($A23,'Matriz Distâncias NTS'!$D$2:$O$42,5,0)-H23</f>
        <v>87.230000000000047</v>
      </c>
      <c r="U23" s="83">
        <f>VLOOKUP($A23,'Matriz Distâncias NTS'!$D$2:$O$42,6,0)-O23</f>
        <v>-355.44100000000003</v>
      </c>
      <c r="V23" s="83">
        <f>VLOOKUP($A23,'Matriz Distâncias NTS'!$D$2:$O$42,7,0)-E23</f>
        <v>-98.395999999999987</v>
      </c>
      <c r="W23" s="83">
        <f>VLOOKUP($A23,'Matriz Distâncias NTS'!$D$2:$O$42,8,0)-G23</f>
        <v>0</v>
      </c>
      <c r="X23" s="83">
        <f>VLOOKUP($A23,'Matriz Distâncias NTS'!$D$2:$O$42,9,0)-C23</f>
        <v>103.155</v>
      </c>
      <c r="Y23" s="83">
        <f>VLOOKUP($A23,'Matriz Distâncias NTS'!$D$2:$O$42,10,0)-I23</f>
        <v>0</v>
      </c>
      <c r="Z23" s="83">
        <f>VLOOKUP($A23,'Matriz Distâncias NTS'!$D$2:$O$42,11,0)-M23</f>
        <v>141.87599999999998</v>
      </c>
      <c r="AA23" s="83">
        <f>VLOOKUP($A23,'Matriz Distâncias NTS'!$D$2:$O$42,12,0)-L23</f>
        <v>180.69600000000003</v>
      </c>
      <c r="AB23" s="83" t="e">
        <f>VLOOKUP($A23,'Matriz Distâncias NTS'!$D$2:$O$42,13,0)-N23</f>
        <v>#REF!</v>
      </c>
    </row>
    <row r="24" spans="1:28" x14ac:dyDescent="0.35">
      <c r="A24" s="1" t="s">
        <v>82</v>
      </c>
      <c r="B24" s="75">
        <v>256.19499999999999</v>
      </c>
      <c r="C24" s="75">
        <v>322.28199999999998</v>
      </c>
      <c r="D24" s="75">
        <v>486.11500000000001</v>
      </c>
      <c r="E24" s="75">
        <v>75.897000000000006</v>
      </c>
      <c r="F24" s="78">
        <v>288.10199999999998</v>
      </c>
      <c r="G24" s="75">
        <v>71.233000000000004</v>
      </c>
      <c r="H24" s="75">
        <v>486.11500000000001</v>
      </c>
      <c r="I24" s="75">
        <v>394.26499999999999</v>
      </c>
      <c r="J24" s="75">
        <v>75.897000000000006</v>
      </c>
      <c r="K24" s="75">
        <v>75.897000000000006</v>
      </c>
      <c r="L24" s="76">
        <v>75.498999999999995</v>
      </c>
      <c r="M24" s="76">
        <v>114.31899999999999</v>
      </c>
      <c r="N24" s="76">
        <v>180.89699999999999</v>
      </c>
      <c r="O24" s="75">
        <v>256.19499999999999</v>
      </c>
      <c r="R24" s="83">
        <f>VLOOKUP($A24,'Matriz Distâncias NTS'!$D$2:$O$42,3,0)-F24</f>
        <v>34.180000000000007</v>
      </c>
      <c r="S24" s="83">
        <f>VLOOKUP($A24,'Matriz Distâncias NTS'!$D$2:$O$42,4,0)-O24</f>
        <v>-180.298</v>
      </c>
      <c r="T24" s="83">
        <f>VLOOKUP($A24,'Matriz Distâncias NTS'!$D$2:$O$42,5,0)-H24</f>
        <v>-360.79600000000005</v>
      </c>
      <c r="U24" s="83">
        <f>VLOOKUP($A24,'Matriz Distâncias NTS'!$D$2:$O$42,6,0)-O24</f>
        <v>31.906999999999982</v>
      </c>
      <c r="V24" s="83">
        <f>VLOOKUP($A24,'Matriz Distâncias NTS'!$D$2:$O$42,7,0)-E24</f>
        <v>410.21800000000002</v>
      </c>
      <c r="W24" s="83">
        <f>VLOOKUP($A24,'Matriz Distâncias NTS'!$D$2:$O$42,8,0)-G24</f>
        <v>0</v>
      </c>
      <c r="X24" s="83">
        <f>VLOOKUP($A24,'Matriz Distâncias NTS'!$D$2:$O$42,9,0)-C24</f>
        <v>163.83300000000003</v>
      </c>
      <c r="Y24" s="83">
        <f>VLOOKUP($A24,'Matriz Distâncias NTS'!$D$2:$O$42,10,0)-I24</f>
        <v>0</v>
      </c>
      <c r="Z24" s="83">
        <f>VLOOKUP($A24,'Matriz Distâncias NTS'!$D$2:$O$42,11,0)-M24</f>
        <v>141.876</v>
      </c>
      <c r="AA24" s="83">
        <f>VLOOKUP($A24,'Matriz Distâncias NTS'!$D$2:$O$42,12,0)-L24</f>
        <v>180.696</v>
      </c>
      <c r="AB24" s="83" t="e">
        <f>VLOOKUP($A24,'Matriz Distâncias NTS'!$D$2:$O$42,13,0)-N24</f>
        <v>#REF!</v>
      </c>
    </row>
    <row r="25" spans="1:28" x14ac:dyDescent="0.35">
      <c r="A25" s="77" t="s">
        <v>99</v>
      </c>
      <c r="B25" s="75">
        <v>607.57799999999997</v>
      </c>
      <c r="C25" s="75">
        <v>170.52600000000001</v>
      </c>
      <c r="D25" s="75">
        <v>330.96199999999999</v>
      </c>
      <c r="E25" s="75">
        <v>429.358</v>
      </c>
      <c r="F25" s="75">
        <v>64.278999999999996</v>
      </c>
      <c r="G25" s="75">
        <v>431.65800000000002</v>
      </c>
      <c r="H25" s="75">
        <v>330.96199999999999</v>
      </c>
      <c r="I25" s="75">
        <v>60.747999999999998</v>
      </c>
      <c r="J25" s="75">
        <v>429.358</v>
      </c>
      <c r="K25" s="75">
        <v>429.358</v>
      </c>
      <c r="L25" s="76">
        <v>435.92400000000004</v>
      </c>
      <c r="M25" s="76">
        <v>465.702</v>
      </c>
      <c r="N25" s="76">
        <v>534.35799999999995</v>
      </c>
      <c r="O25" s="75">
        <v>607.57799999999997</v>
      </c>
      <c r="R25" s="83">
        <f>VLOOKUP($A25,'Matriz Distâncias NTS'!$D$2:$O$42,3,0)-F25</f>
        <v>106.24700000000001</v>
      </c>
      <c r="S25" s="83">
        <f>VLOOKUP($A25,'Matriz Distâncias NTS'!$D$2:$O$42,4,0)-O25</f>
        <v>-178.21999999999997</v>
      </c>
      <c r="T25" s="83">
        <f>VLOOKUP($A25,'Matriz Distâncias NTS'!$D$2:$O$42,5,0)-H25</f>
        <v>145.74</v>
      </c>
      <c r="U25" s="83">
        <f>VLOOKUP($A25,'Matriz Distâncias NTS'!$D$2:$O$42,6,0)-O25</f>
        <v>-543.29899999999998</v>
      </c>
      <c r="V25" s="83">
        <f>VLOOKUP($A25,'Matriz Distâncias NTS'!$D$2:$O$42,7,0)-E25</f>
        <v>-98.396000000000015</v>
      </c>
      <c r="W25" s="83">
        <f>VLOOKUP($A25,'Matriz Distâncias NTS'!$D$2:$O$42,8,0)-G25</f>
        <v>0</v>
      </c>
      <c r="X25" s="83">
        <f>VLOOKUP($A25,'Matriz Distâncias NTS'!$D$2:$O$42,9,0)-C25</f>
        <v>160.43599999999998</v>
      </c>
      <c r="Y25" s="83">
        <f>VLOOKUP($A25,'Matriz Distâncias NTS'!$D$2:$O$42,10,0)-I25</f>
        <v>0</v>
      </c>
      <c r="Z25" s="83">
        <f>VLOOKUP($A25,'Matriz Distâncias NTS'!$D$2:$O$42,11,0)-M25</f>
        <v>141.87599999999998</v>
      </c>
      <c r="AA25" s="83">
        <f>VLOOKUP($A25,'Matriz Distâncias NTS'!$D$2:$O$42,12,0)-L25</f>
        <v>171.65399999999994</v>
      </c>
      <c r="AB25" s="83" t="e">
        <f>VLOOKUP($A25,'Matriz Distâncias NTS'!$D$2:$O$42,13,0)-N25</f>
        <v>#REF!</v>
      </c>
    </row>
    <row r="26" spans="1:28" x14ac:dyDescent="0.35">
      <c r="A26" s="77" t="s">
        <v>86</v>
      </c>
      <c r="B26" s="75">
        <v>182.59800000000001</v>
      </c>
      <c r="C26" s="75">
        <v>401.55900000000003</v>
      </c>
      <c r="D26" s="75">
        <v>504.714</v>
      </c>
      <c r="E26" s="75">
        <v>2.2999999999999998</v>
      </c>
      <c r="F26" s="75">
        <v>359.33499999999998</v>
      </c>
      <c r="G26" s="75">
        <v>0</v>
      </c>
      <c r="H26" s="75">
        <v>504.714</v>
      </c>
      <c r="I26" s="75">
        <v>465.49799999999999</v>
      </c>
      <c r="J26" s="75">
        <v>2.2999999999999998</v>
      </c>
      <c r="K26" s="75">
        <v>2.2999999999999998</v>
      </c>
      <c r="L26" s="76">
        <v>93.698000000000022</v>
      </c>
      <c r="M26" s="76">
        <v>40.722000000000008</v>
      </c>
      <c r="N26" s="76">
        <v>107.3</v>
      </c>
      <c r="O26" s="75">
        <v>182.59800000000001</v>
      </c>
      <c r="R26" s="83">
        <f>VLOOKUP($A26,'Matriz Distâncias NTS'!$D$2:$O$42,3,0)-F26</f>
        <v>42.224000000000046</v>
      </c>
      <c r="S26" s="83">
        <f>VLOOKUP($A26,'Matriz Distâncias NTS'!$D$2:$O$42,4,0)-O26</f>
        <v>-180.298</v>
      </c>
      <c r="T26" s="83">
        <f>VLOOKUP($A26,'Matriz Distâncias NTS'!$D$2:$O$42,5,0)-H26</f>
        <v>-452.99199999999996</v>
      </c>
      <c r="U26" s="83">
        <f>VLOOKUP($A26,'Matriz Distâncias NTS'!$D$2:$O$42,6,0)-O26</f>
        <v>176.74199999999996</v>
      </c>
      <c r="V26" s="83">
        <f>VLOOKUP($A26,'Matriz Distâncias NTS'!$D$2:$O$42,7,0)-E26</f>
        <v>502.41399999999999</v>
      </c>
      <c r="W26" s="83">
        <f>VLOOKUP($A26,'Matriz Distâncias NTS'!$D$2:$O$42,8,0)-G26</f>
        <v>0</v>
      </c>
      <c r="X26" s="83">
        <f>VLOOKUP($A26,'Matriz Distâncias NTS'!$D$2:$O$42,9,0)-C26</f>
        <v>103.15499999999997</v>
      </c>
      <c r="Y26" s="83">
        <f>VLOOKUP($A26,'Matriz Distâncias NTS'!$D$2:$O$42,10,0)-I26</f>
        <v>0</v>
      </c>
      <c r="Z26" s="83">
        <f>VLOOKUP($A26,'Matriz Distâncias NTS'!$D$2:$O$42,11,0)-M26</f>
        <v>141.876</v>
      </c>
      <c r="AA26" s="83">
        <f>VLOOKUP($A26,'Matriz Distâncias NTS'!$D$2:$O$42,12,0)-L26</f>
        <v>88.899999999999991</v>
      </c>
      <c r="AB26" s="83" t="e">
        <f>VLOOKUP($A26,'Matriz Distâncias NTS'!$D$2:$O$42,13,0)-N26</f>
        <v>#REF!</v>
      </c>
    </row>
    <row r="27" spans="1:28" x14ac:dyDescent="0.35">
      <c r="A27" s="79" t="s">
        <v>65</v>
      </c>
      <c r="B27" s="75">
        <v>654.14400000000001</v>
      </c>
      <c r="C27" s="75">
        <v>669.01099999999997</v>
      </c>
      <c r="D27" s="75">
        <v>772.16600000000005</v>
      </c>
      <c r="E27" s="75">
        <v>473.846</v>
      </c>
      <c r="F27" s="75">
        <v>634.83100000000002</v>
      </c>
      <c r="G27" s="75">
        <v>355.84399999999999</v>
      </c>
      <c r="H27" s="75">
        <v>772.16600000000005</v>
      </c>
      <c r="I27" s="75">
        <v>740.99400000000003</v>
      </c>
      <c r="J27" s="75">
        <v>473.846</v>
      </c>
      <c r="K27" s="75">
        <v>473.846</v>
      </c>
      <c r="L27" s="76">
        <v>360.11</v>
      </c>
      <c r="M27" s="76">
        <v>512.26800000000003</v>
      </c>
      <c r="N27" s="76">
        <v>578.846</v>
      </c>
      <c r="O27" s="75">
        <v>654.14400000000001</v>
      </c>
      <c r="R27" s="83">
        <f>VLOOKUP($A27,'Matriz Distâncias NTS'!$D$2:$O$42,3,0)-F27</f>
        <v>34.17999999999995</v>
      </c>
      <c r="S27" s="83">
        <f>VLOOKUP($A27,'Matriz Distâncias NTS'!$D$2:$O$42,4,0)-O27</f>
        <v>-180.298</v>
      </c>
      <c r="T27" s="83">
        <f>VLOOKUP($A27,'Matriz Distâncias NTS'!$D$2:$O$42,5,0)-H27</f>
        <v>-248.89800000000002</v>
      </c>
      <c r="U27" s="83">
        <f>VLOOKUP($A27,'Matriz Distâncias NTS'!$D$2:$O$42,6,0)-O27</f>
        <v>-19.312999999999988</v>
      </c>
      <c r="V27" s="83">
        <f>VLOOKUP($A27,'Matriz Distâncias NTS'!$D$2:$O$42,7,0)-E27</f>
        <v>298.32000000000005</v>
      </c>
      <c r="W27" s="83">
        <f>VLOOKUP($A27,'Matriz Distâncias NTS'!$D$2:$O$42,8,0)-G27</f>
        <v>0</v>
      </c>
      <c r="X27" s="83">
        <f>VLOOKUP($A27,'Matriz Distâncias NTS'!$D$2:$O$42,9,0)-C27</f>
        <v>103.15500000000009</v>
      </c>
      <c r="Y27" s="83">
        <f>VLOOKUP($A27,'Matriz Distâncias NTS'!$D$2:$O$42,10,0)-I27</f>
        <v>0</v>
      </c>
      <c r="Z27" s="83">
        <f>VLOOKUP($A27,'Matriz Distâncias NTS'!$D$2:$O$42,11,0)-M27</f>
        <v>141.87599999999998</v>
      </c>
      <c r="AA27" s="83">
        <f>VLOOKUP($A27,'Matriz Distâncias NTS'!$D$2:$O$42,12,0)-L27</f>
        <v>294.03399999999999</v>
      </c>
      <c r="AB27" s="83" t="e">
        <f>VLOOKUP($A27,'Matriz Distâncias NTS'!$D$2:$O$42,13,0)-N27</f>
        <v>#REF!</v>
      </c>
    </row>
    <row r="28" spans="1:28" x14ac:dyDescent="0.35">
      <c r="A28" s="73" t="s">
        <v>66</v>
      </c>
      <c r="B28" s="75">
        <v>654.14400000000001</v>
      </c>
      <c r="C28" s="75">
        <v>669.01099999999997</v>
      </c>
      <c r="D28" s="75">
        <v>772.16600000000005</v>
      </c>
      <c r="E28" s="75">
        <v>473.846</v>
      </c>
      <c r="F28" s="75">
        <v>634.83100000000002</v>
      </c>
      <c r="G28" s="75">
        <v>355.84399999999999</v>
      </c>
      <c r="H28" s="75">
        <v>772.16600000000005</v>
      </c>
      <c r="I28" s="75">
        <v>740.99400000000003</v>
      </c>
      <c r="J28" s="75">
        <v>473.846</v>
      </c>
      <c r="K28" s="75">
        <v>473.846</v>
      </c>
      <c r="L28" s="76">
        <v>360.11</v>
      </c>
      <c r="M28" s="76">
        <v>512.26800000000003</v>
      </c>
      <c r="N28" s="76">
        <v>578.846</v>
      </c>
      <c r="O28" s="75">
        <v>654.14400000000001</v>
      </c>
      <c r="R28" s="83">
        <f>VLOOKUP($A28,'Matriz Distâncias NTS'!$D$2:$O$42,3,0)-F28</f>
        <v>34.17999999999995</v>
      </c>
      <c r="S28" s="83">
        <f>VLOOKUP($A28,'Matriz Distâncias NTS'!$D$2:$O$42,4,0)-O28</f>
        <v>-180.298</v>
      </c>
      <c r="T28" s="83">
        <f>VLOOKUP($A28,'Matriz Distâncias NTS'!$D$2:$O$42,5,0)-H28</f>
        <v>-248.89800000000002</v>
      </c>
      <c r="U28" s="83">
        <f>VLOOKUP($A28,'Matriz Distâncias NTS'!$D$2:$O$42,6,0)-O28</f>
        <v>-19.312999999999988</v>
      </c>
      <c r="V28" s="83">
        <f>VLOOKUP($A28,'Matriz Distâncias NTS'!$D$2:$O$42,7,0)-E28</f>
        <v>298.32000000000005</v>
      </c>
      <c r="W28" s="83">
        <f>VLOOKUP($A28,'Matriz Distâncias NTS'!$D$2:$O$42,8,0)-G28</f>
        <v>0</v>
      </c>
      <c r="X28" s="83">
        <f>VLOOKUP($A28,'Matriz Distâncias NTS'!$D$2:$O$42,9,0)-C28</f>
        <v>103.15500000000009</v>
      </c>
      <c r="Y28" s="83">
        <f>VLOOKUP($A28,'Matriz Distâncias NTS'!$D$2:$O$42,10,0)-I28</f>
        <v>0</v>
      </c>
      <c r="Z28" s="83">
        <f>VLOOKUP($A28,'Matriz Distâncias NTS'!$D$2:$O$42,11,0)-M28</f>
        <v>141.87599999999998</v>
      </c>
      <c r="AA28" s="83">
        <f>VLOOKUP($A28,'Matriz Distâncias NTS'!$D$2:$O$42,12,0)-L28</f>
        <v>294.03399999999999</v>
      </c>
      <c r="AB28" s="83" t="e">
        <f>VLOOKUP($A28,'Matriz Distâncias NTS'!$D$2:$O$42,13,0)-N28</f>
        <v>#REF!</v>
      </c>
    </row>
    <row r="29" spans="1:28" x14ac:dyDescent="0.35">
      <c r="A29" s="1" t="s">
        <v>263</v>
      </c>
      <c r="B29" s="75">
        <v>682.71199999999999</v>
      </c>
      <c r="C29" s="75">
        <v>300.863</v>
      </c>
      <c r="D29" s="75">
        <v>0</v>
      </c>
      <c r="E29" s="75">
        <v>502.41399999999999</v>
      </c>
      <c r="F29" s="75">
        <v>266.68299999999999</v>
      </c>
      <c r="G29" s="75">
        <v>504.714</v>
      </c>
      <c r="H29" s="75">
        <v>0</v>
      </c>
      <c r="I29" s="75">
        <v>372.846</v>
      </c>
      <c r="J29" s="75">
        <v>502.41399999999999</v>
      </c>
      <c r="K29" s="75">
        <v>502.41399999999999</v>
      </c>
      <c r="L29" s="76">
        <v>508.98</v>
      </c>
      <c r="M29" s="76">
        <v>540.83600000000001</v>
      </c>
      <c r="N29" s="76">
        <v>607.41399999999999</v>
      </c>
      <c r="O29" s="75">
        <v>682.71199999999999</v>
      </c>
      <c r="R29" s="83" t="e">
        <f>VLOOKUP($A29,'Matriz Distâncias NTS'!$D$2:$O$42,3,0)-F29</f>
        <v>#N/A</v>
      </c>
      <c r="S29" s="83" t="e">
        <f>VLOOKUP($A29,'Matriz Distâncias NTS'!$D$2:$O$42,4,0)-O29</f>
        <v>#N/A</v>
      </c>
      <c r="T29" s="83" t="e">
        <f>VLOOKUP($A29,'Matriz Distâncias NTS'!$D$2:$O$42,5,0)-H29</f>
        <v>#N/A</v>
      </c>
      <c r="U29" s="83" t="e">
        <f>VLOOKUP($A29,'Matriz Distâncias NTS'!$D$2:$O$42,6,0)-O29</f>
        <v>#N/A</v>
      </c>
      <c r="V29" s="83" t="e">
        <f>VLOOKUP($A29,'Matriz Distâncias NTS'!$D$2:$O$42,7,0)-E29</f>
        <v>#N/A</v>
      </c>
      <c r="W29" s="83" t="e">
        <f>VLOOKUP($A29,'Matriz Distâncias NTS'!$D$2:$O$42,8,0)-G29</f>
        <v>#N/A</v>
      </c>
      <c r="X29" s="83" t="e">
        <f>VLOOKUP($A29,'Matriz Distâncias NTS'!$D$2:$O$42,9,0)-C29</f>
        <v>#N/A</v>
      </c>
      <c r="Y29" s="83" t="e">
        <f>VLOOKUP($A29,'Matriz Distâncias NTS'!$D$2:$O$42,10,0)-I29</f>
        <v>#N/A</v>
      </c>
      <c r="Z29" s="83" t="e">
        <f>VLOOKUP($A29,'Matriz Distâncias NTS'!$D$2:$O$42,11,0)-M29</f>
        <v>#N/A</v>
      </c>
      <c r="AA29" s="83" t="e">
        <f>VLOOKUP($A29,'Matriz Distâncias NTS'!$D$2:$O$42,12,0)-L29</f>
        <v>#N/A</v>
      </c>
      <c r="AB29" s="83" t="e">
        <f>VLOOKUP($A29,'Matriz Distâncias NTS'!$D$2:$O$42,13,0)-N29</f>
        <v>#N/A</v>
      </c>
    </row>
    <row r="30" spans="1:28" x14ac:dyDescent="0.35">
      <c r="A30" s="77" t="s">
        <v>84</v>
      </c>
      <c r="B30" s="75">
        <v>334.81599999999997</v>
      </c>
      <c r="C30" s="75">
        <v>244.471</v>
      </c>
      <c r="D30" s="75">
        <v>347.89600000000002</v>
      </c>
      <c r="E30" s="75">
        <v>154.518</v>
      </c>
      <c r="F30" s="78">
        <v>210.56100000000001</v>
      </c>
      <c r="G30" s="75">
        <v>156.81800000000001</v>
      </c>
      <c r="H30" s="75">
        <v>347.89600000000002</v>
      </c>
      <c r="I30" s="75">
        <v>316.72399999999999</v>
      </c>
      <c r="J30" s="75">
        <v>154.518</v>
      </c>
      <c r="K30" s="75">
        <v>154.518</v>
      </c>
      <c r="L30" s="76">
        <v>161.084</v>
      </c>
      <c r="M30" s="76">
        <v>192.93999999999997</v>
      </c>
      <c r="N30" s="76">
        <v>259.51800000000003</v>
      </c>
      <c r="O30" s="75">
        <v>334.81599999999997</v>
      </c>
      <c r="R30" s="83">
        <f>VLOOKUP($A30,'Matriz Distâncias NTS'!$D$2:$O$42,3,0)-F30</f>
        <v>33.909999999999997</v>
      </c>
      <c r="S30" s="83">
        <f>VLOOKUP($A30,'Matriz Distâncias NTS'!$D$2:$O$42,4,0)-O30</f>
        <v>-180.29799999999997</v>
      </c>
      <c r="T30" s="83">
        <f>VLOOKUP($A30,'Matriz Distâncias NTS'!$D$2:$O$42,5,0)-H30</f>
        <v>-143.95600000000005</v>
      </c>
      <c r="U30" s="83">
        <f>VLOOKUP($A30,'Matriz Distâncias NTS'!$D$2:$O$42,6,0)-O30</f>
        <v>-124.255</v>
      </c>
      <c r="V30" s="83">
        <f>VLOOKUP($A30,'Matriz Distâncias NTS'!$D$2:$O$42,7,0)-E30</f>
        <v>193.37800000000001</v>
      </c>
      <c r="W30" s="83">
        <f>VLOOKUP($A30,'Matriz Distâncias NTS'!$D$2:$O$42,8,0)-G30</f>
        <v>0</v>
      </c>
      <c r="X30" s="83">
        <f>VLOOKUP($A30,'Matriz Distâncias NTS'!$D$2:$O$42,9,0)-C30</f>
        <v>103.42500000000001</v>
      </c>
      <c r="Y30" s="83">
        <f>VLOOKUP($A30,'Matriz Distâncias NTS'!$D$2:$O$42,10,0)-I30</f>
        <v>0</v>
      </c>
      <c r="Z30" s="83">
        <f>VLOOKUP($A30,'Matriz Distâncias NTS'!$D$2:$O$42,11,0)-M30</f>
        <v>141.876</v>
      </c>
      <c r="AA30" s="83">
        <f>VLOOKUP($A30,'Matriz Distâncias NTS'!$D$2:$O$42,12,0)-L30</f>
        <v>173.73199999999997</v>
      </c>
      <c r="AB30" s="83" t="e">
        <f>VLOOKUP($A30,'Matriz Distâncias NTS'!$D$2:$O$42,13,0)-N30</f>
        <v>#REF!</v>
      </c>
    </row>
    <row r="31" spans="1:28" x14ac:dyDescent="0.35">
      <c r="A31" s="1" t="s">
        <v>95</v>
      </c>
      <c r="B31" s="75">
        <v>508.21699999999998</v>
      </c>
      <c r="C31" s="75">
        <v>66.924999999999997</v>
      </c>
      <c r="D31" s="75">
        <v>230.60300000000001</v>
      </c>
      <c r="E31" s="75">
        <v>328.99900000000002</v>
      </c>
      <c r="F31" s="75">
        <v>36.08</v>
      </c>
      <c r="G31" s="75">
        <v>331.29900000000004</v>
      </c>
      <c r="H31" s="75">
        <v>230.60300000000001</v>
      </c>
      <c r="I31" s="75">
        <v>142.24299999999999</v>
      </c>
      <c r="J31" s="75">
        <v>328.99900000000002</v>
      </c>
      <c r="K31" s="75">
        <v>328.99900000000002</v>
      </c>
      <c r="L31" s="76">
        <v>335.56500000000005</v>
      </c>
      <c r="M31" s="76">
        <v>366.34100000000001</v>
      </c>
      <c r="N31" s="76">
        <v>433.99900000000002</v>
      </c>
      <c r="O31" s="75">
        <v>508.21699999999998</v>
      </c>
      <c r="R31" s="83">
        <f>VLOOKUP($A31,'Matriz Distâncias NTS'!$D$2:$O$42,3,0)-F31</f>
        <v>30.844999999999999</v>
      </c>
      <c r="S31" s="83">
        <f>VLOOKUP($A31,'Matriz Distâncias NTS'!$D$2:$O$42,4,0)-O31</f>
        <v>-179.21799999999996</v>
      </c>
      <c r="T31" s="83">
        <f>VLOOKUP($A31,'Matriz Distâncias NTS'!$D$2:$O$42,5,0)-H31</f>
        <v>146.738</v>
      </c>
      <c r="U31" s="83">
        <f>VLOOKUP($A31,'Matriz Distâncias NTS'!$D$2:$O$42,6,0)-O31</f>
        <v>-472.137</v>
      </c>
      <c r="V31" s="83">
        <f>VLOOKUP($A31,'Matriz Distâncias NTS'!$D$2:$O$42,7,0)-E31</f>
        <v>-98.396000000000015</v>
      </c>
      <c r="W31" s="83">
        <f>VLOOKUP($A31,'Matriz Distâncias NTS'!$D$2:$O$42,8,0)-G31</f>
        <v>0</v>
      </c>
      <c r="X31" s="83">
        <f>VLOOKUP($A31,'Matriz Distâncias NTS'!$D$2:$O$42,9,0)-C31</f>
        <v>163.678</v>
      </c>
      <c r="Y31" s="83">
        <f>VLOOKUP($A31,'Matriz Distâncias NTS'!$D$2:$O$42,10,0)-I31</f>
        <v>0</v>
      </c>
      <c r="Z31" s="83">
        <f>VLOOKUP($A31,'Matriz Distâncias NTS'!$D$2:$O$42,11,0)-M31</f>
        <v>141.87599999999998</v>
      </c>
      <c r="AA31" s="83">
        <f>VLOOKUP($A31,'Matriz Distâncias NTS'!$D$2:$O$42,12,0)-L31</f>
        <v>172.65199999999993</v>
      </c>
      <c r="AB31" s="83" t="e">
        <f>VLOOKUP($A31,'Matriz Distâncias NTS'!$D$2:$O$42,13,0)-N31</f>
        <v>#REF!</v>
      </c>
    </row>
    <row r="32" spans="1:28" x14ac:dyDescent="0.35">
      <c r="A32" s="1" t="s">
        <v>85</v>
      </c>
      <c r="B32" s="75">
        <v>253.459</v>
      </c>
      <c r="C32" s="75">
        <v>390.27800000000002</v>
      </c>
      <c r="D32" s="75">
        <v>493.43299999999999</v>
      </c>
      <c r="E32" s="75">
        <v>70.861000000000004</v>
      </c>
      <c r="F32" s="75">
        <v>356.09800000000001</v>
      </c>
      <c r="G32" s="75">
        <v>68.161000000000001</v>
      </c>
      <c r="H32" s="75">
        <v>493.43299999999999</v>
      </c>
      <c r="I32" s="75">
        <v>462.26100000000002</v>
      </c>
      <c r="J32" s="75">
        <v>70.861000000000004</v>
      </c>
      <c r="K32" s="75">
        <v>70.861000000000004</v>
      </c>
      <c r="L32" s="76">
        <v>72.426999999999992</v>
      </c>
      <c r="M32" s="76">
        <v>111.583</v>
      </c>
      <c r="N32" s="76">
        <v>175.86099999999999</v>
      </c>
      <c r="O32" s="75">
        <v>253.459</v>
      </c>
      <c r="R32" s="83">
        <f>VLOOKUP($A32,'Matriz Distâncias NTS'!$D$2:$O$42,3,0)-F32</f>
        <v>34.180000000000007</v>
      </c>
      <c r="S32" s="83">
        <f>VLOOKUP($A32,'Matriz Distâncias NTS'!$D$2:$O$42,4,0)-O32</f>
        <v>-182.59800000000001</v>
      </c>
      <c r="T32" s="83">
        <f>VLOOKUP($A32,'Matriz Distâncias NTS'!$D$2:$O$42,5,0)-H32</f>
        <v>-370.85</v>
      </c>
      <c r="U32" s="83">
        <f>VLOOKUP($A32,'Matriz Distâncias NTS'!$D$2:$O$42,6,0)-O32</f>
        <v>102.63900000000001</v>
      </c>
      <c r="V32" s="83">
        <f>VLOOKUP($A32,'Matriz Distâncias NTS'!$D$2:$O$42,7,0)-E32</f>
        <v>422.572</v>
      </c>
      <c r="W32" s="83">
        <f>VLOOKUP($A32,'Matriz Distâncias NTS'!$D$2:$O$42,8,0)-G32</f>
        <v>0</v>
      </c>
      <c r="X32" s="83">
        <f>VLOOKUP($A32,'Matriz Distâncias NTS'!$D$2:$O$42,9,0)-C32</f>
        <v>103.15499999999997</v>
      </c>
      <c r="Y32" s="83">
        <f>VLOOKUP($A32,'Matriz Distâncias NTS'!$D$2:$O$42,10,0)-I32</f>
        <v>0</v>
      </c>
      <c r="Z32" s="83">
        <f>VLOOKUP($A32,'Matriz Distâncias NTS'!$D$2:$O$42,11,0)-M32</f>
        <v>141.876</v>
      </c>
      <c r="AA32" s="83">
        <f>VLOOKUP($A32,'Matriz Distâncias NTS'!$D$2:$O$42,12,0)-L32</f>
        <v>181.03200000000001</v>
      </c>
      <c r="AB32" s="83" t="e">
        <f>VLOOKUP($A32,'Matriz Distâncias NTS'!$D$2:$O$42,13,0)-N32</f>
        <v>#REF!</v>
      </c>
    </row>
    <row r="33" spans="1:28" x14ac:dyDescent="0.35">
      <c r="A33" s="77" t="s">
        <v>104</v>
      </c>
      <c r="B33" s="75">
        <v>651.54</v>
      </c>
      <c r="C33" s="75">
        <v>212.41</v>
      </c>
      <c r="D33" s="75">
        <v>372.846</v>
      </c>
      <c r="E33" s="75">
        <v>471.24200000000002</v>
      </c>
      <c r="F33" s="75">
        <v>106.163</v>
      </c>
      <c r="G33" s="75">
        <v>473.54200000000003</v>
      </c>
      <c r="H33" s="75">
        <v>372.846</v>
      </c>
      <c r="I33" s="75">
        <v>0</v>
      </c>
      <c r="J33" s="75">
        <v>471.24200000000002</v>
      </c>
      <c r="K33" s="75">
        <v>471.24200000000002</v>
      </c>
      <c r="L33" s="76">
        <v>477.80800000000005</v>
      </c>
      <c r="M33" s="76">
        <v>509.66399999999999</v>
      </c>
      <c r="N33" s="76">
        <v>576.24199999999996</v>
      </c>
      <c r="O33" s="75">
        <v>651.54</v>
      </c>
      <c r="R33" s="83" t="e">
        <f>VLOOKUP($A33,'Matriz Distâncias NTS'!$D$2:$O$42,3,0)-F33</f>
        <v>#N/A</v>
      </c>
      <c r="S33" s="83" t="e">
        <f>VLOOKUP($A33,'Matriz Distâncias NTS'!$D$2:$O$42,4,0)-O33</f>
        <v>#N/A</v>
      </c>
      <c r="T33" s="83" t="e">
        <f>VLOOKUP($A33,'Matriz Distâncias NTS'!$D$2:$O$42,5,0)-H33</f>
        <v>#N/A</v>
      </c>
      <c r="U33" s="83" t="e">
        <f>VLOOKUP($A33,'Matriz Distâncias NTS'!$D$2:$O$42,6,0)-O33</f>
        <v>#N/A</v>
      </c>
      <c r="V33" s="83" t="e">
        <f>VLOOKUP($A33,'Matriz Distâncias NTS'!$D$2:$O$42,7,0)-E33</f>
        <v>#N/A</v>
      </c>
      <c r="W33" s="83" t="e">
        <f>VLOOKUP($A33,'Matriz Distâncias NTS'!$D$2:$O$42,8,0)-G33</f>
        <v>#N/A</v>
      </c>
      <c r="X33" s="83" t="e">
        <f>VLOOKUP($A33,'Matriz Distâncias NTS'!$D$2:$O$42,9,0)-C33</f>
        <v>#N/A</v>
      </c>
      <c r="Y33" s="83" t="e">
        <f>VLOOKUP($A33,'Matriz Distâncias NTS'!$D$2:$O$42,10,0)-I33</f>
        <v>#N/A</v>
      </c>
      <c r="Z33" s="83" t="e">
        <f>VLOOKUP($A33,'Matriz Distâncias NTS'!$D$2:$O$42,11,0)-M33</f>
        <v>#N/A</v>
      </c>
      <c r="AA33" s="83" t="e">
        <f>VLOOKUP($A33,'Matriz Distâncias NTS'!$D$2:$O$42,12,0)-L33</f>
        <v>#N/A</v>
      </c>
      <c r="AB33" s="83" t="e">
        <f>VLOOKUP($A33,'Matriz Distâncias NTS'!$D$2:$O$42,13,0)-N33</f>
        <v>#N/A</v>
      </c>
    </row>
    <row r="34" spans="1:28" x14ac:dyDescent="0.35">
      <c r="A34" s="73" t="s">
        <v>62</v>
      </c>
      <c r="B34" s="75">
        <v>566.08000000000004</v>
      </c>
      <c r="C34" s="75">
        <v>580.947</v>
      </c>
      <c r="D34" s="75">
        <v>684.10199999999998</v>
      </c>
      <c r="E34" s="75">
        <v>385.78199999999998</v>
      </c>
      <c r="F34" s="75">
        <v>546.76700000000005</v>
      </c>
      <c r="G34" s="75">
        <v>267.77999999999997</v>
      </c>
      <c r="H34" s="75">
        <v>684.10199999999998</v>
      </c>
      <c r="I34" s="75">
        <v>652.92999999999995</v>
      </c>
      <c r="J34" s="75">
        <v>385.78199999999998</v>
      </c>
      <c r="K34" s="75">
        <v>385.78199999999998</v>
      </c>
      <c r="L34" s="76">
        <v>272.04599999999999</v>
      </c>
      <c r="M34" s="76">
        <v>424.20400000000006</v>
      </c>
      <c r="N34" s="76">
        <v>490.78199999999998</v>
      </c>
      <c r="O34" s="75">
        <v>566.08000000000004</v>
      </c>
      <c r="R34" s="83">
        <f>VLOOKUP($A34,'Matriz Distâncias NTS'!$D$2:$O$42,3,0)-F34</f>
        <v>34.17999999999995</v>
      </c>
      <c r="S34" s="83">
        <f>VLOOKUP($A34,'Matriz Distâncias NTS'!$D$2:$O$42,4,0)-O34</f>
        <v>-180.29800000000006</v>
      </c>
      <c r="T34" s="83">
        <f>VLOOKUP($A34,'Matriz Distâncias NTS'!$D$2:$O$42,5,0)-H34</f>
        <v>-248.89799999999991</v>
      </c>
      <c r="U34" s="83">
        <f>VLOOKUP($A34,'Matriz Distâncias NTS'!$D$2:$O$42,6,0)-O34</f>
        <v>-19.312999999999988</v>
      </c>
      <c r="V34" s="83">
        <f>VLOOKUP($A34,'Matriz Distâncias NTS'!$D$2:$O$42,7,0)-E34</f>
        <v>298.32</v>
      </c>
      <c r="W34" s="83">
        <f>VLOOKUP($A34,'Matriz Distâncias NTS'!$D$2:$O$42,8,0)-G34</f>
        <v>0</v>
      </c>
      <c r="X34" s="83">
        <f>VLOOKUP($A34,'Matriz Distâncias NTS'!$D$2:$O$42,9,0)-C34</f>
        <v>103.15499999999997</v>
      </c>
      <c r="Y34" s="83">
        <f>VLOOKUP($A34,'Matriz Distâncias NTS'!$D$2:$O$42,10,0)-I34</f>
        <v>0</v>
      </c>
      <c r="Z34" s="83">
        <f>VLOOKUP($A34,'Matriz Distâncias NTS'!$D$2:$O$42,11,0)-M34</f>
        <v>141.87599999999998</v>
      </c>
      <c r="AA34" s="83">
        <f>VLOOKUP($A34,'Matriz Distâncias NTS'!$D$2:$O$42,12,0)-L34</f>
        <v>294.03400000000005</v>
      </c>
      <c r="AB34" s="83" t="e">
        <f>VLOOKUP($A34,'Matriz Distâncias NTS'!$D$2:$O$42,13,0)-N34</f>
        <v>#REF!</v>
      </c>
    </row>
    <row r="35" spans="1:28" x14ac:dyDescent="0.35">
      <c r="A35" s="1" t="s">
        <v>100</v>
      </c>
      <c r="B35" s="75">
        <v>633.53700000000003</v>
      </c>
      <c r="C35" s="75">
        <v>194.40700000000001</v>
      </c>
      <c r="D35" s="75">
        <v>354.84300000000002</v>
      </c>
      <c r="E35" s="75">
        <v>453.23899999999998</v>
      </c>
      <c r="F35" s="75">
        <v>88.16</v>
      </c>
      <c r="G35" s="75">
        <v>455.53899999999999</v>
      </c>
      <c r="H35" s="75">
        <v>354.84300000000002</v>
      </c>
      <c r="I35" s="75">
        <v>18.003</v>
      </c>
      <c r="J35" s="75">
        <v>453.23899999999998</v>
      </c>
      <c r="K35" s="75">
        <v>453.23899999999998</v>
      </c>
      <c r="L35" s="76">
        <v>459.80500000000001</v>
      </c>
      <c r="M35" s="76">
        <v>491.66100000000006</v>
      </c>
      <c r="N35" s="76">
        <v>558.23900000000003</v>
      </c>
      <c r="O35" s="75">
        <v>633.53700000000003</v>
      </c>
      <c r="R35" s="83">
        <f>VLOOKUP($A35,'Matriz Distâncias NTS'!$D$2:$O$42,3,0)-F35</f>
        <v>106.24700000000001</v>
      </c>
      <c r="S35" s="83">
        <f>VLOOKUP($A35,'Matriz Distâncias NTS'!$D$2:$O$42,4,0)-O35</f>
        <v>-180.29800000000006</v>
      </c>
      <c r="T35" s="83">
        <f>VLOOKUP($A35,'Matriz Distâncias NTS'!$D$2:$O$42,5,0)-H35</f>
        <v>147.81800000000004</v>
      </c>
      <c r="U35" s="83">
        <f>VLOOKUP($A35,'Matriz Distâncias NTS'!$D$2:$O$42,6,0)-O35</f>
        <v>-545.37700000000007</v>
      </c>
      <c r="V35" s="83">
        <f>VLOOKUP($A35,'Matriz Distâncias NTS'!$D$2:$O$42,7,0)-E35</f>
        <v>-98.395999999999958</v>
      </c>
      <c r="W35" s="83">
        <f>VLOOKUP($A35,'Matriz Distâncias NTS'!$D$2:$O$42,8,0)-G35</f>
        <v>0</v>
      </c>
      <c r="X35" s="83">
        <f>VLOOKUP($A35,'Matriz Distâncias NTS'!$D$2:$O$42,9,0)-C35</f>
        <v>160.43600000000001</v>
      </c>
      <c r="Y35" s="83">
        <f>VLOOKUP($A35,'Matriz Distâncias NTS'!$D$2:$O$42,10,0)-I35</f>
        <v>0</v>
      </c>
      <c r="Z35" s="83">
        <f>VLOOKUP($A35,'Matriz Distâncias NTS'!$D$2:$O$42,11,0)-M35</f>
        <v>141.87599999999998</v>
      </c>
      <c r="AA35" s="83">
        <f>VLOOKUP($A35,'Matriz Distâncias NTS'!$D$2:$O$42,12,0)-L35</f>
        <v>173.73200000000003</v>
      </c>
      <c r="AB35" s="83" t="e">
        <f>VLOOKUP($A35,'Matriz Distâncias NTS'!$D$2:$O$42,13,0)-N35</f>
        <v>#REF!</v>
      </c>
    </row>
    <row r="36" spans="1:28" x14ac:dyDescent="0.35">
      <c r="A36" s="77" t="s">
        <v>101</v>
      </c>
      <c r="B36" s="75">
        <v>645.50099999999998</v>
      </c>
      <c r="C36" s="75">
        <v>206.37100000000001</v>
      </c>
      <c r="D36" s="75">
        <v>366.80700000000002</v>
      </c>
      <c r="E36" s="75">
        <v>465.20299999999997</v>
      </c>
      <c r="F36" s="75">
        <v>100.124</v>
      </c>
      <c r="G36" s="75">
        <v>467.50299999999999</v>
      </c>
      <c r="H36" s="75">
        <v>366.80700000000002</v>
      </c>
      <c r="I36" s="75">
        <v>20.484999999999999</v>
      </c>
      <c r="J36" s="75">
        <v>465.20299999999997</v>
      </c>
      <c r="K36" s="75">
        <v>465.20299999999997</v>
      </c>
      <c r="L36" s="76">
        <v>471.76900000000001</v>
      </c>
      <c r="M36" s="76">
        <v>503.625</v>
      </c>
      <c r="N36" s="76">
        <v>570.20299999999997</v>
      </c>
      <c r="O36" s="75">
        <v>645.50099999999998</v>
      </c>
      <c r="R36" s="83">
        <f>VLOOKUP($A36,'Matriz Distâncias NTS'!$D$2:$O$42,3,0)-F36</f>
        <v>106.24700000000001</v>
      </c>
      <c r="S36" s="83">
        <f>VLOOKUP($A36,'Matriz Distâncias NTS'!$D$2:$O$42,4,0)-O36</f>
        <v>-180.298</v>
      </c>
      <c r="T36" s="83">
        <f>VLOOKUP($A36,'Matriz Distâncias NTS'!$D$2:$O$42,5,0)-H36</f>
        <v>147.81799999999998</v>
      </c>
      <c r="U36" s="83">
        <f>VLOOKUP($A36,'Matriz Distâncias NTS'!$D$2:$O$42,6,0)-O36</f>
        <v>-545.37699999999995</v>
      </c>
      <c r="V36" s="83">
        <f>VLOOKUP($A36,'Matriz Distâncias NTS'!$D$2:$O$42,7,0)-E36</f>
        <v>-98.395999999999958</v>
      </c>
      <c r="W36" s="83">
        <f>VLOOKUP($A36,'Matriz Distâncias NTS'!$D$2:$O$42,8,0)-G36</f>
        <v>0</v>
      </c>
      <c r="X36" s="83">
        <f>VLOOKUP($A36,'Matriz Distâncias NTS'!$D$2:$O$42,9,0)-C36</f>
        <v>160.43600000000001</v>
      </c>
      <c r="Y36" s="83">
        <f>VLOOKUP($A36,'Matriz Distâncias NTS'!$D$2:$O$42,10,0)-I36</f>
        <v>0</v>
      </c>
      <c r="Z36" s="83">
        <f>VLOOKUP($A36,'Matriz Distâncias NTS'!$D$2:$O$42,11,0)-M36</f>
        <v>141.87599999999998</v>
      </c>
      <c r="AA36" s="83">
        <f>VLOOKUP($A36,'Matriz Distâncias NTS'!$D$2:$O$42,12,0)-L36</f>
        <v>173.73199999999997</v>
      </c>
      <c r="AB36" s="83" t="e">
        <f>VLOOKUP($A36,'Matriz Distâncias NTS'!$D$2:$O$42,13,0)-N36</f>
        <v>#REF!</v>
      </c>
    </row>
    <row r="37" spans="1:28" x14ac:dyDescent="0.35">
      <c r="A37" s="1" t="s">
        <v>96</v>
      </c>
      <c r="B37" s="75">
        <v>508.21699999999998</v>
      </c>
      <c r="C37" s="75">
        <v>66.924999999999997</v>
      </c>
      <c r="D37" s="75">
        <v>230.60300000000001</v>
      </c>
      <c r="E37" s="75">
        <v>328.99900000000002</v>
      </c>
      <c r="F37" s="75">
        <v>36.08</v>
      </c>
      <c r="G37" s="75">
        <v>331.29900000000004</v>
      </c>
      <c r="H37" s="75">
        <v>230.60300000000001</v>
      </c>
      <c r="I37" s="75">
        <v>142.24299999999999</v>
      </c>
      <c r="J37" s="75">
        <v>328.99900000000002</v>
      </c>
      <c r="K37" s="75">
        <v>328.99900000000002</v>
      </c>
      <c r="L37" s="76">
        <v>335.56500000000005</v>
      </c>
      <c r="M37" s="76">
        <v>366.34100000000001</v>
      </c>
      <c r="N37" s="76">
        <v>433.99900000000002</v>
      </c>
      <c r="O37" s="75">
        <v>508.21699999999998</v>
      </c>
      <c r="R37" s="83">
        <f>VLOOKUP($A37,'Matriz Distâncias NTS'!$D$2:$O$42,3,0)-F37</f>
        <v>30.844999999999999</v>
      </c>
      <c r="S37" s="83">
        <f>VLOOKUP($A37,'Matriz Distâncias NTS'!$D$2:$O$42,4,0)-O37</f>
        <v>-179.21799999999996</v>
      </c>
      <c r="T37" s="83">
        <f>VLOOKUP($A37,'Matriz Distâncias NTS'!$D$2:$O$42,5,0)-H37</f>
        <v>146.738</v>
      </c>
      <c r="U37" s="83">
        <f>VLOOKUP($A37,'Matriz Distâncias NTS'!$D$2:$O$42,6,0)-O37</f>
        <v>-472.137</v>
      </c>
      <c r="V37" s="83">
        <f>VLOOKUP($A37,'Matriz Distâncias NTS'!$D$2:$O$42,7,0)-E37</f>
        <v>-98.396000000000015</v>
      </c>
      <c r="W37" s="83">
        <f>VLOOKUP($A37,'Matriz Distâncias NTS'!$D$2:$O$42,8,0)-G37</f>
        <v>0</v>
      </c>
      <c r="X37" s="83">
        <f>VLOOKUP($A37,'Matriz Distâncias NTS'!$D$2:$O$42,9,0)-C37</f>
        <v>163.678</v>
      </c>
      <c r="Y37" s="83">
        <f>VLOOKUP($A37,'Matriz Distâncias NTS'!$D$2:$O$42,10,0)-I37</f>
        <v>0</v>
      </c>
      <c r="Z37" s="83">
        <f>VLOOKUP($A37,'Matriz Distâncias NTS'!$D$2:$O$42,11,0)-M37</f>
        <v>141.87599999999998</v>
      </c>
      <c r="AA37" s="83">
        <f>VLOOKUP($A37,'Matriz Distâncias NTS'!$D$2:$O$42,12,0)-L37</f>
        <v>172.65199999999993</v>
      </c>
      <c r="AB37" s="83" t="e">
        <f>VLOOKUP($A37,'Matriz Distâncias NTS'!$D$2:$O$42,13,0)-N37</f>
        <v>#REF!</v>
      </c>
    </row>
    <row r="38" spans="1:28" x14ac:dyDescent="0.35">
      <c r="A38" s="77" t="s">
        <v>97</v>
      </c>
      <c r="B38" s="75">
        <v>579.226</v>
      </c>
      <c r="C38" s="75">
        <v>141.17599999999999</v>
      </c>
      <c r="D38" s="75">
        <v>301.61200000000002</v>
      </c>
      <c r="E38" s="75">
        <v>400.00799999999998</v>
      </c>
      <c r="F38" s="75">
        <v>34.929000000000002</v>
      </c>
      <c r="G38" s="75">
        <v>402.30799999999999</v>
      </c>
      <c r="H38" s="75">
        <v>301.61200000000002</v>
      </c>
      <c r="I38" s="75">
        <v>70.236000000000004</v>
      </c>
      <c r="J38" s="75">
        <v>400.00799999999998</v>
      </c>
      <c r="K38" s="75">
        <v>400.00799999999998</v>
      </c>
      <c r="L38" s="76">
        <v>406.57400000000001</v>
      </c>
      <c r="M38" s="76">
        <v>437.35</v>
      </c>
      <c r="N38" s="76">
        <v>505.00799999999998</v>
      </c>
      <c r="O38" s="75">
        <v>579.226</v>
      </c>
      <c r="R38" s="83">
        <f>VLOOKUP($A38,'Matriz Distâncias NTS'!$D$2:$O$42,3,0)-F38</f>
        <v>106.24699999999999</v>
      </c>
      <c r="S38" s="83">
        <f>VLOOKUP($A38,'Matriz Distâncias NTS'!$D$2:$O$42,4,0)-O38</f>
        <v>-179.21800000000002</v>
      </c>
      <c r="T38" s="83">
        <f>VLOOKUP($A38,'Matriz Distâncias NTS'!$D$2:$O$42,5,0)-H38</f>
        <v>146.738</v>
      </c>
      <c r="U38" s="83">
        <f>VLOOKUP($A38,'Matriz Distâncias NTS'!$D$2:$O$42,6,0)-O38</f>
        <v>-544.29700000000003</v>
      </c>
      <c r="V38" s="83">
        <f>VLOOKUP($A38,'Matriz Distâncias NTS'!$D$2:$O$42,7,0)-E38</f>
        <v>-98.395999999999958</v>
      </c>
      <c r="W38" s="83">
        <f>VLOOKUP($A38,'Matriz Distâncias NTS'!$D$2:$O$42,8,0)-G38</f>
        <v>0</v>
      </c>
      <c r="X38" s="83">
        <f>VLOOKUP($A38,'Matriz Distâncias NTS'!$D$2:$O$42,9,0)-C38</f>
        <v>160.43600000000004</v>
      </c>
      <c r="Y38" s="83">
        <f>VLOOKUP($A38,'Matriz Distâncias NTS'!$D$2:$O$42,10,0)-I38</f>
        <v>0</v>
      </c>
      <c r="Z38" s="83">
        <f>VLOOKUP($A38,'Matriz Distâncias NTS'!$D$2:$O$42,11,0)-M38</f>
        <v>141.87599999999998</v>
      </c>
      <c r="AA38" s="83">
        <f>VLOOKUP($A38,'Matriz Distâncias NTS'!$D$2:$O$42,12,0)-L38</f>
        <v>172.65199999999999</v>
      </c>
      <c r="AB38" s="83" t="e">
        <f>VLOOKUP($A38,'Matriz Distâncias NTS'!$D$2:$O$42,13,0)-N38</f>
        <v>#REF!</v>
      </c>
    </row>
    <row r="39" spans="1:28" x14ac:dyDescent="0.35">
      <c r="A39" s="1" t="s">
        <v>94</v>
      </c>
      <c r="B39" s="75">
        <v>479.62299999999999</v>
      </c>
      <c r="C39" s="75">
        <v>98.853999999999999</v>
      </c>
      <c r="D39" s="75">
        <v>202.00899999999999</v>
      </c>
      <c r="E39" s="75">
        <v>300.40499999999997</v>
      </c>
      <c r="F39" s="75">
        <v>64.674000000000007</v>
      </c>
      <c r="G39" s="75">
        <v>302.70499999999998</v>
      </c>
      <c r="H39" s="75">
        <v>202.00899999999999</v>
      </c>
      <c r="I39" s="75">
        <v>170.83699999999999</v>
      </c>
      <c r="J39" s="75">
        <v>300.40499999999997</v>
      </c>
      <c r="K39" s="75">
        <v>300.40499999999997</v>
      </c>
      <c r="L39" s="76">
        <v>306.971</v>
      </c>
      <c r="M39" s="76">
        <v>337.74699999999996</v>
      </c>
      <c r="N39" s="76">
        <v>405.40499999999997</v>
      </c>
      <c r="O39" s="75">
        <v>479.62299999999999</v>
      </c>
      <c r="R39" s="83">
        <f>VLOOKUP($A39,'Matriz Distâncias NTS'!$D$2:$O$42,3,0)-F39</f>
        <v>34.179999999999993</v>
      </c>
      <c r="S39" s="83">
        <f>VLOOKUP($A39,'Matriz Distâncias NTS'!$D$2:$O$42,4,0)-O39</f>
        <v>-179.21800000000002</v>
      </c>
      <c r="T39" s="83">
        <f>VLOOKUP($A39,'Matriz Distâncias NTS'!$D$2:$O$42,5,0)-H39</f>
        <v>146.73799999999997</v>
      </c>
      <c r="U39" s="83">
        <f>VLOOKUP($A39,'Matriz Distâncias NTS'!$D$2:$O$42,6,0)-O39</f>
        <v>-414.94899999999996</v>
      </c>
      <c r="V39" s="83">
        <f>VLOOKUP($A39,'Matriz Distâncias NTS'!$D$2:$O$42,7,0)-E39</f>
        <v>-98.395999999999987</v>
      </c>
      <c r="W39" s="83">
        <f>VLOOKUP($A39,'Matriz Distâncias NTS'!$D$2:$O$42,8,0)-G39</f>
        <v>0</v>
      </c>
      <c r="X39" s="83">
        <f>VLOOKUP($A39,'Matriz Distâncias NTS'!$D$2:$O$42,9,0)-C39</f>
        <v>103.15499999999999</v>
      </c>
      <c r="Y39" s="83">
        <f>VLOOKUP($A39,'Matriz Distâncias NTS'!$D$2:$O$42,10,0)-I39</f>
        <v>0</v>
      </c>
      <c r="Z39" s="83">
        <f>VLOOKUP($A39,'Matriz Distâncias NTS'!$D$2:$O$42,11,0)-M39</f>
        <v>141.87600000000003</v>
      </c>
      <c r="AA39" s="83">
        <f>VLOOKUP($A39,'Matriz Distâncias NTS'!$D$2:$O$42,12,0)-L39</f>
        <v>172.65199999999999</v>
      </c>
      <c r="AB39" s="83" t="e">
        <f>VLOOKUP($A39,'Matriz Distâncias NTS'!$D$2:$O$42,13,0)-N39</f>
        <v>#REF!</v>
      </c>
    </row>
    <row r="40" spans="1:28" x14ac:dyDescent="0.35">
      <c r="A40" s="1" t="s">
        <v>71</v>
      </c>
      <c r="B40" s="75">
        <v>182.59800000000001</v>
      </c>
      <c r="C40" s="75">
        <v>401.55900000000003</v>
      </c>
      <c r="D40" s="75">
        <v>504.714</v>
      </c>
      <c r="E40" s="75">
        <v>2.2999999999999998</v>
      </c>
      <c r="F40" s="75">
        <v>359.33499999999998</v>
      </c>
      <c r="G40" s="75">
        <v>0</v>
      </c>
      <c r="H40" s="75">
        <v>504.714</v>
      </c>
      <c r="I40" s="75">
        <v>465.49799999999999</v>
      </c>
      <c r="J40" s="75">
        <v>2.2999999999999998</v>
      </c>
      <c r="K40" s="75">
        <v>2.2999999999999998</v>
      </c>
      <c r="L40" s="76">
        <v>93.698000000000022</v>
      </c>
      <c r="M40" s="76">
        <v>40.722000000000008</v>
      </c>
      <c r="N40" s="76">
        <v>107.3</v>
      </c>
      <c r="O40" s="75">
        <v>182.59800000000001</v>
      </c>
      <c r="R40" s="83">
        <f>VLOOKUP($A40,'Matriz Distâncias NTS'!$D$2:$O$42,3,0)-F40</f>
        <v>42.224000000000046</v>
      </c>
      <c r="S40" s="83">
        <f>VLOOKUP($A40,'Matriz Distâncias NTS'!$D$2:$O$42,4,0)-O40</f>
        <v>-180.298</v>
      </c>
      <c r="T40" s="83">
        <f>VLOOKUP($A40,'Matriz Distâncias NTS'!$D$2:$O$42,5,0)-H40</f>
        <v>-452.99199999999996</v>
      </c>
      <c r="U40" s="83">
        <f>VLOOKUP($A40,'Matriz Distâncias NTS'!$D$2:$O$42,6,0)-O40</f>
        <v>176.73699999999997</v>
      </c>
      <c r="V40" s="83">
        <f>VLOOKUP($A40,'Matriz Distâncias NTS'!$D$2:$O$42,7,0)-E40</f>
        <v>502.41399999999999</v>
      </c>
      <c r="W40" s="83">
        <f>VLOOKUP($A40,'Matriz Distâncias NTS'!$D$2:$O$42,8,0)-G40</f>
        <v>0</v>
      </c>
      <c r="X40" s="83">
        <f>VLOOKUP($A40,'Matriz Distâncias NTS'!$D$2:$O$42,9,0)-C40</f>
        <v>103.15499999999997</v>
      </c>
      <c r="Y40" s="83">
        <f>VLOOKUP($A40,'Matriz Distâncias NTS'!$D$2:$O$42,10,0)-I40</f>
        <v>0</v>
      </c>
      <c r="Z40" s="83">
        <f>VLOOKUP($A40,'Matriz Distâncias NTS'!$D$2:$O$42,11,0)-M40</f>
        <v>141.876</v>
      </c>
      <c r="AA40" s="83">
        <f>VLOOKUP($A40,'Matriz Distâncias NTS'!$D$2:$O$42,12,0)-L40</f>
        <v>88.899999999999991</v>
      </c>
      <c r="AB40" s="83" t="e">
        <f>VLOOKUP($A40,'Matriz Distâncias NTS'!$D$2:$O$42,13,0)-N40</f>
        <v>#REF!</v>
      </c>
    </row>
    <row r="41" spans="1:28" x14ac:dyDescent="0.35">
      <c r="A41" s="1" t="s">
        <v>72</v>
      </c>
      <c r="B41" s="75">
        <v>182.59800000000001</v>
      </c>
      <c r="C41" s="75">
        <v>401.55900000000003</v>
      </c>
      <c r="D41" s="75">
        <v>504.714</v>
      </c>
      <c r="E41" s="75">
        <v>2.2999999999999998</v>
      </c>
      <c r="F41" s="75">
        <v>359.33499999999998</v>
      </c>
      <c r="G41" s="75">
        <v>0</v>
      </c>
      <c r="H41" s="75">
        <v>504.714</v>
      </c>
      <c r="I41" s="75">
        <v>465.49799999999999</v>
      </c>
      <c r="J41" s="75">
        <v>2.2999999999999998</v>
      </c>
      <c r="K41" s="75">
        <v>2.2999999999999998</v>
      </c>
      <c r="L41" s="76">
        <v>93.698000000000022</v>
      </c>
      <c r="M41" s="76">
        <v>40.722000000000008</v>
      </c>
      <c r="N41" s="76">
        <v>107.3</v>
      </c>
      <c r="O41" s="75">
        <v>182.59800000000001</v>
      </c>
      <c r="R41" s="83">
        <f>VLOOKUP($A41,'Matriz Distâncias NTS'!$D$2:$O$42,3,0)-F41</f>
        <v>42.224000000000046</v>
      </c>
      <c r="S41" s="83">
        <f>VLOOKUP($A41,'Matriz Distâncias NTS'!$D$2:$O$42,4,0)-O41</f>
        <v>-180.298</v>
      </c>
      <c r="T41" s="83">
        <f>VLOOKUP($A41,'Matriz Distâncias NTS'!$D$2:$O$42,5,0)-H41</f>
        <v>-452.99199999999996</v>
      </c>
      <c r="U41" s="83">
        <f>VLOOKUP($A41,'Matriz Distâncias NTS'!$D$2:$O$42,6,0)-O41</f>
        <v>176.73699999999997</v>
      </c>
      <c r="V41" s="83">
        <f>VLOOKUP($A41,'Matriz Distâncias NTS'!$D$2:$O$42,7,0)-E41</f>
        <v>502.41399999999999</v>
      </c>
      <c r="W41" s="83">
        <f>VLOOKUP($A41,'Matriz Distâncias NTS'!$D$2:$O$42,8,0)-G41</f>
        <v>0</v>
      </c>
      <c r="X41" s="83">
        <f>VLOOKUP($A41,'Matriz Distâncias NTS'!$D$2:$O$42,9,0)-C41</f>
        <v>103.15499999999997</v>
      </c>
      <c r="Y41" s="83">
        <f>VLOOKUP($A41,'Matriz Distâncias NTS'!$D$2:$O$42,10,0)-I41</f>
        <v>0</v>
      </c>
      <c r="Z41" s="83">
        <f>VLOOKUP($A41,'Matriz Distâncias NTS'!$D$2:$O$42,11,0)-M41</f>
        <v>141.876</v>
      </c>
      <c r="AA41" s="83">
        <f>VLOOKUP($A41,'Matriz Distâncias NTS'!$D$2:$O$42,12,0)-L41</f>
        <v>88.899999999999991</v>
      </c>
      <c r="AB41" s="83" t="e">
        <f>VLOOKUP($A41,'Matriz Distâncias NTS'!$D$2:$O$42,13,0)-N41</f>
        <v>#REF!</v>
      </c>
    </row>
    <row r="42" spans="1:28" x14ac:dyDescent="0.35">
      <c r="A42" s="77" t="s">
        <v>78</v>
      </c>
      <c r="B42" s="78">
        <v>226.39599999999999</v>
      </c>
      <c r="C42" s="78">
        <v>353.161</v>
      </c>
      <c r="D42" s="78">
        <v>456.31599999999997</v>
      </c>
      <c r="E42" s="78">
        <v>46.097999999999999</v>
      </c>
      <c r="F42" s="78">
        <v>318.98099999999999</v>
      </c>
      <c r="G42" s="78">
        <v>48.397999999999996</v>
      </c>
      <c r="H42" s="78">
        <v>456.31599999999997</v>
      </c>
      <c r="I42" s="78">
        <v>424.06400000000002</v>
      </c>
      <c r="J42" s="78">
        <v>46.097999999999999</v>
      </c>
      <c r="K42" s="78">
        <v>46.097999999999999</v>
      </c>
      <c r="L42" s="76">
        <v>45.3</v>
      </c>
      <c r="M42" s="76">
        <v>84.519999999999982</v>
      </c>
      <c r="N42" s="76">
        <v>151.09800000000001</v>
      </c>
      <c r="O42" s="78">
        <v>226.39599999999999</v>
      </c>
      <c r="R42" s="83">
        <f>VLOOKUP($A42,'Matriz Distâncias NTS'!$D$2:$O$42,3,0)-F42</f>
        <v>34.180000000000007</v>
      </c>
      <c r="S42" s="83">
        <f>VLOOKUP($A42,'Matriz Distâncias NTS'!$D$2:$O$42,4,0)-O42</f>
        <v>-180.298</v>
      </c>
      <c r="T42" s="83">
        <f>VLOOKUP($A42,'Matriz Distâncias NTS'!$D$2:$O$42,5,0)-H42</f>
        <v>-360.79599999999999</v>
      </c>
      <c r="U42" s="83">
        <f>VLOOKUP($A42,'Matriz Distâncias NTS'!$D$2:$O$42,6,0)-O42</f>
        <v>92.585000000000008</v>
      </c>
      <c r="V42" s="83">
        <f>VLOOKUP($A42,'Matriz Distâncias NTS'!$D$2:$O$42,7,0)-E42</f>
        <v>410.21799999999996</v>
      </c>
      <c r="W42" s="83">
        <f>VLOOKUP($A42,'Matriz Distâncias NTS'!$D$2:$O$42,8,0)-G42</f>
        <v>0</v>
      </c>
      <c r="X42" s="83">
        <f>VLOOKUP($A42,'Matriz Distâncias NTS'!$D$2:$O$42,9,0)-C42</f>
        <v>103.15499999999997</v>
      </c>
      <c r="Y42" s="83">
        <f>VLOOKUP($A42,'Matriz Distâncias NTS'!$D$2:$O$42,10,0)-I42</f>
        <v>0</v>
      </c>
      <c r="Z42" s="83">
        <f>VLOOKUP($A42,'Matriz Distâncias NTS'!$D$2:$O$42,11,0)-M42</f>
        <v>141.876</v>
      </c>
      <c r="AA42" s="83">
        <f>VLOOKUP($A42,'Matriz Distâncias NTS'!$D$2:$O$42,12,0)-L42</f>
        <v>181.096</v>
      </c>
      <c r="AB42" s="83" t="e">
        <f>VLOOKUP($A42,'Matriz Distâncias NTS'!$D$2:$O$42,13,0)-N42</f>
        <v>#REF!</v>
      </c>
    </row>
    <row r="43" spans="1:28" x14ac:dyDescent="0.35">
      <c r="A43" s="1" t="s">
        <v>103</v>
      </c>
      <c r="B43" s="75">
        <v>649.06200000000001</v>
      </c>
      <c r="C43" s="75">
        <v>209.93199999999999</v>
      </c>
      <c r="D43" s="75">
        <v>370.36799999999999</v>
      </c>
      <c r="E43" s="75">
        <v>468.76400000000001</v>
      </c>
      <c r="F43" s="75">
        <v>103.685</v>
      </c>
      <c r="G43" s="75">
        <v>471.06400000000002</v>
      </c>
      <c r="H43" s="75">
        <v>370.36799999999999</v>
      </c>
      <c r="I43" s="75">
        <v>2.4780000000000002</v>
      </c>
      <c r="J43" s="75">
        <v>468.76400000000001</v>
      </c>
      <c r="K43" s="75">
        <v>468.76400000000001</v>
      </c>
      <c r="L43" s="76">
        <v>475.33000000000004</v>
      </c>
      <c r="M43" s="76">
        <v>507.18600000000004</v>
      </c>
      <c r="N43" s="76">
        <v>573.76400000000001</v>
      </c>
      <c r="O43" s="75">
        <v>649.06200000000001</v>
      </c>
      <c r="R43" s="83" t="e">
        <f>VLOOKUP($A43,'Matriz Distâncias NTS'!$D$2:$O$42,3,0)-F43</f>
        <v>#N/A</v>
      </c>
      <c r="S43" s="83" t="e">
        <f>VLOOKUP($A43,'Matriz Distâncias NTS'!$D$2:$O$42,4,0)-O43</f>
        <v>#N/A</v>
      </c>
      <c r="T43" s="83" t="e">
        <f>VLOOKUP($A43,'Matriz Distâncias NTS'!$D$2:$O$42,5,0)-H43</f>
        <v>#N/A</v>
      </c>
      <c r="U43" s="83" t="e">
        <f>VLOOKUP($A43,'Matriz Distâncias NTS'!$D$2:$O$42,6,0)-O43</f>
        <v>#N/A</v>
      </c>
      <c r="V43" s="83" t="e">
        <f>VLOOKUP($A43,'Matriz Distâncias NTS'!$D$2:$O$42,7,0)-E43</f>
        <v>#N/A</v>
      </c>
      <c r="W43" s="83" t="e">
        <f>VLOOKUP($A43,'Matriz Distâncias NTS'!$D$2:$O$42,8,0)-G43</f>
        <v>#N/A</v>
      </c>
      <c r="X43" s="83" t="e">
        <f>VLOOKUP($A43,'Matriz Distâncias NTS'!$D$2:$O$42,9,0)-C43</f>
        <v>#N/A</v>
      </c>
      <c r="Y43" s="83" t="e">
        <f>VLOOKUP($A43,'Matriz Distâncias NTS'!$D$2:$O$42,10,0)-I43</f>
        <v>#N/A</v>
      </c>
      <c r="Z43" s="83" t="e">
        <f>VLOOKUP($A43,'Matriz Distâncias NTS'!$D$2:$O$42,11,0)-M43</f>
        <v>#N/A</v>
      </c>
      <c r="AA43" s="83" t="e">
        <f>VLOOKUP($A43,'Matriz Distâncias NTS'!$D$2:$O$42,12,0)-L43</f>
        <v>#N/A</v>
      </c>
      <c r="AB43" s="83" t="e">
        <f>VLOOKUP($A43,'Matriz Distâncias NTS'!$D$2:$O$42,13,0)-N43</f>
        <v>#N/A</v>
      </c>
    </row>
    <row r="44" spans="1:28" x14ac:dyDescent="0.35">
      <c r="A44" s="77" t="s">
        <v>67</v>
      </c>
      <c r="B44" s="75">
        <v>654.14400000000001</v>
      </c>
      <c r="C44" s="75">
        <v>669.01099999999997</v>
      </c>
      <c r="D44" s="75">
        <v>772.16600000000005</v>
      </c>
      <c r="E44" s="75">
        <v>473.846</v>
      </c>
      <c r="F44" s="75">
        <v>634.83100000000002</v>
      </c>
      <c r="G44" s="75">
        <v>355.84399999999999</v>
      </c>
      <c r="H44" s="75">
        <v>772.16600000000005</v>
      </c>
      <c r="I44" s="75">
        <v>740.99400000000003</v>
      </c>
      <c r="J44" s="75">
        <v>473.846</v>
      </c>
      <c r="K44" s="75">
        <v>473.846</v>
      </c>
      <c r="L44" s="76">
        <v>360.11</v>
      </c>
      <c r="M44" s="76">
        <v>512.26800000000003</v>
      </c>
      <c r="N44" s="76">
        <v>578.846</v>
      </c>
      <c r="O44" s="75">
        <v>654.14400000000001</v>
      </c>
      <c r="R44" s="83">
        <f>VLOOKUP($A44,'Matriz Distâncias NTS'!$D$2:$O$42,3,0)-F44</f>
        <v>34.17999999999995</v>
      </c>
      <c r="S44" s="83">
        <f>VLOOKUP($A44,'Matriz Distâncias NTS'!$D$2:$O$42,4,0)-O44</f>
        <v>-180.298</v>
      </c>
      <c r="T44" s="83">
        <f>VLOOKUP($A44,'Matriz Distâncias NTS'!$D$2:$O$42,5,0)-H44</f>
        <v>-248.89800000000002</v>
      </c>
      <c r="U44" s="83">
        <f>VLOOKUP($A44,'Matriz Distâncias NTS'!$D$2:$O$42,6,0)-O44</f>
        <v>-19.312999999999988</v>
      </c>
      <c r="V44" s="83">
        <f>VLOOKUP($A44,'Matriz Distâncias NTS'!$D$2:$O$42,7,0)-E44</f>
        <v>298.32000000000005</v>
      </c>
      <c r="W44" s="83">
        <f>VLOOKUP($A44,'Matriz Distâncias NTS'!$D$2:$O$42,8,0)-G44</f>
        <v>0</v>
      </c>
      <c r="X44" s="83">
        <f>VLOOKUP($A44,'Matriz Distâncias NTS'!$D$2:$O$42,9,0)-C44</f>
        <v>103.15500000000009</v>
      </c>
      <c r="Y44" s="83">
        <f>VLOOKUP($A44,'Matriz Distâncias NTS'!$D$2:$O$42,10,0)-I44</f>
        <v>0</v>
      </c>
      <c r="Z44" s="83">
        <f>VLOOKUP($A44,'Matriz Distâncias NTS'!$D$2:$O$42,11,0)-M44</f>
        <v>141.87599999999998</v>
      </c>
      <c r="AA44" s="83">
        <f>VLOOKUP($A44,'Matriz Distâncias NTS'!$D$2:$O$42,12,0)-L44</f>
        <v>294.03399999999999</v>
      </c>
      <c r="AB44" s="83" t="e">
        <f>VLOOKUP($A44,'Matriz Distâncias NTS'!$D$2:$O$42,13,0)-N44</f>
        <v>#REF!</v>
      </c>
    </row>
    <row r="45" spans="1:28" x14ac:dyDescent="0.35">
      <c r="A45" s="1" t="s">
        <v>59</v>
      </c>
      <c r="B45" s="75">
        <v>427.93400000000003</v>
      </c>
      <c r="C45" s="75">
        <v>442.80099999999999</v>
      </c>
      <c r="D45" s="75">
        <v>545.95600000000002</v>
      </c>
      <c r="E45" s="75">
        <v>247.636</v>
      </c>
      <c r="F45" s="75">
        <v>408.62099999999998</v>
      </c>
      <c r="G45" s="75">
        <v>129.63399999999999</v>
      </c>
      <c r="H45" s="75">
        <v>545.95600000000002</v>
      </c>
      <c r="I45" s="75">
        <v>514.78399999999999</v>
      </c>
      <c r="J45" s="75">
        <v>247.636</v>
      </c>
      <c r="K45" s="75">
        <v>247.636</v>
      </c>
      <c r="L45" s="76">
        <v>133.89999999999998</v>
      </c>
      <c r="M45" s="76">
        <v>286.05799999999999</v>
      </c>
      <c r="N45" s="76">
        <v>352.63599999999997</v>
      </c>
      <c r="O45" s="75">
        <v>427.93400000000003</v>
      </c>
      <c r="R45" s="83">
        <f>VLOOKUP($A45,'Matriz Distâncias NTS'!$D$2:$O$42,3,0)-F45</f>
        <v>34.180000000000007</v>
      </c>
      <c r="S45" s="83">
        <f>VLOOKUP($A45,'Matriz Distâncias NTS'!$D$2:$O$42,4,0)-O45</f>
        <v>-180.29800000000003</v>
      </c>
      <c r="T45" s="83">
        <f>VLOOKUP($A45,'Matriz Distâncias NTS'!$D$2:$O$42,5,0)-H45</f>
        <v>-248.89800000000002</v>
      </c>
      <c r="U45" s="83">
        <f>VLOOKUP($A45,'Matriz Distâncias NTS'!$D$2:$O$42,6,0)-O45</f>
        <v>-19.313000000000045</v>
      </c>
      <c r="V45" s="83">
        <f>VLOOKUP($A45,'Matriz Distâncias NTS'!$D$2:$O$42,7,0)-E45</f>
        <v>298.32000000000005</v>
      </c>
      <c r="W45" s="83">
        <f>VLOOKUP($A45,'Matriz Distâncias NTS'!$D$2:$O$42,8,0)-G45</f>
        <v>0</v>
      </c>
      <c r="X45" s="83">
        <f>VLOOKUP($A45,'Matriz Distâncias NTS'!$D$2:$O$42,9,0)-C45</f>
        <v>103.15500000000003</v>
      </c>
      <c r="Y45" s="83">
        <f>VLOOKUP($A45,'Matriz Distâncias NTS'!$D$2:$O$42,10,0)-I45</f>
        <v>0</v>
      </c>
      <c r="Z45" s="83">
        <f>VLOOKUP($A45,'Matriz Distâncias NTS'!$D$2:$O$42,11,0)-M45</f>
        <v>141.87600000000003</v>
      </c>
      <c r="AA45" s="83">
        <f>VLOOKUP($A45,'Matriz Distâncias NTS'!$D$2:$O$42,12,0)-L45</f>
        <v>294.03400000000005</v>
      </c>
      <c r="AB45" s="83" t="e">
        <f>VLOOKUP($A45,'Matriz Distâncias NTS'!$D$2:$O$42,13,0)-N45</f>
        <v>#REF!</v>
      </c>
    </row>
    <row r="46" spans="1:28" x14ac:dyDescent="0.35">
      <c r="A46" s="73" t="s">
        <v>74</v>
      </c>
      <c r="B46" s="75">
        <v>13.329000000000001</v>
      </c>
      <c r="C46" s="75">
        <v>566.22799999999995</v>
      </c>
      <c r="D46" s="75">
        <v>669.38300000000004</v>
      </c>
      <c r="E46" s="75">
        <v>166.96899999999999</v>
      </c>
      <c r="F46" s="78">
        <v>532.048</v>
      </c>
      <c r="G46" s="75">
        <v>166.96899999999999</v>
      </c>
      <c r="H46" s="75">
        <v>669.38300000000004</v>
      </c>
      <c r="I46" s="75">
        <v>638.21100000000001</v>
      </c>
      <c r="J46" s="75">
        <v>166.96899999999999</v>
      </c>
      <c r="K46" s="75">
        <v>166.96899999999999</v>
      </c>
      <c r="L46" s="76">
        <v>258.36699999999996</v>
      </c>
      <c r="M46" s="76">
        <v>128.547</v>
      </c>
      <c r="N46" s="76">
        <v>271.96899999999999</v>
      </c>
      <c r="O46" s="75">
        <v>13.329000000000001</v>
      </c>
      <c r="R46" s="83">
        <f>VLOOKUP($A46,'Matriz Distâncias NTS'!$D$2:$O$42,3,0)-F46</f>
        <v>34.17999999999995</v>
      </c>
      <c r="S46" s="83">
        <f>VLOOKUP($A46,'Matriz Distâncias NTS'!$D$2:$O$42,4,0)-O46</f>
        <v>153.63999999999999</v>
      </c>
      <c r="T46" s="83">
        <f>VLOOKUP($A46,'Matriz Distâncias NTS'!$D$2:$O$42,5,0)-H46</f>
        <v>-529.83600000000001</v>
      </c>
      <c r="U46" s="83">
        <f>VLOOKUP($A46,'Matriz Distâncias NTS'!$D$2:$O$42,6,0)-O46</f>
        <v>518.71900000000005</v>
      </c>
      <c r="V46" s="83">
        <f>VLOOKUP($A46,'Matriz Distâncias NTS'!$D$2:$O$42,7,0)-E46</f>
        <v>502.41400000000004</v>
      </c>
      <c r="W46" s="83">
        <f>VLOOKUP($A46,'Matriz Distâncias NTS'!$D$2:$O$42,8,0)-G46</f>
        <v>0</v>
      </c>
      <c r="X46" s="83">
        <f>VLOOKUP($A46,'Matriz Distâncias NTS'!$D$2:$O$42,9,0)-C46</f>
        <v>103.15500000000009</v>
      </c>
      <c r="Y46" s="83">
        <f>VLOOKUP($A46,'Matriz Distâncias NTS'!$D$2:$O$42,10,0)-I46</f>
        <v>0</v>
      </c>
      <c r="Z46" s="83">
        <f>VLOOKUP($A46,'Matriz Distâncias NTS'!$D$2:$O$42,11,0)-M46</f>
        <v>-115.21799999999999</v>
      </c>
      <c r="AA46" s="83">
        <f>VLOOKUP($A46,'Matriz Distâncias NTS'!$D$2:$O$42,12,0)-L46</f>
        <v>-245.03799999999995</v>
      </c>
      <c r="AB46" s="83" t="e">
        <f>VLOOKUP($A46,'Matriz Distâncias NTS'!$D$2:$O$42,13,0)-N46</f>
        <v>#REF!</v>
      </c>
    </row>
    <row r="47" spans="1:28" x14ac:dyDescent="0.35">
      <c r="A47" s="1" t="s">
        <v>75</v>
      </c>
      <c r="B47" s="75">
        <v>13.329000000000001</v>
      </c>
      <c r="C47" s="75">
        <v>566.22799999999995</v>
      </c>
      <c r="D47" s="75">
        <v>669.38300000000004</v>
      </c>
      <c r="E47" s="75">
        <v>166.96899999999999</v>
      </c>
      <c r="F47" s="78">
        <v>532.048</v>
      </c>
      <c r="G47" s="75">
        <v>166.96899999999999</v>
      </c>
      <c r="H47" s="75">
        <v>669.38300000000004</v>
      </c>
      <c r="I47" s="75">
        <v>638.21100000000001</v>
      </c>
      <c r="J47" s="75">
        <v>166.96899999999999</v>
      </c>
      <c r="K47" s="75">
        <v>166.96899999999999</v>
      </c>
      <c r="L47" s="76">
        <v>258.36699999999996</v>
      </c>
      <c r="M47" s="76">
        <v>128.547</v>
      </c>
      <c r="N47" s="76">
        <v>271.96899999999999</v>
      </c>
      <c r="O47" s="75">
        <v>13.329000000000001</v>
      </c>
      <c r="R47" s="83">
        <f>VLOOKUP($A47,'Matriz Distâncias NTS'!$D$2:$O$42,3,0)-F47</f>
        <v>34.17999999999995</v>
      </c>
      <c r="S47" s="83">
        <f>VLOOKUP($A47,'Matriz Distâncias NTS'!$D$2:$O$42,4,0)-O47</f>
        <v>153.63999999999999</v>
      </c>
      <c r="T47" s="83">
        <f>VLOOKUP($A47,'Matriz Distâncias NTS'!$D$2:$O$42,5,0)-H47</f>
        <v>-529.83600000000001</v>
      </c>
      <c r="U47" s="83">
        <f>VLOOKUP($A47,'Matriz Distâncias NTS'!$D$2:$O$42,6,0)-O47</f>
        <v>518.71900000000005</v>
      </c>
      <c r="V47" s="83">
        <f>VLOOKUP($A47,'Matriz Distâncias NTS'!$D$2:$O$42,7,0)-E47</f>
        <v>502.41400000000004</v>
      </c>
      <c r="W47" s="83">
        <f>VLOOKUP($A47,'Matriz Distâncias NTS'!$D$2:$O$42,8,0)-G47</f>
        <v>0</v>
      </c>
      <c r="X47" s="83">
        <f>VLOOKUP($A47,'Matriz Distâncias NTS'!$D$2:$O$42,9,0)-C47</f>
        <v>103.15500000000009</v>
      </c>
      <c r="Y47" s="83">
        <f>VLOOKUP($A47,'Matriz Distâncias NTS'!$D$2:$O$42,10,0)-I47</f>
        <v>0</v>
      </c>
      <c r="Z47" s="83">
        <f>VLOOKUP($A47,'Matriz Distâncias NTS'!$D$2:$O$42,11,0)-M47</f>
        <v>-115.21799999999999</v>
      </c>
      <c r="AA47" s="83">
        <f>VLOOKUP($A47,'Matriz Distâncias NTS'!$D$2:$O$42,12,0)-L47</f>
        <v>-245.03799999999995</v>
      </c>
      <c r="AB47" s="83" t="e">
        <f>VLOOKUP($A47,'Matriz Distâncias NTS'!$D$2:$O$42,13,0)-N47</f>
        <v>#REF!</v>
      </c>
    </row>
    <row r="48" spans="1:28" x14ac:dyDescent="0.35">
      <c r="A48" s="77" t="s">
        <v>83</v>
      </c>
      <c r="B48" s="75">
        <v>285.33199999999999</v>
      </c>
      <c r="C48" s="75">
        <v>304.05500000000001</v>
      </c>
      <c r="D48" s="75">
        <v>515.25199999999995</v>
      </c>
      <c r="E48" s="75">
        <v>105.03400000000001</v>
      </c>
      <c r="F48" s="75">
        <v>269.875</v>
      </c>
      <c r="G48" s="75">
        <v>105.03400000000001</v>
      </c>
      <c r="H48" s="75">
        <v>515.25199999999995</v>
      </c>
      <c r="I48" s="75">
        <v>376.03800000000001</v>
      </c>
      <c r="J48" s="75">
        <v>105.03400000000001</v>
      </c>
      <c r="K48" s="75">
        <v>105.03400000000001</v>
      </c>
      <c r="L48" s="76">
        <v>109.3</v>
      </c>
      <c r="M48" s="76">
        <v>143.45599999999999</v>
      </c>
      <c r="N48" s="76">
        <v>210.03399999999999</v>
      </c>
      <c r="O48" s="75">
        <v>285.33199999999999</v>
      </c>
      <c r="R48" s="83">
        <f>VLOOKUP($A48,'Matriz Distâncias NTS'!$D$2:$O$42,3,0)-F48</f>
        <v>34.180000000000007</v>
      </c>
      <c r="S48" s="83">
        <f>VLOOKUP($A48,'Matriz Distâncias NTS'!$D$2:$O$42,4,0)-O48</f>
        <v>-180.298</v>
      </c>
      <c r="T48" s="83">
        <f>VLOOKUP($A48,'Matriz Distâncias NTS'!$D$2:$O$42,5,0)-H48</f>
        <v>-360.79599999999994</v>
      </c>
      <c r="U48" s="83">
        <f>VLOOKUP($A48,'Matriz Distâncias NTS'!$D$2:$O$42,6,0)-O48</f>
        <v>-15.456999999999994</v>
      </c>
      <c r="V48" s="83">
        <f>VLOOKUP($A48,'Matriz Distâncias NTS'!$D$2:$O$42,7,0)-E48</f>
        <v>410.21799999999996</v>
      </c>
      <c r="W48" s="83">
        <f>VLOOKUP($A48,'Matriz Distâncias NTS'!$D$2:$O$42,8,0)-G48</f>
        <v>0</v>
      </c>
      <c r="X48" s="83">
        <f>VLOOKUP($A48,'Matriz Distâncias NTS'!$D$2:$O$42,9,0)-C48</f>
        <v>211.19699999999995</v>
      </c>
      <c r="Y48" s="83">
        <f>VLOOKUP($A48,'Matriz Distâncias NTS'!$D$2:$O$42,10,0)-I48</f>
        <v>0</v>
      </c>
      <c r="Z48" s="83">
        <f>VLOOKUP($A48,'Matriz Distâncias NTS'!$D$2:$O$42,11,0)-M48</f>
        <v>141.876</v>
      </c>
      <c r="AA48" s="83">
        <f>VLOOKUP($A48,'Matriz Distâncias NTS'!$D$2:$O$42,12,0)-L48</f>
        <v>176.03199999999998</v>
      </c>
      <c r="AB48" s="83" t="e">
        <f>VLOOKUP($A48,'Matriz Distâncias NTS'!$D$2:$O$42,13,0)-N48</f>
        <v>#REF!</v>
      </c>
    </row>
    <row r="49" spans="1:28" x14ac:dyDescent="0.35">
      <c r="A49" s="77" t="s">
        <v>250</v>
      </c>
      <c r="B49" s="75">
        <v>0</v>
      </c>
      <c r="C49" s="75">
        <v>579.55700000000002</v>
      </c>
      <c r="D49" s="75">
        <v>682.71199999999999</v>
      </c>
      <c r="E49" s="75">
        <v>180.298</v>
      </c>
      <c r="F49" s="75">
        <v>545.37699999999995</v>
      </c>
      <c r="G49" s="75">
        <v>180.298</v>
      </c>
      <c r="H49" s="75">
        <v>682.71199999999999</v>
      </c>
      <c r="I49" s="75">
        <v>651.54</v>
      </c>
      <c r="J49" s="75">
        <v>180.298</v>
      </c>
      <c r="K49" s="75">
        <v>180.298</v>
      </c>
      <c r="L49" s="76">
        <v>271.69600000000003</v>
      </c>
      <c r="M49" s="76">
        <v>141.876</v>
      </c>
      <c r="N49" s="76">
        <v>285.298</v>
      </c>
      <c r="O49" s="75">
        <v>0</v>
      </c>
      <c r="R49" s="83" t="e">
        <f>VLOOKUP($A49,'Matriz Distâncias NTS'!$D$2:$O$42,3,0)-F49</f>
        <v>#N/A</v>
      </c>
      <c r="S49" s="83" t="e">
        <f>VLOOKUP($A49,'Matriz Distâncias NTS'!$D$2:$O$42,4,0)-O49</f>
        <v>#N/A</v>
      </c>
      <c r="T49" s="83" t="e">
        <f>VLOOKUP($A49,'Matriz Distâncias NTS'!$D$2:$O$42,5,0)-H49</f>
        <v>#N/A</v>
      </c>
      <c r="U49" s="83" t="e">
        <f>VLOOKUP($A49,'Matriz Distâncias NTS'!$D$2:$O$42,6,0)-O49</f>
        <v>#N/A</v>
      </c>
      <c r="V49" s="83" t="e">
        <f>VLOOKUP($A49,'Matriz Distâncias NTS'!$D$2:$O$42,7,0)-E49</f>
        <v>#N/A</v>
      </c>
      <c r="W49" s="83" t="e">
        <f>VLOOKUP($A49,'Matriz Distâncias NTS'!$D$2:$O$40,8,0)-G49</f>
        <v>#N/A</v>
      </c>
      <c r="X49" s="83" t="e">
        <f>VLOOKUP($A49,'Matriz Distâncias NTS'!$D$2:$O$42,9,0)-C49</f>
        <v>#N/A</v>
      </c>
      <c r="Y49" s="83" t="e">
        <f>VLOOKUP($A49,'Matriz Distâncias NTS'!$D$2:$O$42,10,0)-I49</f>
        <v>#N/A</v>
      </c>
      <c r="Z49" s="83" t="e">
        <f>VLOOKUP($A49,'Matriz Distâncias NTS'!$D$2:$O$42,11,0)-M49</f>
        <v>#N/A</v>
      </c>
      <c r="AA49" s="83" t="e">
        <f>VLOOKUP($A49,'Matriz Distâncias NTS'!$D$2:$O$42,12,0)-L49</f>
        <v>#N/A</v>
      </c>
      <c r="AB49" s="83" t="e">
        <f>VLOOKUP($A49,'Matriz Distâncias NTS'!$D$2:$O$42,13,0)-N49</f>
        <v>#N/A</v>
      </c>
    </row>
    <row r="50" spans="1:28" x14ac:dyDescent="0.35">
      <c r="AB50" s="83"/>
    </row>
    <row r="51" spans="1:28" x14ac:dyDescent="0.35">
      <c r="AB51" s="83"/>
    </row>
    <row r="52" spans="1:28" x14ac:dyDescent="0.35">
      <c r="AB52" s="83"/>
    </row>
    <row r="53" spans="1:28" x14ac:dyDescent="0.35">
      <c r="AB53" s="83"/>
    </row>
    <row r="54" spans="1:28" x14ac:dyDescent="0.35">
      <c r="AB54" s="83"/>
    </row>
    <row r="55" spans="1:28" x14ac:dyDescent="0.35">
      <c r="AB55" s="83"/>
    </row>
    <row r="56" spans="1:28" x14ac:dyDescent="0.35">
      <c r="AB56" s="83"/>
    </row>
    <row r="57" spans="1:28" x14ac:dyDescent="0.35">
      <c r="AB57" s="83"/>
    </row>
    <row r="58" spans="1:28" x14ac:dyDescent="0.35">
      <c r="AB58" s="83"/>
    </row>
    <row r="59" spans="1:28" x14ac:dyDescent="0.35">
      <c r="AB59" s="83"/>
    </row>
    <row r="60" spans="1:28" x14ac:dyDescent="0.35">
      <c r="AB60" s="83"/>
    </row>
    <row r="61" spans="1:28" x14ac:dyDescent="0.35">
      <c r="AB61" s="83"/>
    </row>
    <row r="62" spans="1:28" x14ac:dyDescent="0.35">
      <c r="AB62" s="83"/>
    </row>
    <row r="63" spans="1:28" x14ac:dyDescent="0.35">
      <c r="AB63" s="83"/>
    </row>
    <row r="64" spans="1:28" x14ac:dyDescent="0.35">
      <c r="AB64" s="83"/>
    </row>
    <row r="65" spans="28:28" x14ac:dyDescent="0.35">
      <c r="AB65" s="83"/>
    </row>
    <row r="66" spans="28:28" x14ac:dyDescent="0.35">
      <c r="AB66" s="83"/>
    </row>
    <row r="67" spans="28:28" x14ac:dyDescent="0.35">
      <c r="AB67" s="83"/>
    </row>
    <row r="68" spans="28:28" x14ac:dyDescent="0.35">
      <c r="AB68" s="83"/>
    </row>
    <row r="69" spans="28:28" x14ac:dyDescent="0.35">
      <c r="AB69" s="83"/>
    </row>
    <row r="70" spans="28:28" x14ac:dyDescent="0.35">
      <c r="AB70" s="83"/>
    </row>
    <row r="71" spans="28:28" x14ac:dyDescent="0.35">
      <c r="AB71" s="83"/>
    </row>
    <row r="72" spans="28:28" x14ac:dyDescent="0.35">
      <c r="AB72" s="83"/>
    </row>
    <row r="73" spans="28:28" x14ac:dyDescent="0.35">
      <c r="AB73" s="83"/>
    </row>
    <row r="74" spans="28:28" x14ac:dyDescent="0.35">
      <c r="AB74" s="83"/>
    </row>
    <row r="75" spans="28:28" x14ac:dyDescent="0.35">
      <c r="AB75" s="83"/>
    </row>
    <row r="76" spans="28:28" x14ac:dyDescent="0.35">
      <c r="AB76" s="83"/>
    </row>
    <row r="77" spans="28:28" x14ac:dyDescent="0.35">
      <c r="AB77" s="83"/>
    </row>
    <row r="78" spans="28:28" x14ac:dyDescent="0.35">
      <c r="AB78" s="83"/>
    </row>
    <row r="79" spans="28:28" x14ac:dyDescent="0.35">
      <c r="AB79" s="83"/>
    </row>
    <row r="80" spans="28:28" x14ac:dyDescent="0.35">
      <c r="AB80" s="83"/>
    </row>
    <row r="81" spans="28:28" x14ac:dyDescent="0.35">
      <c r="AB81" s="83"/>
    </row>
    <row r="82" spans="28:28" x14ac:dyDescent="0.35">
      <c r="AB82" s="83"/>
    </row>
    <row r="83" spans="28:28" x14ac:dyDescent="0.35">
      <c r="AB83" s="83"/>
    </row>
    <row r="84" spans="28:28" x14ac:dyDescent="0.35">
      <c r="AB84" s="83"/>
    </row>
    <row r="85" spans="28:28" x14ac:dyDescent="0.35">
      <c r="AB85" s="83"/>
    </row>
    <row r="86" spans="28:28" x14ac:dyDescent="0.35">
      <c r="AB86" s="83"/>
    </row>
    <row r="87" spans="28:28" x14ac:dyDescent="0.35">
      <c r="AB87" s="83"/>
    </row>
    <row r="88" spans="28:28" x14ac:dyDescent="0.35">
      <c r="AB88" s="83"/>
    </row>
    <row r="89" spans="28:28" x14ac:dyDescent="0.35">
      <c r="AB89" s="83"/>
    </row>
    <row r="90" spans="28:28" x14ac:dyDescent="0.35">
      <c r="AB90" s="83"/>
    </row>
    <row r="91" spans="28:28" x14ac:dyDescent="0.35">
      <c r="AB91" s="83"/>
    </row>
    <row r="92" spans="28:28" x14ac:dyDescent="0.35">
      <c r="AB92" s="83"/>
    </row>
    <row r="93" spans="28:28" x14ac:dyDescent="0.35">
      <c r="AB93" s="83"/>
    </row>
    <row r="94" spans="28:28" x14ac:dyDescent="0.35">
      <c r="AB94" s="83"/>
    </row>
    <row r="95" spans="28:28" x14ac:dyDescent="0.35">
      <c r="AB95" s="83"/>
    </row>
    <row r="96" spans="28:28" x14ac:dyDescent="0.35">
      <c r="AB96" s="83"/>
    </row>
    <row r="97" spans="28:28" x14ac:dyDescent="0.35">
      <c r="AB97" s="83"/>
    </row>
    <row r="98" spans="28:28" x14ac:dyDescent="0.35">
      <c r="AB98" s="83"/>
    </row>
    <row r="99" spans="28:28" x14ac:dyDescent="0.35">
      <c r="AB99" s="83"/>
    </row>
    <row r="100" spans="28:28" x14ac:dyDescent="0.35">
      <c r="AB100" s="83" t="e">
        <f>VLOOKUP($A100,'Matriz Distâncias NTS'!$D$2:$O$42,13,0)</f>
        <v>#N/A</v>
      </c>
    </row>
    <row r="101" spans="28:28" x14ac:dyDescent="0.35">
      <c r="AB101" s="83" t="e">
        <f>VLOOKUP($A101,'Matriz Distâncias NTS'!$D$2:$O$42,13,0)</f>
        <v>#N/A</v>
      </c>
    </row>
    <row r="102" spans="28:28" x14ac:dyDescent="0.35">
      <c r="AB102" s="83" t="e">
        <f>VLOOKUP($A102,'Matriz Distâncias NTS'!$D$2:$O$42,13,0)</f>
        <v>#N/A</v>
      </c>
    </row>
    <row r="103" spans="28:28" x14ac:dyDescent="0.35">
      <c r="AB103" s="83" t="e">
        <f>VLOOKUP($A103,'Matriz Distâncias NTS'!$D$2:$O$42,13,0)</f>
        <v>#N/A</v>
      </c>
    </row>
    <row r="104" spans="28:28" x14ac:dyDescent="0.35">
      <c r="AB104" s="83" t="e">
        <f>VLOOKUP($A104,'Matriz Distâncias NTS'!$D$2:$O$42,13,0)</f>
        <v>#N/A</v>
      </c>
    </row>
    <row r="105" spans="28:28" x14ac:dyDescent="0.35">
      <c r="AB105" s="83" t="e">
        <f>VLOOKUP($A105,'Matriz Distâncias NTS'!$D$2:$O$42,13,0)</f>
        <v>#N/A</v>
      </c>
    </row>
    <row r="106" spans="28:28" x14ac:dyDescent="0.35">
      <c r="AB106" s="83" t="e">
        <f>VLOOKUP($A106,'Matriz Distâncias NTS'!$D$2:$O$42,13,0)</f>
        <v>#N/A</v>
      </c>
    </row>
    <row r="107" spans="28:28" x14ac:dyDescent="0.35">
      <c r="AB107" s="83" t="e">
        <f>VLOOKUP($A107,'Matriz Distâncias NTS'!$D$2:$O$42,13,0)</f>
        <v>#N/A</v>
      </c>
    </row>
    <row r="108" spans="28:28" x14ac:dyDescent="0.35">
      <c r="AB108" s="83" t="e">
        <f>VLOOKUP($A108,'Matriz Distâncias NTS'!$D$2:$O$42,13,0)</f>
        <v>#N/A</v>
      </c>
    </row>
    <row r="109" spans="28:28" x14ac:dyDescent="0.35">
      <c r="AB109" s="83" t="e">
        <f>VLOOKUP($A109,'Matriz Distâncias NTS'!$D$2:$O$42,13,0)</f>
        <v>#N/A</v>
      </c>
    </row>
    <row r="110" spans="28:28" x14ac:dyDescent="0.35">
      <c r="AB110" s="83" t="e">
        <f>VLOOKUP($A110,'Matriz Distâncias NTS'!$D$2:$O$42,13,0)</f>
        <v>#N/A</v>
      </c>
    </row>
    <row r="111" spans="28:28" x14ac:dyDescent="0.35">
      <c r="AB111" s="83" t="e">
        <f>VLOOKUP($A111,'Matriz Distâncias NTS'!$D$2:$O$42,13,0)</f>
        <v>#N/A</v>
      </c>
    </row>
    <row r="112" spans="28:28" x14ac:dyDescent="0.35">
      <c r="AB112" s="83" t="e">
        <f>VLOOKUP($A112,'Matriz Distâncias NTS'!$D$2:$O$42,13,0)</f>
        <v>#N/A</v>
      </c>
    </row>
    <row r="113" spans="28:28" x14ac:dyDescent="0.35">
      <c r="AB113" s="83" t="e">
        <f>VLOOKUP($A113,'Matriz Distâncias NTS'!$D$2:$O$42,13,0)</f>
        <v>#N/A</v>
      </c>
    </row>
    <row r="114" spans="28:28" x14ac:dyDescent="0.35">
      <c r="AB114" s="83" t="e">
        <f>VLOOKUP($A114,'Matriz Distâncias NTS'!$D$2:$O$42,13,0)</f>
        <v>#N/A</v>
      </c>
    </row>
    <row r="115" spans="28:28" x14ac:dyDescent="0.35">
      <c r="AB115" s="83" t="e">
        <f>VLOOKUP($A115,'Matriz Distâncias NTS'!$D$2:$O$42,13,0)</f>
        <v>#N/A</v>
      </c>
    </row>
    <row r="116" spans="28:28" x14ac:dyDescent="0.35">
      <c r="AB116" s="83" t="e">
        <f>VLOOKUP($A116,'Matriz Distâncias NTS'!$D$2:$O$42,13,0)</f>
        <v>#N/A</v>
      </c>
    </row>
    <row r="117" spans="28:28" x14ac:dyDescent="0.35">
      <c r="AB117" s="83" t="e">
        <f>VLOOKUP($A117,'Matriz Distâncias NTS'!$D$2:$O$42,13,0)</f>
        <v>#N/A</v>
      </c>
    </row>
    <row r="118" spans="28:28" x14ac:dyDescent="0.35">
      <c r="AB118" s="83" t="e">
        <f>VLOOKUP($A118,'Matriz Distâncias NTS'!$D$2:$O$42,13,0)</f>
        <v>#N/A</v>
      </c>
    </row>
    <row r="119" spans="28:28" x14ac:dyDescent="0.35">
      <c r="AB119" s="83" t="e">
        <f>VLOOKUP($A119,'Matriz Distâncias NTS'!$D$2:$O$42,13,0)</f>
        <v>#N/A</v>
      </c>
    </row>
    <row r="120" spans="28:28" x14ac:dyDescent="0.35">
      <c r="AB120" s="83" t="e">
        <f>VLOOKUP($A120,'Matriz Distâncias NTS'!$D$2:$O$42,13,0)</f>
        <v>#N/A</v>
      </c>
    </row>
    <row r="121" spans="28:28" x14ac:dyDescent="0.35">
      <c r="AB121" s="83" t="e">
        <f>VLOOKUP($A121,'Matriz Distâncias NTS'!$D$2:$O$42,13,0)</f>
        <v>#N/A</v>
      </c>
    </row>
  </sheetData>
  <mergeCells count="1">
    <mergeCell ref="A1:K1"/>
  </mergeCells>
  <conditionalFormatting sqref="B3:O49">
    <cfRule type="cellIs" dxfId="4" priority="1" operator="between">
      <formula>30</formula>
      <formula>40</formula>
    </cfRule>
  </conditionalFormatting>
  <pageMargins left="0.511811024" right="0.511811024" top="0.78740157499999996" bottom="0.78740157499999996" header="0.31496062000000002" footer="0.31496062000000002"/>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D80B-525E-44EE-AF4A-3512F912E69B}">
  <sheetPr codeName="Planilha26">
    <tabColor theme="1" tint="0.499984740745262"/>
  </sheetPr>
  <dimension ref="A2:AA302"/>
  <sheetViews>
    <sheetView showGridLines="0" zoomScale="70" zoomScaleNormal="70" workbookViewId="0">
      <selection activeCell="L29" sqref="L29"/>
    </sheetView>
  </sheetViews>
  <sheetFormatPr defaultColWidth="8.81640625" defaultRowHeight="14.5" x14ac:dyDescent="0.35"/>
  <cols>
    <col min="2" max="2" width="33" customWidth="1"/>
    <col min="3" max="3" width="20.54296875" bestFit="1" customWidth="1"/>
    <col min="4" max="4" width="26" bestFit="1" customWidth="1"/>
    <col min="5" max="5" width="25.1796875" bestFit="1" customWidth="1"/>
    <col min="6" max="6" width="21.81640625" bestFit="1" customWidth="1"/>
    <col min="7" max="7" width="23.1796875" customWidth="1"/>
    <col min="8" max="8" width="16.81640625" bestFit="1" customWidth="1"/>
    <col min="9" max="9" width="35.453125" bestFit="1" customWidth="1"/>
    <col min="10" max="10" width="22" bestFit="1" customWidth="1"/>
    <col min="11" max="11" width="21.54296875" bestFit="1" customWidth="1"/>
    <col min="12" max="12" width="18.81640625" bestFit="1" customWidth="1"/>
    <col min="13" max="13" width="10.453125" customWidth="1"/>
    <col min="14" max="14" width="10"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6.5" x14ac:dyDescent="0.35">
      <c r="A5" s="206">
        <f>HLOOKUP($G$3,'Premissas (Legados)'!$B$5:$F$13,9,FALSE)</f>
        <v>0.7</v>
      </c>
      <c r="B5" s="207" t="s">
        <v>112</v>
      </c>
      <c r="C5" s="208" t="s">
        <v>271</v>
      </c>
      <c r="D5" s="209">
        <f>$A$5*$D$4</f>
        <v>5051.2433924371298</v>
      </c>
      <c r="E5" s="210" t="s">
        <v>113</v>
      </c>
      <c r="F5" s="211"/>
      <c r="G5" s="211"/>
      <c r="H5" s="235"/>
    </row>
    <row r="6" spans="1:9" ht="29" x14ac:dyDescent="0.35">
      <c r="A6" s="92"/>
      <c r="B6" s="212" t="s">
        <v>114</v>
      </c>
      <c r="C6" s="213" t="s">
        <v>272</v>
      </c>
      <c r="D6" s="214">
        <f>$D$34*'Premissas (Legados)'!$F$20</f>
        <v>25263840</v>
      </c>
      <c r="E6" s="212" t="s">
        <v>115</v>
      </c>
      <c r="F6" s="230">
        <f>H34</f>
        <v>942396281.90735996</v>
      </c>
      <c r="G6" s="82" t="s">
        <v>116</v>
      </c>
    </row>
    <row r="7" spans="1:9" ht="17" thickBot="1" x14ac:dyDescent="0.4">
      <c r="A7" s="215"/>
      <c r="B7" s="216" t="s">
        <v>117</v>
      </c>
      <c r="C7" s="217" t="s">
        <v>273</v>
      </c>
      <c r="D7" s="218">
        <f>$D$5/$D$6*1000</f>
        <v>0.19993965258001675</v>
      </c>
      <c r="E7" s="219" t="s">
        <v>118</v>
      </c>
      <c r="F7" s="232">
        <f>$D$5/$F$6*1000000</f>
        <v>5.3599992799352751</v>
      </c>
      <c r="G7" s="228" t="s">
        <v>15</v>
      </c>
      <c r="I7" s="235"/>
    </row>
    <row r="8" spans="1:9" ht="16.5" x14ac:dyDescent="0.35">
      <c r="A8" s="206">
        <f>1-A5</f>
        <v>0.30000000000000004</v>
      </c>
      <c r="B8" s="207" t="s">
        <v>119</v>
      </c>
      <c r="C8" s="208" t="s">
        <v>274</v>
      </c>
      <c r="D8" s="209">
        <f>$A$8*$D$4</f>
        <v>2164.8185967587706</v>
      </c>
      <c r="E8" s="210" t="s">
        <v>113</v>
      </c>
      <c r="F8" s="231"/>
      <c r="G8" s="229"/>
    </row>
    <row r="9" spans="1:9" ht="29" x14ac:dyDescent="0.35">
      <c r="B9" s="212" t="s">
        <v>120</v>
      </c>
      <c r="C9" s="213" t="s">
        <v>275</v>
      </c>
      <c r="D9" s="214">
        <f>$D$57*'Premissas (Legados)'!$F$20</f>
        <v>21312715</v>
      </c>
      <c r="E9" s="212" t="s">
        <v>115</v>
      </c>
      <c r="F9" s="230">
        <f>H57</f>
        <v>795010709.905985</v>
      </c>
      <c r="G9" s="82" t="s">
        <v>116</v>
      </c>
    </row>
    <row r="10" spans="1:9" ht="17" thickBot="1" x14ac:dyDescent="0.4">
      <c r="A10" s="225"/>
      <c r="B10" s="216" t="s">
        <v>121</v>
      </c>
      <c r="C10" s="217" t="s">
        <v>276</v>
      </c>
      <c r="D10" s="218">
        <f>$D$8/$D$9*1000</f>
        <v>0.10157404144703153</v>
      </c>
      <c r="E10" s="219" t="s">
        <v>118</v>
      </c>
      <c r="F10" s="232">
        <f>$D$8/$F$9*1000000</f>
        <v>2.72300557688685</v>
      </c>
      <c r="G10" s="228" t="s">
        <v>15</v>
      </c>
    </row>
    <row r="11" spans="1:9" ht="15" thickBot="1" x14ac:dyDescent="0.4">
      <c r="A11" s="220"/>
      <c r="B11" s="220" t="s">
        <v>122</v>
      </c>
      <c r="C11" s="226">
        <f>HLOOKUP($G$3,'Premissas (Legados)'!$B$5:$F$8,4,FALSE)</f>
        <v>0.8</v>
      </c>
      <c r="D11" s="220"/>
      <c r="E11" s="220"/>
      <c r="F11" s="227"/>
      <c r="G11" s="220"/>
    </row>
    <row r="13" spans="1:9" s="95" customFormat="1" x14ac:dyDescent="0.35">
      <c r="A13" s="95" t="s">
        <v>123</v>
      </c>
      <c r="B13" s="95" t="s">
        <v>124</v>
      </c>
    </row>
    <row r="14" spans="1:9" x14ac:dyDescent="0.35">
      <c r="I14" s="93"/>
    </row>
    <row r="15" spans="1:9" x14ac:dyDescent="0.35">
      <c r="A15" s="96" t="s">
        <v>125</v>
      </c>
      <c r="B15" s="97" t="s">
        <v>126</v>
      </c>
      <c r="C15" s="98"/>
      <c r="I15" s="93"/>
    </row>
    <row r="16" spans="1:9" ht="16.5" x14ac:dyDescent="0.45">
      <c r="A16" t="s">
        <v>277</v>
      </c>
      <c r="B16" t="s">
        <v>127</v>
      </c>
      <c r="C16" s="47"/>
      <c r="I16" s="93"/>
    </row>
    <row r="17" spans="1:9" ht="16.5" x14ac:dyDescent="0.45">
      <c r="A17" t="s">
        <v>278</v>
      </c>
      <c r="B17" t="s">
        <v>128</v>
      </c>
      <c r="C17" s="47"/>
      <c r="I17" s="93"/>
    </row>
    <row r="18" spans="1:9" ht="16.5" x14ac:dyDescent="0.45">
      <c r="A18" t="s">
        <v>279</v>
      </c>
      <c r="B18" t="s">
        <v>129</v>
      </c>
      <c r="C18" s="47"/>
      <c r="H18">
        <v>37.302179000000002</v>
      </c>
      <c r="I18" s="93"/>
    </row>
    <row r="19" spans="1:9" ht="16.5" x14ac:dyDescent="0.45">
      <c r="A19" t="s">
        <v>280</v>
      </c>
      <c r="B19" t="s">
        <v>130</v>
      </c>
      <c r="C19" s="47"/>
      <c r="H19" s="99">
        <v>3.7302178999999998E-2</v>
      </c>
      <c r="I19" s="93"/>
    </row>
    <row r="20" spans="1:9" x14ac:dyDescent="0.35">
      <c r="C20" s="47"/>
      <c r="H20" s="99"/>
      <c r="I20" s="93"/>
    </row>
    <row r="21" spans="1:9" x14ac:dyDescent="0.35">
      <c r="A21" s="261"/>
      <c r="B21" s="261"/>
      <c r="C21" s="425">
        <f>G3</f>
        <v>2025</v>
      </c>
      <c r="D21" s="426"/>
      <c r="G21" s="424">
        <f>G3</f>
        <v>2025</v>
      </c>
      <c r="H21" s="424"/>
      <c r="I21" s="93"/>
    </row>
    <row r="22" spans="1:9" ht="16" customHeight="1" x14ac:dyDescent="0.35">
      <c r="A22" s="262"/>
      <c r="B22" s="262"/>
      <c r="C22" s="427" t="s">
        <v>236</v>
      </c>
      <c r="D22" s="428"/>
      <c r="G22" s="424" t="s">
        <v>237</v>
      </c>
      <c r="H22" s="424"/>
      <c r="I22" s="93"/>
    </row>
    <row r="23" spans="1:9" ht="33" x14ac:dyDescent="0.35">
      <c r="A23" s="263" t="s">
        <v>131</v>
      </c>
      <c r="B23" s="263" t="s">
        <v>132</v>
      </c>
      <c r="C23" s="102" t="s">
        <v>281</v>
      </c>
      <c r="D23" s="103" t="s">
        <v>282</v>
      </c>
      <c r="G23" s="102" t="s">
        <v>283</v>
      </c>
      <c r="H23" s="103" t="s">
        <v>284</v>
      </c>
      <c r="I23" s="93"/>
    </row>
    <row r="24" spans="1:9" x14ac:dyDescent="0.35">
      <c r="A24" s="2" t="s">
        <v>238</v>
      </c>
      <c r="B24" s="44" t="s">
        <v>28</v>
      </c>
      <c r="C24" s="290">
        <f>'Oferta (Legados)'!C3</f>
        <v>20000</v>
      </c>
      <c r="D24" s="290">
        <f>'Oferta (Legados)'!J3</f>
        <v>14178</v>
      </c>
      <c r="F24" s="104"/>
      <c r="G24" s="43">
        <f>IFERROR($C24*$H$19*'Premissas (Legados)'!$F$20*1000," ")</f>
        <v>272305906.69999999</v>
      </c>
      <c r="H24" s="43">
        <f>IFERROR($D24*$H$19*'Premissas (Legados)'!$F$20*1000," ")</f>
        <v>193037657.25962999</v>
      </c>
      <c r="I24" s="93"/>
    </row>
    <row r="25" spans="1:9" x14ac:dyDescent="0.35">
      <c r="A25" s="2" t="s">
        <v>133</v>
      </c>
      <c r="B25" s="44" t="s">
        <v>26</v>
      </c>
      <c r="C25" s="290">
        <f>'Oferta (Legados)'!C4</f>
        <v>20000</v>
      </c>
      <c r="D25" s="290">
        <f>'Oferta (Legados)'!J4</f>
        <v>20000</v>
      </c>
      <c r="F25" s="104"/>
      <c r="G25" s="43">
        <f>IFERROR($C25*$H$19*'Premissas (Legados)'!$F$20*1000," ")</f>
        <v>272305906.69999999</v>
      </c>
      <c r="H25" s="43">
        <f>IFERROR($D25*$H$19*'Premissas (Legados)'!$F$20*1000," ")</f>
        <v>272305906.69999999</v>
      </c>
      <c r="I25" s="93"/>
    </row>
    <row r="26" spans="1:9" x14ac:dyDescent="0.35">
      <c r="A26" s="2" t="s">
        <v>134</v>
      </c>
      <c r="B26" s="44" t="s">
        <v>488</v>
      </c>
      <c r="C26" s="290">
        <f>'Oferta (Legados)'!C5</f>
        <v>18200</v>
      </c>
      <c r="D26" s="290">
        <f>'Oferta (Legados)'!J5</f>
        <v>13448</v>
      </c>
      <c r="E26" s="46"/>
      <c r="F26" s="104"/>
      <c r="G26" s="43">
        <f>IFERROR($C26*$H$19*'Premissas (Legados)'!$F$20*1000," ")</f>
        <v>247798375.097</v>
      </c>
      <c r="H26" s="43">
        <f>IFERROR($D26*$H$19*'Premissas (Legados)'!$F$20*1000," ")</f>
        <v>183098491.66507998</v>
      </c>
      <c r="I26" s="93"/>
    </row>
    <row r="27" spans="1:9" x14ac:dyDescent="0.35">
      <c r="A27" s="2" t="s">
        <v>135</v>
      </c>
      <c r="B27" s="44" t="s">
        <v>463</v>
      </c>
      <c r="C27" s="290">
        <f>'Oferta (Legados)'!C6</f>
        <v>1250</v>
      </c>
      <c r="D27" s="290">
        <f>'Oferta (Legados)'!J6</f>
        <v>335</v>
      </c>
      <c r="E27" s="46"/>
      <c r="F27" s="104"/>
      <c r="G27" s="43">
        <f>IFERROR($C27*$H$19*'Premissas (Legados)'!$F$20*1000," ")</f>
        <v>17019119.168749999</v>
      </c>
      <c r="H27" s="43">
        <f>IFERROR($D27*$H$19*'Premissas (Legados)'!$F$20*1000," ")</f>
        <v>4561123.937225</v>
      </c>
      <c r="I27" s="93"/>
    </row>
    <row r="28" spans="1:9" x14ac:dyDescent="0.35">
      <c r="A28" s="2" t="s">
        <v>136</v>
      </c>
      <c r="B28" s="44" t="s">
        <v>27</v>
      </c>
      <c r="C28" s="290">
        <f>'Oferta (Legados)'!C7</f>
        <v>5000</v>
      </c>
      <c r="D28" s="290">
        <f>'Oferta (Legados)'!J7</f>
        <v>0</v>
      </c>
      <c r="E28" s="46"/>
      <c r="F28" s="104"/>
      <c r="G28" s="43">
        <f>IFERROR($C28*$H$19*'Premissas (Legados)'!$F$20*1000," ")</f>
        <v>68076476.674999997</v>
      </c>
      <c r="H28" s="43">
        <f>IFERROR($D28*$H$19*'Premissas (Legados)'!$F$20*1000," ")</f>
        <v>0</v>
      </c>
      <c r="I28" s="93"/>
    </row>
    <row r="29" spans="1:9" x14ac:dyDescent="0.35">
      <c r="A29" s="2" t="s">
        <v>239</v>
      </c>
      <c r="B29" s="44" t="s">
        <v>29</v>
      </c>
      <c r="C29" s="290">
        <f>'Oferta (Legados)'!C8</f>
        <v>2200</v>
      </c>
      <c r="D29" s="290">
        <f>'Oferta (Legados)'!J8</f>
        <v>0</v>
      </c>
      <c r="E29" s="46"/>
      <c r="F29" s="104"/>
      <c r="G29" s="43">
        <f>IFERROR($C29*$H$19*'Premissas (Legados)'!$F$20*1000," ")</f>
        <v>29953649.736999996</v>
      </c>
      <c r="H29" s="43">
        <f>IFERROR($D29*$H$19*'Premissas (Legados)'!$F$20*1000," ")</f>
        <v>0</v>
      </c>
      <c r="I29" s="93"/>
    </row>
    <row r="30" spans="1:9" x14ac:dyDescent="0.35">
      <c r="A30" s="2" t="s">
        <v>137</v>
      </c>
      <c r="B30" s="44" t="s">
        <v>24</v>
      </c>
      <c r="C30" s="290">
        <f>'Oferta (Legados)'!C9</f>
        <v>25160</v>
      </c>
      <c r="D30" s="290">
        <f>'Oferta (Legados)'!J9</f>
        <v>14855</v>
      </c>
      <c r="E30" s="46"/>
      <c r="F30" s="104"/>
      <c r="G30" s="43">
        <f>IFERROR($C30*$H$19*'Premissas (Legados)'!$F$20*1000," ")</f>
        <v>342560830.6286</v>
      </c>
      <c r="H30" s="43">
        <f>IFERROR($D30*$H$19*'Premissas (Legados)'!$F$20*1000," ")</f>
        <v>202255212.20142499</v>
      </c>
      <c r="I30" s="93"/>
    </row>
    <row r="31" spans="1:9" x14ac:dyDescent="0.35">
      <c r="A31" s="2" t="s">
        <v>240</v>
      </c>
      <c r="B31" s="44" t="s">
        <v>264</v>
      </c>
      <c r="C31" s="290">
        <f>'Oferta (Legados)'!C10</f>
        <v>0</v>
      </c>
      <c r="D31" s="290">
        <f>'Oferta (Legados)'!J10</f>
        <v>6000</v>
      </c>
      <c r="E31" s="46"/>
      <c r="F31" s="104"/>
      <c r="G31" s="43">
        <f>IFERROR($C31*$H$19*'Premissas (Legados)'!$F$20*1000," ")</f>
        <v>0</v>
      </c>
      <c r="H31" s="43">
        <f>IFERROR($D31*$H$19*'Premissas (Legados)'!$F$20*1000," ")</f>
        <v>81691772.010000005</v>
      </c>
      <c r="I31" s="93"/>
    </row>
    <row r="32" spans="1:9" x14ac:dyDescent="0.35">
      <c r="A32" s="2" t="s">
        <v>138</v>
      </c>
      <c r="B32" s="44" t="s">
        <v>266</v>
      </c>
      <c r="C32" s="290">
        <f>'Oferta (Legados)'!C11</f>
        <v>0</v>
      </c>
      <c r="D32" s="290">
        <f>'Oferta (Legados)'!J11</f>
        <v>200</v>
      </c>
      <c r="E32" s="46"/>
      <c r="F32" s="104"/>
      <c r="G32" s="43">
        <f>IFERROR($C32*$H$19*'Premissas (Legados)'!$F$20*1000," ")</f>
        <v>0</v>
      </c>
      <c r="H32" s="43">
        <f>IFERROR($D32*$H$19*'Premissas (Legados)'!$F$20*1000," ")</f>
        <v>2723059.0670000003</v>
      </c>
      <c r="I32" s="93"/>
    </row>
    <row r="33" spans="1:10" x14ac:dyDescent="0.35">
      <c r="A33" s="2" t="s">
        <v>139</v>
      </c>
      <c r="B33" s="44" t="s">
        <v>265</v>
      </c>
      <c r="C33" s="290">
        <f>'Oferta (Legados)'!C12</f>
        <v>0</v>
      </c>
      <c r="D33" s="290">
        <f>'Oferta (Legados)'!J12</f>
        <v>200</v>
      </c>
      <c r="E33" s="46"/>
      <c r="F33" s="104"/>
      <c r="G33" s="43">
        <f>IFERROR($C33*$H$19*'Premissas (Legados)'!$F$20*1000," ")</f>
        <v>0</v>
      </c>
      <c r="H33" s="43">
        <f>IFERROR($D33*$H$19*'Premissas (Legados)'!$F$20*1000," ")</f>
        <v>2723059.0670000003</v>
      </c>
      <c r="I33" s="93"/>
    </row>
    <row r="34" spans="1:10" x14ac:dyDescent="0.35">
      <c r="C34" s="105">
        <f>SUM(C24:C33)</f>
        <v>91810</v>
      </c>
      <c r="D34" s="105">
        <f>SUM(D24:D33)</f>
        <v>69216</v>
      </c>
      <c r="E34" s="105"/>
      <c r="F34" s="104"/>
      <c r="G34" s="105">
        <f>SUM(G24:G33)</f>
        <v>1250020264.7063498</v>
      </c>
      <c r="H34" s="105">
        <f>SUM(H24:H33)</f>
        <v>942396281.90735996</v>
      </c>
      <c r="I34" s="93"/>
    </row>
    <row r="35" spans="1:10" x14ac:dyDescent="0.35">
      <c r="C35" s="104"/>
      <c r="D35" s="104"/>
      <c r="E35" s="104"/>
      <c r="F35" s="104"/>
      <c r="G35" s="104"/>
      <c r="H35" s="104"/>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A38" s="261"/>
      <c r="B38" s="261"/>
      <c r="C38" s="424">
        <f>C21</f>
        <v>2025</v>
      </c>
      <c r="D38" s="424"/>
      <c r="G38" s="424">
        <f>G21</f>
        <v>2025</v>
      </c>
      <c r="H38" s="424"/>
      <c r="J38" s="93"/>
    </row>
    <row r="39" spans="1:10" ht="16" customHeight="1" x14ac:dyDescent="0.35">
      <c r="A39" s="262"/>
      <c r="B39" s="262"/>
      <c r="C39" s="424" t="s">
        <v>236</v>
      </c>
      <c r="D39" s="424"/>
      <c r="G39" s="424" t="s">
        <v>237</v>
      </c>
      <c r="H39" s="424"/>
      <c r="I39" s="93"/>
    </row>
    <row r="40" spans="1:10" ht="33" x14ac:dyDescent="0.35">
      <c r="A40" s="100" t="s">
        <v>131</v>
      </c>
      <c r="B40" s="263" t="s">
        <v>140</v>
      </c>
      <c r="C40" s="102" t="s">
        <v>285</v>
      </c>
      <c r="D40" s="103" t="s">
        <v>286</v>
      </c>
      <c r="G40" s="102" t="s">
        <v>287</v>
      </c>
      <c r="H40" s="103" t="s">
        <v>288</v>
      </c>
      <c r="I40" s="93"/>
    </row>
    <row r="41" spans="1:10" x14ac:dyDescent="0.35">
      <c r="A41" s="2" t="s">
        <v>41</v>
      </c>
      <c r="B41" s="44" t="s">
        <v>216</v>
      </c>
      <c r="C41" s="290">
        <f>'Demanda (Legados)'!C3</f>
        <v>864.5</v>
      </c>
      <c r="D41" s="290">
        <f>'Demanda (Legados)'!J3</f>
        <v>607</v>
      </c>
      <c r="G41" s="43">
        <f>IFERROR($C41*$H$19*'Premissas (Legados)'!$F$20*1000," ")</f>
        <v>11770422.817107499</v>
      </c>
      <c r="H41" s="43">
        <f>IFERROR($D41*$H$19*'Premissas (Legados)'!$F$20*1000," ")</f>
        <v>8264484.2683449984</v>
      </c>
      <c r="I41" s="93"/>
    </row>
    <row r="42" spans="1:10" x14ac:dyDescent="0.35">
      <c r="A42" s="2" t="s">
        <v>42</v>
      </c>
      <c r="B42" s="44" t="s">
        <v>217</v>
      </c>
      <c r="C42" s="290">
        <f>'Demanda (Legados)'!C4</f>
        <v>1825.9</v>
      </c>
      <c r="D42" s="290">
        <f>'Demanda (Legados)'!J4</f>
        <v>1678</v>
      </c>
      <c r="G42" s="43">
        <f>IFERROR($C42*$H$19*'Premissas (Legados)'!$F$20*1000," ")</f>
        <v>24860167.752176501</v>
      </c>
      <c r="H42" s="43">
        <f>IFERROR($D42*$H$19*'Premissas (Legados)'!$F$20*1000," ")</f>
        <v>22846465.572130002</v>
      </c>
      <c r="I42" s="93"/>
    </row>
    <row r="43" spans="1:10" x14ac:dyDescent="0.35">
      <c r="A43" s="2" t="s">
        <v>43</v>
      </c>
      <c r="B43" s="44" t="s">
        <v>218</v>
      </c>
      <c r="C43" s="290">
        <f>'Demanda (Legados)'!C5</f>
        <v>3040.95</v>
      </c>
      <c r="D43" s="290">
        <f>'Demanda (Legados)'!J5</f>
        <v>2737</v>
      </c>
      <c r="E43" s="46"/>
      <c r="G43" s="43">
        <f>IFERROR($C43*$H$19*'Premissas (Legados)'!$F$20*1000," ")</f>
        <v>41403432.348968253</v>
      </c>
      <c r="H43" s="43">
        <f>IFERROR($D43*$H$19*'Premissas (Legados)'!$F$20*1000," ")</f>
        <v>37265063.331895001</v>
      </c>
      <c r="I43" s="93"/>
    </row>
    <row r="44" spans="1:10" x14ac:dyDescent="0.35">
      <c r="A44" s="2" t="s">
        <v>44</v>
      </c>
      <c r="B44" s="44" t="s">
        <v>219</v>
      </c>
      <c r="C44" s="290">
        <f>'Demanda (Legados)'!C6</f>
        <v>1187.5</v>
      </c>
      <c r="D44" s="290">
        <f>'Demanda (Legados)'!J6</f>
        <v>335</v>
      </c>
      <c r="E44" s="46"/>
      <c r="G44" s="43">
        <f>IFERROR($C44*$H$19*'Premissas (Legados)'!$F$20*1000," ")</f>
        <v>16168163.210312499</v>
      </c>
      <c r="H44" s="43">
        <f>IFERROR($D44*$H$19*'Premissas (Legados)'!$F$20*1000," ")</f>
        <v>4561123.937225</v>
      </c>
      <c r="I44" s="93"/>
    </row>
    <row r="45" spans="1:10" x14ac:dyDescent="0.35">
      <c r="A45" s="2" t="s">
        <v>45</v>
      </c>
      <c r="B45" s="44" t="s">
        <v>220</v>
      </c>
      <c r="C45" s="290">
        <f>'Demanda (Legados)'!C7</f>
        <v>21185</v>
      </c>
      <c r="D45" s="290">
        <f>'Demanda (Legados)'!J7</f>
        <v>17793</v>
      </c>
      <c r="E45" s="46"/>
      <c r="G45" s="43">
        <f>IFERROR($C45*$H$19*'Premissas (Legados)'!$F$20*1000," ")</f>
        <v>288440031.67197496</v>
      </c>
      <c r="H45" s="43">
        <f>IFERROR($D45*$H$19*'Premissas (Legados)'!$F$20*1000," ")</f>
        <v>242256949.89565501</v>
      </c>
      <c r="I45" s="93"/>
    </row>
    <row r="46" spans="1:10" x14ac:dyDescent="0.35">
      <c r="A46" s="2" t="s">
        <v>46</v>
      </c>
      <c r="B46" s="44" t="s">
        <v>221</v>
      </c>
      <c r="C46" s="290">
        <f>'Demanda (Legados)'!C8</f>
        <v>11271.75</v>
      </c>
      <c r="D46" s="290">
        <f>'Demanda (Legados)'!J8</f>
        <v>8406</v>
      </c>
      <c r="E46" s="46"/>
      <c r="G46" s="43">
        <f>IFERROR($C46*$H$19*'Premissas (Legados)'!$F$20*1000," ")</f>
        <v>153468205.19228625</v>
      </c>
      <c r="H46" s="43">
        <f>IFERROR($D46*$H$19*'Premissas (Legados)'!$F$20*1000," ")</f>
        <v>114450172.58600999</v>
      </c>
      <c r="I46" s="93"/>
    </row>
    <row r="47" spans="1:10" x14ac:dyDescent="0.35">
      <c r="A47" s="2" t="s">
        <v>47</v>
      </c>
      <c r="B47" s="44" t="s">
        <v>222</v>
      </c>
      <c r="C47" s="290">
        <f>'Demanda (Legados)'!C9</f>
        <v>3249</v>
      </c>
      <c r="D47" s="290">
        <f>'Demanda (Legados)'!J9</f>
        <v>1714</v>
      </c>
      <c r="E47" s="46"/>
      <c r="G47" s="43">
        <f>IFERROR($C47*$H$19*'Premissas (Legados)'!$F$20*1000," ")</f>
        <v>44236094.543414995</v>
      </c>
      <c r="H47" s="43">
        <f>IFERROR($D47*$H$19*'Premissas (Legados)'!$F$20*1000," ")</f>
        <v>23336616.204189997</v>
      </c>
      <c r="I47" s="93"/>
    </row>
    <row r="48" spans="1:10" x14ac:dyDescent="0.35">
      <c r="A48" s="2" t="s">
        <v>48</v>
      </c>
      <c r="B48" s="44" t="s">
        <v>223</v>
      </c>
      <c r="C48" s="290">
        <f>'Demanda (Legados)'!C10</f>
        <v>498.75</v>
      </c>
      <c r="D48" s="290">
        <f>'Demanda (Legados)'!J10</f>
        <v>323</v>
      </c>
      <c r="E48" s="46"/>
      <c r="G48" s="43">
        <f>IFERROR($C48*$H$19*'Premissas (Legados)'!$F$20*1000," ")</f>
        <v>6790628.5483312495</v>
      </c>
      <c r="H48" s="43">
        <f>IFERROR($D48*$H$19*'Premissas (Legados)'!$F$20*1000," ")</f>
        <v>4397740.3932050001</v>
      </c>
      <c r="I48" s="93"/>
    </row>
    <row r="49" spans="1:9" x14ac:dyDescent="0.35">
      <c r="A49" s="2" t="s">
        <v>49</v>
      </c>
      <c r="B49" s="44" t="s">
        <v>224</v>
      </c>
      <c r="C49" s="290">
        <f>'Demanda (Legados)'!C11</f>
        <v>3321.2</v>
      </c>
      <c r="D49" s="290">
        <f>'Demanda (Legados)'!J11</f>
        <v>2128</v>
      </c>
      <c r="E49" s="46"/>
      <c r="G49" s="43">
        <f>IFERROR($C49*$H$19*'Premissas (Legados)'!$F$20*1000," ")</f>
        <v>45219118.866601996</v>
      </c>
      <c r="H49" s="43">
        <f>IFERROR($D49*$H$19*'Premissas (Legados)'!$F$20*1000," ")</f>
        <v>28973348.472879995</v>
      </c>
      <c r="I49" s="93"/>
    </row>
    <row r="50" spans="1:9" x14ac:dyDescent="0.35">
      <c r="A50" s="2" t="s">
        <v>50</v>
      </c>
      <c r="B50" s="44" t="s">
        <v>225</v>
      </c>
      <c r="C50" s="290">
        <f>'Demanda (Legados)'!C12</f>
        <v>14292.75</v>
      </c>
      <c r="D50" s="290">
        <f>'Demanda (Legados)'!J12</f>
        <v>1237</v>
      </c>
      <c r="E50" s="46"/>
      <c r="G50" s="43">
        <f>IFERROR($C50*$H$19*'Premissas (Legados)'!$F$20*1000," ")</f>
        <v>194600012.39932126</v>
      </c>
      <c r="H50" s="43">
        <f>IFERROR($D50*$H$19*'Premissas (Legados)'!$F$20*1000," ")</f>
        <v>16842120.329395</v>
      </c>
      <c r="I50" s="93"/>
    </row>
    <row r="51" spans="1:9" x14ac:dyDescent="0.35">
      <c r="A51" s="2" t="s">
        <v>51</v>
      </c>
      <c r="B51" s="44" t="s">
        <v>226</v>
      </c>
      <c r="C51" s="290">
        <f>'Demanda (Legados)'!C13</f>
        <v>3971</v>
      </c>
      <c r="D51" s="290">
        <f>'Demanda (Legados)'!J13</f>
        <v>2972</v>
      </c>
      <c r="E51" s="46"/>
      <c r="G51" s="43">
        <f>IFERROR($C51*$H$19*'Premissas (Legados)'!$F$20*1000," ")</f>
        <v>54066337.775284998</v>
      </c>
      <c r="H51" s="43">
        <f>IFERROR($D51*$H$19*'Premissas (Legados)'!$F$20*1000," ")</f>
        <v>40464657.735619992</v>
      </c>
      <c r="I51" s="93"/>
    </row>
    <row r="52" spans="1:9" x14ac:dyDescent="0.35">
      <c r="A52" s="2" t="s">
        <v>52</v>
      </c>
      <c r="B52" s="44" t="s">
        <v>227</v>
      </c>
      <c r="C52" s="290">
        <f>'Demanda (Legados)'!C14</f>
        <v>9941.75</v>
      </c>
      <c r="D52" s="290">
        <f>'Demanda (Legados)'!J14</f>
        <v>7969</v>
      </c>
      <c r="E52" s="46"/>
      <c r="G52" s="43">
        <f>IFERROR($C52*$H$19*'Premissas (Legados)'!$F$20*1000," ")</f>
        <v>135359862.39673626</v>
      </c>
      <c r="H52" s="43">
        <f>IFERROR($D52*$H$19*'Premissas (Legados)'!$F$20*1000," ")</f>
        <v>108500288.52461499</v>
      </c>
      <c r="I52" s="93"/>
    </row>
    <row r="53" spans="1:9" x14ac:dyDescent="0.35">
      <c r="A53" s="2" t="s">
        <v>53</v>
      </c>
      <c r="B53" s="44" t="s">
        <v>228</v>
      </c>
      <c r="C53" s="290">
        <f>'Demanda (Legados)'!C15</f>
        <v>3809.5</v>
      </c>
      <c r="D53" s="290">
        <f>'Demanda (Legados)'!J15</f>
        <v>3281</v>
      </c>
      <c r="E53" s="46"/>
      <c r="G53" s="43">
        <f>IFERROR($C53*$H$19*'Premissas (Legados)'!$F$20*1000," ")</f>
        <v>51867467.578682497</v>
      </c>
      <c r="H53" s="43">
        <f>IFERROR($D53*$H$19*'Premissas (Legados)'!$F$20*1000," ")</f>
        <v>44671783.994134992</v>
      </c>
      <c r="I53" s="93"/>
    </row>
    <row r="54" spans="1:9" x14ac:dyDescent="0.35">
      <c r="A54" s="2" t="s">
        <v>54</v>
      </c>
      <c r="B54" s="44" t="s">
        <v>269</v>
      </c>
      <c r="C54" s="290">
        <f>'Demanda (Legados)'!C16</f>
        <v>0</v>
      </c>
      <c r="D54" s="290">
        <f>'Demanda (Legados)'!J16</f>
        <v>0</v>
      </c>
      <c r="E54" s="46"/>
      <c r="G54" s="43">
        <f>IFERROR($C54*$H$19*'Premissas (Legados)'!$F$20*1000," ")</f>
        <v>0</v>
      </c>
      <c r="H54" s="43">
        <f>IFERROR($D54*$H$19*'Premissas (Legados)'!$F$20*1000," ")</f>
        <v>0</v>
      </c>
      <c r="I54" s="93"/>
    </row>
    <row r="55" spans="1:9" x14ac:dyDescent="0.35">
      <c r="A55" s="2" t="s">
        <v>55</v>
      </c>
      <c r="B55" s="44" t="s">
        <v>268</v>
      </c>
      <c r="C55" s="290">
        <f>'Demanda (Legados)'!C17</f>
        <v>0</v>
      </c>
      <c r="D55" s="290">
        <f>'Demanda (Legados)'!J17</f>
        <v>7011</v>
      </c>
      <c r="E55" s="46"/>
      <c r="G55" s="43">
        <f>IFERROR($C55*$H$19*'Premissas (Legados)'!$F$20*1000," ")</f>
        <v>0</v>
      </c>
      <c r="H55" s="43">
        <f>IFERROR($D55*$H$19*'Premissas (Legados)'!$F$20*1000," ")</f>
        <v>95456835.593685001</v>
      </c>
      <c r="I55" s="93"/>
    </row>
    <row r="56" spans="1:9" x14ac:dyDescent="0.35">
      <c r="A56" s="2" t="s">
        <v>56</v>
      </c>
      <c r="B56" s="44" t="s">
        <v>267</v>
      </c>
      <c r="C56" s="290">
        <f>'Demanda (Legados)'!C18</f>
        <v>0</v>
      </c>
      <c r="D56" s="290">
        <f>'Demanda (Legados)'!J18</f>
        <v>200</v>
      </c>
      <c r="E56" s="46"/>
      <c r="G56" s="43">
        <f>IFERROR($C56*$H$19*'Premissas (Legados)'!$F$20*1000," ")</f>
        <v>0</v>
      </c>
      <c r="H56" s="43">
        <f>IFERROR($D56*$H$19*'Premissas (Legados)'!$F$20*1000," ")</f>
        <v>2723059.0670000003</v>
      </c>
      <c r="I56" s="93"/>
    </row>
    <row r="57" spans="1:9" x14ac:dyDescent="0.35">
      <c r="C57" s="105">
        <f>SUM(C41:C56)</f>
        <v>78459.549999999988</v>
      </c>
      <c r="D57" s="105">
        <f>SUM(D41:D56)</f>
        <v>58391</v>
      </c>
      <c r="E57" s="105"/>
      <c r="G57" s="105">
        <f>SUM(G41:G56)</f>
        <v>1068249945.1011992</v>
      </c>
      <c r="H57" s="105">
        <f>SUM(H41:H56)</f>
        <v>795010709.905985</v>
      </c>
      <c r="I57" s="93"/>
    </row>
    <row r="58" spans="1:9" x14ac:dyDescent="0.35">
      <c r="C58" s="104"/>
      <c r="D58" s="104"/>
      <c r="E58" s="104"/>
      <c r="G58" s="104"/>
      <c r="H58" s="104"/>
      <c r="I58" s="93"/>
    </row>
    <row r="59" spans="1:9" x14ac:dyDescent="0.35">
      <c r="C59" s="104"/>
      <c r="D59" s="104"/>
      <c r="E59" s="104"/>
      <c r="F59" s="104"/>
      <c r="G59" s="104"/>
      <c r="H59" s="104"/>
      <c r="I59" s="93"/>
    </row>
    <row r="60" spans="1:9" x14ac:dyDescent="0.35">
      <c r="C60" s="93"/>
      <c r="D60" s="93"/>
      <c r="F60" s="93"/>
      <c r="G60" s="93"/>
      <c r="H60" s="93"/>
    </row>
    <row r="61" spans="1:9" s="95" customFormat="1" x14ac:dyDescent="0.35">
      <c r="A61" s="95" t="s">
        <v>141</v>
      </c>
      <c r="B61" s="95" t="s">
        <v>142</v>
      </c>
    </row>
    <row r="62" spans="1:9" x14ac:dyDescent="0.35">
      <c r="A62" s="3"/>
    </row>
    <row r="63" spans="1:9" x14ac:dyDescent="0.35">
      <c r="A63" t="s">
        <v>125</v>
      </c>
      <c r="B63" t="s">
        <v>126</v>
      </c>
    </row>
    <row r="64" spans="1:9" ht="16.5" x14ac:dyDescent="0.45">
      <c r="A64" t="s">
        <v>289</v>
      </c>
      <c r="B64" t="s">
        <v>143</v>
      </c>
    </row>
    <row r="65" spans="1:12" x14ac:dyDescent="0.35">
      <c r="C65" s="2" t="s">
        <v>238</v>
      </c>
      <c r="D65" s="2" t="s">
        <v>133</v>
      </c>
      <c r="E65" s="2" t="s">
        <v>134</v>
      </c>
      <c r="F65" s="2" t="s">
        <v>135</v>
      </c>
      <c r="G65" s="2" t="s">
        <v>136</v>
      </c>
      <c r="H65" s="2" t="s">
        <v>239</v>
      </c>
      <c r="I65" s="2" t="s">
        <v>137</v>
      </c>
      <c r="J65" s="2" t="s">
        <v>240</v>
      </c>
      <c r="K65" s="2" t="s">
        <v>138</v>
      </c>
      <c r="L65" s="2" t="s">
        <v>139</v>
      </c>
    </row>
    <row r="66" spans="1:12" ht="23" x14ac:dyDescent="0.35">
      <c r="C66" s="45" t="s">
        <v>251</v>
      </c>
      <c r="D66" s="45" t="s">
        <v>26</v>
      </c>
      <c r="E66" s="45" t="s">
        <v>488</v>
      </c>
      <c r="F66" s="45" t="s">
        <v>243</v>
      </c>
      <c r="G66" s="45" t="s">
        <v>27</v>
      </c>
      <c r="H66" s="45" t="s">
        <v>29</v>
      </c>
      <c r="I66" s="45" t="s">
        <v>24</v>
      </c>
      <c r="J66" s="45" t="s">
        <v>264</v>
      </c>
      <c r="K66" s="45" t="s">
        <v>266</v>
      </c>
      <c r="L66" s="45" t="s">
        <v>265</v>
      </c>
    </row>
    <row r="67" spans="1:12" x14ac:dyDescent="0.35">
      <c r="A67" s="2" t="s">
        <v>41</v>
      </c>
      <c r="B67" s="44" t="str">
        <f>B41</f>
        <v>NTS MG 1</v>
      </c>
      <c r="C67" s="291">
        <f ca="1">VLOOKUP($B67,'Matriz Distâncias NTS'!$S$2:$AC$18,2,0)</f>
        <v>447.1</v>
      </c>
      <c r="D67" s="291">
        <f ca="1">VLOOKUP($B67,'Matriz Distâncias NTS'!$S$2:$AC$18,3,0)</f>
        <v>251.935</v>
      </c>
      <c r="E67" s="291">
        <f ca="1">VLOOKUP($B67,'Matriz Distâncias NTS'!$S$2:$AC$18,4,0)</f>
        <v>301.35699999999997</v>
      </c>
      <c r="F67" s="291">
        <f ca="1">VLOOKUP($B67,'Matriz Distâncias NTS'!$S$2:$AC$18,8,0)</f>
        <v>550.255</v>
      </c>
      <c r="G67" s="291">
        <f ca="1">VLOOKUP($B67,'Matriz Distâncias NTS'!$S$2:$AC$18,7,0)</f>
        <v>133.93299999999999</v>
      </c>
      <c r="H67" s="291">
        <f ca="1">VLOOKUP($B67,'Matriz Distâncias NTS'!$S$2:$AC$18,9,0)</f>
        <v>519.08299999999997</v>
      </c>
      <c r="I67" s="291">
        <f ca="1">VLOOKUP($B67,'Matriz Distâncias NTS'!$S$2:$AC$18,10,0)</f>
        <v>432.233</v>
      </c>
      <c r="J67" s="291">
        <f ca="1">VLOOKUP($B67,'Matriz Distâncias NTS'!$S$2:$AC$18,5,0)</f>
        <v>412.91999999999996</v>
      </c>
      <c r="K67" s="291">
        <f ca="1">VLOOKUP($B67,'Matriz Distâncias NTS'!$S$2:$AC$18,8,0)</f>
        <v>550.255</v>
      </c>
      <c r="L67" s="291">
        <f ca="1">VLOOKUP($B67,'Matriz Distâncias NTS'!$S$2:$AC$18,11,0)</f>
        <v>432.233</v>
      </c>
    </row>
    <row r="68" spans="1:12" x14ac:dyDescent="0.35">
      <c r="A68" s="2" t="s">
        <v>42</v>
      </c>
      <c r="B68" s="44" t="str">
        <f>B42</f>
        <v>NTS MG 2</v>
      </c>
      <c r="C68" s="291">
        <f ca="1">VLOOKUP($B68,'Matriz Distâncias NTS'!$S$2:$AC$18,2,0)</f>
        <v>544.26400000000001</v>
      </c>
      <c r="D68" s="291">
        <f ca="1">VLOOKUP($B68,'Matriz Distâncias NTS'!$S$2:$AC$18,3,0)</f>
        <v>349.09899999999999</v>
      </c>
      <c r="E68" s="291">
        <f ca="1">VLOOKUP($B68,'Matriz Distâncias NTS'!$S$2:$AC$18,4,0)</f>
        <v>398.52100000000002</v>
      </c>
      <c r="F68" s="291">
        <f ca="1">VLOOKUP($B68,'Matriz Distâncias NTS'!$S$2:$AC$18,8,0)</f>
        <v>647.41899999999998</v>
      </c>
      <c r="G68" s="291">
        <f ca="1">VLOOKUP($B68,'Matriz Distâncias NTS'!$S$2:$AC$18,7,0)</f>
        <v>231.09699999999998</v>
      </c>
      <c r="H68" s="291">
        <f ca="1">VLOOKUP($B68,'Matriz Distâncias NTS'!$S$2:$AC$18,9,0)</f>
        <v>616.24699999999996</v>
      </c>
      <c r="I68" s="291">
        <f ca="1">VLOOKUP($B68,'Matriz Distâncias NTS'!$S$2:$AC$18,10,0)</f>
        <v>529.39700000000005</v>
      </c>
      <c r="J68" s="291">
        <f ca="1">VLOOKUP($B68,'Matriz Distâncias NTS'!$S$2:$AC$18,5,0)</f>
        <v>510.08400000000006</v>
      </c>
      <c r="K68" s="291">
        <f ca="1">VLOOKUP($B68,'Matriz Distâncias NTS'!$S$2:$AC$18,8,0)</f>
        <v>647.41899999999998</v>
      </c>
      <c r="L68" s="291">
        <f ca="1">VLOOKUP($B68,'Matriz Distâncias NTS'!$S$2:$AC$18,11,0)</f>
        <v>529.39700000000005</v>
      </c>
    </row>
    <row r="69" spans="1:12" x14ac:dyDescent="0.35">
      <c r="A69" s="2" t="s">
        <v>43</v>
      </c>
      <c r="B69" s="44" t="str">
        <f>B43</f>
        <v>NTS MG 3</v>
      </c>
      <c r="C69" s="291">
        <f ca="1">VLOOKUP($B69,'Matriz Distâncias NTS'!$S$2:$AC$18,2,0)</f>
        <v>661.42919999999992</v>
      </c>
      <c r="D69" s="291">
        <f ca="1">VLOOKUP($B69,'Matriz Distâncias NTS'!$S$2:$AC$18,3,0)</f>
        <v>466.26419999999996</v>
      </c>
      <c r="E69" s="291">
        <f ca="1">VLOOKUP($B69,'Matriz Distâncias NTS'!$S$2:$AC$18,4,0)</f>
        <v>515.68619999999999</v>
      </c>
      <c r="F69" s="291">
        <f ca="1">VLOOKUP($B69,'Matriz Distâncias NTS'!$S$2:$AC$18,8,0)</f>
        <v>764.58420000000001</v>
      </c>
      <c r="G69" s="291">
        <f ca="1">VLOOKUP($B69,'Matriz Distâncias NTS'!$S$2:$AC$18,7,0)</f>
        <v>348.26220000000001</v>
      </c>
      <c r="H69" s="291">
        <f ca="1">VLOOKUP($B69,'Matriz Distâncias NTS'!$S$2:$AC$18,9,0)</f>
        <v>733.4122000000001</v>
      </c>
      <c r="I69" s="291">
        <f ca="1">VLOOKUP($B69,'Matriz Distâncias NTS'!$S$2:$AC$18,10,0)</f>
        <v>646.56219999999996</v>
      </c>
      <c r="J69" s="291">
        <f ca="1">VLOOKUP($B69,'Matriz Distâncias NTS'!$S$2:$AC$18,5,0)</f>
        <v>627.24920000000009</v>
      </c>
      <c r="K69" s="291">
        <f ca="1">VLOOKUP($B69,'Matriz Distâncias NTS'!$S$2:$AC$18,8,0)</f>
        <v>764.58420000000001</v>
      </c>
      <c r="L69" s="291">
        <f ca="1">VLOOKUP($B69,'Matriz Distâncias NTS'!$S$2:$AC$18,11,0)</f>
        <v>646.56219999999996</v>
      </c>
    </row>
    <row r="70" spans="1:12" x14ac:dyDescent="0.35">
      <c r="A70" s="2" t="s">
        <v>44</v>
      </c>
      <c r="B70" s="44" t="str">
        <f t="shared" ref="B70:B82" si="0">B44</f>
        <v>NTS MG 4</v>
      </c>
      <c r="C70" s="291">
        <f ca="1">VLOOKUP($B70,'Matriz Distâncias NTS'!$S$2:$AC$18,2,0)</f>
        <v>394.62900000000002</v>
      </c>
      <c r="D70" s="291">
        <f ca="1">VLOOKUP($B70,'Matriz Distâncias NTS'!$S$2:$AC$18,3,0)</f>
        <v>596.17999999999995</v>
      </c>
      <c r="E70" s="291">
        <f ca="1">VLOOKUP($B70,'Matriz Distâncias NTS'!$S$2:$AC$18,4,0)</f>
        <v>645.60199999999998</v>
      </c>
      <c r="F70" s="291">
        <f ca="1">VLOOKUP($B70,'Matriz Distâncias NTS'!$S$2:$AC$18,8,0)</f>
        <v>93.766000000000005</v>
      </c>
      <c r="G70" s="291">
        <f ca="1">VLOOKUP($B70,'Matriz Distâncias NTS'!$S$2:$AC$18,7,0)</f>
        <v>598.4799999999999</v>
      </c>
      <c r="H70" s="291">
        <f ca="1">VLOOKUP($B70,'Matriz Distâncias NTS'!$S$2:$AC$18,9,0)</f>
        <v>466.61200000000002</v>
      </c>
      <c r="I70" s="291">
        <f ca="1">VLOOKUP($B70,'Matriz Distâncias NTS'!$S$2:$AC$18,10,0)</f>
        <v>776.47799999999995</v>
      </c>
      <c r="J70" s="291">
        <f ca="1">VLOOKUP($B70,'Matriz Distâncias NTS'!$S$2:$AC$18,5,0)</f>
        <v>360.44900000000001</v>
      </c>
      <c r="K70" s="291">
        <f ca="1">VLOOKUP($B70,'Matriz Distâncias NTS'!$S$2:$AC$18,8,0)</f>
        <v>93.766000000000005</v>
      </c>
      <c r="L70" s="291">
        <f ca="1">VLOOKUP($B70,'Matriz Distâncias NTS'!$S$2:$AC$18,11,0)</f>
        <v>776.47799999999995</v>
      </c>
    </row>
    <row r="71" spans="1:12" x14ac:dyDescent="0.35">
      <c r="A71" s="2" t="s">
        <v>45</v>
      </c>
      <c r="B71" s="44" t="str">
        <f t="shared" si="0"/>
        <v>NTS RJ 1</v>
      </c>
      <c r="C71" s="291">
        <f ca="1">VLOOKUP($B71,'Matriz Distâncias NTS'!$S$2:$AC$18,2,0)</f>
        <v>460.82099999999997</v>
      </c>
      <c r="D71" s="291">
        <f ca="1">VLOOKUP($B71,'Matriz Distâncias NTS'!$S$2:$AC$18,3,0)</f>
        <v>64.091333333333338</v>
      </c>
      <c r="E71" s="291">
        <f ca="1">VLOOKUP($B71,'Matriz Distâncias NTS'!$S$2:$AC$18,4,0)</f>
        <v>75.091333333333338</v>
      </c>
      <c r="F71" s="291">
        <f ca="1">VLOOKUP($B71,'Matriz Distâncias NTS'!$S$2:$AC$18,8,0)</f>
        <v>563.976</v>
      </c>
      <c r="G71" s="291">
        <f ca="1">VLOOKUP($B71,'Matriz Distâncias NTS'!$S$2:$AC$18,7,0)</f>
        <v>64.091333333333338</v>
      </c>
      <c r="H71" s="291">
        <f ca="1">VLOOKUP($B71,'Matriz Distâncias NTS'!$S$2:$AC$18,9,0)</f>
        <v>530.12266666666665</v>
      </c>
      <c r="I71" s="291">
        <f ca="1">VLOOKUP($B71,'Matriz Distâncias NTS'!$S$2:$AC$18,10,0)</f>
        <v>120.26933333333334</v>
      </c>
      <c r="J71" s="291">
        <f ca="1">VLOOKUP($B71,'Matriz Distâncias NTS'!$S$2:$AC$18,5,0)</f>
        <v>423.95966666666664</v>
      </c>
      <c r="K71" s="291">
        <f ca="1">VLOOKUP($B71,'Matriz Distâncias NTS'!$S$2:$AC$18,8,0)</f>
        <v>563.976</v>
      </c>
      <c r="L71" s="291">
        <f ca="1">VLOOKUP($B71,'Matriz Distâncias NTS'!$S$2:$AC$18,11,0)</f>
        <v>120.26933333333334</v>
      </c>
    </row>
    <row r="72" spans="1:12" x14ac:dyDescent="0.35">
      <c r="A72" s="2" t="s">
        <v>46</v>
      </c>
      <c r="B72" s="44" t="str">
        <f t="shared" si="0"/>
        <v>NTS RJ 2</v>
      </c>
      <c r="C72" s="291">
        <f ca="1">VLOOKUP($B72,'Matriz Distâncias NTS'!$S$2:$AC$18,2,0)</f>
        <v>352.80099999999999</v>
      </c>
      <c r="D72" s="291">
        <f ca="1">VLOOKUP($B72,'Matriz Distâncias NTS'!$S$2:$AC$18,3,0)</f>
        <v>46.097999999999992</v>
      </c>
      <c r="E72" s="291">
        <f ca="1">VLOOKUP($B72,'Matriz Distâncias NTS'!$S$2:$AC$18,4,0)</f>
        <v>95.519999999999982</v>
      </c>
      <c r="F72" s="291">
        <f ca="1">VLOOKUP($B72,'Matriz Distâncias NTS'!$S$2:$AC$18,8,0)</f>
        <v>456.31599999999997</v>
      </c>
      <c r="G72" s="291">
        <f ca="1">VLOOKUP($B72,'Matriz Distâncias NTS'!$S$2:$AC$18,7,0)</f>
        <v>45.943333333333328</v>
      </c>
      <c r="H72" s="291">
        <f ca="1">VLOOKUP($B72,'Matriz Distâncias NTS'!$S$2:$AC$18,9,0)</f>
        <v>424.06400000000002</v>
      </c>
      <c r="I72" s="291">
        <f ca="1">VLOOKUP($B72,'Matriz Distâncias NTS'!$S$2:$AC$18,10,0)</f>
        <v>226.39599999999999</v>
      </c>
      <c r="J72" s="291">
        <f ca="1">VLOOKUP($B72,'Matriz Distâncias NTS'!$S$2:$AC$18,5,0)</f>
        <v>318.62100000000004</v>
      </c>
      <c r="K72" s="291">
        <f ca="1">VLOOKUP($B72,'Matriz Distâncias NTS'!$S$2:$AC$18,8,0)</f>
        <v>456.31599999999997</v>
      </c>
      <c r="L72" s="291">
        <f ca="1">VLOOKUP($B72,'Matriz Distâncias NTS'!$S$2:$AC$18,11,0)</f>
        <v>226.39599999999999</v>
      </c>
    </row>
    <row r="73" spans="1:12" x14ac:dyDescent="0.35">
      <c r="A73" s="2" t="s">
        <v>47</v>
      </c>
      <c r="B73" s="44" t="str">
        <f t="shared" si="0"/>
        <v>NTS RJ 3</v>
      </c>
      <c r="C73" s="291">
        <f ca="1">VLOOKUP($B73,'Matriz Distâncias NTS'!$S$2:$AC$18,2,0)</f>
        <v>307.62360000000001</v>
      </c>
      <c r="D73" s="291">
        <f ca="1">VLOOKUP($B73,'Matriz Distâncias NTS'!$S$2:$AC$18,3,0)</f>
        <v>92.737400000000008</v>
      </c>
      <c r="E73" s="291">
        <f ca="1">VLOOKUP($B73,'Matriz Distâncias NTS'!$S$2:$AC$18,4,0)</f>
        <v>142.15940000000001</v>
      </c>
      <c r="F73" s="291">
        <f ca="1">VLOOKUP($B73,'Matriz Distâncias NTS'!$S$2:$AC$18,8,0)</f>
        <v>448.94899999999996</v>
      </c>
      <c r="G73" s="291">
        <f ca="1">VLOOKUP($B73,'Matriz Distâncias NTS'!$S$2:$AC$18,7,0)</f>
        <v>89.951799999999992</v>
      </c>
      <c r="H73" s="291">
        <f ca="1">VLOOKUP($B73,'Matriz Distâncias NTS'!$S$2:$AC$18,9,0)</f>
        <v>379.60659999999996</v>
      </c>
      <c r="I73" s="291">
        <f ca="1">VLOOKUP($B73,'Matriz Distâncias NTS'!$S$2:$AC$18,10,0)</f>
        <v>273.03540000000004</v>
      </c>
      <c r="J73" s="291">
        <f ca="1">VLOOKUP($B73,'Matriz Distâncias NTS'!$S$2:$AC$18,5,0)</f>
        <v>273.44359999999995</v>
      </c>
      <c r="K73" s="291">
        <f ca="1">VLOOKUP($B73,'Matriz Distâncias NTS'!$S$2:$AC$18,8,0)</f>
        <v>448.94899999999996</v>
      </c>
      <c r="L73" s="291">
        <f ca="1">VLOOKUP($B73,'Matriz Distâncias NTS'!$S$2:$AC$18,11,0)</f>
        <v>273.03540000000004</v>
      </c>
    </row>
    <row r="74" spans="1:12" x14ac:dyDescent="0.35">
      <c r="A74" s="2" t="s">
        <v>48</v>
      </c>
      <c r="B74" s="44" t="str">
        <f t="shared" si="0"/>
        <v>NTS RJ 4</v>
      </c>
      <c r="C74" s="291">
        <f ca="1">VLOOKUP($B74,'Matriz Distâncias NTS'!$S$2:$AC$18,2,0)</f>
        <v>244.471</v>
      </c>
      <c r="D74" s="291">
        <f ca="1">VLOOKUP($B74,'Matriz Distâncias NTS'!$S$2:$AC$18,3,0)</f>
        <v>154.518</v>
      </c>
      <c r="E74" s="291">
        <f ca="1">VLOOKUP($B74,'Matriz Distâncias NTS'!$S$2:$AC$18,4,0)</f>
        <v>203.93999999999997</v>
      </c>
      <c r="F74" s="291">
        <f ca="1">VLOOKUP($B74,'Matriz Distâncias NTS'!$S$2:$AC$18,8,0)</f>
        <v>347.89600000000002</v>
      </c>
      <c r="G74" s="291">
        <f ca="1">VLOOKUP($B74,'Matriz Distâncias NTS'!$S$2:$AC$18,7,0)</f>
        <v>156.81800000000001</v>
      </c>
      <c r="H74" s="291">
        <f ca="1">VLOOKUP($B74,'Matriz Distâncias NTS'!$S$2:$AC$18,9,0)</f>
        <v>316.72399999999999</v>
      </c>
      <c r="I74" s="291">
        <f ca="1">VLOOKUP($B74,'Matriz Distâncias NTS'!$S$2:$AC$18,10,0)</f>
        <v>334.81599999999997</v>
      </c>
      <c r="J74" s="291">
        <f ca="1">VLOOKUP($B74,'Matriz Distâncias NTS'!$S$2:$AC$18,5,0)</f>
        <v>210.56099999999998</v>
      </c>
      <c r="K74" s="291">
        <f ca="1">VLOOKUP($B74,'Matriz Distâncias NTS'!$S$2:$AC$18,8,0)</f>
        <v>347.89600000000002</v>
      </c>
      <c r="L74" s="291">
        <f ca="1">VLOOKUP($B74,'Matriz Distâncias NTS'!$S$2:$AC$18,11,0)</f>
        <v>334.81599999999997</v>
      </c>
    </row>
    <row r="75" spans="1:12" x14ac:dyDescent="0.35">
      <c r="A75" s="2" t="s">
        <v>49</v>
      </c>
      <c r="B75" s="44" t="str">
        <f t="shared" si="0"/>
        <v>NTS RJ 5</v>
      </c>
      <c r="C75" s="291">
        <f ca="1">VLOOKUP($B75,'Matriz Distâncias NTS'!$S$2:$AC$18,2,0)</f>
        <v>395.91849999999999</v>
      </c>
      <c r="D75" s="291">
        <f ca="1">VLOOKUP($B75,'Matriz Distâncias NTS'!$S$2:$AC$18,3,0)</f>
        <v>36.580500000000001</v>
      </c>
      <c r="E75" s="291">
        <f ca="1">VLOOKUP($B75,'Matriz Distâncias NTS'!$S$2:$AC$18,4,0)</f>
        <v>87.152500000000003</v>
      </c>
      <c r="F75" s="291">
        <f ca="1">VLOOKUP($B75,'Matriz Distâncias NTS'!$S$2:$AC$18,8,0)</f>
        <v>499.07349999999997</v>
      </c>
      <c r="G75" s="291">
        <f ca="1">VLOOKUP($B75,'Matriz Distâncias NTS'!$S$2:$AC$18,7,0)</f>
        <v>34.080500000000001</v>
      </c>
      <c r="H75" s="291">
        <f ca="1">VLOOKUP($B75,'Matriz Distâncias NTS'!$S$2:$AC$18,9,0)</f>
        <v>463.87950000000001</v>
      </c>
      <c r="I75" s="291">
        <f ca="1">VLOOKUP($B75,'Matriz Distâncias NTS'!$S$2:$AC$18,10,0)</f>
        <v>218.02850000000001</v>
      </c>
      <c r="J75" s="291">
        <f ca="1">VLOOKUP($B75,'Matriz Distâncias NTS'!$S$2:$AC$18,5,0)</f>
        <v>357.71899999999999</v>
      </c>
      <c r="K75" s="291">
        <f ca="1">VLOOKUP($B75,'Matriz Distâncias NTS'!$S$2:$AC$18,8,0)</f>
        <v>499.07349999999997</v>
      </c>
      <c r="L75" s="291">
        <f ca="1">VLOOKUP($B75,'Matriz Distâncias NTS'!$S$2:$AC$18,11,0)</f>
        <v>218.02850000000001</v>
      </c>
    </row>
    <row r="76" spans="1:12" x14ac:dyDescent="0.35">
      <c r="A76" s="2" t="s">
        <v>50</v>
      </c>
      <c r="B76" s="44" t="str">
        <f t="shared" si="0"/>
        <v>NTS SP 1</v>
      </c>
      <c r="C76" s="291">
        <f ca="1">VLOOKUP($B76,'Matriz Distâncias NTS'!$S$2:$AC$18,2,0)</f>
        <v>162.84283333333335</v>
      </c>
      <c r="D76" s="291">
        <f ca="1">VLOOKUP($B76,'Matriz Distâncias NTS'!$S$2:$AC$18,3,0)</f>
        <v>343.1248333333333</v>
      </c>
      <c r="E76" s="291">
        <f ca="1">VLOOKUP($B76,'Matriz Distâncias NTS'!$S$2:$AC$18,4,0)</f>
        <v>329.05316666666664</v>
      </c>
      <c r="F76" s="291">
        <f ca="1">VLOOKUP($B76,'Matriz Distâncias NTS'!$S$2:$AC$18,8,0)</f>
        <v>222.24283333333335</v>
      </c>
      <c r="G76" s="291">
        <f ca="1">VLOOKUP($B76,'Matriz Distâncias NTS'!$S$2:$AC$18,7,0)</f>
        <v>278.44916666666666</v>
      </c>
      <c r="H76" s="291">
        <f ca="1">VLOOKUP($B76,'Matriz Distâncias NTS'!$S$2:$AC$18,9,0)</f>
        <v>234.82583333333335</v>
      </c>
      <c r="I76" s="291">
        <f ca="1">VLOOKUP($B76,'Matriz Distâncias NTS'!$S$2:$AC$18,10,0)</f>
        <v>459.92916666666662</v>
      </c>
      <c r="J76" s="291">
        <f ca="1">VLOOKUP($B76,'Matriz Distâncias NTS'!$S$2:$AC$18,5,0)</f>
        <v>128.66283333333334</v>
      </c>
      <c r="K76" s="291">
        <f ca="1">VLOOKUP($B76,'Matriz Distâncias NTS'!$S$2:$AC$18,8,0)</f>
        <v>222.24283333333335</v>
      </c>
      <c r="L76" s="291">
        <f ca="1">VLOOKUP($B76,'Matriz Distâncias NTS'!$S$2:$AC$18,11,0)</f>
        <v>459.92916666666662</v>
      </c>
    </row>
    <row r="77" spans="1:12" x14ac:dyDescent="0.35">
      <c r="A77" s="2" t="s">
        <v>51</v>
      </c>
      <c r="B77" s="44" t="str">
        <f t="shared" si="0"/>
        <v>NTS SP 2</v>
      </c>
      <c r="C77" s="291">
        <f ca="1">VLOOKUP($B77,'Matriz Distâncias NTS'!$S$2:$AC$18,2,0)</f>
        <v>77.567999999999998</v>
      </c>
      <c r="D77" s="291">
        <f ca="1">VLOOKUP($B77,'Matriz Distâncias NTS'!$S$2:$AC$18,3,0)</f>
        <v>319.46766666666667</v>
      </c>
      <c r="E77" s="291">
        <f ca="1">VLOOKUP($B77,'Matriz Distâncias NTS'!$S$2:$AC$18,4,0)</f>
        <v>367.80966666666671</v>
      </c>
      <c r="F77" s="291">
        <f ca="1">VLOOKUP($B77,'Matriz Distâncias NTS'!$S$2:$AC$18,8,0)</f>
        <v>221.07166666666669</v>
      </c>
      <c r="G77" s="291">
        <f ca="1">VLOOKUP($B77,'Matriz Distâncias NTS'!$S$2:$AC$18,7,0)</f>
        <v>321.76766666666668</v>
      </c>
      <c r="H77" s="291">
        <f ca="1">VLOOKUP($B77,'Matriz Distâncias NTS'!$S$2:$AC$18,9,0)</f>
        <v>151.77433333333332</v>
      </c>
      <c r="I77" s="291">
        <f ca="1">VLOOKUP($B77,'Matriz Distâncias NTS'!$S$2:$AC$18,10,0)</f>
        <v>498.68566666666669</v>
      </c>
      <c r="J77" s="291">
        <f ca="1">VLOOKUP($B77,'Matriz Distâncias NTS'!$S$2:$AC$18,5,0)</f>
        <v>45.611333333333334</v>
      </c>
      <c r="K77" s="291">
        <f ca="1">VLOOKUP($B77,'Matriz Distâncias NTS'!$S$2:$AC$18,8,0)</f>
        <v>221.07166666666669</v>
      </c>
      <c r="L77" s="291">
        <f ca="1">VLOOKUP($B77,'Matriz Distâncias NTS'!$S$2:$AC$18,11,0)</f>
        <v>498.68566666666669</v>
      </c>
    </row>
    <row r="78" spans="1:12" x14ac:dyDescent="0.35">
      <c r="A78" s="2" t="s">
        <v>52</v>
      </c>
      <c r="B78" s="44" t="str">
        <f t="shared" si="0"/>
        <v>NTS SP 3</v>
      </c>
      <c r="C78" s="291">
        <f ca="1">VLOOKUP($B78,'Matriz Distâncias NTS'!$S$2:$AC$18,2,0)</f>
        <v>176.60120000000001</v>
      </c>
      <c r="D78" s="291">
        <f ca="1">VLOOKUP($B78,'Matriz Distâncias NTS'!$S$2:$AC$18,3,0)</f>
        <v>435.43320000000006</v>
      </c>
      <c r="E78" s="291">
        <f ca="1">VLOOKUP($B78,'Matriz Distâncias NTS'!$S$2:$AC$18,4,0)</f>
        <v>483.80799999999999</v>
      </c>
      <c r="F78" s="291">
        <f ca="1">VLOOKUP($B78,'Matriz Distâncias NTS'!$S$2:$AC$18,8,0)</f>
        <v>337.03720000000004</v>
      </c>
      <c r="G78" s="291">
        <f ca="1">VLOOKUP($B78,'Matriz Distâncias NTS'!$S$2:$AC$18,7,0)</f>
        <v>437.73320000000001</v>
      </c>
      <c r="H78" s="291">
        <f ca="1">VLOOKUP($B78,'Matriz Distâncias NTS'!$S$2:$AC$18,9,0)</f>
        <v>46.044000000000004</v>
      </c>
      <c r="I78" s="291">
        <f ca="1">VLOOKUP($B78,'Matriz Distâncias NTS'!$S$2:$AC$18,10,0)</f>
        <v>614.68399999999997</v>
      </c>
      <c r="J78" s="291">
        <f ca="1">VLOOKUP($B78,'Matriz Distâncias NTS'!$S$2:$AC$18,5,0)</f>
        <v>70.354199999999992</v>
      </c>
      <c r="K78" s="291">
        <f ca="1">VLOOKUP($B78,'Matriz Distâncias NTS'!$S$2:$AC$18,8,0)</f>
        <v>337.03720000000004</v>
      </c>
      <c r="L78" s="291">
        <f ca="1">VLOOKUP($B78,'Matriz Distâncias NTS'!$S$2:$AC$18,11,0)</f>
        <v>614.68399999999997</v>
      </c>
    </row>
    <row r="79" spans="1:12" x14ac:dyDescent="0.35">
      <c r="A79" s="2" t="s">
        <v>53</v>
      </c>
      <c r="B79" s="44" t="str">
        <f t="shared" si="0"/>
        <v>NTS SP 4</v>
      </c>
      <c r="C79" s="291">
        <f ca="1">VLOOKUP($B79,'Matriz Distâncias NTS'!$S$2:$AC$18,2,0)</f>
        <v>211.58399999999997</v>
      </c>
      <c r="D79" s="291">
        <f ca="1">VLOOKUP($B79,'Matriz Distâncias NTS'!$S$2:$AC$18,3,0)</f>
        <v>470.416</v>
      </c>
      <c r="E79" s="291">
        <f ca="1">VLOOKUP($B79,'Matriz Distâncias NTS'!$S$2:$AC$18,4,0)</f>
        <v>519.83799999999997</v>
      </c>
      <c r="F79" s="291">
        <f ca="1">VLOOKUP($B79,'Matriz Distâncias NTS'!$S$2:$AC$18,8,0)</f>
        <v>372.02</v>
      </c>
      <c r="G79" s="291">
        <f ca="1">VLOOKUP($B79,'Matriz Distâncias NTS'!$S$2:$AC$18,7,0)</f>
        <v>472.71600000000007</v>
      </c>
      <c r="H79" s="291">
        <f ca="1">VLOOKUP($B79,'Matriz Distâncias NTS'!$S$2:$AC$18,9,0)</f>
        <v>0.82600000000000007</v>
      </c>
      <c r="I79" s="291">
        <f ca="1">VLOOKUP($B79,'Matriz Distâncias NTS'!$S$2:$AC$18,10,0)</f>
        <v>650.71399999999994</v>
      </c>
      <c r="J79" s="291">
        <f ca="1">VLOOKUP($B79,'Matriz Distâncias NTS'!$S$2:$AC$18,5,0)</f>
        <v>105.337</v>
      </c>
      <c r="K79" s="291">
        <f ca="1">VLOOKUP($B79,'Matriz Distâncias NTS'!$S$2:$AC$18,8,0)</f>
        <v>372.02</v>
      </c>
      <c r="L79" s="291">
        <f ca="1">VLOOKUP($B79,'Matriz Distâncias NTS'!$S$2:$AC$18,11,0)</f>
        <v>650.71399999999994</v>
      </c>
    </row>
    <row r="80" spans="1:12" x14ac:dyDescent="0.35">
      <c r="A80" s="2" t="s">
        <v>54</v>
      </c>
      <c r="B80" s="44" t="str">
        <f t="shared" si="0"/>
        <v>PE-GUARAREMA (INTERCONEXÃO)</v>
      </c>
      <c r="C80" s="291">
        <f>VLOOKUP($B80,'Matriz Distâncias NTS'!$S$2:$AC$18,2,0)</f>
        <v>106.247</v>
      </c>
      <c r="D80" s="291">
        <f>VLOOKUP($B80,'Matriz Distâncias NTS'!$S$2:$AC$18,3,0)</f>
        <v>365.07900000000001</v>
      </c>
      <c r="E80" s="291">
        <f>VLOOKUP($B80,'Matriz Distâncias NTS'!$S$2:$AC$18,4,0)</f>
        <v>414.50099999999998</v>
      </c>
      <c r="F80" s="291">
        <f>VLOOKUP($B80,'Matriz Distâncias NTS'!$S$2:$AC$18,8,0)</f>
        <v>266.68299999999999</v>
      </c>
      <c r="G80" s="291">
        <f>VLOOKUP($B80,'Matriz Distâncias NTS'!$S$2:$AC$18,7,0)</f>
        <v>367.37900000000002</v>
      </c>
      <c r="H80" s="291">
        <f>VLOOKUP($B80,'Matriz Distâncias NTS'!$S$2:$AC$18,9,0)</f>
        <v>106.163</v>
      </c>
      <c r="I80" s="291">
        <f>VLOOKUP($B80,'Matriz Distâncias NTS'!$S$2:$AC$18,10,0)</f>
        <v>545.37699999999995</v>
      </c>
      <c r="J80" s="291">
        <f>VLOOKUP($B80,'Matriz Distâncias NTS'!$S$2:$AC$18,5,0)</f>
        <v>0</v>
      </c>
      <c r="K80" s="291">
        <f>VLOOKUP($B80,'Matriz Distâncias NTS'!$S$2:$AC$18,8,0)</f>
        <v>266.68299999999999</v>
      </c>
      <c r="L80" s="291">
        <f>VLOOKUP($B80,'Matriz Distâncias NTS'!$S$2:$AC$18,11,0)</f>
        <v>545.37699999999995</v>
      </c>
    </row>
    <row r="81" spans="1:12" x14ac:dyDescent="0.35">
      <c r="A81" s="2" t="s">
        <v>55</v>
      </c>
      <c r="B81" s="44" t="str">
        <f t="shared" si="0"/>
        <v>PE-REPLAN (INTERCONEXÃO)</v>
      </c>
      <c r="C81" s="291">
        <f>VLOOKUP($B81,'Matriz Distâncias NTS'!$S$2:$AC$18,2,0)</f>
        <v>300.863</v>
      </c>
      <c r="D81" s="291">
        <f>VLOOKUP($B81,'Matriz Distâncias NTS'!$S$2:$AC$18,3,0)</f>
        <v>502.41399999999999</v>
      </c>
      <c r="E81" s="291">
        <f>VLOOKUP($B81,'Matriz Distâncias NTS'!$S$2:$AC$18,4,0)</f>
        <v>551.83600000000001</v>
      </c>
      <c r="F81" s="291">
        <f>VLOOKUP($B81,'Matriz Distâncias NTS'!$S$2:$AC$18,8,0)</f>
        <v>0</v>
      </c>
      <c r="G81" s="291">
        <f>VLOOKUP($B81,'Matriz Distâncias NTS'!$S$2:$AC$18,7,0)</f>
        <v>504.714</v>
      </c>
      <c r="H81" s="291">
        <f>VLOOKUP($B81,'Matriz Distâncias NTS'!$S$2:$AC$18,9,0)</f>
        <v>372.846</v>
      </c>
      <c r="I81" s="291">
        <f>VLOOKUP($B81,'Matriz Distâncias NTS'!$S$2:$AC$18,10,0)</f>
        <v>682.71199999999999</v>
      </c>
      <c r="J81" s="291">
        <f>VLOOKUP($B81,'Matriz Distâncias NTS'!$S$2:$AC$18,5,0)</f>
        <v>266.68299999999999</v>
      </c>
      <c r="K81" s="291">
        <f>VLOOKUP($B81,'Matriz Distâncias NTS'!$S$2:$AC$18,8,0)</f>
        <v>0</v>
      </c>
      <c r="L81" s="291">
        <f>VLOOKUP($B81,'Matriz Distâncias NTS'!$S$2:$AC$18,11,0)</f>
        <v>682.71199999999999</v>
      </c>
    </row>
    <row r="82" spans="1:12" x14ac:dyDescent="0.35">
      <c r="A82" s="2" t="s">
        <v>56</v>
      </c>
      <c r="B82" s="44" t="str">
        <f t="shared" si="0"/>
        <v>PE-TECAB (INTERCONEXÃO)</v>
      </c>
      <c r="C82" s="291">
        <f>VLOOKUP($B82,'Matriz Distâncias NTS'!$S$2:$AC$18,2,0)</f>
        <v>579.55700000000002</v>
      </c>
      <c r="D82" s="291">
        <f>VLOOKUP($B82,'Matriz Distâncias NTS'!$S$2:$AC$18,3,0)</f>
        <v>180.298</v>
      </c>
      <c r="E82" s="291">
        <f>VLOOKUP($B82,'Matriz Distâncias NTS'!$S$2:$AC$18,4,0)</f>
        <v>152.876</v>
      </c>
      <c r="F82" s="291">
        <f>VLOOKUP($B82,'Matriz Distâncias NTS'!$S$2:$AC$18,8,0)</f>
        <v>682.71199999999999</v>
      </c>
      <c r="G82" s="291">
        <f>VLOOKUP($B82,'Matriz Distâncias NTS'!$S$2:$AC$18,7,0)</f>
        <v>180.298</v>
      </c>
      <c r="H82" s="291">
        <f>VLOOKUP($B82,'Matriz Distâncias NTS'!$S$2:$AC$18,9,0)</f>
        <v>651.54</v>
      </c>
      <c r="I82" s="291">
        <f>VLOOKUP($B82,'Matriz Distâncias NTS'!$S$2:$AC$18,10,0)</f>
        <v>0</v>
      </c>
      <c r="J82" s="291">
        <f>VLOOKUP($B82,'Matriz Distâncias NTS'!$S$2:$AC$18,5,0)</f>
        <v>545.37699999999995</v>
      </c>
      <c r="K82" s="291">
        <f>VLOOKUP($B82,'Matriz Distâncias NTS'!$S$2:$AC$18,8,0)</f>
        <v>682.71199999999999</v>
      </c>
      <c r="L82" s="291">
        <f>VLOOKUP($B82,'Matriz Distâncias NTS'!$S$2:$AC$18,11,0)</f>
        <v>0</v>
      </c>
    </row>
    <row r="85" spans="1:12" s="95" customFormat="1" x14ac:dyDescent="0.35">
      <c r="A85" s="95" t="s">
        <v>144</v>
      </c>
      <c r="B85" s="95" t="s">
        <v>492</v>
      </c>
    </row>
    <row r="88" spans="1:12" x14ac:dyDescent="0.35">
      <c r="A88" t="s">
        <v>125</v>
      </c>
      <c r="B88" t="s">
        <v>126</v>
      </c>
    </row>
    <row r="89" spans="1:12" ht="16.5" x14ac:dyDescent="0.45">
      <c r="A89" t="s">
        <v>290</v>
      </c>
      <c r="B89" t="s">
        <v>145</v>
      </c>
    </row>
    <row r="90" spans="1:12" ht="16.5" x14ac:dyDescent="0.45">
      <c r="A90" t="s">
        <v>291</v>
      </c>
      <c r="B90" t="s">
        <v>146</v>
      </c>
    </row>
    <row r="92" spans="1:12" x14ac:dyDescent="0.35">
      <c r="A92" t="s">
        <v>147</v>
      </c>
    </row>
    <row r="93" spans="1:12" x14ac:dyDescent="0.35">
      <c r="A93" s="106"/>
      <c r="B93" s="106"/>
    </row>
    <row r="94" spans="1:12" x14ac:dyDescent="0.35">
      <c r="A94" s="106"/>
      <c r="B94" s="106"/>
    </row>
    <row r="95" spans="1:12" x14ac:dyDescent="0.35">
      <c r="A95" s="106"/>
      <c r="B95" s="106"/>
    </row>
    <row r="98" spans="1:27" ht="16.5" x14ac:dyDescent="0.45">
      <c r="A98" s="107" t="s">
        <v>292</v>
      </c>
      <c r="B98" s="108" t="s">
        <v>148</v>
      </c>
      <c r="D98" s="107" t="s">
        <v>293</v>
      </c>
      <c r="E98" s="108" t="s">
        <v>148</v>
      </c>
      <c r="G98" s="109" t="s">
        <v>292</v>
      </c>
      <c r="H98" s="92" t="s">
        <v>294</v>
      </c>
      <c r="I98" s="92" t="s">
        <v>295</v>
      </c>
      <c r="J98" s="92" t="s">
        <v>296</v>
      </c>
      <c r="K98" s="92" t="s">
        <v>297</v>
      </c>
      <c r="L98" s="92" t="s">
        <v>298</v>
      </c>
      <c r="M98" s="92" t="s">
        <v>299</v>
      </c>
      <c r="N98" s="92" t="s">
        <v>300</v>
      </c>
      <c r="O98" s="92" t="s">
        <v>301</v>
      </c>
      <c r="P98" s="92" t="s">
        <v>302</v>
      </c>
      <c r="Q98" s="92" t="s">
        <v>303</v>
      </c>
      <c r="R98" s="92"/>
      <c r="S98" s="92"/>
      <c r="T98" s="92"/>
      <c r="U98" s="92"/>
      <c r="V98" s="92"/>
      <c r="W98" s="92"/>
      <c r="X98" s="92"/>
      <c r="Y98" s="92"/>
      <c r="Z98" s="92"/>
      <c r="AA98" s="92"/>
    </row>
    <row r="99" spans="1:27" ht="16.5" x14ac:dyDescent="0.45">
      <c r="A99" t="s">
        <v>294</v>
      </c>
      <c r="B99" s="112">
        <f>H24/$H$34</f>
        <v>0.20483703190013869</v>
      </c>
      <c r="C99" s="9"/>
      <c r="D99" t="s">
        <v>304</v>
      </c>
      <c r="E99" s="110">
        <f>H41/$H$57</f>
        <v>1.039543765306297E-2</v>
      </c>
      <c r="G99" s="109" t="s">
        <v>148</v>
      </c>
      <c r="H99" s="111">
        <f>H24/$H$34</f>
        <v>0.20483703190013869</v>
      </c>
      <c r="I99" s="111">
        <f>H25/$H$34</f>
        <v>0.28895053166897827</v>
      </c>
      <c r="J99" s="111">
        <f>$H26/$H$34</f>
        <v>0.19429033749422098</v>
      </c>
      <c r="K99" s="111">
        <f>$H27/$H$34</f>
        <v>4.8399214054553859E-3</v>
      </c>
      <c r="L99" s="111">
        <f>$H28/$H$34</f>
        <v>0</v>
      </c>
      <c r="M99" s="111">
        <f>$H29/$H$34</f>
        <v>0</v>
      </c>
      <c r="N99" s="111">
        <f>$H30/$H$34</f>
        <v>0.2146180073971336</v>
      </c>
      <c r="O99" s="111">
        <f>$H31/$H$34</f>
        <v>8.6685159500693484E-2</v>
      </c>
      <c r="P99" s="111">
        <f>$H32/$H$34</f>
        <v>2.889505316689783E-3</v>
      </c>
      <c r="Q99" s="111">
        <f>$H33/$H$34</f>
        <v>2.889505316689783E-3</v>
      </c>
      <c r="R99" s="111">
        <f>SUM(H99:Q99)</f>
        <v>1</v>
      </c>
      <c r="S99" s="110"/>
      <c r="T99" s="110"/>
      <c r="U99" s="110"/>
      <c r="V99" s="110"/>
      <c r="W99" s="110"/>
    </row>
    <row r="100" spans="1:27" ht="16.5" x14ac:dyDescent="0.45">
      <c r="A100" t="s">
        <v>295</v>
      </c>
      <c r="B100" s="112">
        <f t="shared" ref="B100:B108" si="1">H25/$H$34</f>
        <v>0.28895053166897827</v>
      </c>
      <c r="C100" s="4"/>
      <c r="D100" t="s">
        <v>305</v>
      </c>
      <c r="E100" s="110">
        <f t="shared" ref="E100:E114" si="2">H42/$H$57</f>
        <v>2.8737305406655138E-2</v>
      </c>
    </row>
    <row r="101" spans="1:27" ht="16.5" x14ac:dyDescent="0.45">
      <c r="A101" t="s">
        <v>296</v>
      </c>
      <c r="B101" s="112">
        <f t="shared" si="1"/>
        <v>0.19429033749422098</v>
      </c>
      <c r="C101" s="4"/>
      <c r="D101" t="s">
        <v>306</v>
      </c>
      <c r="E101" s="110">
        <f t="shared" si="2"/>
        <v>4.6873662036957753E-2</v>
      </c>
      <c r="G101" s="110"/>
    </row>
    <row r="102" spans="1:27" ht="16.5" x14ac:dyDescent="0.45">
      <c r="A102" t="s">
        <v>297</v>
      </c>
      <c r="B102" s="112">
        <f t="shared" si="1"/>
        <v>4.8399214054553859E-3</v>
      </c>
      <c r="C102" s="4"/>
      <c r="D102" t="s">
        <v>307</v>
      </c>
      <c r="E102" s="110">
        <f t="shared" si="2"/>
        <v>5.7371855251665497E-3</v>
      </c>
      <c r="G102" s="110"/>
      <c r="H102" s="112"/>
      <c r="I102" s="112"/>
    </row>
    <row r="103" spans="1:27" ht="16.5" x14ac:dyDescent="0.45">
      <c r="A103" t="s">
        <v>298</v>
      </c>
      <c r="B103" s="112">
        <f t="shared" si="1"/>
        <v>0</v>
      </c>
      <c r="C103" s="4"/>
      <c r="D103" t="s">
        <v>308</v>
      </c>
      <c r="E103" s="110">
        <f t="shared" si="2"/>
        <v>0.30472161805757736</v>
      </c>
      <c r="G103" s="110"/>
      <c r="H103" s="112"/>
      <c r="I103" s="112"/>
    </row>
    <row r="104" spans="1:27" ht="16.5" x14ac:dyDescent="0.45">
      <c r="A104" t="s">
        <v>299</v>
      </c>
      <c r="B104" s="112">
        <f t="shared" si="1"/>
        <v>0</v>
      </c>
      <c r="C104" s="4"/>
      <c r="D104" t="s">
        <v>309</v>
      </c>
      <c r="E104" s="110">
        <f t="shared" si="2"/>
        <v>0.14396054186432841</v>
      </c>
      <c r="G104" s="110"/>
      <c r="H104" s="112"/>
      <c r="I104" s="112"/>
    </row>
    <row r="105" spans="1:27" ht="16.5" x14ac:dyDescent="0.45">
      <c r="A105" t="s">
        <v>300</v>
      </c>
      <c r="B105" s="112">
        <f t="shared" si="1"/>
        <v>0.2146180073971336</v>
      </c>
      <c r="C105" s="4"/>
      <c r="D105" t="s">
        <v>310</v>
      </c>
      <c r="E105" s="110">
        <f t="shared" si="2"/>
        <v>2.9353838776523776E-2</v>
      </c>
      <c r="G105" s="110"/>
      <c r="H105" s="112"/>
      <c r="I105" s="112"/>
    </row>
    <row r="106" spans="1:27" ht="16.5" x14ac:dyDescent="0.45">
      <c r="A106" t="s">
        <v>301</v>
      </c>
      <c r="B106" s="112">
        <f t="shared" si="1"/>
        <v>8.6685159500693484E-2</v>
      </c>
      <c r="C106" s="4"/>
      <c r="D106" t="s">
        <v>311</v>
      </c>
      <c r="E106" s="110">
        <f t="shared" si="2"/>
        <v>5.5316744018770016E-3</v>
      </c>
      <c r="G106" s="110"/>
      <c r="H106" s="112"/>
      <c r="I106" s="112"/>
    </row>
    <row r="107" spans="1:27" ht="16.5" x14ac:dyDescent="0.45">
      <c r="A107" t="s">
        <v>302</v>
      </c>
      <c r="B107" s="112">
        <f t="shared" si="1"/>
        <v>2.889505316689783E-3</v>
      </c>
      <c r="C107" s="4"/>
      <c r="D107" t="s">
        <v>312</v>
      </c>
      <c r="E107" s="110">
        <f t="shared" si="2"/>
        <v>3.6443972530013177E-2</v>
      </c>
      <c r="G107" s="110"/>
      <c r="H107" s="112"/>
      <c r="I107" s="112"/>
    </row>
    <row r="108" spans="1:27" ht="16.5" x14ac:dyDescent="0.45">
      <c r="A108" t="s">
        <v>303</v>
      </c>
      <c r="B108" s="112">
        <f t="shared" si="1"/>
        <v>2.889505316689783E-3</v>
      </c>
      <c r="D108" t="s">
        <v>313</v>
      </c>
      <c r="E108" s="110">
        <f t="shared" si="2"/>
        <v>2.1184771625764244E-2</v>
      </c>
      <c r="G108" s="110"/>
    </row>
    <row r="109" spans="1:27" ht="16.5" x14ac:dyDescent="0.45">
      <c r="B109" s="112">
        <f>SUM(B99:B108)</f>
        <v>1</v>
      </c>
      <c r="D109" t="s">
        <v>314</v>
      </c>
      <c r="E109" s="110">
        <f t="shared" si="2"/>
        <v>5.0898254868044723E-2</v>
      </c>
      <c r="G109" s="110"/>
    </row>
    <row r="110" spans="1:27" ht="16.5" x14ac:dyDescent="0.45">
      <c r="B110" s="112"/>
      <c r="D110" t="s">
        <v>315</v>
      </c>
      <c r="E110" s="110">
        <f t="shared" si="2"/>
        <v>0.13647651179120068</v>
      </c>
      <c r="G110" s="110"/>
    </row>
    <row r="111" spans="1:27" ht="16.5" x14ac:dyDescent="0.45">
      <c r="B111" s="112"/>
      <c r="D111" t="s">
        <v>316</v>
      </c>
      <c r="E111" s="110">
        <f t="shared" si="2"/>
        <v>5.6190166292750587E-2</v>
      </c>
    </row>
    <row r="112" spans="1:27" ht="16.5" x14ac:dyDescent="0.45">
      <c r="B112" s="112"/>
      <c r="D112" t="s">
        <v>317</v>
      </c>
      <c r="E112" s="110">
        <f t="shared" si="2"/>
        <v>0</v>
      </c>
    </row>
    <row r="113" spans="1:5" ht="16.5" x14ac:dyDescent="0.45">
      <c r="B113" s="112"/>
      <c r="D113" t="s">
        <v>318</v>
      </c>
      <c r="E113" s="110">
        <f t="shared" si="2"/>
        <v>0.12006987378191845</v>
      </c>
    </row>
    <row r="114" spans="1:5" ht="16.5" x14ac:dyDescent="0.45">
      <c r="B114" s="112"/>
      <c r="D114" t="s">
        <v>319</v>
      </c>
      <c r="E114" s="110">
        <f t="shared" si="2"/>
        <v>3.4251853881591345E-3</v>
      </c>
    </row>
    <row r="115" spans="1:5" x14ac:dyDescent="0.35">
      <c r="E115" s="110">
        <f>SUM(E99:E114)</f>
        <v>1</v>
      </c>
    </row>
    <row r="117" spans="1:5" s="95" customFormat="1" x14ac:dyDescent="0.35">
      <c r="A117" s="95" t="s">
        <v>149</v>
      </c>
      <c r="B117" s="95" t="s">
        <v>491</v>
      </c>
    </row>
    <row r="119" spans="1:5" x14ac:dyDescent="0.35">
      <c r="A119" t="s">
        <v>125</v>
      </c>
      <c r="B119" t="s">
        <v>126</v>
      </c>
    </row>
    <row r="120" spans="1:5" ht="16.5" x14ac:dyDescent="0.45">
      <c r="A120" t="s">
        <v>320</v>
      </c>
      <c r="B120" t="s">
        <v>150</v>
      </c>
    </row>
    <row r="121" spans="1:5" ht="16.5" x14ac:dyDescent="0.45">
      <c r="A121" t="s">
        <v>321</v>
      </c>
      <c r="B121" t="s">
        <v>151</v>
      </c>
    </row>
    <row r="123" spans="1:5" x14ac:dyDescent="0.35">
      <c r="A123" t="s">
        <v>147</v>
      </c>
    </row>
    <row r="124" spans="1:5" x14ac:dyDescent="0.35">
      <c r="A124" s="106"/>
      <c r="B124" s="106"/>
    </row>
    <row r="125" spans="1:5" x14ac:dyDescent="0.35">
      <c r="A125" s="106"/>
      <c r="B125" s="106"/>
    </row>
    <row r="126" spans="1:5" x14ac:dyDescent="0.35">
      <c r="A126" s="106"/>
      <c r="B126" s="106"/>
    </row>
    <row r="127" spans="1:5" x14ac:dyDescent="0.35">
      <c r="A127" s="106"/>
      <c r="B127" s="106"/>
    </row>
    <row r="129" spans="1:5" ht="16.5" x14ac:dyDescent="0.35">
      <c r="A129" s="107" t="s">
        <v>322</v>
      </c>
      <c r="B129" s="108" t="s">
        <v>148</v>
      </c>
      <c r="D129" s="107" t="s">
        <v>323</v>
      </c>
      <c r="E129" s="108" t="s">
        <v>148</v>
      </c>
    </row>
    <row r="130" spans="1:5" ht="16.5" x14ac:dyDescent="0.45">
      <c r="A130" t="s">
        <v>324</v>
      </c>
      <c r="B130" s="110">
        <f ca="1">SUMPRODUCT($E$99:$E$114,C$67:C$82)</f>
        <v>351.07719645892911</v>
      </c>
      <c r="C130" s="114"/>
      <c r="D130" t="s">
        <v>325</v>
      </c>
      <c r="E130" s="4">
        <f ca="1">SUMPRODUCT($H$99:$Q$99,$C67:$L67)</f>
        <v>356.99125889967638</v>
      </c>
    </row>
    <row r="131" spans="1:5" ht="16.5" x14ac:dyDescent="0.45">
      <c r="A131" t="s">
        <v>326</v>
      </c>
      <c r="B131" s="110">
        <f ca="1">SUMPRODUCT($E$99:$E$114,D$67:D$82)</f>
        <v>239.33429862421721</v>
      </c>
      <c r="C131" s="114"/>
      <c r="D131" t="s">
        <v>327</v>
      </c>
      <c r="E131" s="4">
        <f t="shared" ref="E131:E145" ca="1" si="3">SUMPRODUCT($H$99:$Q$99,$C68:$L68)</f>
        <v>454.15525889967643</v>
      </c>
    </row>
    <row r="132" spans="1:5" ht="16.5" x14ac:dyDescent="0.45">
      <c r="A132" t="s">
        <v>328</v>
      </c>
      <c r="B132" s="110">
        <f ca="1">SUMPRODUCT($E$99:$E$114,E$67:E$82)</f>
        <v>275.28400309122975</v>
      </c>
      <c r="C132" s="114"/>
      <c r="D132" t="s">
        <v>329</v>
      </c>
      <c r="E132" s="4">
        <f t="shared" ca="1" si="3"/>
        <v>571.3204588996764</v>
      </c>
    </row>
    <row r="133" spans="1:5" ht="16.5" x14ac:dyDescent="0.45">
      <c r="A133" t="s">
        <v>330</v>
      </c>
      <c r="B133" s="110">
        <f ca="1">SUMPRODUCT($E$99:$E$114,F$67:F$82)</f>
        <v>416.74052411102173</v>
      </c>
      <c r="C133" s="114"/>
      <c r="D133" t="s">
        <v>331</v>
      </c>
      <c r="E133" s="4">
        <f t="shared" ca="1" si="3"/>
        <v>579.39552643897366</v>
      </c>
    </row>
    <row r="134" spans="1:5" ht="16.5" x14ac:dyDescent="0.45">
      <c r="A134" t="s">
        <v>332</v>
      </c>
      <c r="B134" s="110">
        <f ca="1">SUMPRODUCT($E$99:$E$114,G$67:G$82)</f>
        <v>228.48236613347947</v>
      </c>
      <c r="C134" s="114"/>
      <c r="D134" t="s">
        <v>333</v>
      </c>
      <c r="E134" s="4">
        <f t="shared" ca="1" si="3"/>
        <v>194.77165725651099</v>
      </c>
    </row>
    <row r="135" spans="1:5" ht="16.5" x14ac:dyDescent="0.45">
      <c r="A135" t="s">
        <v>334</v>
      </c>
      <c r="B135" s="110">
        <f ca="1">SUMPRODUCT($E$99:$E$114,H$67:H$82)</f>
        <v>378.57832051686046</v>
      </c>
      <c r="C135" s="114"/>
      <c r="D135" t="s">
        <v>335</v>
      </c>
      <c r="E135" s="4">
        <f t="shared" ca="1" si="3"/>
        <v>184.53496847549701</v>
      </c>
    </row>
    <row r="136" spans="1:5" ht="16.5" x14ac:dyDescent="0.45">
      <c r="A136" t="s">
        <v>336</v>
      </c>
      <c r="B136" s="110">
        <f ca="1">SUMPRODUCT($E$99:$E$114,I$67:I$82)</f>
        <v>379.07406666267065</v>
      </c>
      <c r="D136" t="s">
        <v>337</v>
      </c>
      <c r="E136" s="4">
        <f t="shared" ca="1" si="3"/>
        <v>203.99029522075821</v>
      </c>
    </row>
    <row r="137" spans="1:5" ht="16.5" x14ac:dyDescent="0.45">
      <c r="A137" t="s">
        <v>338</v>
      </c>
      <c r="B137" s="110">
        <f ca="1">SUMPRODUCT($E$99:$E$114,J$67:J$82)</f>
        <v>302.16339752872875</v>
      </c>
      <c r="D137" t="s">
        <v>339</v>
      </c>
      <c r="E137" s="4">
        <f t="shared" ca="1" si="3"/>
        <v>228.11488959200184</v>
      </c>
    </row>
    <row r="138" spans="1:5" ht="16.5" x14ac:dyDescent="0.45">
      <c r="A138" t="s">
        <v>340</v>
      </c>
      <c r="B138" s="110">
        <f ca="1">SUMPRODUCT($E$99:$E$114,K$67:K$82)</f>
        <v>416.74052411102173</v>
      </c>
      <c r="D138" t="s">
        <v>341</v>
      </c>
      <c r="E138" s="4">
        <f t="shared" ca="1" si="3"/>
        <v>190.89093133090617</v>
      </c>
    </row>
    <row r="139" spans="1:5" ht="16.5" x14ac:dyDescent="0.45">
      <c r="A139" t="s">
        <v>342</v>
      </c>
      <c r="B139" s="110">
        <f ca="1">SUMPRODUCT($E$99:$E$114,L$67:L$82)</f>
        <v>379.07406666267065</v>
      </c>
      <c r="D139" t="s">
        <v>343</v>
      </c>
      <c r="E139" s="4">
        <f t="shared" ca="1" si="3"/>
        <v>309.34321346220526</v>
      </c>
    </row>
    <row r="140" spans="1:5" ht="16.5" x14ac:dyDescent="0.45">
      <c r="B140" s="110"/>
      <c r="D140" t="s">
        <v>344</v>
      </c>
      <c r="E140" s="4">
        <f t="shared" ca="1" si="3"/>
        <v>293.79147723069815</v>
      </c>
    </row>
    <row r="141" spans="1:5" ht="16.5" x14ac:dyDescent="0.45">
      <c r="B141" s="110"/>
      <c r="D141" t="s">
        <v>345</v>
      </c>
      <c r="E141" s="4">
        <f t="shared" ca="1" si="3"/>
        <v>398.39449722029599</v>
      </c>
    </row>
    <row r="142" spans="1:5" ht="16.5" x14ac:dyDescent="0.45">
      <c r="B142" s="110"/>
      <c r="D142" t="s">
        <v>346</v>
      </c>
      <c r="E142" s="4">
        <f t="shared" ca="1" si="3"/>
        <v>433.80853192903368</v>
      </c>
    </row>
    <row r="143" spans="1:5" ht="16.5" x14ac:dyDescent="0.45">
      <c r="B143" s="110"/>
      <c r="D143" t="s">
        <v>347</v>
      </c>
      <c r="E143" s="4">
        <f t="shared" si="3"/>
        <v>328.47153192903374</v>
      </c>
    </row>
    <row r="144" spans="1:5" ht="16.5" x14ac:dyDescent="0.45">
      <c r="B144" s="110"/>
      <c r="D144" t="s">
        <v>348</v>
      </c>
      <c r="E144" s="4">
        <f t="shared" si="3"/>
        <v>485.62952643897364</v>
      </c>
    </row>
    <row r="145" spans="1:5" ht="16.5" x14ac:dyDescent="0.45">
      <c r="B145" s="110"/>
      <c r="D145" t="s">
        <v>349</v>
      </c>
      <c r="E145" s="4">
        <f t="shared" si="3"/>
        <v>253.06733289990754</v>
      </c>
    </row>
    <row r="147" spans="1:5" s="95" customFormat="1" x14ac:dyDescent="0.35">
      <c r="A147" s="95" t="s">
        <v>152</v>
      </c>
      <c r="B147" s="95" t="s">
        <v>490</v>
      </c>
    </row>
    <row r="149" spans="1:5" x14ac:dyDescent="0.35">
      <c r="A149" t="s">
        <v>125</v>
      </c>
      <c r="B149" t="s">
        <v>126</v>
      </c>
    </row>
    <row r="150" spans="1:5" ht="16.5" x14ac:dyDescent="0.45">
      <c r="A150" t="s">
        <v>350</v>
      </c>
      <c r="B150" t="s">
        <v>153</v>
      </c>
    </row>
    <row r="151" spans="1:5" ht="16.5" x14ac:dyDescent="0.45">
      <c r="A151" t="s">
        <v>351</v>
      </c>
      <c r="B151" t="s">
        <v>154</v>
      </c>
    </row>
    <row r="153" spans="1:5" x14ac:dyDescent="0.35">
      <c r="A153" t="s">
        <v>147</v>
      </c>
    </row>
    <row r="154" spans="1:5" x14ac:dyDescent="0.35">
      <c r="A154" s="106"/>
      <c r="B154" s="106"/>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1" spans="1:9" ht="16.5" x14ac:dyDescent="0.35">
      <c r="A161" s="107" t="s">
        <v>352</v>
      </c>
      <c r="B161" s="108" t="s">
        <v>148</v>
      </c>
      <c r="D161" s="107" t="s">
        <v>353</v>
      </c>
      <c r="E161" s="108" t="s">
        <v>148</v>
      </c>
    </row>
    <row r="162" spans="1:9" ht="16.5" x14ac:dyDescent="0.45">
      <c r="A162" t="s">
        <v>354</v>
      </c>
      <c r="B162" s="115">
        <f ca="1">($H24*$B130)/SUMPRODUCT($H$24:$H$33,$B$130:$B$139)</f>
        <v>0.23468959248502486</v>
      </c>
      <c r="C162" s="36"/>
      <c r="D162" t="s">
        <v>355</v>
      </c>
      <c r="E162" s="115">
        <f t="shared" ref="E162:E177" ca="1" si="4">($H41*$E130)/SUMPRODUCT($H$41:$H$56,$E$130:$E$145)</f>
        <v>1.2111086204750652E-2</v>
      </c>
    </row>
    <row r="163" spans="1:9" ht="16.5" x14ac:dyDescent="0.45">
      <c r="A163" t="s">
        <v>356</v>
      </c>
      <c r="B163" s="115">
        <f t="shared" ref="B163:B171" ca="1" si="5">($H25*$B131)/SUMPRODUCT($H$24:$H$33,$B$130:$B$139)</f>
        <v>0.22568940626746498</v>
      </c>
      <c r="C163" s="4"/>
      <c r="D163" t="s">
        <v>357</v>
      </c>
      <c r="E163" s="115">
        <f t="shared" ca="1" si="4"/>
        <v>4.2592499397834341E-2</v>
      </c>
    </row>
    <row r="164" spans="1:9" ht="16.5" x14ac:dyDescent="0.45">
      <c r="A164" t="s">
        <v>358</v>
      </c>
      <c r="B164" s="115">
        <f t="shared" ca="1" si="5"/>
        <v>0.17454801435601205</v>
      </c>
      <c r="C164" s="4"/>
      <c r="D164" t="s">
        <v>359</v>
      </c>
      <c r="E164" s="115">
        <f t="shared" ca="1" si="4"/>
        <v>8.7395967748772424E-2</v>
      </c>
      <c r="H164" s="116"/>
      <c r="I164" s="116"/>
    </row>
    <row r="165" spans="1:9" ht="16.5" x14ac:dyDescent="0.45">
      <c r="A165" t="s">
        <v>360</v>
      </c>
      <c r="B165" s="115">
        <f t="shared" ca="1" si="5"/>
        <v>6.5824380099885407E-3</v>
      </c>
      <c r="C165" s="4"/>
      <c r="D165" t="s">
        <v>361</v>
      </c>
      <c r="E165" s="115">
        <f t="shared" ca="1" si="4"/>
        <v>1.0848177102061715E-2</v>
      </c>
    </row>
    <row r="166" spans="1:9" ht="16.5" x14ac:dyDescent="0.45">
      <c r="A166" t="s">
        <v>362</v>
      </c>
      <c r="B166" s="115">
        <f t="shared" ca="1" si="5"/>
        <v>0</v>
      </c>
      <c r="C166" s="4"/>
      <c r="D166" t="s">
        <v>363</v>
      </c>
      <c r="E166" s="115">
        <f t="shared" ca="1" si="4"/>
        <v>0.19369203421733272</v>
      </c>
    </row>
    <row r="167" spans="1:9" ht="16.5" x14ac:dyDescent="0.45">
      <c r="A167" t="s">
        <v>364</v>
      </c>
      <c r="B167" s="115">
        <f t="shared" ca="1" si="5"/>
        <v>0</v>
      </c>
      <c r="C167" s="4"/>
      <c r="D167" t="s">
        <v>365</v>
      </c>
      <c r="E167" s="115">
        <f t="shared" ca="1" si="4"/>
        <v>8.6697162274872758E-2</v>
      </c>
    </row>
    <row r="168" spans="1:9" ht="16.5" x14ac:dyDescent="0.45">
      <c r="A168" t="s">
        <v>366</v>
      </c>
      <c r="B168" s="115">
        <f t="shared" ca="1" si="5"/>
        <v>0.26550516112872896</v>
      </c>
      <c r="C168" s="4"/>
      <c r="D168" t="s">
        <v>367</v>
      </c>
      <c r="E168" s="115">
        <f t="shared" ca="1" si="4"/>
        <v>1.9541466210500447E-2</v>
      </c>
    </row>
    <row r="169" spans="1:9" ht="16.5" x14ac:dyDescent="0.45">
      <c r="A169" t="s">
        <v>368</v>
      </c>
      <c r="B169" s="115">
        <f t="shared" ca="1" si="5"/>
        <v>8.5480950506504325E-2</v>
      </c>
      <c r="C169" s="4"/>
      <c r="D169" t="s">
        <v>369</v>
      </c>
      <c r="E169" s="115">
        <f t="shared" ca="1" si="4"/>
        <v>4.1180629198670987E-3</v>
      </c>
    </row>
    <row r="170" spans="1:9" ht="16.5" x14ac:dyDescent="0.45">
      <c r="A170" t="s">
        <v>370</v>
      </c>
      <c r="B170" s="115">
        <f t="shared" ca="1" si="5"/>
        <v>3.9298137373065915E-3</v>
      </c>
      <c r="D170" t="s">
        <v>371</v>
      </c>
      <c r="E170" s="115">
        <f t="shared" ca="1" si="4"/>
        <v>2.2703548548399712E-2</v>
      </c>
    </row>
    <row r="171" spans="1:9" ht="16.5" x14ac:dyDescent="0.45">
      <c r="A171" t="s">
        <v>372</v>
      </c>
      <c r="B171" s="115">
        <f t="shared" ca="1" si="5"/>
        <v>3.5746235089697612E-3</v>
      </c>
      <c r="D171" t="s">
        <v>373</v>
      </c>
      <c r="E171" s="115">
        <f t="shared" ca="1" si="4"/>
        <v>2.1386864321441355E-2</v>
      </c>
    </row>
    <row r="172" spans="1:9" ht="16.5" x14ac:dyDescent="0.45">
      <c r="B172" s="233">
        <f ca="1">SUM(B162:B171)</f>
        <v>1</v>
      </c>
      <c r="D172" t="s">
        <v>374</v>
      </c>
      <c r="E172" s="115">
        <f t="shared" ca="1" si="4"/>
        <v>4.8800561607798311E-2</v>
      </c>
    </row>
    <row r="173" spans="1:9" ht="16.5" x14ac:dyDescent="0.45">
      <c r="B173" s="115"/>
      <c r="D173" t="s">
        <v>375</v>
      </c>
      <c r="E173" s="115">
        <f t="shared" ca="1" si="4"/>
        <v>0.17744100146540329</v>
      </c>
    </row>
    <row r="174" spans="1:9" ht="16.5" x14ac:dyDescent="0.45">
      <c r="B174" s="115"/>
      <c r="D174" t="s">
        <v>376</v>
      </c>
      <c r="E174" s="115">
        <f t="shared" ca="1" si="4"/>
        <v>7.9550175407997428E-2</v>
      </c>
    </row>
    <row r="175" spans="1:9" ht="16.5" x14ac:dyDescent="0.45">
      <c r="B175" s="115"/>
      <c r="D175" t="s">
        <v>377</v>
      </c>
      <c r="E175" s="115">
        <f t="shared" ca="1" si="4"/>
        <v>0</v>
      </c>
    </row>
    <row r="176" spans="1:9" ht="16.5" x14ac:dyDescent="0.45">
      <c r="B176" s="115"/>
      <c r="D176" t="s">
        <v>378</v>
      </c>
      <c r="E176" s="115">
        <f t="shared" ca="1" si="4"/>
        <v>0.19029258825879525</v>
      </c>
    </row>
    <row r="177" spans="1:5" ht="16.5" x14ac:dyDescent="0.45">
      <c r="B177" s="115"/>
      <c r="D177" t="s">
        <v>379</v>
      </c>
      <c r="E177" s="115">
        <f t="shared" ca="1" si="4"/>
        <v>2.8288043141723876E-3</v>
      </c>
    </row>
    <row r="178" spans="1:5" x14ac:dyDescent="0.35">
      <c r="E178" s="233">
        <f ca="1">SUM(E162:E177)</f>
        <v>1</v>
      </c>
    </row>
    <row r="180" spans="1:5" s="95" customFormat="1" x14ac:dyDescent="0.35">
      <c r="A180" s="95" t="s">
        <v>155</v>
      </c>
      <c r="B180" s="95" t="s">
        <v>156</v>
      </c>
    </row>
    <row r="182" spans="1:5" x14ac:dyDescent="0.35">
      <c r="A182" t="s">
        <v>125</v>
      </c>
      <c r="B182" t="s">
        <v>126</v>
      </c>
    </row>
    <row r="183" spans="1:5" ht="16.5" x14ac:dyDescent="0.45">
      <c r="A183" t="s">
        <v>380</v>
      </c>
      <c r="B183" t="s">
        <v>157</v>
      </c>
    </row>
    <row r="184" spans="1:5" ht="16.5" x14ac:dyDescent="0.45">
      <c r="A184" t="s">
        <v>381</v>
      </c>
      <c r="B184" t="s">
        <v>158</v>
      </c>
    </row>
    <row r="186" spans="1:5" x14ac:dyDescent="0.35">
      <c r="A186" t="s">
        <v>147</v>
      </c>
    </row>
    <row r="187" spans="1:5" x14ac:dyDescent="0.35">
      <c r="A187" s="106"/>
      <c r="B187" s="106"/>
    </row>
    <row r="188" spans="1:5" x14ac:dyDescent="0.35">
      <c r="A188" s="106"/>
      <c r="B188" s="106"/>
    </row>
    <row r="189" spans="1:5" x14ac:dyDescent="0.35">
      <c r="A189" s="106"/>
      <c r="B189" s="106"/>
    </row>
    <row r="190" spans="1:5" x14ac:dyDescent="0.35">
      <c r="A190" s="106"/>
      <c r="B190" s="106"/>
    </row>
    <row r="192" spans="1:5" ht="16.5" x14ac:dyDescent="0.35">
      <c r="A192" s="107" t="s">
        <v>352</v>
      </c>
      <c r="B192" s="108" t="s">
        <v>148</v>
      </c>
      <c r="D192" s="107" t="s">
        <v>353</v>
      </c>
      <c r="E192" s="108" t="s">
        <v>148</v>
      </c>
    </row>
    <row r="193" spans="1:5" ht="16.5" x14ac:dyDescent="0.45">
      <c r="A193" t="s">
        <v>382</v>
      </c>
      <c r="B193" s="7">
        <f t="shared" ref="B193:B202" ca="1" si="6">$B162*$D$5</f>
        <v>1185.4742533137444</v>
      </c>
      <c r="C193" s="47"/>
      <c r="D193" t="s">
        <v>383</v>
      </c>
      <c r="E193" s="6">
        <f t="shared" ref="E193:E208" ca="1" si="7">$E162*$D$8</f>
        <v>26.218304642992813</v>
      </c>
    </row>
    <row r="194" spans="1:5" ht="16.5" x14ac:dyDescent="0.45">
      <c r="A194" t="s">
        <v>384</v>
      </c>
      <c r="B194" s="7">
        <f t="shared" ca="1" si="6"/>
        <v>1140.0121221515915</v>
      </c>
      <c r="D194" t="s">
        <v>385</v>
      </c>
      <c r="E194" s="6">
        <f t="shared" ca="1" si="7"/>
        <v>92.205034778868523</v>
      </c>
    </row>
    <row r="195" spans="1:5" ht="16.5" x14ac:dyDescent="0.45">
      <c r="A195" t="s">
        <v>386</v>
      </c>
      <c r="B195" s="7">
        <f t="shared" ca="1" si="6"/>
        <v>881.68450417882718</v>
      </c>
      <c r="D195" t="s">
        <v>387</v>
      </c>
      <c r="E195" s="6">
        <f t="shared" ca="1" si="7"/>
        <v>189.1964162642723</v>
      </c>
    </row>
    <row r="196" spans="1:5" ht="16.5" x14ac:dyDescent="0.45">
      <c r="A196" t="s">
        <v>388</v>
      </c>
      <c r="B196" s="7">
        <f t="shared" ca="1" si="6"/>
        <v>33.249496504081627</v>
      </c>
      <c r="D196" t="s">
        <v>389</v>
      </c>
      <c r="E196" s="6">
        <f t="shared" ca="1" si="7"/>
        <v>23.484335531475871</v>
      </c>
    </row>
    <row r="197" spans="1:5" ht="16.5" x14ac:dyDescent="0.45">
      <c r="A197" t="s">
        <v>390</v>
      </c>
      <c r="B197" s="7">
        <f t="shared" ca="1" si="6"/>
        <v>0</v>
      </c>
      <c r="D197" t="s">
        <v>391</v>
      </c>
      <c r="E197" s="6">
        <f t="shared" ca="1" si="7"/>
        <v>419.30811771771801</v>
      </c>
    </row>
    <row r="198" spans="1:5" ht="16.5" x14ac:dyDescent="0.45">
      <c r="A198" t="s">
        <v>392</v>
      </c>
      <c r="B198" s="7">
        <f t="shared" ca="1" si="6"/>
        <v>0</v>
      </c>
      <c r="D198" t="s">
        <v>393</v>
      </c>
      <c r="E198" s="6">
        <f t="shared" ca="1" si="7"/>
        <v>187.68362917885747</v>
      </c>
    </row>
    <row r="199" spans="1:5" ht="16.5" x14ac:dyDescent="0.45">
      <c r="A199" t="s">
        <v>394</v>
      </c>
      <c r="B199" s="7">
        <f t="shared" ca="1" si="6"/>
        <v>1341.1311908094476</v>
      </c>
      <c r="D199" t="s">
        <v>395</v>
      </c>
      <c r="E199" s="6">
        <f t="shared" ca="1" si="7"/>
        <v>42.303729460424506</v>
      </c>
    </row>
    <row r="200" spans="1:5" ht="16.5" x14ac:dyDescent="0.45">
      <c r="A200" t="s">
        <v>396</v>
      </c>
      <c r="B200" s="7">
        <f t="shared" ca="1" si="6"/>
        <v>431.7850864252253</v>
      </c>
      <c r="D200" t="s">
        <v>397</v>
      </c>
      <c r="E200" s="6">
        <f t="shared" ca="1" si="7"/>
        <v>8.9148591915510185</v>
      </c>
    </row>
    <row r="201" spans="1:5" ht="16.5" x14ac:dyDescent="0.45">
      <c r="A201" t="s">
        <v>398</v>
      </c>
      <c r="B201" s="7">
        <f t="shared" ca="1" si="6"/>
        <v>19.850445674078582</v>
      </c>
      <c r="D201" t="s">
        <v>399</v>
      </c>
      <c r="E201" s="6">
        <f t="shared" ca="1" si="7"/>
        <v>49.149064109991286</v>
      </c>
    </row>
    <row r="202" spans="1:5" ht="16.5" x14ac:dyDescent="0.45">
      <c r="A202" t="s">
        <v>400</v>
      </c>
      <c r="B202" s="7">
        <f t="shared" ca="1" si="6"/>
        <v>18.056293380133933</v>
      </c>
      <c r="D202" t="s">
        <v>401</v>
      </c>
      <c r="E202" s="6">
        <f t="shared" ca="1" si="7"/>
        <v>46.298681609412888</v>
      </c>
    </row>
    <row r="203" spans="1:5" ht="16.5" x14ac:dyDescent="0.45">
      <c r="B203" s="7">
        <f ca="1">SUM(B193:B202)</f>
        <v>5051.2433924371298</v>
      </c>
      <c r="D203" t="s">
        <v>402</v>
      </c>
      <c r="E203" s="6">
        <f t="shared" ca="1" si="7"/>
        <v>105.64436330083387</v>
      </c>
    </row>
    <row r="204" spans="1:5" ht="16.5" x14ac:dyDescent="0.45">
      <c r="B204" s="7"/>
      <c r="D204" t="s">
        <v>403</v>
      </c>
      <c r="E204" s="6">
        <f t="shared" ca="1" si="7"/>
        <v>384.12757979980529</v>
      </c>
    </row>
    <row r="205" spans="1:5" ht="16.5" x14ac:dyDescent="0.45">
      <c r="B205" s="7"/>
      <c r="D205" t="s">
        <v>404</v>
      </c>
      <c r="E205" s="6">
        <f t="shared" ca="1" si="7"/>
        <v>172.21169909865506</v>
      </c>
    </row>
    <row r="206" spans="1:5" ht="16.5" x14ac:dyDescent="0.45">
      <c r="B206" s="7"/>
      <c r="D206" t="s">
        <v>405</v>
      </c>
      <c r="E206" s="6">
        <f t="shared" ca="1" si="7"/>
        <v>0</v>
      </c>
    </row>
    <row r="207" spans="1:5" ht="16.5" x14ac:dyDescent="0.45">
      <c r="B207" s="7"/>
      <c r="D207" t="s">
        <v>406</v>
      </c>
      <c r="E207" s="6">
        <f t="shared" ca="1" si="7"/>
        <v>411.94893388799966</v>
      </c>
    </row>
    <row r="208" spans="1:5" ht="16.5" x14ac:dyDescent="0.45">
      <c r="B208" s="7"/>
      <c r="D208" t="s">
        <v>407</v>
      </c>
      <c r="E208" s="6">
        <f t="shared" ca="1" si="7"/>
        <v>6.1238481859118243</v>
      </c>
    </row>
    <row r="209" spans="1:5" x14ac:dyDescent="0.35">
      <c r="B209" s="7"/>
      <c r="E209" s="6">
        <f ca="1">SUM(E193:E208)</f>
        <v>2164.8185967587706</v>
      </c>
    </row>
    <row r="210" spans="1:5" x14ac:dyDescent="0.35">
      <c r="B210" s="116"/>
      <c r="E210" s="117"/>
    </row>
    <row r="211" spans="1:5" s="95" customFormat="1" x14ac:dyDescent="0.35">
      <c r="A211" s="95" t="s">
        <v>159</v>
      </c>
      <c r="B211" s="95" t="s">
        <v>160</v>
      </c>
    </row>
    <row r="213" spans="1:5" x14ac:dyDescent="0.35">
      <c r="A213" t="s">
        <v>125</v>
      </c>
      <c r="B213" t="s">
        <v>126</v>
      </c>
    </row>
    <row r="214" spans="1:5" ht="16.5" x14ac:dyDescent="0.45">
      <c r="A214" t="s">
        <v>408</v>
      </c>
      <c r="B214" t="s">
        <v>161</v>
      </c>
    </row>
    <row r="215" spans="1:5" ht="16.5" x14ac:dyDescent="0.45">
      <c r="A215" t="s">
        <v>409</v>
      </c>
      <c r="B215" t="s">
        <v>162</v>
      </c>
    </row>
    <row r="217" spans="1:5" x14ac:dyDescent="0.35">
      <c r="A217" t="s">
        <v>147</v>
      </c>
    </row>
    <row r="218" spans="1:5" x14ac:dyDescent="0.35">
      <c r="A218" s="106"/>
      <c r="B218" s="106"/>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5" spans="1:22" ht="16.5" x14ac:dyDescent="0.35">
      <c r="A225" s="108" t="s">
        <v>410</v>
      </c>
      <c r="B225" s="108" t="s">
        <v>163</v>
      </c>
      <c r="C225" s="108" t="s">
        <v>411</v>
      </c>
      <c r="E225" s="118"/>
      <c r="F225" s="118"/>
      <c r="G225" s="119"/>
      <c r="H225" s="107" t="s">
        <v>412</v>
      </c>
      <c r="I225" s="108" t="s">
        <v>164</v>
      </c>
      <c r="J225" s="108" t="s">
        <v>413</v>
      </c>
      <c r="Q225" s="120"/>
      <c r="R225" s="119"/>
      <c r="S225" s="118"/>
      <c r="T225" s="118"/>
      <c r="U225" s="118"/>
    </row>
    <row r="226" spans="1:22" ht="16.5" x14ac:dyDescent="0.35">
      <c r="A226" s="48" t="s">
        <v>414</v>
      </c>
      <c r="B226" s="48" t="str">
        <f>B24</f>
        <v>PR-CARAGUATATUBA</v>
      </c>
      <c r="C226" s="12">
        <f ca="1">IFERROR($B193/$H24*1000000," ")</f>
        <v>6.1411554105182509</v>
      </c>
      <c r="D226" s="121"/>
      <c r="E226" s="8"/>
      <c r="F226" s="8"/>
      <c r="G226" s="122"/>
      <c r="H226" s="48" t="s">
        <v>415</v>
      </c>
      <c r="I226" s="48" t="str">
        <f t="shared" ref="I226:I241" si="8">B41</f>
        <v>NTS MG 1</v>
      </c>
      <c r="J226" s="12">
        <f ca="1">IFERROR($E193/$H41*1000000," ")</f>
        <v>3.172406624744311</v>
      </c>
      <c r="L226" s="21"/>
      <c r="M226" s="123"/>
      <c r="Q226" s="8"/>
      <c r="R226" s="124"/>
      <c r="S226" s="125"/>
      <c r="T226" s="125"/>
      <c r="U226" s="125"/>
    </row>
    <row r="227" spans="1:22" ht="16.5" x14ac:dyDescent="0.35">
      <c r="A227" s="48" t="s">
        <v>416</v>
      </c>
      <c r="B227" s="48" t="str">
        <f t="shared" ref="B227:B235" si="9">B25</f>
        <v>PR-GNLBGB</v>
      </c>
      <c r="C227" s="12">
        <f t="shared" ref="C227:C235" ca="1" si="10">IFERROR($B194/$H25*1000000," ")</f>
        <v>4.1865126466299731</v>
      </c>
      <c r="D227" s="121"/>
      <c r="E227" s="8"/>
      <c r="F227" s="8"/>
      <c r="G227" s="122"/>
      <c r="H227" s="48" t="s">
        <v>417</v>
      </c>
      <c r="I227" s="48" t="str">
        <f t="shared" si="8"/>
        <v>NTS MG 2</v>
      </c>
      <c r="J227" s="12">
        <f t="shared" ref="J227:J241" ca="1" si="11">IFERROR($E194/$H42*1000000," ")</f>
        <v>4.0358555456975278</v>
      </c>
      <c r="L227" s="21"/>
      <c r="M227" s="123"/>
      <c r="Q227" s="8"/>
      <c r="R227" s="124"/>
      <c r="S227" s="125"/>
      <c r="T227" s="125"/>
      <c r="U227" s="125"/>
    </row>
    <row r="228" spans="1:22" ht="16.5" x14ac:dyDescent="0.35">
      <c r="A228" s="48" t="s">
        <v>418</v>
      </c>
      <c r="B228" s="48" t="str">
        <f t="shared" si="9"/>
        <v>PR-ITABORAÍ</v>
      </c>
      <c r="C228" s="12">
        <f t="shared" ca="1" si="10"/>
        <v>4.8153564573955441</v>
      </c>
      <c r="D228" s="121"/>
      <c r="E228" s="8"/>
      <c r="F228" s="8"/>
      <c r="G228" s="122"/>
      <c r="H228" s="48" t="s">
        <v>419</v>
      </c>
      <c r="I228" s="48" t="str">
        <f t="shared" si="8"/>
        <v>NTS MG 3</v>
      </c>
      <c r="J228" s="12">
        <f t="shared" ca="1" si="11"/>
        <v>5.0770453434957652</v>
      </c>
      <c r="L228" s="21"/>
      <c r="M228" s="123"/>
      <c r="Q228" s="8"/>
      <c r="R228" s="124"/>
      <c r="S228" s="125"/>
      <c r="T228" s="125"/>
      <c r="U228" s="125"/>
    </row>
    <row r="229" spans="1:22" ht="16.5" x14ac:dyDescent="0.35">
      <c r="A229" s="48" t="s">
        <v>420</v>
      </c>
      <c r="B229" s="48" t="str">
        <f t="shared" si="9"/>
        <v>PR-GASPAJ (INTERCONEXÃO)</v>
      </c>
      <c r="C229" s="12">
        <f t="shared" ca="1" si="10"/>
        <v>7.2897594894802857</v>
      </c>
      <c r="D229" s="121"/>
      <c r="E229" s="8"/>
      <c r="F229" s="8"/>
      <c r="G229" s="122"/>
      <c r="H229" s="48" t="s">
        <v>421</v>
      </c>
      <c r="I229" s="48" t="str">
        <f t="shared" si="8"/>
        <v>NTS MG 4</v>
      </c>
      <c r="J229" s="12">
        <f t="shared" ca="1" si="11"/>
        <v>5.1488045171962158</v>
      </c>
      <c r="L229" s="21"/>
      <c r="M229" s="123"/>
      <c r="Q229" s="8"/>
      <c r="R229" s="124"/>
      <c r="S229" s="125"/>
      <c r="T229" s="125"/>
      <c r="U229" s="125"/>
    </row>
    <row r="230" spans="1:22" ht="16.5" x14ac:dyDescent="0.35">
      <c r="A230" s="48" t="s">
        <v>422</v>
      </c>
      <c r="B230" s="48" t="str">
        <f t="shared" si="9"/>
        <v>PR-REDUC</v>
      </c>
      <c r="C230" s="12" t="str">
        <f t="shared" ca="1" si="10"/>
        <v xml:space="preserve"> </v>
      </c>
      <c r="D230" s="121"/>
      <c r="E230" s="8"/>
      <c r="F230" s="8"/>
      <c r="G230" s="122"/>
      <c r="H230" s="48" t="s">
        <v>423</v>
      </c>
      <c r="I230" s="48" t="str">
        <f t="shared" si="8"/>
        <v>NTS RJ 1</v>
      </c>
      <c r="J230" s="12">
        <f t="shared" ca="1" si="11"/>
        <v>1.7308404068420846</v>
      </c>
      <c r="L230" s="21"/>
      <c r="M230" s="123"/>
      <c r="Q230" s="8"/>
      <c r="R230" s="124"/>
      <c r="S230" s="125"/>
      <c r="T230" s="125"/>
      <c r="U230" s="125"/>
    </row>
    <row r="231" spans="1:22" ht="16.5" x14ac:dyDescent="0.35">
      <c r="A231" s="48" t="s">
        <v>424</v>
      </c>
      <c r="B231" s="48" t="str">
        <f t="shared" si="9"/>
        <v>PR-RPBC</v>
      </c>
      <c r="C231" s="12" t="str">
        <f t="shared" ca="1" si="10"/>
        <v xml:space="preserve"> </v>
      </c>
      <c r="D231" s="121"/>
      <c r="E231" s="8"/>
      <c r="F231" s="8"/>
      <c r="G231" s="122"/>
      <c r="H231" s="48" t="s">
        <v>425</v>
      </c>
      <c r="I231" s="48" t="str">
        <f t="shared" si="8"/>
        <v>NTS RJ 2</v>
      </c>
      <c r="J231" s="12">
        <f t="shared" ca="1" si="11"/>
        <v>1.6398719629523677</v>
      </c>
      <c r="L231" s="21"/>
      <c r="M231" s="123"/>
      <c r="Q231" s="8"/>
      <c r="R231" s="124"/>
      <c r="S231" s="125"/>
      <c r="T231" s="125"/>
      <c r="U231" s="125"/>
    </row>
    <row r="232" spans="1:22" ht="16.5" x14ac:dyDescent="0.35">
      <c r="A232" s="48" t="s">
        <v>426</v>
      </c>
      <c r="B232" s="48" t="str">
        <f t="shared" si="9"/>
        <v>PR-TECAB</v>
      </c>
      <c r="C232" s="12">
        <f t="shared" ca="1" si="10"/>
        <v>6.6308856825594269</v>
      </c>
      <c r="D232" s="121"/>
      <c r="E232" s="8"/>
      <c r="F232" s="8"/>
      <c r="G232" s="122"/>
      <c r="H232" s="48" t="s">
        <v>427</v>
      </c>
      <c r="I232" s="48" t="str">
        <f t="shared" si="8"/>
        <v>NTS RJ 3</v>
      </c>
      <c r="J232" s="12">
        <f t="shared" ca="1" si="11"/>
        <v>1.812761931304721</v>
      </c>
      <c r="L232" s="21"/>
      <c r="M232" s="123"/>
      <c r="Q232" s="8"/>
      <c r="R232" s="124"/>
      <c r="S232" s="125"/>
      <c r="T232" s="125"/>
      <c r="U232" s="125"/>
    </row>
    <row r="233" spans="1:22" ht="16.5" x14ac:dyDescent="0.35">
      <c r="A233" s="48" t="s">
        <v>428</v>
      </c>
      <c r="B233" s="48" t="str">
        <f t="shared" si="9"/>
        <v>PR-GUARAREMA (INTERCONEXÃO)</v>
      </c>
      <c r="C233" s="12">
        <f t="shared" ca="1" si="10"/>
        <v>5.2855394833688987</v>
      </c>
      <c r="D233" s="121"/>
      <c r="E233" s="8"/>
      <c r="F233" s="8"/>
      <c r="G233" s="122"/>
      <c r="H233" s="48" t="s">
        <v>429</v>
      </c>
      <c r="I233" s="48" t="str">
        <f t="shared" si="8"/>
        <v>NTS RJ 4</v>
      </c>
      <c r="J233" s="12">
        <f t="shared" ca="1" si="11"/>
        <v>2.0271453961505941</v>
      </c>
      <c r="L233" s="21"/>
      <c r="M233" s="123"/>
      <c r="Q233" s="8"/>
      <c r="R233" s="124"/>
      <c r="S233" s="125"/>
      <c r="T233" s="125"/>
      <c r="U233" s="125"/>
    </row>
    <row r="234" spans="1:22" ht="16.5" x14ac:dyDescent="0.35">
      <c r="A234" s="48" t="s">
        <v>430</v>
      </c>
      <c r="B234" s="48" t="str">
        <f t="shared" si="9"/>
        <v>PR-REPLAN (INTERCONEXÃO)</v>
      </c>
      <c r="C234" s="12">
        <f t="shared" ca="1" si="10"/>
        <v>7.2897594894802848</v>
      </c>
      <c r="D234" s="116"/>
      <c r="E234" s="8"/>
      <c r="F234" s="8"/>
      <c r="G234" s="116"/>
      <c r="H234" s="48" t="s">
        <v>431</v>
      </c>
      <c r="I234" s="48" t="str">
        <f t="shared" si="8"/>
        <v>NTS RJ 5</v>
      </c>
      <c r="J234" s="12">
        <f t="shared" ca="1" si="11"/>
        <v>1.6963542945682106</v>
      </c>
      <c r="L234" s="21"/>
      <c r="Q234" s="8"/>
      <c r="R234" s="124"/>
      <c r="S234" s="125"/>
      <c r="T234" s="125"/>
      <c r="U234" s="125"/>
    </row>
    <row r="235" spans="1:22" ht="16.5" x14ac:dyDescent="0.35">
      <c r="A235" s="48" t="s">
        <v>432</v>
      </c>
      <c r="B235" s="48" t="str">
        <f t="shared" si="9"/>
        <v>PR-TECAB (INTERCONEXÃO)</v>
      </c>
      <c r="C235" s="12">
        <f t="shared" ca="1" si="10"/>
        <v>6.6308856825594269</v>
      </c>
      <c r="D235" s="116"/>
      <c r="E235" s="8"/>
      <c r="F235" s="8"/>
      <c r="G235" s="116"/>
      <c r="H235" s="48" t="s">
        <v>433</v>
      </c>
      <c r="I235" s="48" t="str">
        <f t="shared" si="8"/>
        <v>NTS SP 1</v>
      </c>
      <c r="J235" s="12">
        <f t="shared" ca="1" si="11"/>
        <v>2.7489817614357364</v>
      </c>
      <c r="L235" s="21"/>
      <c r="Q235" s="8"/>
      <c r="R235" s="124"/>
      <c r="S235" s="125"/>
      <c r="T235" s="125"/>
      <c r="U235" s="125"/>
    </row>
    <row r="236" spans="1:22" ht="16.5" x14ac:dyDescent="0.35">
      <c r="D236" s="116"/>
      <c r="E236" s="8"/>
      <c r="F236" s="8"/>
      <c r="G236" s="116"/>
      <c r="H236" s="48" t="s">
        <v>434</v>
      </c>
      <c r="I236" s="48" t="str">
        <f t="shared" si="8"/>
        <v>NTS SP 2</v>
      </c>
      <c r="J236" s="12">
        <f t="shared" ca="1" si="11"/>
        <v>2.6107810917633905</v>
      </c>
      <c r="K236" s="116"/>
      <c r="L236" s="21"/>
      <c r="Q236" s="8"/>
      <c r="R236" s="124"/>
      <c r="S236" s="125"/>
      <c r="T236" s="125"/>
      <c r="U236" s="125"/>
    </row>
    <row r="237" spans="1:22" ht="16.5" x14ac:dyDescent="0.35">
      <c r="D237" s="116"/>
      <c r="E237" s="8"/>
      <c r="F237" s="8"/>
      <c r="G237" s="116"/>
      <c r="H237" s="48" t="s">
        <v>435</v>
      </c>
      <c r="I237" s="48" t="str">
        <f t="shared" si="8"/>
        <v>NTS SP 3</v>
      </c>
      <c r="J237" s="12">
        <f t="shared" ca="1" si="11"/>
        <v>3.5403369430917224</v>
      </c>
      <c r="L237" s="21"/>
      <c r="Q237" s="8"/>
      <c r="R237" s="124"/>
      <c r="S237" s="125"/>
      <c r="T237" s="125"/>
      <c r="U237" s="125"/>
    </row>
    <row r="238" spans="1:22" ht="16.5" x14ac:dyDescent="0.35">
      <c r="D238" s="116"/>
      <c r="E238" s="8"/>
      <c r="F238" s="8"/>
      <c r="G238" s="116"/>
      <c r="H238" s="48" t="s">
        <v>436</v>
      </c>
      <c r="I238" s="48" t="str">
        <f t="shared" si="8"/>
        <v>NTS SP 4</v>
      </c>
      <c r="J238" s="12">
        <f t="shared" ca="1" si="11"/>
        <v>3.8550441397474731</v>
      </c>
      <c r="L238" s="21"/>
      <c r="Q238" s="8"/>
      <c r="R238" s="124"/>
      <c r="S238" s="125"/>
      <c r="T238" s="125"/>
      <c r="U238" s="125"/>
    </row>
    <row r="239" spans="1:22" ht="16.5" x14ac:dyDescent="0.35">
      <c r="D239" s="116"/>
      <c r="E239" s="8"/>
      <c r="F239" s="8"/>
      <c r="G239" s="116"/>
      <c r="H239" s="48" t="s">
        <v>437</v>
      </c>
      <c r="I239" s="48" t="str">
        <f t="shared" si="8"/>
        <v>PE-GUARAREMA (INTERCONEXÃO)</v>
      </c>
      <c r="J239" s="12" t="str">
        <f t="shared" ca="1" si="11"/>
        <v xml:space="preserve"> </v>
      </c>
      <c r="L239" s="21"/>
      <c r="Q239" s="8"/>
      <c r="R239" s="124"/>
      <c r="S239" s="10"/>
      <c r="T239" s="10"/>
      <c r="U239" s="10"/>
    </row>
    <row r="240" spans="1:22" ht="16.5" x14ac:dyDescent="0.35">
      <c r="E240" s="8"/>
      <c r="F240" s="8"/>
      <c r="G240" s="116"/>
      <c r="H240" s="48" t="s">
        <v>438</v>
      </c>
      <c r="I240" s="48" t="str">
        <f t="shared" si="8"/>
        <v>PE-REPLAN (INTERCONEXÃO)</v>
      </c>
      <c r="J240" s="12">
        <f t="shared" ca="1" si="11"/>
        <v>4.3155519594371752</v>
      </c>
      <c r="L240" s="21"/>
      <c r="Q240" s="8"/>
      <c r="R240" s="126"/>
      <c r="S240" s="10"/>
      <c r="T240" s="10"/>
      <c r="U240" s="10"/>
      <c r="V240" s="116"/>
    </row>
    <row r="241" spans="1:22" ht="16.5" x14ac:dyDescent="0.35">
      <c r="E241" s="8"/>
      <c r="F241" s="8"/>
      <c r="G241" s="116"/>
      <c r="H241" s="48" t="s">
        <v>439</v>
      </c>
      <c r="I241" s="48" t="str">
        <f t="shared" si="8"/>
        <v>PE-TECAB (INTERCONEXÃO)</v>
      </c>
      <c r="J241" s="12">
        <f t="shared" ca="1" si="11"/>
        <v>2.2488855493900397</v>
      </c>
      <c r="L241" s="21"/>
      <c r="P241" s="122"/>
      <c r="Q241" s="126"/>
      <c r="R241" s="126"/>
      <c r="S241" s="8"/>
      <c r="T241" s="8"/>
      <c r="U241" s="8"/>
      <c r="V241" s="116"/>
    </row>
    <row r="242" spans="1:22" x14ac:dyDescent="0.35">
      <c r="L242" s="21"/>
    </row>
    <row r="243" spans="1:22" x14ac:dyDescent="0.35">
      <c r="L243" s="21"/>
    </row>
    <row r="244" spans="1:22" ht="16.5" x14ac:dyDescent="0.35">
      <c r="A244" s="108" t="s">
        <v>410</v>
      </c>
      <c r="B244" s="108" t="s">
        <v>163</v>
      </c>
      <c r="C244" s="108" t="s">
        <v>411</v>
      </c>
      <c r="D244" s="108" t="s">
        <v>440</v>
      </c>
      <c r="E244" s="108" t="s">
        <v>441</v>
      </c>
      <c r="G244" s="119"/>
      <c r="H244" s="108" t="s">
        <v>412</v>
      </c>
      <c r="I244" s="108" t="s">
        <v>164</v>
      </c>
      <c r="J244" s="108" t="s">
        <v>413</v>
      </c>
      <c r="K244" s="108" t="s">
        <v>442</v>
      </c>
      <c r="L244" s="108" t="s">
        <v>443</v>
      </c>
    </row>
    <row r="245" spans="1:22" ht="16.5" x14ac:dyDescent="0.35">
      <c r="A245" s="48" t="s">
        <v>414</v>
      </c>
      <c r="B245" s="48" t="str">
        <f t="shared" ref="B245:B254" si="12">B226</f>
        <v>PR-CARAGUATATUBA</v>
      </c>
      <c r="C245" s="12">
        <f ca="1">IF(H24=0," ",C226*(1-$C$11))</f>
        <v>1.22823108210365</v>
      </c>
      <c r="D245" s="12">
        <f t="shared" ref="D245:D254" si="13">$F$7*$C$11</f>
        <v>4.2879994239482206</v>
      </c>
      <c r="E245" s="12">
        <f ca="1">IFERROR(C245+D245," ")</f>
        <v>5.5162305060518708</v>
      </c>
      <c r="G245" s="123"/>
      <c r="H245" s="48" t="s">
        <v>415</v>
      </c>
      <c r="I245" s="48" t="str">
        <f t="shared" ref="I245:I260" si="14">I226</f>
        <v>NTS MG 1</v>
      </c>
      <c r="J245" s="12">
        <f ca="1">IF(H41=0," ",J226*(1-$C$11))</f>
        <v>0.63448132494886211</v>
      </c>
      <c r="K245" s="12">
        <f t="shared" ref="K245:K260" si="15">$F$10*$C$11</f>
        <v>2.17840446150948</v>
      </c>
      <c r="L245" s="12">
        <f ca="1">IFERROR(J245+K245," ")</f>
        <v>2.8128857864583421</v>
      </c>
    </row>
    <row r="246" spans="1:22" ht="16.5" x14ac:dyDescent="0.35">
      <c r="A246" s="48" t="s">
        <v>416</v>
      </c>
      <c r="B246" s="48" t="str">
        <f t="shared" si="12"/>
        <v>PR-GNLBGB</v>
      </c>
      <c r="C246" s="12">
        <f t="shared" ref="C246:C254" ca="1" si="16">IF(H25=0," ",C227*(1-$C$11))</f>
        <v>0.83730252932599447</v>
      </c>
      <c r="D246" s="12">
        <f t="shared" si="13"/>
        <v>4.2879994239482206</v>
      </c>
      <c r="E246" s="12">
        <f t="shared" ref="E246:E254" ca="1" si="17">IFERROR(C246+D246," ")</f>
        <v>5.1253019532742154</v>
      </c>
      <c r="G246" s="123"/>
      <c r="H246" s="48" t="s">
        <v>417</v>
      </c>
      <c r="I246" s="48" t="str">
        <f t="shared" si="14"/>
        <v>NTS MG 2</v>
      </c>
      <c r="J246" s="12">
        <f t="shared" ref="J246:J247" ca="1" si="18">IF(H42=0," ",J227*(1-$C$11))</f>
        <v>0.8071711091395054</v>
      </c>
      <c r="K246" s="12">
        <f t="shared" si="15"/>
        <v>2.17840446150948</v>
      </c>
      <c r="L246" s="12">
        <f t="shared" ref="L246:L260" ca="1" si="19">IFERROR(J246+K246," ")</f>
        <v>2.9855755706489853</v>
      </c>
    </row>
    <row r="247" spans="1:22" ht="16.5" x14ac:dyDescent="0.35">
      <c r="A247" s="48" t="s">
        <v>418</v>
      </c>
      <c r="B247" s="48" t="str">
        <f t="shared" si="12"/>
        <v>PR-ITABORAÍ</v>
      </c>
      <c r="C247" s="12">
        <f t="shared" ca="1" si="16"/>
        <v>0.96307129147910864</v>
      </c>
      <c r="D247" s="12">
        <f t="shared" si="13"/>
        <v>4.2879994239482206</v>
      </c>
      <c r="E247" s="12">
        <f t="shared" ca="1" si="17"/>
        <v>5.2510707154273293</v>
      </c>
      <c r="G247" s="123"/>
      <c r="H247" s="48" t="s">
        <v>419</v>
      </c>
      <c r="I247" s="48" t="str">
        <f t="shared" si="14"/>
        <v>NTS MG 3</v>
      </c>
      <c r="J247" s="12">
        <f t="shared" ca="1" si="18"/>
        <v>1.0154090686991528</v>
      </c>
      <c r="K247" s="12">
        <f t="shared" si="15"/>
        <v>2.17840446150948</v>
      </c>
      <c r="L247" s="12">
        <f t="shared" ca="1" si="19"/>
        <v>3.193813530208633</v>
      </c>
    </row>
    <row r="248" spans="1:22" ht="16.5" x14ac:dyDescent="0.35">
      <c r="A248" s="48" t="s">
        <v>420</v>
      </c>
      <c r="B248" s="48" t="str">
        <f t="shared" si="12"/>
        <v>PR-GASPAJ (INTERCONEXÃO)</v>
      </c>
      <c r="C248" s="12">
        <f t="shared" ca="1" si="16"/>
        <v>1.4579518978960568</v>
      </c>
      <c r="D248" s="12">
        <f t="shared" si="13"/>
        <v>4.2879994239482206</v>
      </c>
      <c r="E248" s="12">
        <f t="shared" ca="1" si="17"/>
        <v>5.7459513218442773</v>
      </c>
      <c r="G248" s="123"/>
      <c r="H248" s="48" t="s">
        <v>421</v>
      </c>
      <c r="I248" s="48" t="str">
        <f t="shared" si="14"/>
        <v>NTS MG 4</v>
      </c>
      <c r="J248" s="12">
        <f ca="1">IF(H44=0," ",J229*(1-$C$11))</f>
        <v>1.029760903439243</v>
      </c>
      <c r="K248" s="12">
        <f t="shared" si="15"/>
        <v>2.17840446150948</v>
      </c>
      <c r="L248" s="12">
        <f t="shared" ca="1" si="19"/>
        <v>3.208165364948723</v>
      </c>
    </row>
    <row r="249" spans="1:22" ht="16.5" x14ac:dyDescent="0.35">
      <c r="A249" s="48" t="s">
        <v>422</v>
      </c>
      <c r="B249" s="48" t="str">
        <f t="shared" si="12"/>
        <v>PR-REDUC</v>
      </c>
      <c r="C249" s="12" t="str">
        <f t="shared" si="16"/>
        <v xml:space="preserve"> </v>
      </c>
      <c r="D249" s="12"/>
      <c r="E249" s="12" t="str">
        <f t="shared" si="17"/>
        <v xml:space="preserve"> </v>
      </c>
      <c r="G249" s="123"/>
      <c r="H249" s="48" t="s">
        <v>423</v>
      </c>
      <c r="I249" s="48" t="str">
        <f t="shared" si="14"/>
        <v>NTS RJ 1</v>
      </c>
      <c r="J249" s="12">
        <f t="shared" ref="J249:J260" ca="1" si="20">IF(H45=0," ",J230*(1-$C$11))</f>
        <v>0.34616808136841687</v>
      </c>
      <c r="K249" s="12">
        <f t="shared" si="15"/>
        <v>2.17840446150948</v>
      </c>
      <c r="L249" s="12">
        <f t="shared" ca="1" si="19"/>
        <v>2.5245725428778969</v>
      </c>
    </row>
    <row r="250" spans="1:22" ht="16.5" x14ac:dyDescent="0.35">
      <c r="A250" s="48" t="s">
        <v>424</v>
      </c>
      <c r="B250" s="48" t="str">
        <f t="shared" si="12"/>
        <v>PR-RPBC</v>
      </c>
      <c r="C250" s="12" t="str">
        <f t="shared" si="16"/>
        <v xml:space="preserve"> </v>
      </c>
      <c r="D250" s="12"/>
      <c r="E250" s="12" t="str">
        <f t="shared" si="17"/>
        <v xml:space="preserve"> </v>
      </c>
      <c r="G250" s="123"/>
      <c r="H250" s="48" t="s">
        <v>425</v>
      </c>
      <c r="I250" s="48" t="str">
        <f t="shared" si="14"/>
        <v>NTS RJ 2</v>
      </c>
      <c r="J250" s="12">
        <f t="shared" ca="1" si="20"/>
        <v>0.32797439259047345</v>
      </c>
      <c r="K250" s="12">
        <f t="shared" si="15"/>
        <v>2.17840446150948</v>
      </c>
      <c r="L250" s="12">
        <f t="shared" ca="1" si="19"/>
        <v>2.5063788540999532</v>
      </c>
    </row>
    <row r="251" spans="1:22" ht="16.5" x14ac:dyDescent="0.35">
      <c r="A251" s="48" t="s">
        <v>426</v>
      </c>
      <c r="B251" s="48" t="str">
        <f t="shared" si="12"/>
        <v>PR-TECAB</v>
      </c>
      <c r="C251" s="12">
        <f t="shared" ca="1" si="16"/>
        <v>1.3261771365118851</v>
      </c>
      <c r="D251" s="12">
        <f t="shared" si="13"/>
        <v>4.2879994239482206</v>
      </c>
      <c r="E251" s="12">
        <f t="shared" ca="1" si="17"/>
        <v>5.6141765604601055</v>
      </c>
      <c r="G251" s="123"/>
      <c r="H251" s="48" t="s">
        <v>427</v>
      </c>
      <c r="I251" s="48" t="str">
        <f t="shared" si="14"/>
        <v>NTS RJ 3</v>
      </c>
      <c r="J251" s="12">
        <f t="shared" ca="1" si="20"/>
        <v>0.3625523862609441</v>
      </c>
      <c r="K251" s="12">
        <f t="shared" si="15"/>
        <v>2.17840446150948</v>
      </c>
      <c r="L251" s="12">
        <f t="shared" ca="1" si="19"/>
        <v>2.5409568477704241</v>
      </c>
    </row>
    <row r="252" spans="1:22" ht="16.5" x14ac:dyDescent="0.35">
      <c r="A252" s="48" t="s">
        <v>428</v>
      </c>
      <c r="B252" s="48" t="str">
        <f t="shared" si="12"/>
        <v>PR-GUARAREMA (INTERCONEXÃO)</v>
      </c>
      <c r="C252" s="12">
        <f t="shared" ca="1" si="16"/>
        <v>1.0571078966737795</v>
      </c>
      <c r="D252" s="12">
        <f t="shared" si="13"/>
        <v>4.2879994239482206</v>
      </c>
      <c r="E252" s="12">
        <f t="shared" ca="1" si="17"/>
        <v>5.3451073206220006</v>
      </c>
      <c r="G252" s="123"/>
      <c r="H252" s="48" t="s">
        <v>429</v>
      </c>
      <c r="I252" s="48" t="str">
        <f t="shared" si="14"/>
        <v>NTS RJ 4</v>
      </c>
      <c r="J252" s="12">
        <f t="shared" ca="1" si="20"/>
        <v>0.40542907923011873</v>
      </c>
      <c r="K252" s="12">
        <f t="shared" si="15"/>
        <v>2.17840446150948</v>
      </c>
      <c r="L252" s="12">
        <f t="shared" ca="1" si="19"/>
        <v>2.5838335407395987</v>
      </c>
    </row>
    <row r="253" spans="1:22" ht="16.5" x14ac:dyDescent="0.35">
      <c r="A253" s="48" t="s">
        <v>430</v>
      </c>
      <c r="B253" s="48" t="str">
        <f t="shared" si="12"/>
        <v>PR-REPLAN (INTERCONEXÃO)</v>
      </c>
      <c r="C253" s="12">
        <f t="shared" ca="1" si="16"/>
        <v>1.4579518978960566</v>
      </c>
      <c r="D253" s="12">
        <f t="shared" si="13"/>
        <v>4.2879994239482206</v>
      </c>
      <c r="E253" s="12">
        <f t="shared" ca="1" si="17"/>
        <v>5.7459513218442773</v>
      </c>
      <c r="G253" s="123"/>
      <c r="H253" s="48" t="s">
        <v>431</v>
      </c>
      <c r="I253" s="48" t="str">
        <f t="shared" si="14"/>
        <v>NTS RJ 5</v>
      </c>
      <c r="J253" s="12">
        <f t="shared" ca="1" si="20"/>
        <v>0.33927085891364206</v>
      </c>
      <c r="K253" s="12">
        <f t="shared" si="15"/>
        <v>2.17840446150948</v>
      </c>
      <c r="L253" s="12">
        <f t="shared" ca="1" si="19"/>
        <v>2.5176753204231219</v>
      </c>
    </row>
    <row r="254" spans="1:22" ht="16.5" x14ac:dyDescent="0.35">
      <c r="A254" s="48" t="s">
        <v>432</v>
      </c>
      <c r="B254" s="48" t="str">
        <f t="shared" si="12"/>
        <v>PR-TECAB (INTERCONEXÃO)</v>
      </c>
      <c r="C254" s="12">
        <f t="shared" ca="1" si="16"/>
        <v>1.3261771365118851</v>
      </c>
      <c r="D254" s="12">
        <f t="shared" si="13"/>
        <v>4.2879994239482206</v>
      </c>
      <c r="E254" s="12">
        <f t="shared" ca="1" si="17"/>
        <v>5.6141765604601055</v>
      </c>
      <c r="G254" s="123"/>
      <c r="H254" s="48" t="s">
        <v>433</v>
      </c>
      <c r="I254" s="48" t="str">
        <f t="shared" si="14"/>
        <v>NTS SP 1</v>
      </c>
      <c r="J254" s="12">
        <f t="shared" ca="1" si="20"/>
        <v>0.54979635228714718</v>
      </c>
      <c r="K254" s="12">
        <f t="shared" si="15"/>
        <v>2.17840446150948</v>
      </c>
      <c r="L254" s="12">
        <f t="shared" ca="1" si="19"/>
        <v>2.7282008137966272</v>
      </c>
    </row>
    <row r="255" spans="1:22" ht="16.5" x14ac:dyDescent="0.35">
      <c r="H255" s="48" t="s">
        <v>434</v>
      </c>
      <c r="I255" s="48" t="str">
        <f t="shared" si="14"/>
        <v>NTS SP 2</v>
      </c>
      <c r="J255" s="12">
        <f t="shared" ca="1" si="20"/>
        <v>0.522156218352678</v>
      </c>
      <c r="K255" s="12">
        <f t="shared" si="15"/>
        <v>2.17840446150948</v>
      </c>
      <c r="L255" s="12">
        <f t="shared" ca="1" si="19"/>
        <v>2.700560679862158</v>
      </c>
    </row>
    <row r="256" spans="1:22" ht="16.5" x14ac:dyDescent="0.35">
      <c r="H256" s="48" t="s">
        <v>435</v>
      </c>
      <c r="I256" s="48" t="str">
        <f t="shared" si="14"/>
        <v>NTS SP 3</v>
      </c>
      <c r="J256" s="12">
        <f t="shared" ca="1" si="20"/>
        <v>0.70806738861834428</v>
      </c>
      <c r="K256" s="12">
        <f t="shared" si="15"/>
        <v>2.17840446150948</v>
      </c>
      <c r="L256" s="12">
        <f t="shared" ca="1" si="19"/>
        <v>2.8864718501278244</v>
      </c>
    </row>
    <row r="257" spans="1:13" ht="16.5" x14ac:dyDescent="0.35">
      <c r="H257" s="48" t="s">
        <v>436</v>
      </c>
      <c r="I257" s="48" t="str">
        <f t="shared" si="14"/>
        <v>NTS SP 4</v>
      </c>
      <c r="J257" s="12">
        <f t="shared" ca="1" si="20"/>
        <v>0.77100882794949444</v>
      </c>
      <c r="K257" s="12">
        <f t="shared" si="15"/>
        <v>2.17840446150948</v>
      </c>
      <c r="L257" s="12">
        <f t="shared" ca="1" si="19"/>
        <v>2.9494132894589744</v>
      </c>
    </row>
    <row r="258" spans="1:13" ht="16.5" x14ac:dyDescent="0.35">
      <c r="H258" s="48" t="s">
        <v>437</v>
      </c>
      <c r="I258" s="48" t="str">
        <f t="shared" si="14"/>
        <v>PE-GUARAREMA (INTERCONEXÃO)</v>
      </c>
      <c r="J258" s="12" t="str">
        <f t="shared" si="20"/>
        <v xml:space="preserve"> </v>
      </c>
      <c r="K258" s="12"/>
      <c r="L258" s="12" t="str">
        <f>IFERROR(J258+K258," ")</f>
        <v xml:space="preserve"> </v>
      </c>
    </row>
    <row r="259" spans="1:13" ht="16.5" x14ac:dyDescent="0.35">
      <c r="H259" s="48" t="s">
        <v>438</v>
      </c>
      <c r="I259" s="48" t="str">
        <f t="shared" si="14"/>
        <v>PE-REPLAN (INTERCONEXÃO)</v>
      </c>
      <c r="J259" s="12">
        <f t="shared" ca="1" si="20"/>
        <v>0.86311039188743488</v>
      </c>
      <c r="K259" s="12">
        <f t="shared" si="15"/>
        <v>2.17840446150948</v>
      </c>
      <c r="L259" s="12">
        <f t="shared" ca="1" si="19"/>
        <v>3.0415148533969147</v>
      </c>
    </row>
    <row r="260" spans="1:13" ht="16.5" x14ac:dyDescent="0.35">
      <c r="H260" s="48" t="s">
        <v>439</v>
      </c>
      <c r="I260" s="48" t="str">
        <f t="shared" si="14"/>
        <v>PE-TECAB (INTERCONEXÃO)</v>
      </c>
      <c r="J260" s="12">
        <f t="shared" ca="1" si="20"/>
        <v>0.44977710987800784</v>
      </c>
      <c r="K260" s="12">
        <f t="shared" si="15"/>
        <v>2.17840446150948</v>
      </c>
      <c r="L260" s="12">
        <f t="shared" ca="1" si="19"/>
        <v>2.6281815713874876</v>
      </c>
    </row>
    <row r="262" spans="1:13" x14ac:dyDescent="0.35">
      <c r="A262" t="s">
        <v>165</v>
      </c>
      <c r="C262" s="94">
        <v>0.9</v>
      </c>
    </row>
    <row r="263" spans="1:13" x14ac:dyDescent="0.35">
      <c r="J263" s="123"/>
      <c r="K263" s="123"/>
      <c r="L263" s="123"/>
      <c r="M263" s="123"/>
    </row>
    <row r="264" spans="1:13" s="252" customFormat="1" x14ac:dyDescent="0.35">
      <c r="A264" s="244" t="s">
        <v>464</v>
      </c>
      <c r="K264" s="253">
        <f>IFERROR(#REF!*#REF!,0)</f>
        <v>0</v>
      </c>
      <c r="L264" s="254"/>
    </row>
    <row r="265" spans="1:13" x14ac:dyDescent="0.35">
      <c r="L265" s="128"/>
    </row>
    <row r="266" spans="1:13" ht="37" x14ac:dyDescent="0.35">
      <c r="B266" s="245" t="s">
        <v>449</v>
      </c>
      <c r="C266" s="264" t="s">
        <v>456</v>
      </c>
      <c r="D266" s="264" t="s">
        <v>455</v>
      </c>
      <c r="E266" s="270" t="s">
        <v>462</v>
      </c>
      <c r="F266" s="245" t="s">
        <v>466</v>
      </c>
      <c r="L266" s="128"/>
    </row>
    <row r="267" spans="1:13" ht="18.5" x14ac:dyDescent="0.45">
      <c r="B267" s="246" t="s">
        <v>450</v>
      </c>
      <c r="C267" s="271">
        <f>'Oferta (Legados)'!I11</f>
        <v>200</v>
      </c>
      <c r="D267" s="265">
        <f ca="1">E253</f>
        <v>5.7459513218442773</v>
      </c>
      <c r="E267" s="268">
        <f ca="1">D267*(1-$C$262)</f>
        <v>0.57459513218442759</v>
      </c>
      <c r="F267" s="266">
        <f ca="1">C267*E267*'Premissas (Legados)'!$C$44*'Premissas (Legados)'!$F$20*1000</f>
        <v>1564656.4845488691</v>
      </c>
      <c r="L267" s="128"/>
    </row>
    <row r="268" spans="1:13" ht="18.5" x14ac:dyDescent="0.45">
      <c r="B268" s="247" t="s">
        <v>451</v>
      </c>
      <c r="C268" s="271">
        <f>'Oferta (Legados)'!I10</f>
        <v>6000</v>
      </c>
      <c r="D268" s="265">
        <f ca="1">E252</f>
        <v>5.3451073206220006</v>
      </c>
      <c r="E268" s="268">
        <f t="shared" ref="E268:E270" ca="1" si="21">D268*(1-$C$262)</f>
        <v>0.5345107320621999</v>
      </c>
      <c r="F268" s="266">
        <f ca="1">C268*E268*'Premissas (Legados)'!$C$44*'Premissas (Legados)'!$F$20*1000</f>
        <v>43665128.860523432</v>
      </c>
      <c r="G268" s="129"/>
      <c r="K268" s="129"/>
      <c r="L268" s="128"/>
    </row>
    <row r="269" spans="1:13" ht="18.5" x14ac:dyDescent="0.45">
      <c r="B269" s="248" t="s">
        <v>452</v>
      </c>
      <c r="C269" s="271">
        <f>'Oferta (Legados)'!I12</f>
        <v>200</v>
      </c>
      <c r="D269" s="265">
        <f ca="1">E254</f>
        <v>5.6141765604601055</v>
      </c>
      <c r="E269" s="268">
        <f t="shared" ca="1" si="21"/>
        <v>0.56141765604601046</v>
      </c>
      <c r="F269" s="266">
        <f ca="1">C269*E269*'Premissas (Legados)'!$C$44*'Premissas (Legados)'!$F$20*1000</f>
        <v>1528773.4386699761</v>
      </c>
      <c r="K269" s="129"/>
      <c r="L269" s="128"/>
    </row>
    <row r="270" spans="1:13" ht="18.5" x14ac:dyDescent="0.45">
      <c r="B270" s="248" t="s">
        <v>243</v>
      </c>
      <c r="C270" s="271">
        <f>'Oferta (Legados)'!I6</f>
        <v>335</v>
      </c>
      <c r="D270" s="265">
        <f ca="1">E248</f>
        <v>5.7459513218442773</v>
      </c>
      <c r="E270" s="268">
        <f t="shared" ca="1" si="21"/>
        <v>0.57459513218442759</v>
      </c>
      <c r="F270" s="266">
        <f ca="1">C270*E270*'Premissas (Legados)'!$C$44*'Premissas (Legados)'!$F$20*1000</f>
        <v>2620799.6116193552</v>
      </c>
      <c r="K270" s="129"/>
      <c r="L270" s="128"/>
    </row>
    <row r="271" spans="1:13" ht="18.5" x14ac:dyDescent="0.45">
      <c r="B271" s="246" t="s">
        <v>453</v>
      </c>
      <c r="C271" s="271">
        <f>'Demanda (Legados)'!I17</f>
        <v>7011</v>
      </c>
      <c r="D271" s="265">
        <f ca="1">L259</f>
        <v>3.0415148533969147</v>
      </c>
      <c r="E271" s="268">
        <f ca="1">D271*(1-$C$262)</f>
        <v>0.30415148533969139</v>
      </c>
      <c r="F271" s="266">
        <f ca="1">C271*E271*'Premissas (Legados)'!$C$44*'Premissas (Legados)'!$F$20*1000</f>
        <v>29033338.33164601</v>
      </c>
      <c r="K271" s="129"/>
      <c r="L271" s="128"/>
    </row>
    <row r="272" spans="1:13" ht="18.5" x14ac:dyDescent="0.45">
      <c r="B272" s="248" t="s">
        <v>454</v>
      </c>
      <c r="C272" s="271">
        <f>'Demanda (Legados)'!I18</f>
        <v>200</v>
      </c>
      <c r="D272" s="265">
        <f ca="1">L260</f>
        <v>2.6281815713874876</v>
      </c>
      <c r="E272" s="268">
        <f ca="1">D272*(1-$C$262)</f>
        <v>0.26281815713874873</v>
      </c>
      <c r="F272" s="266">
        <f ca="1">C272*E272*'Premissas (Legados)'!$C$44*'Premissas (Legados)'!$F$20*1000</f>
        <v>715669.36576890049</v>
      </c>
      <c r="K272" s="129"/>
      <c r="L272" s="128"/>
    </row>
    <row r="273" spans="2:13" ht="19" thickBot="1" x14ac:dyDescent="0.5">
      <c r="B273" s="248"/>
      <c r="C273" s="248"/>
      <c r="D273" s="248"/>
      <c r="E273" s="248"/>
      <c r="F273" s="267">
        <f ca="1">SUM(F267:F272)</f>
        <v>79128366.092776537</v>
      </c>
      <c r="K273" s="129"/>
      <c r="L273" s="128"/>
    </row>
    <row r="274" spans="2:13" ht="15" thickTop="1" x14ac:dyDescent="0.35">
      <c r="K274" s="129"/>
      <c r="L274" s="128"/>
    </row>
    <row r="275" spans="2:13" x14ac:dyDescent="0.35">
      <c r="K275" s="129"/>
      <c r="L275" s="128"/>
    </row>
    <row r="276" spans="2:13" x14ac:dyDescent="0.35">
      <c r="K276" s="129"/>
      <c r="L276" s="128"/>
    </row>
    <row r="277" spans="2:13" x14ac:dyDescent="0.35">
      <c r="K277" s="129"/>
    </row>
    <row r="278" spans="2:13" x14ac:dyDescent="0.35">
      <c r="K278" s="129"/>
    </row>
    <row r="279" spans="2:13" x14ac:dyDescent="0.35">
      <c r="K279" s="129"/>
      <c r="M279" s="130"/>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302" spans="13:14" x14ac:dyDescent="0.35">
      <c r="N302" s="131"/>
    </row>
  </sheetData>
  <mergeCells count="8">
    <mergeCell ref="C39:D39"/>
    <mergeCell ref="G39:H39"/>
    <mergeCell ref="C21:D21"/>
    <mergeCell ref="G21:H21"/>
    <mergeCell ref="C22:D22"/>
    <mergeCell ref="G22:H22"/>
    <mergeCell ref="C38:D38"/>
    <mergeCell ref="G38:H38"/>
  </mergeCell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1469-776A-48E7-BFE7-AB8871BF8F35}">
  <sheetPr codeName="Planilha27">
    <tabColor theme="1" tint="0.499984740745262"/>
  </sheetPr>
  <dimension ref="A2:AA303"/>
  <sheetViews>
    <sheetView showGridLines="0" topLeftCell="A15" zoomScale="70" zoomScaleNormal="70" workbookViewId="0">
      <selection activeCell="L29" sqref="L29"/>
    </sheetView>
  </sheetViews>
  <sheetFormatPr defaultColWidth="8.81640625" defaultRowHeight="14.5" x14ac:dyDescent="0.35"/>
  <cols>
    <col min="2" max="2" width="33" customWidth="1"/>
    <col min="3" max="3" width="22.54296875" bestFit="1" customWidth="1"/>
    <col min="4" max="4" width="27" customWidth="1"/>
    <col min="5" max="5" width="25.81640625" customWidth="1"/>
    <col min="6" max="6" width="28.453125" customWidth="1"/>
    <col min="7" max="7" width="27.81640625" bestFit="1" customWidth="1"/>
    <col min="8" max="8" width="16.81640625" bestFit="1" customWidth="1"/>
    <col min="9" max="9" width="35.453125" bestFit="1" customWidth="1"/>
    <col min="10" max="10" width="22" bestFit="1" customWidth="1"/>
    <col min="11" max="11" width="25" bestFit="1" customWidth="1"/>
    <col min="12" max="12" width="18.81640625" bestFit="1" customWidth="1"/>
    <col min="13" max="13" width="27.81640625" bestFit="1" customWidth="1"/>
    <col min="14" max="14" width="18.81640625" bestFit="1" customWidth="1"/>
    <col min="15" max="15" width="33.1796875" bestFit="1" customWidth="1"/>
    <col min="16" max="16" width="13.81640625" bestFit="1" customWidth="1"/>
    <col min="17" max="17" width="8.81640625" customWidth="1"/>
    <col min="18" max="18" width="12.1796875" bestFit="1" customWidth="1"/>
    <col min="19" max="19" width="23.453125" bestFit="1" customWidth="1"/>
    <col min="20" max="20" width="27.453125" bestFit="1" customWidth="1"/>
    <col min="21" max="27" width="9.1796875" bestFit="1" customWidth="1"/>
  </cols>
  <sheetData>
    <row r="2" spans="1:9" x14ac:dyDescent="0.35">
      <c r="B2" s="90" t="s">
        <v>108</v>
      </c>
      <c r="D2" s="235"/>
      <c r="G2" s="91" t="s">
        <v>519</v>
      </c>
    </row>
    <row r="3" spans="1:9" ht="15" thickBot="1" x14ac:dyDescent="0.4">
      <c r="D3" s="260" t="s">
        <v>486</v>
      </c>
      <c r="G3" s="205">
        <v>2025</v>
      </c>
    </row>
    <row r="4" spans="1:9" ht="17" thickBot="1" x14ac:dyDescent="0.4">
      <c r="A4" s="220"/>
      <c r="B4" s="221" t="s">
        <v>110</v>
      </c>
      <c r="C4" s="222" t="s">
        <v>270</v>
      </c>
      <c r="D4" s="223">
        <f>('Premissas (Legados)'!D38-'Premissas (Legados)'!D37)/1000</f>
        <v>7216.0619891959004</v>
      </c>
      <c r="E4" s="224" t="s">
        <v>111</v>
      </c>
      <c r="F4" s="220"/>
      <c r="G4" s="220"/>
      <c r="H4" s="235"/>
      <c r="I4" s="235"/>
    </row>
    <row r="5" spans="1:9" ht="15" thickBot="1" x14ac:dyDescent="0.4">
      <c r="A5" s="211"/>
      <c r="B5" s="255" t="s">
        <v>460</v>
      </c>
      <c r="C5" s="208"/>
      <c r="D5" s="209">
        <f ca="1">D6+D9</f>
        <v>7136.933623103123</v>
      </c>
      <c r="E5" s="224" t="s">
        <v>111</v>
      </c>
      <c r="F5" s="273" t="s">
        <v>465</v>
      </c>
      <c r="G5" s="211"/>
      <c r="H5" s="235"/>
      <c r="I5" s="235"/>
    </row>
    <row r="6" spans="1:9" ht="16.5" x14ac:dyDescent="0.35">
      <c r="A6" s="206">
        <f>HLOOKUP($G$3,'Premissas (Legados)'!$B$5:$F$13,9,FALSE)</f>
        <v>0.7</v>
      </c>
      <c r="B6" s="207" t="s">
        <v>112</v>
      </c>
      <c r="C6" s="208" t="s">
        <v>271</v>
      </c>
      <c r="D6" s="209">
        <f ca="1">($A$6*$D$4)-(SUM($F$268:$F$271)/10^6)</f>
        <v>5001.8640340417678</v>
      </c>
      <c r="E6" s="210" t="s">
        <v>113</v>
      </c>
      <c r="F6" s="273" t="s">
        <v>458</v>
      </c>
      <c r="G6" s="211"/>
      <c r="H6" s="235"/>
    </row>
    <row r="7" spans="1:9" ht="29" x14ac:dyDescent="0.35">
      <c r="A7" s="92"/>
      <c r="B7" s="212" t="s">
        <v>114</v>
      </c>
      <c r="C7" s="213" t="s">
        <v>272</v>
      </c>
      <c r="D7" s="214">
        <f>$D$35*'Premissas (Legados)'!$F$20</f>
        <v>22805565</v>
      </c>
      <c r="E7" s="212" t="s">
        <v>115</v>
      </c>
      <c r="F7" s="230">
        <f>H35</f>
        <v>850697267.82613492</v>
      </c>
      <c r="G7" s="82" t="s">
        <v>116</v>
      </c>
    </row>
    <row r="8" spans="1:9" ht="17" thickBot="1" x14ac:dyDescent="0.4">
      <c r="A8" s="215"/>
      <c r="B8" s="216" t="s">
        <v>117</v>
      </c>
      <c r="C8" s="217" t="s">
        <v>273</v>
      </c>
      <c r="D8" s="218">
        <f ca="1">$D$6/$D$7*1000</f>
        <v>0.21932646851949372</v>
      </c>
      <c r="E8" s="219" t="s">
        <v>118</v>
      </c>
      <c r="F8" s="232">
        <f ca="1">$D$6/$F$7*1000000</f>
        <v>5.8797226971511165</v>
      </c>
      <c r="G8" s="228" t="s">
        <v>15</v>
      </c>
      <c r="I8" s="235"/>
    </row>
    <row r="9" spans="1:9" ht="16.5" x14ac:dyDescent="0.35">
      <c r="A9" s="206">
        <f>1-A6</f>
        <v>0.30000000000000004</v>
      </c>
      <c r="B9" s="207" t="s">
        <v>119</v>
      </c>
      <c r="C9" s="208" t="s">
        <v>274</v>
      </c>
      <c r="D9" s="209">
        <f ca="1">($A$9*$D$4)-(SUM($F$272:$F$273)/10^6)</f>
        <v>2135.0695890613556</v>
      </c>
      <c r="E9" s="210" t="s">
        <v>113</v>
      </c>
      <c r="F9" s="273" t="s">
        <v>459</v>
      </c>
      <c r="G9" s="229"/>
    </row>
    <row r="10" spans="1:9" ht="29" x14ac:dyDescent="0.35">
      <c r="B10" s="212" t="s">
        <v>120</v>
      </c>
      <c r="C10" s="213" t="s">
        <v>275</v>
      </c>
      <c r="D10" s="214">
        <f>$D$58*'Premissas (Legados)'!$F$20</f>
        <v>18680700</v>
      </c>
      <c r="E10" s="212" t="s">
        <v>115</v>
      </c>
      <c r="F10" s="230">
        <f>H58</f>
        <v>696830815.24529994</v>
      </c>
      <c r="G10" s="82" t="s">
        <v>116</v>
      </c>
    </row>
    <row r="11" spans="1:9" ht="17" thickBot="1" x14ac:dyDescent="0.4">
      <c r="A11" s="225"/>
      <c r="B11" s="216" t="s">
        <v>121</v>
      </c>
      <c r="C11" s="217" t="s">
        <v>276</v>
      </c>
      <c r="D11" s="218">
        <f ca="1">$D$9/$D$10*1000</f>
        <v>0.11429280428792045</v>
      </c>
      <c r="E11" s="219" t="s">
        <v>118</v>
      </c>
      <c r="F11" s="232">
        <f ca="1">$D$9/$F$10*1000000</f>
        <v>3.0639712572265672</v>
      </c>
      <c r="G11" s="228" t="s">
        <v>15</v>
      </c>
    </row>
    <row r="12" spans="1:9" ht="15" thickBot="1" x14ac:dyDescent="0.4">
      <c r="A12" s="220"/>
      <c r="B12" s="220" t="s">
        <v>122</v>
      </c>
      <c r="C12" s="226">
        <f>HLOOKUP($G$3,'Premissas (Legados)'!$B$5:$F$8,4,FALSE)</f>
        <v>0.8</v>
      </c>
      <c r="D12" s="220"/>
      <c r="E12" s="220"/>
      <c r="F12" s="227"/>
      <c r="G12" s="220"/>
    </row>
    <row r="14" spans="1:9" s="95" customFormat="1" x14ac:dyDescent="0.35">
      <c r="A14" s="95" t="s">
        <v>123</v>
      </c>
      <c r="B14" s="95" t="s">
        <v>124</v>
      </c>
    </row>
    <row r="15" spans="1:9" x14ac:dyDescent="0.35">
      <c r="I15" s="93"/>
    </row>
    <row r="16" spans="1:9" x14ac:dyDescent="0.35">
      <c r="A16" s="96" t="s">
        <v>125</v>
      </c>
      <c r="B16" s="97" t="s">
        <v>126</v>
      </c>
      <c r="C16" s="98"/>
      <c r="I16" s="93"/>
    </row>
    <row r="17" spans="1:9" ht="16.5" x14ac:dyDescent="0.45">
      <c r="A17" t="s">
        <v>277</v>
      </c>
      <c r="B17" t="s">
        <v>127</v>
      </c>
      <c r="C17" s="47"/>
      <c r="I17" s="93"/>
    </row>
    <row r="18" spans="1:9" ht="16.5" x14ac:dyDescent="0.45">
      <c r="A18" t="s">
        <v>278</v>
      </c>
      <c r="B18" t="s">
        <v>128</v>
      </c>
      <c r="C18" s="47"/>
      <c r="I18" s="93"/>
    </row>
    <row r="19" spans="1:9" ht="16.5" x14ac:dyDescent="0.45">
      <c r="A19" t="s">
        <v>279</v>
      </c>
      <c r="B19" t="s">
        <v>129</v>
      </c>
      <c r="C19" s="47"/>
      <c r="H19">
        <v>37.302179000000002</v>
      </c>
      <c r="I19" s="93"/>
    </row>
    <row r="20" spans="1:9" ht="16.5" x14ac:dyDescent="0.45">
      <c r="A20" t="s">
        <v>280</v>
      </c>
      <c r="B20" t="s">
        <v>130</v>
      </c>
      <c r="C20" s="47"/>
      <c r="H20" s="99">
        <v>3.7302178999999998E-2</v>
      </c>
      <c r="I20" s="93"/>
    </row>
    <row r="21" spans="1:9" x14ac:dyDescent="0.35">
      <c r="C21" s="47"/>
      <c r="H21" s="99"/>
      <c r="I21" s="93"/>
    </row>
    <row r="22" spans="1:9" x14ac:dyDescent="0.35">
      <c r="C22" s="424">
        <f>G3</f>
        <v>2025</v>
      </c>
      <c r="D22" s="424"/>
      <c r="G22" s="424">
        <f>G3</f>
        <v>2025</v>
      </c>
      <c r="H22" s="424"/>
      <c r="I22" s="93"/>
    </row>
    <row r="23" spans="1:9" ht="16" customHeight="1" x14ac:dyDescent="0.35">
      <c r="C23" s="424" t="s">
        <v>236</v>
      </c>
      <c r="D23" s="424"/>
      <c r="G23" s="424" t="s">
        <v>237</v>
      </c>
      <c r="H23" s="424"/>
      <c r="I23" s="93"/>
    </row>
    <row r="24" spans="1:9" ht="33" x14ac:dyDescent="0.35">
      <c r="A24" s="100" t="s">
        <v>131</v>
      </c>
      <c r="B24" s="101" t="s">
        <v>132</v>
      </c>
      <c r="C24" s="102" t="s">
        <v>281</v>
      </c>
      <c r="D24" s="103" t="s">
        <v>282</v>
      </c>
      <c r="G24" s="102" t="s">
        <v>283</v>
      </c>
      <c r="H24" s="103" t="s">
        <v>284</v>
      </c>
      <c r="I24" s="93"/>
    </row>
    <row r="25" spans="1:9" x14ac:dyDescent="0.35">
      <c r="A25" s="2" t="s">
        <v>238</v>
      </c>
      <c r="B25" s="44" t="s">
        <v>28</v>
      </c>
      <c r="C25" s="290">
        <f>'Oferta (Legados)'!C3</f>
        <v>20000</v>
      </c>
      <c r="D25" s="290">
        <f>'Oferta (Legados)'!J3</f>
        <v>14178</v>
      </c>
      <c r="F25" s="104"/>
      <c r="G25" s="43">
        <f>IFERROR($C25*$H$20*'Premissas (Legados)'!$F$20*1000," ")</f>
        <v>272305906.69999999</v>
      </c>
      <c r="H25" s="43">
        <f>IFERROR($D25*$H$20*'Premissas (Legados)'!$F$20*1000," ")</f>
        <v>193037657.25962999</v>
      </c>
      <c r="I25" s="93"/>
    </row>
    <row r="26" spans="1:9" x14ac:dyDescent="0.35">
      <c r="A26" s="2" t="s">
        <v>133</v>
      </c>
      <c r="B26" s="44" t="s">
        <v>26</v>
      </c>
      <c r="C26" s="290">
        <f>'Oferta (Legados)'!C4</f>
        <v>20000</v>
      </c>
      <c r="D26" s="290">
        <f>'Oferta (Legados)'!J4</f>
        <v>20000</v>
      </c>
      <c r="F26" s="104"/>
      <c r="G26" s="43">
        <f>IFERROR($C26*$H$20*'Premissas (Legados)'!$F$20*1000," ")</f>
        <v>272305906.69999999</v>
      </c>
      <c r="H26" s="43">
        <f>IFERROR($D26*$H$20*'Premissas (Legados)'!$F$20*1000," ")</f>
        <v>272305906.69999999</v>
      </c>
      <c r="I26" s="93"/>
    </row>
    <row r="27" spans="1:9" x14ac:dyDescent="0.35">
      <c r="A27" s="2" t="s">
        <v>134</v>
      </c>
      <c r="B27" s="44" t="s">
        <v>488</v>
      </c>
      <c r="C27" s="290">
        <f>'Oferta (Legados)'!C5</f>
        <v>18200</v>
      </c>
      <c r="D27" s="290">
        <f>'Oferta (Legados)'!J5</f>
        <v>13448</v>
      </c>
      <c r="E27" s="46"/>
      <c r="F27" s="104"/>
      <c r="G27" s="43">
        <f>IFERROR($C27*$H$20*'Premissas (Legados)'!$F$20*1000," ")</f>
        <v>247798375.097</v>
      </c>
      <c r="H27" s="43">
        <f>IFERROR($D27*$H$20*'Premissas (Legados)'!$F$20*1000," ")</f>
        <v>183098491.66507998</v>
      </c>
      <c r="I27" s="93"/>
    </row>
    <row r="28" spans="1:9" x14ac:dyDescent="0.35">
      <c r="A28" s="2" t="s">
        <v>135</v>
      </c>
      <c r="B28" s="44" t="s">
        <v>463</v>
      </c>
      <c r="C28" s="293"/>
      <c r="D28" s="293"/>
      <c r="E28" s="274" t="s">
        <v>461</v>
      </c>
      <c r="F28" s="104"/>
      <c r="G28" s="43">
        <f>IFERROR($C28*$H$20*'Premissas (Legados)'!$F$20*1000," ")</f>
        <v>0</v>
      </c>
      <c r="H28" s="43">
        <f>IFERROR($D28*$H$20*'Premissas (Legados)'!$F$20*1000," ")</f>
        <v>0</v>
      </c>
      <c r="I28" s="93"/>
    </row>
    <row r="29" spans="1:9" x14ac:dyDescent="0.35">
      <c r="A29" s="2" t="s">
        <v>136</v>
      </c>
      <c r="B29" s="44" t="s">
        <v>27</v>
      </c>
      <c r="C29" s="290">
        <f>'Oferta (Legados)'!C7</f>
        <v>5000</v>
      </c>
      <c r="D29" s="290">
        <f>'Oferta (Legados)'!J7</f>
        <v>0</v>
      </c>
      <c r="E29" s="46"/>
      <c r="F29" s="104"/>
      <c r="G29" s="43">
        <f>IFERROR($C29*$H$20*'Premissas (Legados)'!$F$20*1000," ")</f>
        <v>68076476.674999997</v>
      </c>
      <c r="H29" s="43">
        <f>IFERROR($D29*$H$20*'Premissas (Legados)'!$F$20*1000," ")</f>
        <v>0</v>
      </c>
      <c r="I29" s="93"/>
    </row>
    <row r="30" spans="1:9" x14ac:dyDescent="0.35">
      <c r="A30" s="2" t="s">
        <v>239</v>
      </c>
      <c r="B30" s="44" t="s">
        <v>29</v>
      </c>
      <c r="C30" s="290">
        <f>'Oferta (Legados)'!C8</f>
        <v>2200</v>
      </c>
      <c r="D30" s="290">
        <f>'Oferta (Legados)'!J8</f>
        <v>0</v>
      </c>
      <c r="E30" s="46"/>
      <c r="F30" s="104"/>
      <c r="G30" s="43">
        <f>IFERROR($C30*$H$20*'Premissas (Legados)'!$F$20*1000," ")</f>
        <v>29953649.736999996</v>
      </c>
      <c r="H30" s="43">
        <f>IFERROR($D30*$H$20*'Premissas (Legados)'!$F$20*1000," ")</f>
        <v>0</v>
      </c>
      <c r="I30" s="93"/>
    </row>
    <row r="31" spans="1:9" x14ac:dyDescent="0.35">
      <c r="A31" s="2" t="s">
        <v>137</v>
      </c>
      <c r="B31" s="44" t="s">
        <v>24</v>
      </c>
      <c r="C31" s="290">
        <f>'Oferta (Legados)'!C9</f>
        <v>25160</v>
      </c>
      <c r="D31" s="290">
        <f>'Oferta (Legados)'!J9</f>
        <v>14855</v>
      </c>
      <c r="E31" s="46"/>
      <c r="F31" s="104"/>
      <c r="G31" s="43">
        <f>IFERROR($C31*$H$20*'Premissas (Legados)'!$F$20*1000," ")</f>
        <v>342560830.6286</v>
      </c>
      <c r="H31" s="43">
        <f>IFERROR($D31*$H$20*'Premissas (Legados)'!$F$20*1000," ")</f>
        <v>202255212.20142499</v>
      </c>
      <c r="I31" s="93"/>
    </row>
    <row r="32" spans="1:9" x14ac:dyDescent="0.35">
      <c r="A32" s="2" t="s">
        <v>240</v>
      </c>
      <c r="B32" s="44" t="s">
        <v>264</v>
      </c>
      <c r="C32" s="249"/>
      <c r="D32" s="249"/>
      <c r="E32" s="274" t="s">
        <v>461</v>
      </c>
      <c r="F32" s="104"/>
      <c r="G32" s="43">
        <f>IFERROR($C32*$H$20*'Premissas (Legados)'!$F$20*1000," ")</f>
        <v>0</v>
      </c>
      <c r="H32" s="43">
        <f>IFERROR($D32*$H$20*'Premissas (Legados)'!$F$20*1000," ")</f>
        <v>0</v>
      </c>
      <c r="I32" s="93"/>
    </row>
    <row r="33" spans="1:10" x14ac:dyDescent="0.35">
      <c r="A33" s="2" t="s">
        <v>138</v>
      </c>
      <c r="B33" s="44" t="s">
        <v>266</v>
      </c>
      <c r="C33" s="249"/>
      <c r="D33" s="249"/>
      <c r="E33" s="274" t="s">
        <v>461</v>
      </c>
      <c r="F33" s="104"/>
      <c r="G33" s="43">
        <f>IFERROR($C33*$H$20*'Premissas (Legados)'!$F$20*1000," ")</f>
        <v>0</v>
      </c>
      <c r="H33" s="43">
        <f>IFERROR($D33*$H$20*'Premissas (Legados)'!$F$20*1000," ")</f>
        <v>0</v>
      </c>
      <c r="I33" s="93"/>
    </row>
    <row r="34" spans="1:10" x14ac:dyDescent="0.35">
      <c r="A34" s="2" t="s">
        <v>139</v>
      </c>
      <c r="B34" s="44" t="s">
        <v>265</v>
      </c>
      <c r="C34" s="249"/>
      <c r="D34" s="249"/>
      <c r="E34" s="274" t="s">
        <v>461</v>
      </c>
      <c r="F34" s="104"/>
      <c r="G34" s="43">
        <f>IFERROR($C34*$H$20*'Premissas (Legados)'!$F$20*1000," ")</f>
        <v>0</v>
      </c>
      <c r="H34" s="43">
        <f>IFERROR($D34*$H$20*'Premissas (Legados)'!$F$20*1000," ")</f>
        <v>0</v>
      </c>
      <c r="I34" s="93"/>
    </row>
    <row r="35" spans="1:10" x14ac:dyDescent="0.35">
      <c r="C35" s="105">
        <f>SUM(C25:C34)</f>
        <v>90560</v>
      </c>
      <c r="D35" s="105">
        <f>SUM(D25:D34)</f>
        <v>62481</v>
      </c>
      <c r="E35" s="105"/>
      <c r="F35" s="104"/>
      <c r="G35" s="105">
        <f>SUM(G25:G34)</f>
        <v>1233001145.5376</v>
      </c>
      <c r="H35" s="105">
        <f>SUM(H25:H34)</f>
        <v>850697267.82613492</v>
      </c>
      <c r="I35" s="93"/>
    </row>
    <row r="36" spans="1:10" x14ac:dyDescent="0.35">
      <c r="C36" s="104"/>
      <c r="D36" s="104"/>
      <c r="E36" s="104"/>
      <c r="F36" s="104"/>
      <c r="G36" s="104"/>
      <c r="H36" s="104"/>
      <c r="I36" s="93"/>
    </row>
    <row r="37" spans="1:10" x14ac:dyDescent="0.35">
      <c r="C37" s="104"/>
      <c r="D37" s="104"/>
      <c r="E37" s="104"/>
      <c r="F37" s="104"/>
      <c r="G37" s="104"/>
      <c r="H37" s="104"/>
      <c r="I37" s="93"/>
    </row>
    <row r="38" spans="1:10" x14ac:dyDescent="0.35">
      <c r="C38" s="104"/>
      <c r="D38" s="104"/>
      <c r="F38" s="104"/>
      <c r="G38" s="104"/>
      <c r="H38" s="104"/>
      <c r="I38" s="93"/>
    </row>
    <row r="39" spans="1:10" x14ac:dyDescent="0.35">
      <c r="C39" s="424">
        <f>C22</f>
        <v>2025</v>
      </c>
      <c r="D39" s="424"/>
      <c r="G39" s="424">
        <f>G22</f>
        <v>2025</v>
      </c>
      <c r="H39" s="424"/>
      <c r="J39" s="93"/>
    </row>
    <row r="40" spans="1:10" ht="16" customHeight="1" x14ac:dyDescent="0.35">
      <c r="C40" s="424" t="s">
        <v>236</v>
      </c>
      <c r="D40" s="424"/>
      <c r="G40" s="424" t="s">
        <v>237</v>
      </c>
      <c r="H40" s="424"/>
      <c r="I40" s="93"/>
    </row>
    <row r="41" spans="1:10" ht="33" x14ac:dyDescent="0.35">
      <c r="A41" s="100" t="s">
        <v>131</v>
      </c>
      <c r="B41" s="101" t="s">
        <v>140</v>
      </c>
      <c r="C41" s="102" t="s">
        <v>285</v>
      </c>
      <c r="D41" s="103" t="s">
        <v>286</v>
      </c>
      <c r="G41" s="102" t="s">
        <v>287</v>
      </c>
      <c r="H41" s="103" t="s">
        <v>288</v>
      </c>
      <c r="I41" s="93"/>
    </row>
    <row r="42" spans="1:10" x14ac:dyDescent="0.35">
      <c r="A42" s="2" t="s">
        <v>41</v>
      </c>
      <c r="B42" s="44" t="s">
        <v>216</v>
      </c>
      <c r="C42" s="290">
        <f>'Demanda (Legados)'!C3</f>
        <v>864.5</v>
      </c>
      <c r="D42" s="290">
        <f>'Demanda (Legados)'!J3</f>
        <v>607</v>
      </c>
      <c r="G42" s="43">
        <f>IFERROR($C42*$H$20*'Premissas (Legados)'!$F$20*1000," ")</f>
        <v>11770422.817107499</v>
      </c>
      <c r="H42" s="43">
        <f>IFERROR($D42*$H$20*'Premissas (Legados)'!$F$20*1000," ")</f>
        <v>8264484.2683449984</v>
      </c>
      <c r="I42" s="93"/>
    </row>
    <row r="43" spans="1:10" x14ac:dyDescent="0.35">
      <c r="A43" s="2" t="s">
        <v>42</v>
      </c>
      <c r="B43" s="44" t="s">
        <v>217</v>
      </c>
      <c r="C43" s="290">
        <f>'Demanda (Legados)'!C4</f>
        <v>1825.9</v>
      </c>
      <c r="D43" s="290">
        <f>'Demanda (Legados)'!J4</f>
        <v>1678</v>
      </c>
      <c r="E43" s="46"/>
      <c r="G43" s="43">
        <f>IFERROR($C43*$H$20*'Premissas (Legados)'!$F$20*1000," ")</f>
        <v>24860167.752176501</v>
      </c>
      <c r="H43" s="43">
        <f>IFERROR($D43*$H$20*'Premissas (Legados)'!$F$20*1000," ")</f>
        <v>22846465.572130002</v>
      </c>
      <c r="I43" s="93"/>
    </row>
    <row r="44" spans="1:10" x14ac:dyDescent="0.35">
      <c r="A44" s="2" t="s">
        <v>43</v>
      </c>
      <c r="B44" s="44" t="s">
        <v>218</v>
      </c>
      <c r="C44" s="290">
        <f>'Demanda (Legados)'!C5</f>
        <v>3040.95</v>
      </c>
      <c r="D44" s="290">
        <f>'Demanda (Legados)'!J5</f>
        <v>2737</v>
      </c>
      <c r="E44" s="46"/>
      <c r="G44" s="43">
        <f>IFERROR($C44*$H$20*'Premissas (Legados)'!$F$20*1000," ")</f>
        <v>41403432.348968253</v>
      </c>
      <c r="H44" s="43">
        <f>IFERROR($D44*$H$20*'Premissas (Legados)'!$F$20*1000," ")</f>
        <v>37265063.331895001</v>
      </c>
      <c r="I44" s="93"/>
    </row>
    <row r="45" spans="1:10" x14ac:dyDescent="0.35">
      <c r="A45" s="2" t="s">
        <v>44</v>
      </c>
      <c r="B45" s="44" t="s">
        <v>219</v>
      </c>
      <c r="C45" s="290">
        <f>'Demanda (Legados)'!C6</f>
        <v>1187.5</v>
      </c>
      <c r="D45" s="290">
        <f>'Demanda (Legados)'!J6</f>
        <v>335</v>
      </c>
      <c r="E45" s="46"/>
      <c r="G45" s="43">
        <f>IFERROR($C45*$H$20*'Premissas (Legados)'!$F$20*1000," ")</f>
        <v>16168163.210312499</v>
      </c>
      <c r="H45" s="43">
        <f>IFERROR($D45*$H$20*'Premissas (Legados)'!$F$20*1000," ")</f>
        <v>4561123.937225</v>
      </c>
      <c r="I45" s="93"/>
    </row>
    <row r="46" spans="1:10" x14ac:dyDescent="0.35">
      <c r="A46" s="2" t="s">
        <v>45</v>
      </c>
      <c r="B46" s="44" t="s">
        <v>220</v>
      </c>
      <c r="C46" s="290">
        <f>'Demanda (Legados)'!C7</f>
        <v>21185</v>
      </c>
      <c r="D46" s="290">
        <f>'Demanda (Legados)'!J7</f>
        <v>17793</v>
      </c>
      <c r="E46" s="46"/>
      <c r="G46" s="43">
        <f>IFERROR($C46*$H$20*'Premissas (Legados)'!$F$20*1000," ")</f>
        <v>288440031.67197496</v>
      </c>
      <c r="H46" s="43">
        <f>IFERROR($D46*$H$20*'Premissas (Legados)'!$F$20*1000," ")</f>
        <v>242256949.89565501</v>
      </c>
      <c r="I46" s="93"/>
    </row>
    <row r="47" spans="1:10" x14ac:dyDescent="0.35">
      <c r="A47" s="2" t="s">
        <v>46</v>
      </c>
      <c r="B47" s="44" t="s">
        <v>221</v>
      </c>
      <c r="C47" s="290">
        <f>'Demanda (Legados)'!C8</f>
        <v>11271.75</v>
      </c>
      <c r="D47" s="290">
        <f>'Demanda (Legados)'!J8</f>
        <v>8406</v>
      </c>
      <c r="E47" s="46"/>
      <c r="G47" s="43">
        <f>IFERROR($C47*$H$20*'Premissas (Legados)'!$F$20*1000," ")</f>
        <v>153468205.19228625</v>
      </c>
      <c r="H47" s="43">
        <f>IFERROR($D47*$H$20*'Premissas (Legados)'!$F$20*1000," ")</f>
        <v>114450172.58600999</v>
      </c>
      <c r="I47" s="93"/>
    </row>
    <row r="48" spans="1:10" x14ac:dyDescent="0.35">
      <c r="A48" s="2" t="s">
        <v>47</v>
      </c>
      <c r="B48" s="44" t="s">
        <v>222</v>
      </c>
      <c r="C48" s="290">
        <f>'Demanda (Legados)'!C9</f>
        <v>3249</v>
      </c>
      <c r="D48" s="290">
        <f>'Demanda (Legados)'!J9</f>
        <v>1714</v>
      </c>
      <c r="E48" s="46"/>
      <c r="G48" s="43">
        <f>IFERROR($C48*$H$20*'Premissas (Legados)'!$F$20*1000," ")</f>
        <v>44236094.543414995</v>
      </c>
      <c r="H48" s="43">
        <f>IFERROR($D48*$H$20*'Premissas (Legados)'!$F$20*1000," ")</f>
        <v>23336616.204189997</v>
      </c>
      <c r="I48" s="93"/>
    </row>
    <row r="49" spans="1:9" x14ac:dyDescent="0.35">
      <c r="A49" s="2" t="s">
        <v>48</v>
      </c>
      <c r="B49" s="44" t="s">
        <v>223</v>
      </c>
      <c r="C49" s="290">
        <f>'Demanda (Legados)'!C10</f>
        <v>498.75</v>
      </c>
      <c r="D49" s="290">
        <f>'Demanda (Legados)'!J10</f>
        <v>323</v>
      </c>
      <c r="E49" s="46"/>
      <c r="G49" s="43">
        <f>IFERROR($C49*$H$20*'Premissas (Legados)'!$F$20*1000," ")</f>
        <v>6790628.5483312495</v>
      </c>
      <c r="H49" s="43">
        <f>IFERROR($D49*$H$20*'Premissas (Legados)'!$F$20*1000," ")</f>
        <v>4397740.3932050001</v>
      </c>
      <c r="I49" s="93"/>
    </row>
    <row r="50" spans="1:9" x14ac:dyDescent="0.35">
      <c r="A50" s="2" t="s">
        <v>49</v>
      </c>
      <c r="B50" s="44" t="s">
        <v>224</v>
      </c>
      <c r="C50" s="290">
        <f>'Demanda (Legados)'!C11</f>
        <v>3321.2</v>
      </c>
      <c r="D50" s="290">
        <f>'Demanda (Legados)'!J11</f>
        <v>2128</v>
      </c>
      <c r="E50" s="46"/>
      <c r="G50" s="43">
        <f>IFERROR($C50*$H$20*'Premissas (Legados)'!$F$20*1000," ")</f>
        <v>45219118.866601996</v>
      </c>
      <c r="H50" s="43">
        <f>IFERROR($D50*$H$20*'Premissas (Legados)'!$F$20*1000," ")</f>
        <v>28973348.472879995</v>
      </c>
      <c r="I50" s="93"/>
    </row>
    <row r="51" spans="1:9" x14ac:dyDescent="0.35">
      <c r="A51" s="2" t="s">
        <v>50</v>
      </c>
      <c r="B51" s="44" t="s">
        <v>225</v>
      </c>
      <c r="C51" s="290">
        <f>'Demanda (Legados)'!C12</f>
        <v>14292.75</v>
      </c>
      <c r="D51" s="290">
        <f>'Demanda (Legados)'!J12</f>
        <v>1237</v>
      </c>
      <c r="E51" s="46"/>
      <c r="G51" s="43">
        <f>IFERROR($C51*$H$20*'Premissas (Legados)'!$F$20*1000," ")</f>
        <v>194600012.39932126</v>
      </c>
      <c r="H51" s="43">
        <f>IFERROR($D51*$H$20*'Premissas (Legados)'!$F$20*1000," ")</f>
        <v>16842120.329395</v>
      </c>
      <c r="I51" s="93"/>
    </row>
    <row r="52" spans="1:9" x14ac:dyDescent="0.35">
      <c r="A52" s="2" t="s">
        <v>51</v>
      </c>
      <c r="B52" s="44" t="s">
        <v>226</v>
      </c>
      <c r="C52" s="290">
        <f>'Demanda (Legados)'!C13</f>
        <v>3971</v>
      </c>
      <c r="D52" s="290">
        <f>'Demanda (Legados)'!J13</f>
        <v>2972</v>
      </c>
      <c r="E52" s="46"/>
      <c r="G52" s="43">
        <f>IFERROR($C52*$H$20*'Premissas (Legados)'!$F$20*1000," ")</f>
        <v>54066337.775284998</v>
      </c>
      <c r="H52" s="43">
        <f>IFERROR($D52*$H$20*'Premissas (Legados)'!$F$20*1000," ")</f>
        <v>40464657.735619992</v>
      </c>
      <c r="I52" s="93"/>
    </row>
    <row r="53" spans="1:9" x14ac:dyDescent="0.35">
      <c r="A53" s="2" t="s">
        <v>52</v>
      </c>
      <c r="B53" s="44" t="s">
        <v>227</v>
      </c>
      <c r="C53" s="290">
        <f>'Demanda (Legados)'!C14</f>
        <v>9941.75</v>
      </c>
      <c r="D53" s="290">
        <f>'Demanda (Legados)'!J14</f>
        <v>7969</v>
      </c>
      <c r="E53" s="46"/>
      <c r="G53" s="43">
        <f>IFERROR($C53*$H$20*'Premissas (Legados)'!$F$20*1000," ")</f>
        <v>135359862.39673626</v>
      </c>
      <c r="H53" s="43">
        <f>IFERROR($D53*$H$20*'Premissas (Legados)'!$F$20*1000," ")</f>
        <v>108500288.52461499</v>
      </c>
      <c r="I53" s="93"/>
    </row>
    <row r="54" spans="1:9" x14ac:dyDescent="0.35">
      <c r="A54" s="2" t="s">
        <v>53</v>
      </c>
      <c r="B54" s="44" t="s">
        <v>228</v>
      </c>
      <c r="C54" s="290">
        <f>'Demanda (Legados)'!C15</f>
        <v>3809.5</v>
      </c>
      <c r="D54" s="290">
        <f>'Demanda (Legados)'!J15</f>
        <v>3281</v>
      </c>
      <c r="E54" s="46"/>
      <c r="G54" s="43">
        <f>IFERROR($C54*$H$20*'Premissas (Legados)'!$F$20*1000," ")</f>
        <v>51867467.578682497</v>
      </c>
      <c r="H54" s="43">
        <f>IFERROR($D54*$H$20*'Premissas (Legados)'!$F$20*1000," ")</f>
        <v>44671783.994134992</v>
      </c>
      <c r="I54" s="93"/>
    </row>
    <row r="55" spans="1:9" x14ac:dyDescent="0.35">
      <c r="A55" s="2" t="s">
        <v>54</v>
      </c>
      <c r="B55" s="44" t="s">
        <v>269</v>
      </c>
      <c r="C55" s="249"/>
      <c r="D55" s="249"/>
      <c r="E55" s="274" t="s">
        <v>461</v>
      </c>
      <c r="G55" s="43">
        <f>IFERROR($C55*$H$20*'Premissas (Legados)'!$F$20*1000," ")</f>
        <v>0</v>
      </c>
      <c r="H55" s="43">
        <f>IFERROR($D55*$H$20*'Premissas (Legados)'!$F$20*1000," ")</f>
        <v>0</v>
      </c>
      <c r="I55" s="93"/>
    </row>
    <row r="56" spans="1:9" x14ac:dyDescent="0.35">
      <c r="A56" s="2" t="s">
        <v>55</v>
      </c>
      <c r="B56" s="44" t="s">
        <v>268</v>
      </c>
      <c r="C56" s="249"/>
      <c r="D56" s="249"/>
      <c r="E56" s="274" t="s">
        <v>461</v>
      </c>
      <c r="G56" s="43">
        <f>IFERROR($C56*$H$20*'Premissas (Legados)'!$F$20*1000," ")</f>
        <v>0</v>
      </c>
      <c r="H56" s="43">
        <f>IFERROR($D56*$H$20*'Premissas (Legados)'!$F$20*1000," ")</f>
        <v>0</v>
      </c>
      <c r="I56" s="93"/>
    </row>
    <row r="57" spans="1:9" x14ac:dyDescent="0.35">
      <c r="A57" s="2" t="s">
        <v>56</v>
      </c>
      <c r="B57" s="44" t="s">
        <v>267</v>
      </c>
      <c r="C57" s="249"/>
      <c r="D57" s="249"/>
      <c r="E57" s="274" t="s">
        <v>461</v>
      </c>
      <c r="G57" s="43">
        <f>IFERROR($C57*$H$20*'Premissas (Legados)'!$F$20*1000," ")</f>
        <v>0</v>
      </c>
      <c r="H57" s="43">
        <f>IFERROR($D57*$H$20*'Premissas (Legados)'!$F$20*1000," ")</f>
        <v>0</v>
      </c>
      <c r="I57" s="93"/>
    </row>
    <row r="58" spans="1:9" x14ac:dyDescent="0.35">
      <c r="C58" s="105">
        <f>SUM(C42:C57)</f>
        <v>78459.549999999988</v>
      </c>
      <c r="D58" s="105">
        <f>SUM(D42:D57)</f>
        <v>51180</v>
      </c>
      <c r="E58" s="105"/>
      <c r="G58" s="105">
        <f>SUM(G42:G57)</f>
        <v>1068249945.1011992</v>
      </c>
      <c r="H58" s="105">
        <f>SUM(H42:H57)</f>
        <v>696830815.24529994</v>
      </c>
      <c r="I58" s="93"/>
    </row>
    <row r="59" spans="1:9" x14ac:dyDescent="0.35">
      <c r="C59" s="104"/>
      <c r="D59" s="104"/>
      <c r="E59" s="104"/>
      <c r="G59" s="104"/>
      <c r="H59" s="104"/>
      <c r="I59" s="93"/>
    </row>
    <row r="60" spans="1:9" x14ac:dyDescent="0.35">
      <c r="C60" s="104"/>
      <c r="D60" s="104"/>
      <c r="E60" s="104"/>
      <c r="F60" s="104"/>
      <c r="G60" s="104"/>
      <c r="H60" s="104"/>
      <c r="I60" s="93"/>
    </row>
    <row r="61" spans="1:9" x14ac:dyDescent="0.35">
      <c r="C61" s="93"/>
      <c r="D61" s="93"/>
      <c r="F61" s="93"/>
      <c r="G61" s="93"/>
      <c r="H61" s="93"/>
    </row>
    <row r="62" spans="1:9" s="95" customFormat="1" x14ac:dyDescent="0.35">
      <c r="A62" s="95" t="s">
        <v>141</v>
      </c>
      <c r="B62" s="95" t="s">
        <v>142</v>
      </c>
    </row>
    <row r="63" spans="1:9" x14ac:dyDescent="0.35">
      <c r="A63" s="3"/>
    </row>
    <row r="64" spans="1:9" x14ac:dyDescent="0.35">
      <c r="A64" t="s">
        <v>125</v>
      </c>
      <c r="B64" t="s">
        <v>126</v>
      </c>
    </row>
    <row r="65" spans="1:12" ht="16.5" x14ac:dyDescent="0.45">
      <c r="A65" t="s">
        <v>289</v>
      </c>
      <c r="B65" t="s">
        <v>143</v>
      </c>
    </row>
    <row r="66" spans="1:12" x14ac:dyDescent="0.35">
      <c r="C66" s="2" t="s">
        <v>238</v>
      </c>
      <c r="D66" s="2" t="s">
        <v>133</v>
      </c>
      <c r="E66" s="2" t="s">
        <v>134</v>
      </c>
      <c r="F66" s="2" t="s">
        <v>135</v>
      </c>
      <c r="G66" s="2" t="s">
        <v>136</v>
      </c>
      <c r="H66" s="2" t="s">
        <v>239</v>
      </c>
      <c r="I66" s="2" t="s">
        <v>137</v>
      </c>
      <c r="J66" s="2" t="s">
        <v>240</v>
      </c>
      <c r="K66" s="2" t="s">
        <v>138</v>
      </c>
      <c r="L66" s="2" t="s">
        <v>139</v>
      </c>
    </row>
    <row r="67" spans="1:12" ht="23" x14ac:dyDescent="0.35">
      <c r="C67" s="45" t="s">
        <v>251</v>
      </c>
      <c r="D67" s="45" t="s">
        <v>26</v>
      </c>
      <c r="E67" s="45" t="s">
        <v>488</v>
      </c>
      <c r="F67" s="45" t="s">
        <v>243</v>
      </c>
      <c r="G67" s="45" t="s">
        <v>27</v>
      </c>
      <c r="H67" s="45" t="s">
        <v>29</v>
      </c>
      <c r="I67" s="45" t="s">
        <v>24</v>
      </c>
      <c r="J67" s="45" t="s">
        <v>264</v>
      </c>
      <c r="K67" s="45" t="s">
        <v>266</v>
      </c>
      <c r="L67" s="45" t="s">
        <v>265</v>
      </c>
    </row>
    <row r="68" spans="1:12" x14ac:dyDescent="0.35">
      <c r="A68" s="2" t="s">
        <v>41</v>
      </c>
      <c r="B68" s="44" t="str">
        <f>B42</f>
        <v>NTS MG 1</v>
      </c>
      <c r="C68" s="291">
        <f ca="1">VLOOKUP($B68,'Matriz Distâncias NTS'!$S$2:$AC$18,2,0)</f>
        <v>447.1</v>
      </c>
      <c r="D68" s="291">
        <f ca="1">VLOOKUP($B68,'Matriz Distâncias NTS'!$S$2:$AC$18,3,0)</f>
        <v>251.935</v>
      </c>
      <c r="E68" s="291">
        <f ca="1">VLOOKUP($B68,'Matriz Distâncias NTS'!$S$2:$AC$18,4,0)</f>
        <v>301.35699999999997</v>
      </c>
      <c r="F68" s="291">
        <f ca="1">VLOOKUP($B68,'Matriz Distâncias NTS'!$S$2:$AC$18,8,0)</f>
        <v>550.255</v>
      </c>
      <c r="G68" s="291">
        <f ca="1">VLOOKUP($B68,'Matriz Distâncias NTS'!$S$2:$AC$18,7,0)</f>
        <v>133.93299999999999</v>
      </c>
      <c r="H68" s="291">
        <f ca="1">VLOOKUP($B68,'Matriz Distâncias NTS'!$S$2:$AC$18,9,0)</f>
        <v>519.08299999999997</v>
      </c>
      <c r="I68" s="291">
        <f ca="1">VLOOKUP($B68,'Matriz Distâncias NTS'!$S$2:$AC$18,10,0)</f>
        <v>432.233</v>
      </c>
      <c r="J68" s="291">
        <f ca="1">VLOOKUP($B68,'Matriz Distâncias NTS'!$S$2:$AC$18,5,0)</f>
        <v>412.91999999999996</v>
      </c>
      <c r="K68" s="291">
        <f ca="1">VLOOKUP($B68,'Matriz Distâncias NTS'!$S$2:$AC$18,8,0)</f>
        <v>550.255</v>
      </c>
      <c r="L68" s="291">
        <f ca="1">VLOOKUP($B68,'Matriz Distâncias NTS'!$S$2:$AC$18,11,0)</f>
        <v>432.233</v>
      </c>
    </row>
    <row r="69" spans="1:12" x14ac:dyDescent="0.35">
      <c r="A69" s="2" t="s">
        <v>42</v>
      </c>
      <c r="B69" s="44" t="str">
        <f>B43</f>
        <v>NTS MG 2</v>
      </c>
      <c r="C69" s="291">
        <f ca="1">VLOOKUP($B69,'Matriz Distâncias NTS'!$S$2:$AC$18,2,0)</f>
        <v>544.26400000000001</v>
      </c>
      <c r="D69" s="291">
        <f ca="1">VLOOKUP($B69,'Matriz Distâncias NTS'!$S$2:$AC$18,3,0)</f>
        <v>349.09899999999999</v>
      </c>
      <c r="E69" s="291">
        <f ca="1">VLOOKUP($B69,'Matriz Distâncias NTS'!$S$2:$AC$18,4,0)</f>
        <v>398.52100000000002</v>
      </c>
      <c r="F69" s="291">
        <f ca="1">VLOOKUP($B69,'Matriz Distâncias NTS'!$S$2:$AC$18,8,0)</f>
        <v>647.41899999999998</v>
      </c>
      <c r="G69" s="291">
        <f ca="1">VLOOKUP($B69,'Matriz Distâncias NTS'!$S$2:$AC$18,7,0)</f>
        <v>231.09699999999998</v>
      </c>
      <c r="H69" s="291">
        <f ca="1">VLOOKUP($B69,'Matriz Distâncias NTS'!$S$2:$AC$18,9,0)</f>
        <v>616.24699999999996</v>
      </c>
      <c r="I69" s="291">
        <f ca="1">VLOOKUP($B69,'Matriz Distâncias NTS'!$S$2:$AC$18,10,0)</f>
        <v>529.39700000000005</v>
      </c>
      <c r="J69" s="291">
        <f ca="1">VLOOKUP($B69,'Matriz Distâncias NTS'!$S$2:$AC$18,5,0)</f>
        <v>510.08400000000006</v>
      </c>
      <c r="K69" s="291">
        <f ca="1">VLOOKUP($B69,'Matriz Distâncias NTS'!$S$2:$AC$18,8,0)</f>
        <v>647.41899999999998</v>
      </c>
      <c r="L69" s="291">
        <f ca="1">VLOOKUP($B69,'Matriz Distâncias NTS'!$S$2:$AC$18,11,0)</f>
        <v>529.39700000000005</v>
      </c>
    </row>
    <row r="70" spans="1:12" x14ac:dyDescent="0.35">
      <c r="A70" s="2" t="s">
        <v>43</v>
      </c>
      <c r="B70" s="44" t="str">
        <f>B44</f>
        <v>NTS MG 3</v>
      </c>
      <c r="C70" s="291">
        <f ca="1">VLOOKUP($B70,'Matriz Distâncias NTS'!$S$2:$AC$18,2,0)</f>
        <v>661.42919999999992</v>
      </c>
      <c r="D70" s="291">
        <f ca="1">VLOOKUP($B70,'Matriz Distâncias NTS'!$S$2:$AC$18,3,0)</f>
        <v>466.26419999999996</v>
      </c>
      <c r="E70" s="291">
        <f ca="1">VLOOKUP($B70,'Matriz Distâncias NTS'!$S$2:$AC$18,4,0)</f>
        <v>515.68619999999999</v>
      </c>
      <c r="F70" s="291">
        <f ca="1">VLOOKUP($B70,'Matriz Distâncias NTS'!$S$2:$AC$18,8,0)</f>
        <v>764.58420000000001</v>
      </c>
      <c r="G70" s="291">
        <f ca="1">VLOOKUP($B70,'Matriz Distâncias NTS'!$S$2:$AC$18,7,0)</f>
        <v>348.26220000000001</v>
      </c>
      <c r="H70" s="291">
        <f ca="1">VLOOKUP($B70,'Matriz Distâncias NTS'!$S$2:$AC$18,9,0)</f>
        <v>733.4122000000001</v>
      </c>
      <c r="I70" s="291">
        <f ca="1">VLOOKUP($B70,'Matriz Distâncias NTS'!$S$2:$AC$18,10,0)</f>
        <v>646.56219999999996</v>
      </c>
      <c r="J70" s="291">
        <f ca="1">VLOOKUP($B70,'Matriz Distâncias NTS'!$S$2:$AC$18,5,0)</f>
        <v>627.24920000000009</v>
      </c>
      <c r="K70" s="291">
        <f ca="1">VLOOKUP($B70,'Matriz Distâncias NTS'!$S$2:$AC$18,8,0)</f>
        <v>764.58420000000001</v>
      </c>
      <c r="L70" s="291">
        <f ca="1">VLOOKUP($B70,'Matriz Distâncias NTS'!$S$2:$AC$18,11,0)</f>
        <v>646.56219999999996</v>
      </c>
    </row>
    <row r="71" spans="1:12" x14ac:dyDescent="0.35">
      <c r="A71" s="2" t="s">
        <v>44</v>
      </c>
      <c r="B71" s="44" t="str">
        <f t="shared" ref="B71:B83" si="0">B45</f>
        <v>NTS MG 4</v>
      </c>
      <c r="C71" s="291">
        <f ca="1">VLOOKUP($B71,'Matriz Distâncias NTS'!$S$2:$AC$18,2,0)</f>
        <v>394.62900000000002</v>
      </c>
      <c r="D71" s="291">
        <f ca="1">VLOOKUP($B71,'Matriz Distâncias NTS'!$S$2:$AC$18,3,0)</f>
        <v>596.17999999999995</v>
      </c>
      <c r="E71" s="291">
        <f ca="1">VLOOKUP($B71,'Matriz Distâncias NTS'!$S$2:$AC$18,4,0)</f>
        <v>645.60199999999998</v>
      </c>
      <c r="F71" s="291">
        <f ca="1">VLOOKUP($B71,'Matriz Distâncias NTS'!$S$2:$AC$18,8,0)</f>
        <v>93.766000000000005</v>
      </c>
      <c r="G71" s="291">
        <f ca="1">VLOOKUP($B71,'Matriz Distâncias NTS'!$S$2:$AC$18,7,0)</f>
        <v>598.4799999999999</v>
      </c>
      <c r="H71" s="291">
        <f ca="1">VLOOKUP($B71,'Matriz Distâncias NTS'!$S$2:$AC$18,9,0)</f>
        <v>466.61200000000002</v>
      </c>
      <c r="I71" s="291">
        <f ca="1">VLOOKUP($B71,'Matriz Distâncias NTS'!$S$2:$AC$18,10,0)</f>
        <v>776.47799999999995</v>
      </c>
      <c r="J71" s="291">
        <f ca="1">VLOOKUP($B71,'Matriz Distâncias NTS'!$S$2:$AC$18,5,0)</f>
        <v>360.44900000000001</v>
      </c>
      <c r="K71" s="291">
        <f ca="1">VLOOKUP($B71,'Matriz Distâncias NTS'!$S$2:$AC$18,8,0)</f>
        <v>93.766000000000005</v>
      </c>
      <c r="L71" s="291">
        <f ca="1">VLOOKUP($B71,'Matriz Distâncias NTS'!$S$2:$AC$18,11,0)</f>
        <v>776.47799999999995</v>
      </c>
    </row>
    <row r="72" spans="1:12" x14ac:dyDescent="0.35">
      <c r="A72" s="2" t="s">
        <v>45</v>
      </c>
      <c r="B72" s="44" t="str">
        <f t="shared" si="0"/>
        <v>NTS RJ 1</v>
      </c>
      <c r="C72" s="291">
        <f ca="1">VLOOKUP($B72,'Matriz Distâncias NTS'!$S$2:$AC$18,2,0)</f>
        <v>460.82099999999997</v>
      </c>
      <c r="D72" s="291">
        <f ca="1">VLOOKUP($B72,'Matriz Distâncias NTS'!$S$2:$AC$18,3,0)</f>
        <v>64.091333333333338</v>
      </c>
      <c r="E72" s="291">
        <f ca="1">VLOOKUP($B72,'Matriz Distâncias NTS'!$S$2:$AC$18,4,0)</f>
        <v>75.091333333333338</v>
      </c>
      <c r="F72" s="291">
        <f ca="1">VLOOKUP($B72,'Matriz Distâncias NTS'!$S$2:$AC$18,8,0)</f>
        <v>563.976</v>
      </c>
      <c r="G72" s="291">
        <f ca="1">VLOOKUP($B72,'Matriz Distâncias NTS'!$S$2:$AC$18,7,0)</f>
        <v>64.091333333333338</v>
      </c>
      <c r="H72" s="291">
        <f ca="1">VLOOKUP($B72,'Matriz Distâncias NTS'!$S$2:$AC$18,9,0)</f>
        <v>530.12266666666665</v>
      </c>
      <c r="I72" s="291">
        <f ca="1">VLOOKUP($B72,'Matriz Distâncias NTS'!$S$2:$AC$18,10,0)</f>
        <v>120.26933333333334</v>
      </c>
      <c r="J72" s="291">
        <f ca="1">VLOOKUP($B72,'Matriz Distâncias NTS'!$S$2:$AC$18,5,0)</f>
        <v>423.95966666666664</v>
      </c>
      <c r="K72" s="291">
        <f ca="1">VLOOKUP($B72,'Matriz Distâncias NTS'!$S$2:$AC$18,8,0)</f>
        <v>563.976</v>
      </c>
      <c r="L72" s="291">
        <f ca="1">VLOOKUP($B72,'Matriz Distâncias NTS'!$S$2:$AC$18,11,0)</f>
        <v>120.26933333333334</v>
      </c>
    </row>
    <row r="73" spans="1:12" x14ac:dyDescent="0.35">
      <c r="A73" s="2" t="s">
        <v>46</v>
      </c>
      <c r="B73" s="44" t="str">
        <f t="shared" si="0"/>
        <v>NTS RJ 2</v>
      </c>
      <c r="C73" s="291">
        <f ca="1">VLOOKUP($B73,'Matriz Distâncias NTS'!$S$2:$AC$18,2,0)</f>
        <v>352.80099999999999</v>
      </c>
      <c r="D73" s="291">
        <f ca="1">VLOOKUP($B73,'Matriz Distâncias NTS'!$S$2:$AC$18,3,0)</f>
        <v>46.097999999999992</v>
      </c>
      <c r="E73" s="291">
        <f ca="1">VLOOKUP($B73,'Matriz Distâncias NTS'!$S$2:$AC$18,4,0)</f>
        <v>95.519999999999982</v>
      </c>
      <c r="F73" s="291">
        <f ca="1">VLOOKUP($B73,'Matriz Distâncias NTS'!$S$2:$AC$18,8,0)</f>
        <v>456.31599999999997</v>
      </c>
      <c r="G73" s="291">
        <f ca="1">VLOOKUP($B73,'Matriz Distâncias NTS'!$S$2:$AC$18,7,0)</f>
        <v>45.943333333333328</v>
      </c>
      <c r="H73" s="291">
        <f ca="1">VLOOKUP($B73,'Matriz Distâncias NTS'!$S$2:$AC$18,9,0)</f>
        <v>424.06400000000002</v>
      </c>
      <c r="I73" s="291">
        <f ca="1">VLOOKUP($B73,'Matriz Distâncias NTS'!$S$2:$AC$18,10,0)</f>
        <v>226.39599999999999</v>
      </c>
      <c r="J73" s="291">
        <f ca="1">VLOOKUP($B73,'Matriz Distâncias NTS'!$S$2:$AC$18,5,0)</f>
        <v>318.62100000000004</v>
      </c>
      <c r="K73" s="291">
        <f ca="1">VLOOKUP($B73,'Matriz Distâncias NTS'!$S$2:$AC$18,8,0)</f>
        <v>456.31599999999997</v>
      </c>
      <c r="L73" s="291">
        <f ca="1">VLOOKUP($B73,'Matriz Distâncias NTS'!$S$2:$AC$18,11,0)</f>
        <v>226.39599999999999</v>
      </c>
    </row>
    <row r="74" spans="1:12" x14ac:dyDescent="0.35">
      <c r="A74" s="2" t="s">
        <v>47</v>
      </c>
      <c r="B74" s="44" t="str">
        <f t="shared" si="0"/>
        <v>NTS RJ 3</v>
      </c>
      <c r="C74" s="291">
        <f ca="1">VLOOKUP($B74,'Matriz Distâncias NTS'!$S$2:$AC$18,2,0)</f>
        <v>307.62360000000001</v>
      </c>
      <c r="D74" s="291">
        <f ca="1">VLOOKUP($B74,'Matriz Distâncias NTS'!$S$2:$AC$18,3,0)</f>
        <v>92.737400000000008</v>
      </c>
      <c r="E74" s="291">
        <f ca="1">VLOOKUP($B74,'Matriz Distâncias NTS'!$S$2:$AC$18,4,0)</f>
        <v>142.15940000000001</v>
      </c>
      <c r="F74" s="291">
        <f ca="1">VLOOKUP($B74,'Matriz Distâncias NTS'!$S$2:$AC$18,8,0)</f>
        <v>448.94899999999996</v>
      </c>
      <c r="G74" s="291">
        <f ca="1">VLOOKUP($B74,'Matriz Distâncias NTS'!$S$2:$AC$18,7,0)</f>
        <v>89.951799999999992</v>
      </c>
      <c r="H74" s="291">
        <f ca="1">VLOOKUP($B74,'Matriz Distâncias NTS'!$S$2:$AC$18,9,0)</f>
        <v>379.60659999999996</v>
      </c>
      <c r="I74" s="291">
        <f ca="1">VLOOKUP($B74,'Matriz Distâncias NTS'!$S$2:$AC$18,10,0)</f>
        <v>273.03540000000004</v>
      </c>
      <c r="J74" s="291">
        <f ca="1">VLOOKUP($B74,'Matriz Distâncias NTS'!$S$2:$AC$18,5,0)</f>
        <v>273.44359999999995</v>
      </c>
      <c r="K74" s="291">
        <f ca="1">VLOOKUP($B74,'Matriz Distâncias NTS'!$S$2:$AC$18,8,0)</f>
        <v>448.94899999999996</v>
      </c>
      <c r="L74" s="291">
        <f ca="1">VLOOKUP($B74,'Matriz Distâncias NTS'!$S$2:$AC$18,11,0)</f>
        <v>273.03540000000004</v>
      </c>
    </row>
    <row r="75" spans="1:12" x14ac:dyDescent="0.35">
      <c r="A75" s="2" t="s">
        <v>48</v>
      </c>
      <c r="B75" s="44" t="str">
        <f t="shared" si="0"/>
        <v>NTS RJ 4</v>
      </c>
      <c r="C75" s="291">
        <f ca="1">VLOOKUP($B75,'Matriz Distâncias NTS'!$S$2:$AC$18,2,0)</f>
        <v>244.471</v>
      </c>
      <c r="D75" s="291">
        <f ca="1">VLOOKUP($B75,'Matriz Distâncias NTS'!$S$2:$AC$18,3,0)</f>
        <v>154.518</v>
      </c>
      <c r="E75" s="291">
        <f ca="1">VLOOKUP($B75,'Matriz Distâncias NTS'!$S$2:$AC$18,4,0)</f>
        <v>203.93999999999997</v>
      </c>
      <c r="F75" s="291">
        <f ca="1">VLOOKUP($B75,'Matriz Distâncias NTS'!$S$2:$AC$18,8,0)</f>
        <v>347.89600000000002</v>
      </c>
      <c r="G75" s="291">
        <f ca="1">VLOOKUP($B75,'Matriz Distâncias NTS'!$S$2:$AC$18,7,0)</f>
        <v>156.81800000000001</v>
      </c>
      <c r="H75" s="291">
        <f ca="1">VLOOKUP($B75,'Matriz Distâncias NTS'!$S$2:$AC$18,9,0)</f>
        <v>316.72399999999999</v>
      </c>
      <c r="I75" s="291">
        <f ca="1">VLOOKUP($B75,'Matriz Distâncias NTS'!$S$2:$AC$18,10,0)</f>
        <v>334.81599999999997</v>
      </c>
      <c r="J75" s="291">
        <f ca="1">VLOOKUP($B75,'Matriz Distâncias NTS'!$S$2:$AC$18,5,0)</f>
        <v>210.56099999999998</v>
      </c>
      <c r="K75" s="291">
        <f ca="1">VLOOKUP($B75,'Matriz Distâncias NTS'!$S$2:$AC$18,8,0)</f>
        <v>347.89600000000002</v>
      </c>
      <c r="L75" s="291">
        <f ca="1">VLOOKUP($B75,'Matriz Distâncias NTS'!$S$2:$AC$18,11,0)</f>
        <v>334.81599999999997</v>
      </c>
    </row>
    <row r="76" spans="1:12" x14ac:dyDescent="0.35">
      <c r="A76" s="2" t="s">
        <v>49</v>
      </c>
      <c r="B76" s="44" t="str">
        <f t="shared" si="0"/>
        <v>NTS RJ 5</v>
      </c>
      <c r="C76" s="291">
        <f ca="1">VLOOKUP($B76,'Matriz Distâncias NTS'!$S$2:$AC$18,2,0)</f>
        <v>395.91849999999999</v>
      </c>
      <c r="D76" s="291">
        <f ca="1">VLOOKUP($B76,'Matriz Distâncias NTS'!$S$2:$AC$18,3,0)</f>
        <v>36.580500000000001</v>
      </c>
      <c r="E76" s="291">
        <f ca="1">VLOOKUP($B76,'Matriz Distâncias NTS'!$S$2:$AC$18,4,0)</f>
        <v>87.152500000000003</v>
      </c>
      <c r="F76" s="291">
        <f ca="1">VLOOKUP($B76,'Matriz Distâncias NTS'!$S$2:$AC$18,8,0)</f>
        <v>499.07349999999997</v>
      </c>
      <c r="G76" s="291">
        <f ca="1">VLOOKUP($B76,'Matriz Distâncias NTS'!$S$2:$AC$18,7,0)</f>
        <v>34.080500000000001</v>
      </c>
      <c r="H76" s="291">
        <f ca="1">VLOOKUP($B76,'Matriz Distâncias NTS'!$S$2:$AC$18,9,0)</f>
        <v>463.87950000000001</v>
      </c>
      <c r="I76" s="291">
        <f ca="1">VLOOKUP($B76,'Matriz Distâncias NTS'!$S$2:$AC$18,10,0)</f>
        <v>218.02850000000001</v>
      </c>
      <c r="J76" s="291">
        <f ca="1">VLOOKUP($B76,'Matriz Distâncias NTS'!$S$2:$AC$18,5,0)</f>
        <v>357.71899999999999</v>
      </c>
      <c r="K76" s="291">
        <f ca="1">VLOOKUP($B76,'Matriz Distâncias NTS'!$S$2:$AC$18,8,0)</f>
        <v>499.07349999999997</v>
      </c>
      <c r="L76" s="291">
        <f ca="1">VLOOKUP($B76,'Matriz Distâncias NTS'!$S$2:$AC$18,11,0)</f>
        <v>218.02850000000001</v>
      </c>
    </row>
    <row r="77" spans="1:12" x14ac:dyDescent="0.35">
      <c r="A77" s="2" t="s">
        <v>50</v>
      </c>
      <c r="B77" s="44" t="str">
        <f t="shared" si="0"/>
        <v>NTS SP 1</v>
      </c>
      <c r="C77" s="291">
        <f ca="1">VLOOKUP($B77,'Matriz Distâncias NTS'!$S$2:$AC$18,2,0)</f>
        <v>162.84283333333335</v>
      </c>
      <c r="D77" s="291">
        <f ca="1">VLOOKUP($B77,'Matriz Distâncias NTS'!$S$2:$AC$18,3,0)</f>
        <v>343.1248333333333</v>
      </c>
      <c r="E77" s="291">
        <f ca="1">VLOOKUP($B77,'Matriz Distâncias NTS'!$S$2:$AC$18,4,0)</f>
        <v>329.05316666666664</v>
      </c>
      <c r="F77" s="291">
        <f ca="1">VLOOKUP($B77,'Matriz Distâncias NTS'!$S$2:$AC$18,8,0)</f>
        <v>222.24283333333335</v>
      </c>
      <c r="G77" s="291">
        <f ca="1">VLOOKUP($B77,'Matriz Distâncias NTS'!$S$2:$AC$18,7,0)</f>
        <v>278.44916666666666</v>
      </c>
      <c r="H77" s="291">
        <f ca="1">VLOOKUP($B77,'Matriz Distâncias NTS'!$S$2:$AC$18,9,0)</f>
        <v>234.82583333333335</v>
      </c>
      <c r="I77" s="291">
        <f ca="1">VLOOKUP($B77,'Matriz Distâncias NTS'!$S$2:$AC$18,10,0)</f>
        <v>459.92916666666662</v>
      </c>
      <c r="J77" s="291">
        <f ca="1">VLOOKUP($B77,'Matriz Distâncias NTS'!$S$2:$AC$18,5,0)</f>
        <v>128.66283333333334</v>
      </c>
      <c r="K77" s="291">
        <f ca="1">VLOOKUP($B77,'Matriz Distâncias NTS'!$S$2:$AC$18,8,0)</f>
        <v>222.24283333333335</v>
      </c>
      <c r="L77" s="291">
        <f ca="1">VLOOKUP($B77,'Matriz Distâncias NTS'!$S$2:$AC$18,11,0)</f>
        <v>459.92916666666662</v>
      </c>
    </row>
    <row r="78" spans="1:12" x14ac:dyDescent="0.35">
      <c r="A78" s="2" t="s">
        <v>51</v>
      </c>
      <c r="B78" s="44" t="str">
        <f t="shared" si="0"/>
        <v>NTS SP 2</v>
      </c>
      <c r="C78" s="291">
        <f ca="1">VLOOKUP($B78,'Matriz Distâncias NTS'!$S$2:$AC$18,2,0)</f>
        <v>77.567999999999998</v>
      </c>
      <c r="D78" s="291">
        <f ca="1">VLOOKUP($B78,'Matriz Distâncias NTS'!$S$2:$AC$18,3,0)</f>
        <v>319.46766666666667</v>
      </c>
      <c r="E78" s="291">
        <f ca="1">VLOOKUP($B78,'Matriz Distâncias NTS'!$S$2:$AC$18,4,0)</f>
        <v>367.80966666666671</v>
      </c>
      <c r="F78" s="291">
        <f ca="1">VLOOKUP($B78,'Matriz Distâncias NTS'!$S$2:$AC$18,8,0)</f>
        <v>221.07166666666669</v>
      </c>
      <c r="G78" s="291">
        <f ca="1">VLOOKUP($B78,'Matriz Distâncias NTS'!$S$2:$AC$18,7,0)</f>
        <v>321.76766666666668</v>
      </c>
      <c r="H78" s="291">
        <f ca="1">VLOOKUP($B78,'Matriz Distâncias NTS'!$S$2:$AC$18,9,0)</f>
        <v>151.77433333333332</v>
      </c>
      <c r="I78" s="291">
        <f ca="1">VLOOKUP($B78,'Matriz Distâncias NTS'!$S$2:$AC$18,10,0)</f>
        <v>498.68566666666669</v>
      </c>
      <c r="J78" s="291">
        <f ca="1">VLOOKUP($B78,'Matriz Distâncias NTS'!$S$2:$AC$18,5,0)</f>
        <v>45.611333333333334</v>
      </c>
      <c r="K78" s="291">
        <f ca="1">VLOOKUP($B78,'Matriz Distâncias NTS'!$S$2:$AC$18,8,0)</f>
        <v>221.07166666666669</v>
      </c>
      <c r="L78" s="291">
        <f ca="1">VLOOKUP($B78,'Matriz Distâncias NTS'!$S$2:$AC$18,11,0)</f>
        <v>498.68566666666669</v>
      </c>
    </row>
    <row r="79" spans="1:12" x14ac:dyDescent="0.35">
      <c r="A79" s="2" t="s">
        <v>52</v>
      </c>
      <c r="B79" s="44" t="str">
        <f t="shared" si="0"/>
        <v>NTS SP 3</v>
      </c>
      <c r="C79" s="291">
        <f ca="1">VLOOKUP($B79,'Matriz Distâncias NTS'!$S$2:$AC$18,2,0)</f>
        <v>176.60120000000001</v>
      </c>
      <c r="D79" s="291">
        <f ca="1">VLOOKUP($B79,'Matriz Distâncias NTS'!$S$2:$AC$18,3,0)</f>
        <v>435.43320000000006</v>
      </c>
      <c r="E79" s="291">
        <f ca="1">VLOOKUP($B79,'Matriz Distâncias NTS'!$S$2:$AC$18,4,0)</f>
        <v>483.80799999999999</v>
      </c>
      <c r="F79" s="291">
        <f ca="1">VLOOKUP($B79,'Matriz Distâncias NTS'!$S$2:$AC$18,8,0)</f>
        <v>337.03720000000004</v>
      </c>
      <c r="G79" s="291">
        <f ca="1">VLOOKUP($B79,'Matriz Distâncias NTS'!$S$2:$AC$18,7,0)</f>
        <v>437.73320000000001</v>
      </c>
      <c r="H79" s="291">
        <f ca="1">VLOOKUP($B79,'Matriz Distâncias NTS'!$S$2:$AC$18,9,0)</f>
        <v>46.044000000000004</v>
      </c>
      <c r="I79" s="291">
        <f ca="1">VLOOKUP($B79,'Matriz Distâncias NTS'!$S$2:$AC$18,10,0)</f>
        <v>614.68399999999997</v>
      </c>
      <c r="J79" s="291">
        <f ca="1">VLOOKUP($B79,'Matriz Distâncias NTS'!$S$2:$AC$18,5,0)</f>
        <v>70.354199999999992</v>
      </c>
      <c r="K79" s="291">
        <f ca="1">VLOOKUP($B79,'Matriz Distâncias NTS'!$S$2:$AC$18,8,0)</f>
        <v>337.03720000000004</v>
      </c>
      <c r="L79" s="291">
        <f ca="1">VLOOKUP($B79,'Matriz Distâncias NTS'!$S$2:$AC$18,11,0)</f>
        <v>614.68399999999997</v>
      </c>
    </row>
    <row r="80" spans="1:12" x14ac:dyDescent="0.35">
      <c r="A80" s="2" t="s">
        <v>53</v>
      </c>
      <c r="B80" s="44" t="str">
        <f t="shared" si="0"/>
        <v>NTS SP 4</v>
      </c>
      <c r="C80" s="291">
        <f ca="1">VLOOKUP($B80,'Matriz Distâncias NTS'!$S$2:$AC$18,2,0)</f>
        <v>211.58399999999997</v>
      </c>
      <c r="D80" s="291">
        <f ca="1">VLOOKUP($B80,'Matriz Distâncias NTS'!$S$2:$AC$18,3,0)</f>
        <v>470.416</v>
      </c>
      <c r="E80" s="291">
        <f ca="1">VLOOKUP($B80,'Matriz Distâncias NTS'!$S$2:$AC$18,4,0)</f>
        <v>519.83799999999997</v>
      </c>
      <c r="F80" s="291">
        <f ca="1">VLOOKUP($B80,'Matriz Distâncias NTS'!$S$2:$AC$18,8,0)</f>
        <v>372.02</v>
      </c>
      <c r="G80" s="291">
        <f ca="1">VLOOKUP($B80,'Matriz Distâncias NTS'!$S$2:$AC$18,7,0)</f>
        <v>472.71600000000007</v>
      </c>
      <c r="H80" s="291">
        <f ca="1">VLOOKUP($B80,'Matriz Distâncias NTS'!$S$2:$AC$18,9,0)</f>
        <v>0.82600000000000007</v>
      </c>
      <c r="I80" s="291">
        <f ca="1">VLOOKUP($B80,'Matriz Distâncias NTS'!$S$2:$AC$18,10,0)</f>
        <v>650.71399999999994</v>
      </c>
      <c r="J80" s="291">
        <f ca="1">VLOOKUP($B80,'Matriz Distâncias NTS'!$S$2:$AC$18,5,0)</f>
        <v>105.337</v>
      </c>
      <c r="K80" s="291">
        <f ca="1">VLOOKUP($B80,'Matriz Distâncias NTS'!$S$2:$AC$18,8,0)</f>
        <v>372.02</v>
      </c>
      <c r="L80" s="291">
        <f ca="1">VLOOKUP($B80,'Matriz Distâncias NTS'!$S$2:$AC$18,11,0)</f>
        <v>650.71399999999994</v>
      </c>
    </row>
    <row r="81" spans="1:12" x14ac:dyDescent="0.35">
      <c r="A81" s="2" t="s">
        <v>54</v>
      </c>
      <c r="B81" s="44" t="str">
        <f t="shared" si="0"/>
        <v>PE-GUARAREMA (INTERCONEXÃO)</v>
      </c>
      <c r="C81" s="291">
        <f>VLOOKUP($B81,'Matriz Distâncias NTS'!$S$2:$AC$18,2,0)</f>
        <v>106.247</v>
      </c>
      <c r="D81" s="291">
        <f>VLOOKUP($B81,'Matriz Distâncias NTS'!$S$2:$AC$18,3,0)</f>
        <v>365.07900000000001</v>
      </c>
      <c r="E81" s="291">
        <f>VLOOKUP($B81,'Matriz Distâncias NTS'!$S$2:$AC$18,4,0)</f>
        <v>414.50099999999998</v>
      </c>
      <c r="F81" s="291">
        <f>VLOOKUP($B81,'Matriz Distâncias NTS'!$S$2:$AC$18,8,0)</f>
        <v>266.68299999999999</v>
      </c>
      <c r="G81" s="291">
        <f>VLOOKUP($B81,'Matriz Distâncias NTS'!$S$2:$AC$18,7,0)</f>
        <v>367.37900000000002</v>
      </c>
      <c r="H81" s="291">
        <f>VLOOKUP($B81,'Matriz Distâncias NTS'!$S$2:$AC$18,9,0)</f>
        <v>106.163</v>
      </c>
      <c r="I81" s="291">
        <f>VLOOKUP($B81,'Matriz Distâncias NTS'!$S$2:$AC$18,10,0)</f>
        <v>545.37699999999995</v>
      </c>
      <c r="J81" s="291">
        <f>VLOOKUP($B81,'Matriz Distâncias NTS'!$S$2:$AC$18,5,0)</f>
        <v>0</v>
      </c>
      <c r="K81" s="291">
        <f>VLOOKUP($B81,'Matriz Distâncias NTS'!$S$2:$AC$18,8,0)</f>
        <v>266.68299999999999</v>
      </c>
      <c r="L81" s="291">
        <f>VLOOKUP($B81,'Matriz Distâncias NTS'!$S$2:$AC$18,11,0)</f>
        <v>545.37699999999995</v>
      </c>
    </row>
    <row r="82" spans="1:12" x14ac:dyDescent="0.35">
      <c r="A82" s="2" t="s">
        <v>55</v>
      </c>
      <c r="B82" s="44" t="str">
        <f t="shared" si="0"/>
        <v>PE-REPLAN (INTERCONEXÃO)</v>
      </c>
      <c r="C82" s="291">
        <f>VLOOKUP($B82,'Matriz Distâncias NTS'!$S$2:$AC$18,2,0)</f>
        <v>300.863</v>
      </c>
      <c r="D82" s="291">
        <f>VLOOKUP($B82,'Matriz Distâncias NTS'!$S$2:$AC$18,3,0)</f>
        <v>502.41399999999999</v>
      </c>
      <c r="E82" s="291">
        <f>VLOOKUP($B82,'Matriz Distâncias NTS'!$S$2:$AC$18,4,0)</f>
        <v>551.83600000000001</v>
      </c>
      <c r="F82" s="291">
        <f>VLOOKUP($B82,'Matriz Distâncias NTS'!$S$2:$AC$18,8,0)</f>
        <v>0</v>
      </c>
      <c r="G82" s="291">
        <f>VLOOKUP($B82,'Matriz Distâncias NTS'!$S$2:$AC$18,7,0)</f>
        <v>504.714</v>
      </c>
      <c r="H82" s="291">
        <f>VLOOKUP($B82,'Matriz Distâncias NTS'!$S$2:$AC$18,9,0)</f>
        <v>372.846</v>
      </c>
      <c r="I82" s="291">
        <f>VLOOKUP($B82,'Matriz Distâncias NTS'!$S$2:$AC$18,10,0)</f>
        <v>682.71199999999999</v>
      </c>
      <c r="J82" s="291">
        <f>VLOOKUP($B82,'Matriz Distâncias NTS'!$S$2:$AC$18,5,0)</f>
        <v>266.68299999999999</v>
      </c>
      <c r="K82" s="291">
        <f>VLOOKUP($B82,'Matriz Distâncias NTS'!$S$2:$AC$18,8,0)</f>
        <v>0</v>
      </c>
      <c r="L82" s="291">
        <f>VLOOKUP($B82,'Matriz Distâncias NTS'!$S$2:$AC$18,11,0)</f>
        <v>682.71199999999999</v>
      </c>
    </row>
    <row r="83" spans="1:12" x14ac:dyDescent="0.35">
      <c r="A83" s="2" t="s">
        <v>56</v>
      </c>
      <c r="B83" s="44" t="str">
        <f t="shared" si="0"/>
        <v>PE-TECAB (INTERCONEXÃO)</v>
      </c>
      <c r="C83" s="291">
        <f>VLOOKUP($B83,'Matriz Distâncias NTS'!$S$2:$AC$18,2,0)</f>
        <v>579.55700000000002</v>
      </c>
      <c r="D83" s="291">
        <f>VLOOKUP($B83,'Matriz Distâncias NTS'!$S$2:$AC$18,3,0)</f>
        <v>180.298</v>
      </c>
      <c r="E83" s="291">
        <f>VLOOKUP($B83,'Matriz Distâncias NTS'!$S$2:$AC$18,4,0)</f>
        <v>152.876</v>
      </c>
      <c r="F83" s="291">
        <f>VLOOKUP($B83,'Matriz Distâncias NTS'!$S$2:$AC$18,8,0)</f>
        <v>682.71199999999999</v>
      </c>
      <c r="G83" s="291">
        <f>VLOOKUP($B83,'Matriz Distâncias NTS'!$S$2:$AC$18,7,0)</f>
        <v>180.298</v>
      </c>
      <c r="H83" s="291">
        <f>VLOOKUP($B83,'Matriz Distâncias NTS'!$S$2:$AC$18,9,0)</f>
        <v>651.54</v>
      </c>
      <c r="I83" s="291">
        <f>VLOOKUP($B83,'Matriz Distâncias NTS'!$S$2:$AC$18,10,0)</f>
        <v>0</v>
      </c>
      <c r="J83" s="291">
        <f>VLOOKUP($B83,'Matriz Distâncias NTS'!$S$2:$AC$18,5,0)</f>
        <v>545.37699999999995</v>
      </c>
      <c r="K83" s="291">
        <f>VLOOKUP($B83,'Matriz Distâncias NTS'!$S$2:$AC$18,8,0)</f>
        <v>682.71199999999999</v>
      </c>
      <c r="L83" s="291">
        <f>VLOOKUP($B83,'Matriz Distâncias NTS'!$S$2:$AC$18,11,0)</f>
        <v>0</v>
      </c>
    </row>
    <row r="86" spans="1:12" s="95" customFormat="1" x14ac:dyDescent="0.35">
      <c r="A86" s="95" t="s">
        <v>144</v>
      </c>
      <c r="B86" s="95" t="s">
        <v>492</v>
      </c>
    </row>
    <row r="89" spans="1:12" x14ac:dyDescent="0.35">
      <c r="A89" t="s">
        <v>125</v>
      </c>
      <c r="B89" t="s">
        <v>126</v>
      </c>
    </row>
    <row r="90" spans="1:12" ht="16.5" x14ac:dyDescent="0.45">
      <c r="A90" t="s">
        <v>290</v>
      </c>
      <c r="B90" t="s">
        <v>145</v>
      </c>
    </row>
    <row r="91" spans="1:12" ht="16.5" x14ac:dyDescent="0.45">
      <c r="A91" t="s">
        <v>291</v>
      </c>
      <c r="B91" t="s">
        <v>146</v>
      </c>
    </row>
    <row r="93" spans="1:12" x14ac:dyDescent="0.35">
      <c r="A93" t="s">
        <v>147</v>
      </c>
    </row>
    <row r="94" spans="1:12" x14ac:dyDescent="0.35">
      <c r="A94" s="106"/>
      <c r="B94" s="106"/>
    </row>
    <row r="95" spans="1:12" x14ac:dyDescent="0.35">
      <c r="A95" s="106"/>
      <c r="B95" s="106"/>
    </row>
    <row r="96" spans="1:12" x14ac:dyDescent="0.35">
      <c r="A96" s="106"/>
      <c r="B96" s="106"/>
    </row>
    <row r="99" spans="1:27" ht="16.5" x14ac:dyDescent="0.45">
      <c r="A99" s="107" t="s">
        <v>292</v>
      </c>
      <c r="B99" s="108" t="s">
        <v>148</v>
      </c>
      <c r="D99" s="107" t="s">
        <v>293</v>
      </c>
      <c r="E99" s="108" t="s">
        <v>148</v>
      </c>
      <c r="G99" s="109" t="s">
        <v>292</v>
      </c>
      <c r="H99" s="92" t="s">
        <v>294</v>
      </c>
      <c r="I99" s="92" t="s">
        <v>295</v>
      </c>
      <c r="J99" s="92" t="s">
        <v>296</v>
      </c>
      <c r="K99" s="92" t="s">
        <v>297</v>
      </c>
      <c r="L99" s="92" t="s">
        <v>298</v>
      </c>
      <c r="M99" s="92" t="s">
        <v>299</v>
      </c>
      <c r="N99" s="92" t="s">
        <v>300</v>
      </c>
      <c r="O99" s="92" t="s">
        <v>301</v>
      </c>
      <c r="P99" s="92" t="s">
        <v>302</v>
      </c>
      <c r="Q99" s="92" t="s">
        <v>303</v>
      </c>
      <c r="R99" s="92"/>
      <c r="S99" s="92"/>
      <c r="T99" s="92"/>
      <c r="U99" s="92"/>
      <c r="V99" s="92"/>
      <c r="W99" s="92"/>
      <c r="X99" s="92"/>
      <c r="Y99" s="92"/>
      <c r="Z99" s="92"/>
      <c r="AA99" s="92"/>
    </row>
    <row r="100" spans="1:27" ht="16.5" x14ac:dyDescent="0.45">
      <c r="A100" t="s">
        <v>294</v>
      </c>
      <c r="B100" s="110">
        <f>H25/$H$35</f>
        <v>0.2269169827627599</v>
      </c>
      <c r="C100" s="9"/>
      <c r="D100" t="s">
        <v>304</v>
      </c>
      <c r="E100" s="110">
        <f>H42/$H$58</f>
        <v>1.1860101602188354E-2</v>
      </c>
      <c r="G100" s="109" t="s">
        <v>148</v>
      </c>
      <c r="H100" s="111">
        <f>H25/$H$35</f>
        <v>0.2269169827627599</v>
      </c>
      <c r="I100" s="111">
        <f>H26/$H$35</f>
        <v>0.32009730958211297</v>
      </c>
      <c r="J100" s="111">
        <f>$H27/$H$35</f>
        <v>0.21523343096301276</v>
      </c>
      <c r="K100" s="111">
        <f>$H28/$H$35</f>
        <v>0</v>
      </c>
      <c r="L100" s="111">
        <f>$H29/$H$35</f>
        <v>0</v>
      </c>
      <c r="M100" s="111">
        <f>$H30/$H$35</f>
        <v>0</v>
      </c>
      <c r="N100" s="111">
        <f>$H31/$H$35</f>
        <v>0.23775227669211441</v>
      </c>
      <c r="O100" s="111">
        <f>$H32/$H$35</f>
        <v>0</v>
      </c>
      <c r="P100" s="111">
        <f>$H33/$H$35</f>
        <v>0</v>
      </c>
      <c r="Q100" s="111">
        <f>$H34/$H$35</f>
        <v>0</v>
      </c>
      <c r="R100" s="111">
        <f>SUM(H100:Q100)</f>
        <v>1</v>
      </c>
      <c r="S100" s="110"/>
      <c r="T100" s="110"/>
      <c r="U100" s="110"/>
      <c r="V100" s="110"/>
      <c r="W100" s="110"/>
    </row>
    <row r="101" spans="1:27" ht="16.5" x14ac:dyDescent="0.45">
      <c r="A101" t="s">
        <v>295</v>
      </c>
      <c r="B101" s="110">
        <f t="shared" ref="B101:B109" si="1">H26/$H$35</f>
        <v>0.32009730958211297</v>
      </c>
      <c r="C101" s="4"/>
      <c r="D101" t="s">
        <v>305</v>
      </c>
      <c r="E101" s="110">
        <f t="shared" ref="E101:E115" si="2">H43/$H$58</f>
        <v>3.2786244626807355E-2</v>
      </c>
      <c r="W101" s="113"/>
    </row>
    <row r="102" spans="1:27" ht="16.5" x14ac:dyDescent="0.45">
      <c r="A102" t="s">
        <v>296</v>
      </c>
      <c r="B102" s="110">
        <f t="shared" si="1"/>
        <v>0.21523343096301276</v>
      </c>
      <c r="C102" s="4"/>
      <c r="D102" t="s">
        <v>306</v>
      </c>
      <c r="E102" s="110">
        <f t="shared" si="2"/>
        <v>5.3477921062915205E-2</v>
      </c>
      <c r="G102" s="110"/>
      <c r="H102" s="112"/>
      <c r="I102" s="112"/>
    </row>
    <row r="103" spans="1:27" ht="16.5" x14ac:dyDescent="0.45">
      <c r="A103" t="s">
        <v>297</v>
      </c>
      <c r="B103" s="110">
        <f t="shared" si="1"/>
        <v>0</v>
      </c>
      <c r="C103" s="4"/>
      <c r="D103" t="s">
        <v>307</v>
      </c>
      <c r="E103" s="110">
        <f t="shared" si="2"/>
        <v>6.5455255959359134E-3</v>
      </c>
      <c r="G103" s="110"/>
      <c r="H103" s="112"/>
      <c r="I103" s="112"/>
    </row>
    <row r="104" spans="1:27" ht="16.5" x14ac:dyDescent="0.45">
      <c r="A104" t="s">
        <v>298</v>
      </c>
      <c r="B104" s="110">
        <f t="shared" si="1"/>
        <v>0</v>
      </c>
      <c r="C104" s="4"/>
      <c r="D104" t="s">
        <v>308</v>
      </c>
      <c r="E104" s="110">
        <f t="shared" si="2"/>
        <v>0.34765533411488869</v>
      </c>
      <c r="G104" s="110"/>
      <c r="H104" s="112"/>
      <c r="I104" s="112"/>
    </row>
    <row r="105" spans="1:27" ht="16.5" x14ac:dyDescent="0.45">
      <c r="A105" t="s">
        <v>299</v>
      </c>
      <c r="B105" s="110">
        <f t="shared" si="1"/>
        <v>0</v>
      </c>
      <c r="C105" s="4"/>
      <c r="D105" t="s">
        <v>309</v>
      </c>
      <c r="E105" s="110">
        <f t="shared" si="2"/>
        <v>0.1642438452520516</v>
      </c>
      <c r="G105" s="110"/>
      <c r="H105" s="112"/>
      <c r="I105" s="112"/>
    </row>
    <row r="106" spans="1:27" ht="16.5" x14ac:dyDescent="0.45">
      <c r="A106" t="s">
        <v>300</v>
      </c>
      <c r="B106" s="110">
        <f t="shared" si="1"/>
        <v>0.23775227669211441</v>
      </c>
      <c r="C106" s="4"/>
      <c r="D106" t="s">
        <v>310</v>
      </c>
      <c r="E106" s="110">
        <f t="shared" si="2"/>
        <v>3.3489644392340756E-2</v>
      </c>
      <c r="G106" s="110"/>
      <c r="H106" s="112"/>
      <c r="I106" s="112"/>
    </row>
    <row r="107" spans="1:27" ht="16.5" x14ac:dyDescent="0.45">
      <c r="A107" t="s">
        <v>301</v>
      </c>
      <c r="B107" s="110">
        <f t="shared" si="1"/>
        <v>0</v>
      </c>
      <c r="C107" s="4"/>
      <c r="D107" t="s">
        <v>311</v>
      </c>
      <c r="E107" s="110">
        <f t="shared" si="2"/>
        <v>6.311059007424776E-3</v>
      </c>
      <c r="G107" s="110"/>
      <c r="H107" s="112"/>
      <c r="I107" s="112"/>
    </row>
    <row r="108" spans="1:27" ht="16.5" x14ac:dyDescent="0.45">
      <c r="A108" t="s">
        <v>302</v>
      </c>
      <c r="B108" s="110">
        <f t="shared" si="1"/>
        <v>0</v>
      </c>
      <c r="C108" s="4"/>
      <c r="D108" t="s">
        <v>312</v>
      </c>
      <c r="E108" s="110">
        <f t="shared" si="2"/>
        <v>4.1578741695974988E-2</v>
      </c>
      <c r="G108" s="110"/>
      <c r="H108" s="112"/>
      <c r="I108" s="112"/>
    </row>
    <row r="109" spans="1:27" ht="16.5" x14ac:dyDescent="0.45">
      <c r="A109" t="s">
        <v>303</v>
      </c>
      <c r="B109" s="110">
        <f t="shared" si="1"/>
        <v>0</v>
      </c>
      <c r="D109" t="s">
        <v>313</v>
      </c>
      <c r="E109" s="110">
        <f t="shared" si="2"/>
        <v>2.4169597499023057E-2</v>
      </c>
      <c r="G109" s="110"/>
    </row>
    <row r="110" spans="1:27" ht="16.5" x14ac:dyDescent="0.45">
      <c r="B110" s="110">
        <f>SUM(B100:B109)</f>
        <v>1</v>
      </c>
      <c r="D110" t="s">
        <v>314</v>
      </c>
      <c r="E110" s="110">
        <f t="shared" si="2"/>
        <v>5.8069558421258299E-2</v>
      </c>
      <c r="G110" s="110"/>
    </row>
    <row r="111" spans="1:27" ht="16.5" x14ac:dyDescent="0.45">
      <c r="B111" s="112"/>
      <c r="D111" t="s">
        <v>315</v>
      </c>
      <c r="E111" s="110">
        <f t="shared" si="2"/>
        <v>0.155705353653771</v>
      </c>
      <c r="G111" s="110"/>
    </row>
    <row r="112" spans="1:27" ht="16.5" x14ac:dyDescent="0.45">
      <c r="B112" s="112"/>
      <c r="D112" t="s">
        <v>316</v>
      </c>
      <c r="E112" s="110">
        <f t="shared" si="2"/>
        <v>6.4107073075420087E-2</v>
      </c>
    </row>
    <row r="113" spans="1:5" ht="16.5" x14ac:dyDescent="0.45">
      <c r="B113" s="112"/>
      <c r="D113" t="s">
        <v>317</v>
      </c>
      <c r="E113" s="110">
        <f t="shared" si="2"/>
        <v>0</v>
      </c>
    </row>
    <row r="114" spans="1:5" ht="16.5" x14ac:dyDescent="0.45">
      <c r="B114" s="112"/>
      <c r="D114" t="s">
        <v>318</v>
      </c>
      <c r="E114" s="110">
        <f t="shared" si="2"/>
        <v>0</v>
      </c>
    </row>
    <row r="115" spans="1:5" ht="16.5" x14ac:dyDescent="0.45">
      <c r="B115" s="112"/>
      <c r="D115" t="s">
        <v>319</v>
      </c>
      <c r="E115" s="110">
        <f t="shared" si="2"/>
        <v>0</v>
      </c>
    </row>
    <row r="116" spans="1:5" x14ac:dyDescent="0.35">
      <c r="E116" s="110">
        <f>SUM(E100:E115)</f>
        <v>1</v>
      </c>
    </row>
    <row r="118" spans="1:5" s="95" customFormat="1" x14ac:dyDescent="0.35">
      <c r="A118" s="95" t="s">
        <v>149</v>
      </c>
      <c r="B118" s="95" t="s">
        <v>491</v>
      </c>
    </row>
    <row r="120" spans="1:5" x14ac:dyDescent="0.35">
      <c r="A120" t="s">
        <v>125</v>
      </c>
      <c r="B120" t="s">
        <v>126</v>
      </c>
    </row>
    <row r="121" spans="1:5" ht="16.5" x14ac:dyDescent="0.45">
      <c r="A121" t="s">
        <v>320</v>
      </c>
      <c r="B121" t="s">
        <v>150</v>
      </c>
    </row>
    <row r="122" spans="1:5" ht="16.5" x14ac:dyDescent="0.45">
      <c r="A122" t="s">
        <v>321</v>
      </c>
      <c r="B122" t="s">
        <v>151</v>
      </c>
    </row>
    <row r="124" spans="1:5" x14ac:dyDescent="0.35">
      <c r="A124" t="s">
        <v>147</v>
      </c>
    </row>
    <row r="125" spans="1:5" x14ac:dyDescent="0.35">
      <c r="A125" s="106"/>
      <c r="B125" s="106"/>
    </row>
    <row r="126" spans="1:5" x14ac:dyDescent="0.35">
      <c r="A126" s="106"/>
      <c r="B126" s="106"/>
    </row>
    <row r="127" spans="1:5" x14ac:dyDescent="0.35">
      <c r="A127" s="106"/>
      <c r="B127" s="106"/>
    </row>
    <row r="128" spans="1:5" x14ac:dyDescent="0.35">
      <c r="A128" s="106"/>
      <c r="B128" s="106"/>
    </row>
    <row r="130" spans="1:5" ht="16.5" x14ac:dyDescent="0.35">
      <c r="A130" s="107" t="s">
        <v>322</v>
      </c>
      <c r="B130" s="108" t="s">
        <v>148</v>
      </c>
      <c r="D130" s="107" t="s">
        <v>323</v>
      </c>
      <c r="E130" s="108" t="s">
        <v>148</v>
      </c>
    </row>
    <row r="131" spans="1:5" ht="16.5" x14ac:dyDescent="0.45">
      <c r="A131" t="s">
        <v>324</v>
      </c>
      <c r="B131" s="110">
        <f ca="1">SUMPRODUCT($E$100:$E$115,C$68:C$83)</f>
        <v>357.06304582714608</v>
      </c>
      <c r="C131" s="114"/>
      <c r="D131" t="s">
        <v>325</v>
      </c>
      <c r="E131" s="4">
        <f ca="1">SUMPRODUCT($H$100:$Q$100,$C68:$L68)</f>
        <v>349.72477954898289</v>
      </c>
    </row>
    <row r="132" spans="1:5" ht="16.5" x14ac:dyDescent="0.45">
      <c r="A132" t="s">
        <v>326</v>
      </c>
      <c r="B132" s="110">
        <f ca="1">SUMPRODUCT($E$100:$E$115,D$68:D$83)</f>
        <v>203.52647278168561</v>
      </c>
      <c r="C132" s="114"/>
      <c r="D132" t="s">
        <v>327</v>
      </c>
      <c r="E132" s="4">
        <f t="shared" ref="E132:E146" ca="1" si="3">SUMPRODUCT($H$100:$Q$100,$C69:$L69)</f>
        <v>446.88877954898294</v>
      </c>
    </row>
    <row r="133" spans="1:5" ht="16.5" x14ac:dyDescent="0.45">
      <c r="A133" t="s">
        <v>328</v>
      </c>
      <c r="B133" s="110">
        <f ca="1">SUMPRODUCT($E$100:$E$115,E$68:E$83)</f>
        <v>237.87828895076203</v>
      </c>
      <c r="C133" s="114"/>
      <c r="D133" t="s">
        <v>329</v>
      </c>
      <c r="E133" s="4">
        <f t="shared" ca="1" si="3"/>
        <v>564.05397954898285</v>
      </c>
    </row>
    <row r="134" spans="1:5" ht="16.5" x14ac:dyDescent="0.45">
      <c r="A134" t="s">
        <v>330</v>
      </c>
      <c r="B134" s="110">
        <f ca="1">SUMPRODUCT($E$100:$E$115,F$68:F$83)</f>
        <v>472.7892446925884</v>
      </c>
      <c r="C134" s="114"/>
      <c r="D134" t="s">
        <v>331</v>
      </c>
      <c r="E134" s="4">
        <f t="shared" ca="1" si="3"/>
        <v>603.94818181527194</v>
      </c>
    </row>
    <row r="135" spans="1:5" ht="16.5" x14ac:dyDescent="0.45">
      <c r="A135" t="s">
        <v>332</v>
      </c>
      <c r="B135" s="110">
        <f ca="1">SUMPRODUCT($E$100:$E$115,G$68:G$83)</f>
        <v>190.83048821610006</v>
      </c>
      <c r="C135" s="114"/>
      <c r="D135" t="s">
        <v>333</v>
      </c>
      <c r="E135" s="4">
        <f t="shared" ca="1" si="3"/>
        <v>169.84004740641154</v>
      </c>
    </row>
    <row r="136" spans="1:5" ht="16.5" x14ac:dyDescent="0.45">
      <c r="A136" t="s">
        <v>334</v>
      </c>
      <c r="B136" s="110">
        <f ca="1">SUMPRODUCT($E$100:$E$115,H$68:H$83)</f>
        <v>378.29690127588907</v>
      </c>
      <c r="C136" s="114"/>
      <c r="D136" t="s">
        <v>335</v>
      </c>
      <c r="E136" s="4">
        <f t="shared" ca="1" si="3"/>
        <v>169.1976459723756</v>
      </c>
    </row>
    <row r="137" spans="1:5" ht="16.5" x14ac:dyDescent="0.45">
      <c r="A137" t="s">
        <v>336</v>
      </c>
      <c r="B137" s="110">
        <f ca="1">SUMPRODUCT($E$100:$E$115,I$68:I$83)</f>
        <v>338.96092212778433</v>
      </c>
      <c r="D137" t="s">
        <v>337</v>
      </c>
      <c r="E137" s="4">
        <f t="shared" ca="1" si="3"/>
        <v>195.00225474944384</v>
      </c>
    </row>
    <row r="138" spans="1:5" ht="16.5" x14ac:dyDescent="0.45">
      <c r="A138" t="s">
        <v>338</v>
      </c>
      <c r="B138" s="110">
        <f ca="1">SUMPRODUCT($E$100:$E$115,J$68:J$83)</f>
        <v>306.07333005275507</v>
      </c>
      <c r="D138" t="s">
        <v>339</v>
      </c>
      <c r="E138" s="4">
        <f t="shared" ca="1" si="3"/>
        <v>228.43338995854739</v>
      </c>
    </row>
    <row r="139" spans="1:5" ht="16.5" x14ac:dyDescent="0.45">
      <c r="A139" t="s">
        <v>340</v>
      </c>
      <c r="B139" s="110">
        <f ca="1">SUMPRODUCT($E$100:$E$115,K$68:K$83)</f>
        <v>472.7892446925884</v>
      </c>
      <c r="D139" t="s">
        <v>341</v>
      </c>
      <c r="E139" s="4">
        <f t="shared" ca="1" si="3"/>
        <v>172.14485492389687</v>
      </c>
    </row>
    <row r="140" spans="1:5" ht="16.5" x14ac:dyDescent="0.45">
      <c r="A140" t="s">
        <v>342</v>
      </c>
      <c r="B140" s="110">
        <f ca="1">SUMPRODUCT($E$100:$E$115,L$68:L$83)</f>
        <v>338.96092212778433</v>
      </c>
      <c r="D140" t="s">
        <v>343</v>
      </c>
      <c r="E140" s="4">
        <f t="shared" ca="1" si="3"/>
        <v>326.95758892836756</v>
      </c>
    </row>
    <row r="141" spans="1:5" ht="16.5" x14ac:dyDescent="0.45">
      <c r="B141" s="110"/>
      <c r="D141" t="s">
        <v>344</v>
      </c>
      <c r="E141" s="4">
        <f t="shared" ca="1" si="3"/>
        <v>317.59082621917065</v>
      </c>
    </row>
    <row r="142" spans="1:5" ht="16.5" x14ac:dyDescent="0.45">
      <c r="B142" s="110"/>
      <c r="D142" t="s">
        <v>345</v>
      </c>
      <c r="E142" s="4">
        <f t="shared" ca="1" si="3"/>
        <v>429.72898349258179</v>
      </c>
    </row>
    <row r="143" spans="1:5" ht="16.5" x14ac:dyDescent="0.45">
      <c r="B143" s="110"/>
      <c r="D143" t="s">
        <v>346</v>
      </c>
      <c r="E143" s="4">
        <f t="shared" ca="1" si="3"/>
        <v>465.18615012563816</v>
      </c>
    </row>
    <row r="144" spans="1:5" ht="16.5" x14ac:dyDescent="0.45">
      <c r="B144" s="110"/>
      <c r="D144" t="s">
        <v>347</v>
      </c>
      <c r="E144" s="4">
        <f t="shared" si="3"/>
        <v>359.84915012563818</v>
      </c>
    </row>
    <row r="145" spans="1:5" ht="16.5" x14ac:dyDescent="0.45">
      <c r="B145" s="110"/>
      <c r="D145" t="s">
        <v>348</v>
      </c>
      <c r="E145" s="4">
        <f t="shared" si="3"/>
        <v>510.18218181527186</v>
      </c>
    </row>
    <row r="146" spans="1:5" ht="16.5" x14ac:dyDescent="0.45">
      <c r="B146" s="110"/>
      <c r="D146" t="s">
        <v>349</v>
      </c>
      <c r="E146" s="4">
        <f t="shared" si="3"/>
        <v>222.12825649397419</v>
      </c>
    </row>
    <row r="148" spans="1:5" s="95" customFormat="1" x14ac:dyDescent="0.35">
      <c r="A148" s="95" t="s">
        <v>152</v>
      </c>
      <c r="B148" s="95" t="s">
        <v>490</v>
      </c>
    </row>
    <row r="150" spans="1:5" x14ac:dyDescent="0.35">
      <c r="A150" t="s">
        <v>125</v>
      </c>
      <c r="B150" t="s">
        <v>126</v>
      </c>
    </row>
    <row r="151" spans="1:5" ht="16.5" x14ac:dyDescent="0.45">
      <c r="A151" t="s">
        <v>350</v>
      </c>
      <c r="B151" t="s">
        <v>153</v>
      </c>
    </row>
    <row r="152" spans="1:5" ht="16.5" x14ac:dyDescent="0.45">
      <c r="A152" t="s">
        <v>351</v>
      </c>
      <c r="B152" t="s">
        <v>154</v>
      </c>
    </row>
    <row r="154" spans="1:5" x14ac:dyDescent="0.35">
      <c r="A154" t="s">
        <v>147</v>
      </c>
    </row>
    <row r="155" spans="1:5" x14ac:dyDescent="0.35">
      <c r="A155" s="106"/>
      <c r="B155" s="106"/>
    </row>
    <row r="156" spans="1:5" x14ac:dyDescent="0.35">
      <c r="A156" s="106"/>
      <c r="B156" s="106"/>
    </row>
    <row r="157" spans="1:5" x14ac:dyDescent="0.35">
      <c r="A157" s="106"/>
      <c r="B157" s="106"/>
    </row>
    <row r="158" spans="1:5" x14ac:dyDescent="0.35">
      <c r="A158" s="106"/>
      <c r="B158" s="106"/>
    </row>
    <row r="159" spans="1:5" x14ac:dyDescent="0.35">
      <c r="A159" s="106"/>
      <c r="B159" s="106"/>
    </row>
    <row r="160" spans="1:5" x14ac:dyDescent="0.35">
      <c r="A160" s="106"/>
      <c r="B160" s="106"/>
    </row>
    <row r="162" spans="1:9" ht="16.5" x14ac:dyDescent="0.35">
      <c r="A162" s="107" t="s">
        <v>352</v>
      </c>
      <c r="B162" s="108" t="s">
        <v>148</v>
      </c>
      <c r="D162" s="107" t="s">
        <v>353</v>
      </c>
      <c r="E162" s="108" t="s">
        <v>148</v>
      </c>
    </row>
    <row r="163" spans="1:9" ht="16.5" x14ac:dyDescent="0.45">
      <c r="A163" t="s">
        <v>354</v>
      </c>
      <c r="B163" s="115">
        <f ca="1">($H25*$B131)/SUMPRODUCT($H$25:$H$34,$B$131:$B$140)</f>
        <v>0.29149395000637407</v>
      </c>
      <c r="C163" s="36"/>
      <c r="D163" t="s">
        <v>355</v>
      </c>
      <c r="E163" s="115">
        <f t="shared" ref="E163:E178" ca="1" si="4">($H42*$E131)/SUMPRODUCT($H$42:$H$57,$E$131:$E$146)</f>
        <v>1.4922186184926817E-2</v>
      </c>
    </row>
    <row r="164" spans="1:9" ht="16.5" x14ac:dyDescent="0.45">
      <c r="A164" t="s">
        <v>356</v>
      </c>
      <c r="B164" s="115">
        <f t="shared" ref="B164:B172" ca="1" si="5">($H26*$B132)/SUMPRODUCT($H$25:$H$34,$B$131:$B$140)</f>
        <v>0.23438001074130749</v>
      </c>
      <c r="C164" s="4"/>
      <c r="D164" t="s">
        <v>357</v>
      </c>
      <c r="E164" s="115">
        <f t="shared" ca="1" si="4"/>
        <v>5.2711911489132575E-2</v>
      </c>
    </row>
    <row r="165" spans="1:9" ht="16.5" x14ac:dyDescent="0.45">
      <c r="A165" t="s">
        <v>358</v>
      </c>
      <c r="B165" s="115">
        <f t="shared" ca="1" si="5"/>
        <v>0.18419683961417488</v>
      </c>
      <c r="C165" s="4"/>
      <c r="D165" t="s">
        <v>359</v>
      </c>
      <c r="E165" s="115">
        <f t="shared" ca="1" si="4"/>
        <v>0.10852075917638784</v>
      </c>
      <c r="H165" s="116"/>
      <c r="I165" s="116"/>
    </row>
    <row r="166" spans="1:9" ht="16.5" x14ac:dyDescent="0.45">
      <c r="A166" t="s">
        <v>360</v>
      </c>
      <c r="B166" s="115">
        <f t="shared" ca="1" si="5"/>
        <v>0</v>
      </c>
      <c r="C166" s="4"/>
      <c r="D166" t="s">
        <v>361</v>
      </c>
      <c r="E166" s="115">
        <f t="shared" ca="1" si="4"/>
        <v>1.42220382861965E-2</v>
      </c>
    </row>
    <row r="167" spans="1:9" ht="16.5" x14ac:dyDescent="0.45">
      <c r="A167" t="s">
        <v>362</v>
      </c>
      <c r="B167" s="115">
        <f t="shared" ca="1" si="5"/>
        <v>0</v>
      </c>
      <c r="C167" s="4"/>
      <c r="D167" t="s">
        <v>363</v>
      </c>
      <c r="E167" s="115">
        <f t="shared" ca="1" si="4"/>
        <v>0.2124254952165934</v>
      </c>
    </row>
    <row r="168" spans="1:9" ht="16.5" x14ac:dyDescent="0.45">
      <c r="A168" t="s">
        <v>364</v>
      </c>
      <c r="B168" s="115">
        <f t="shared" ca="1" si="5"/>
        <v>0</v>
      </c>
      <c r="C168" s="4"/>
      <c r="D168" t="s">
        <v>365</v>
      </c>
      <c r="E168" s="115">
        <f t="shared" ca="1" si="4"/>
        <v>9.9977220902276426E-2</v>
      </c>
    </row>
    <row r="169" spans="1:9" ht="16.5" x14ac:dyDescent="0.45">
      <c r="A169" t="s">
        <v>366</v>
      </c>
      <c r="B169" s="115">
        <f t="shared" ca="1" si="5"/>
        <v>0.28992919963814362</v>
      </c>
      <c r="C169" s="4"/>
      <c r="D169" t="s">
        <v>367</v>
      </c>
      <c r="E169" s="115">
        <f t="shared" ca="1" si="4"/>
        <v>2.3494586656863818E-2</v>
      </c>
    </row>
    <row r="170" spans="1:9" ht="16.5" x14ac:dyDescent="0.45">
      <c r="A170" t="s">
        <v>368</v>
      </c>
      <c r="B170" s="115">
        <f t="shared" ca="1" si="5"/>
        <v>0</v>
      </c>
      <c r="C170" s="4"/>
      <c r="D170" t="s">
        <v>369</v>
      </c>
      <c r="E170" s="115">
        <f t="shared" ca="1" si="4"/>
        <v>5.1865607044820402E-3</v>
      </c>
    </row>
    <row r="171" spans="1:9" ht="16.5" x14ac:dyDescent="0.45">
      <c r="A171" t="s">
        <v>370</v>
      </c>
      <c r="B171" s="115">
        <f t="shared" ca="1" si="5"/>
        <v>0</v>
      </c>
      <c r="D171" t="s">
        <v>371</v>
      </c>
      <c r="E171" s="115">
        <f t="shared" ca="1" si="4"/>
        <v>2.5750343626666932E-2</v>
      </c>
    </row>
    <row r="172" spans="1:9" ht="16.5" x14ac:dyDescent="0.45">
      <c r="A172" t="s">
        <v>372</v>
      </c>
      <c r="B172" s="115">
        <f t="shared" ca="1" si="5"/>
        <v>0</v>
      </c>
      <c r="D172" t="s">
        <v>373</v>
      </c>
      <c r="E172" s="115">
        <f t="shared" ca="1" si="4"/>
        <v>2.8430106068649638E-2</v>
      </c>
    </row>
    <row r="173" spans="1:9" ht="16.5" x14ac:dyDescent="0.45">
      <c r="B173" s="233">
        <f ca="1">SUM(B163:B172)</f>
        <v>1</v>
      </c>
      <c r="D173" t="s">
        <v>374</v>
      </c>
      <c r="E173" s="115">
        <f t="shared" ca="1" si="4"/>
        <v>6.634895887248983E-2</v>
      </c>
    </row>
    <row r="174" spans="1:9" ht="16.5" x14ac:dyDescent="0.45">
      <c r="B174" s="115"/>
      <c r="D174" t="s">
        <v>375</v>
      </c>
      <c r="E174" s="115">
        <f t="shared" ca="1" si="4"/>
        <v>0.24072202668481069</v>
      </c>
    </row>
    <row r="175" spans="1:9" ht="16.5" x14ac:dyDescent="0.45">
      <c r="B175" s="115"/>
      <c r="D175" t="s">
        <v>376</v>
      </c>
      <c r="E175" s="115">
        <f t="shared" ca="1" si="4"/>
        <v>0.10728780613052348</v>
      </c>
    </row>
    <row r="176" spans="1:9" ht="16.5" x14ac:dyDescent="0.45">
      <c r="B176" s="115"/>
      <c r="D176" t="s">
        <v>377</v>
      </c>
      <c r="E176" s="115">
        <f t="shared" ca="1" si="4"/>
        <v>0</v>
      </c>
    </row>
    <row r="177" spans="1:5" ht="16.5" x14ac:dyDescent="0.45">
      <c r="B177" s="115"/>
      <c r="D177" t="s">
        <v>378</v>
      </c>
      <c r="E177" s="115">
        <f t="shared" ca="1" si="4"/>
        <v>0</v>
      </c>
    </row>
    <row r="178" spans="1:5" ht="16.5" x14ac:dyDescent="0.45">
      <c r="B178" s="115"/>
      <c r="D178" t="s">
        <v>379</v>
      </c>
      <c r="E178" s="115">
        <f t="shared" ca="1" si="4"/>
        <v>0</v>
      </c>
    </row>
    <row r="179" spans="1:5" x14ac:dyDescent="0.35">
      <c r="E179" s="233">
        <f ca="1">SUM(E163:E178)</f>
        <v>1</v>
      </c>
    </row>
    <row r="181" spans="1:5" s="95" customFormat="1" x14ac:dyDescent="0.35">
      <c r="A181" s="95" t="s">
        <v>155</v>
      </c>
      <c r="B181" s="95" t="s">
        <v>156</v>
      </c>
    </row>
    <row r="183" spans="1:5" x14ac:dyDescent="0.35">
      <c r="A183" t="s">
        <v>125</v>
      </c>
      <c r="B183" t="s">
        <v>126</v>
      </c>
    </row>
    <row r="184" spans="1:5" ht="16.5" x14ac:dyDescent="0.45">
      <c r="A184" t="s">
        <v>380</v>
      </c>
      <c r="B184" t="s">
        <v>157</v>
      </c>
    </row>
    <row r="185" spans="1:5" ht="16.5" x14ac:dyDescent="0.45">
      <c r="A185" t="s">
        <v>381</v>
      </c>
      <c r="B185" t="s">
        <v>158</v>
      </c>
    </row>
    <row r="187" spans="1:5" x14ac:dyDescent="0.35">
      <c r="A187" t="s">
        <v>147</v>
      </c>
    </row>
    <row r="188" spans="1:5" x14ac:dyDescent="0.35">
      <c r="A188" s="106"/>
      <c r="B188" s="106"/>
    </row>
    <row r="189" spans="1:5" x14ac:dyDescent="0.35">
      <c r="A189" s="106"/>
      <c r="B189" s="106"/>
    </row>
    <row r="190" spans="1:5" x14ac:dyDescent="0.35">
      <c r="A190" s="106"/>
      <c r="B190" s="106"/>
    </row>
    <row r="191" spans="1:5" x14ac:dyDescent="0.35">
      <c r="A191" s="106"/>
      <c r="B191" s="106"/>
    </row>
    <row r="193" spans="1:5" ht="16.5" x14ac:dyDescent="0.35">
      <c r="A193" s="107" t="s">
        <v>352</v>
      </c>
      <c r="B193" s="108" t="s">
        <v>148</v>
      </c>
      <c r="D193" s="107" t="s">
        <v>353</v>
      </c>
      <c r="E193" s="108" t="s">
        <v>148</v>
      </c>
    </row>
    <row r="194" spans="1:5" ht="16.5" x14ac:dyDescent="0.45">
      <c r="A194" t="s">
        <v>382</v>
      </c>
      <c r="B194" s="7">
        <f t="shared" ref="B194:B203" ca="1" si="6">$B163*$D$6</f>
        <v>1458.0131046776517</v>
      </c>
      <c r="C194" s="47"/>
      <c r="D194" t="s">
        <v>383</v>
      </c>
      <c r="E194" s="6">
        <f t="shared" ref="E194:E209" ca="1" si="7">$E163*$D$9</f>
        <v>31.859905925748738</v>
      </c>
    </row>
    <row r="195" spans="1:5" ht="16.5" x14ac:dyDescent="0.45">
      <c r="A195" t="s">
        <v>384</v>
      </c>
      <c r="B195" s="7">
        <f t="shared" ca="1" si="6"/>
        <v>1172.3369460252691</v>
      </c>
      <c r="D195" t="s">
        <v>385</v>
      </c>
      <c r="E195" s="6">
        <f t="shared" ca="1" si="7"/>
        <v>112.54359920174083</v>
      </c>
    </row>
    <row r="196" spans="1:5" ht="16.5" x14ac:dyDescent="0.45">
      <c r="A196" t="s">
        <v>386</v>
      </c>
      <c r="B196" s="7">
        <f t="shared" ca="1" si="6"/>
        <v>921.32754725030122</v>
      </c>
      <c r="D196" t="s">
        <v>387</v>
      </c>
      <c r="E196" s="6">
        <f t="shared" ca="1" si="7"/>
        <v>231.69937269935673</v>
      </c>
    </row>
    <row r="197" spans="1:5" ht="16.5" x14ac:dyDescent="0.45">
      <c r="A197" t="s">
        <v>388</v>
      </c>
      <c r="B197" s="7">
        <f t="shared" ca="1" si="6"/>
        <v>0</v>
      </c>
      <c r="D197" t="s">
        <v>389</v>
      </c>
      <c r="E197" s="6">
        <f t="shared" ca="1" si="7"/>
        <v>30.365041439324425</v>
      </c>
    </row>
    <row r="198" spans="1:5" ht="16.5" x14ac:dyDescent="0.45">
      <c r="A198" t="s">
        <v>390</v>
      </c>
      <c r="B198" s="7">
        <f t="shared" ca="1" si="6"/>
        <v>0</v>
      </c>
      <c r="D198" t="s">
        <v>391</v>
      </c>
      <c r="E198" s="6">
        <f t="shared" ca="1" si="7"/>
        <v>453.54321477824703</v>
      </c>
    </row>
    <row r="199" spans="1:5" ht="16.5" x14ac:dyDescent="0.45">
      <c r="A199" t="s">
        <v>392</v>
      </c>
      <c r="B199" s="7">
        <f t="shared" ca="1" si="6"/>
        <v>0</v>
      </c>
      <c r="D199" t="s">
        <v>393</v>
      </c>
      <c r="E199" s="6">
        <f t="shared" ca="1" si="7"/>
        <v>213.45832394731971</v>
      </c>
    </row>
    <row r="200" spans="1:5" ht="16.5" x14ac:dyDescent="0.45">
      <c r="A200" t="s">
        <v>394</v>
      </c>
      <c r="B200" s="7">
        <f t="shared" ca="1" si="6"/>
        <v>1450.1864360885461</v>
      </c>
      <c r="D200" t="s">
        <v>395</v>
      </c>
      <c r="E200" s="6">
        <f t="shared" ca="1" si="7"/>
        <v>50.162577478636642</v>
      </c>
    </row>
    <row r="201" spans="1:5" ht="16.5" x14ac:dyDescent="0.45">
      <c r="A201" t="s">
        <v>396</v>
      </c>
      <c r="B201" s="7">
        <f t="shared" ca="1" si="6"/>
        <v>0</v>
      </c>
      <c r="D201" t="s">
        <v>397</v>
      </c>
      <c r="E201" s="6">
        <f t="shared" ca="1" si="7"/>
        <v>11.073668031960244</v>
      </c>
    </row>
    <row r="202" spans="1:5" ht="16.5" x14ac:dyDescent="0.45">
      <c r="A202" t="s">
        <v>398</v>
      </c>
      <c r="B202" s="7">
        <f t="shared" ca="1" si="6"/>
        <v>0</v>
      </c>
      <c r="D202" t="s">
        <v>399</v>
      </c>
      <c r="E202" s="6">
        <f t="shared" ca="1" si="7"/>
        <v>54.978775585176464</v>
      </c>
    </row>
    <row r="203" spans="1:5" ht="16.5" x14ac:dyDescent="0.45">
      <c r="A203" t="s">
        <v>400</v>
      </c>
      <c r="B203" s="7">
        <f t="shared" ca="1" si="6"/>
        <v>0</v>
      </c>
      <c r="D203" t="s">
        <v>401</v>
      </c>
      <c r="E203" s="6">
        <f t="shared" ca="1" si="7"/>
        <v>60.700254880962532</v>
      </c>
    </row>
    <row r="204" spans="1:5" ht="16.5" x14ac:dyDescent="0.45">
      <c r="B204" s="7">
        <f ca="1">SUM(B194:B203)</f>
        <v>5001.8640340417678</v>
      </c>
      <c r="D204" t="s">
        <v>402</v>
      </c>
      <c r="E204" s="6">
        <f t="shared" ca="1" si="7"/>
        <v>141.65964435453566</v>
      </c>
    </row>
    <row r="205" spans="1:5" ht="16.5" x14ac:dyDescent="0.45">
      <c r="B205" s="7"/>
      <c r="D205" t="s">
        <v>403</v>
      </c>
      <c r="E205" s="6">
        <f t="shared" ca="1" si="7"/>
        <v>513.95827859195538</v>
      </c>
    </row>
    <row r="206" spans="1:5" ht="16.5" x14ac:dyDescent="0.45">
      <c r="B206" s="7"/>
      <c r="D206" t="s">
        <v>404</v>
      </c>
      <c r="E206" s="6">
        <f t="shared" ca="1" si="7"/>
        <v>229.06693214639117</v>
      </c>
    </row>
    <row r="207" spans="1:5" ht="16.5" x14ac:dyDescent="0.45">
      <c r="B207" s="7"/>
      <c r="D207" t="s">
        <v>405</v>
      </c>
      <c r="E207" s="6">
        <f t="shared" ca="1" si="7"/>
        <v>0</v>
      </c>
    </row>
    <row r="208" spans="1:5" ht="16.5" x14ac:dyDescent="0.45">
      <c r="B208" s="7"/>
      <c r="D208" t="s">
        <v>406</v>
      </c>
      <c r="E208" s="6">
        <f t="shared" ca="1" si="7"/>
        <v>0</v>
      </c>
    </row>
    <row r="209" spans="1:5" ht="16.5" x14ac:dyDescent="0.45">
      <c r="B209" s="7"/>
      <c r="D209" t="s">
        <v>407</v>
      </c>
      <c r="E209" s="6">
        <f t="shared" ca="1" si="7"/>
        <v>0</v>
      </c>
    </row>
    <row r="210" spans="1:5" x14ac:dyDescent="0.35">
      <c r="B210" s="7"/>
      <c r="E210" s="6">
        <f ca="1">SUM(E194:E209)</f>
        <v>2135.0695890613556</v>
      </c>
    </row>
    <row r="211" spans="1:5" x14ac:dyDescent="0.35">
      <c r="B211" s="116"/>
      <c r="E211" s="117"/>
    </row>
    <row r="212" spans="1:5" s="95" customFormat="1" x14ac:dyDescent="0.35">
      <c r="A212" s="95" t="s">
        <v>159</v>
      </c>
      <c r="B212" s="95" t="s">
        <v>160</v>
      </c>
    </row>
    <row r="214" spans="1:5" x14ac:dyDescent="0.35">
      <c r="A214" t="s">
        <v>125</v>
      </c>
      <c r="B214" t="s">
        <v>126</v>
      </c>
    </row>
    <row r="215" spans="1:5" ht="16.5" x14ac:dyDescent="0.45">
      <c r="A215" t="s">
        <v>408</v>
      </c>
      <c r="B215" t="s">
        <v>161</v>
      </c>
    </row>
    <row r="216" spans="1:5" ht="16.5" x14ac:dyDescent="0.45">
      <c r="A216" t="s">
        <v>409</v>
      </c>
      <c r="B216" t="s">
        <v>162</v>
      </c>
    </row>
    <row r="218" spans="1:5" x14ac:dyDescent="0.35">
      <c r="A218" t="s">
        <v>147</v>
      </c>
    </row>
    <row r="219" spans="1:5" x14ac:dyDescent="0.35">
      <c r="A219" s="106"/>
      <c r="B219" s="106"/>
    </row>
    <row r="220" spans="1:5" x14ac:dyDescent="0.35">
      <c r="A220" s="106"/>
      <c r="B220" s="106"/>
    </row>
    <row r="221" spans="1:5" x14ac:dyDescent="0.35">
      <c r="A221" s="106"/>
      <c r="B221" s="106"/>
    </row>
    <row r="222" spans="1:5" x14ac:dyDescent="0.35">
      <c r="A222" s="106"/>
      <c r="B222" s="106"/>
    </row>
    <row r="223" spans="1:5" x14ac:dyDescent="0.35">
      <c r="A223" s="106"/>
      <c r="B223" s="106"/>
    </row>
    <row r="224" spans="1:5" x14ac:dyDescent="0.35">
      <c r="A224" s="106"/>
      <c r="B224" s="106"/>
    </row>
    <row r="226" spans="1:21" ht="16.5" x14ac:dyDescent="0.35">
      <c r="A226" s="108" t="s">
        <v>410</v>
      </c>
      <c r="B226" s="108" t="s">
        <v>163</v>
      </c>
      <c r="C226" s="108" t="s">
        <v>411</v>
      </c>
      <c r="E226" s="118"/>
      <c r="F226" s="118"/>
      <c r="G226" s="119"/>
      <c r="H226" s="107" t="s">
        <v>412</v>
      </c>
      <c r="I226" s="108" t="s">
        <v>164</v>
      </c>
      <c r="J226" s="108" t="s">
        <v>413</v>
      </c>
      <c r="Q226" s="120"/>
      <c r="R226" s="119"/>
      <c r="S226" s="118"/>
      <c r="T226" s="118"/>
      <c r="U226" s="118"/>
    </row>
    <row r="227" spans="1:21" ht="16.5" x14ac:dyDescent="0.35">
      <c r="A227" s="48" t="s">
        <v>414</v>
      </c>
      <c r="B227" s="48" t="str">
        <f>B25</f>
        <v>PR-CARAGUATATUBA</v>
      </c>
      <c r="C227" s="12">
        <f ca="1">IFERROR($B194/$H25*1000000," ")</f>
        <v>7.5529983391617037</v>
      </c>
      <c r="D227" s="121"/>
      <c r="E227" s="8"/>
      <c r="F227" s="8"/>
      <c r="G227" s="122"/>
      <c r="H227" s="48" t="s">
        <v>415</v>
      </c>
      <c r="I227" s="48" t="str">
        <f t="shared" ref="I227:I242" si="8">B42</f>
        <v>NTS MG 1</v>
      </c>
      <c r="J227" s="12">
        <f ca="1">IFERROR($E194/$H42*1000000," ")</f>
        <v>3.8550386075244876</v>
      </c>
      <c r="L227" s="21"/>
      <c r="M227" s="123"/>
      <c r="Q227" s="8"/>
      <c r="R227" s="124"/>
      <c r="S227" s="125"/>
      <c r="T227" s="125"/>
      <c r="U227" s="125"/>
    </row>
    <row r="228" spans="1:21" ht="16.5" x14ac:dyDescent="0.35">
      <c r="A228" s="48" t="s">
        <v>416</v>
      </c>
      <c r="B228" s="48" t="str">
        <f t="shared" ref="B228:B236" si="9">B26</f>
        <v>PR-GNLBGB</v>
      </c>
      <c r="C228" s="12">
        <f t="shared" ref="C228:C236" ca="1" si="10">IFERROR($B195/$H26*1000000," ")</f>
        <v>4.3052204053613687</v>
      </c>
      <c r="D228" s="121"/>
      <c r="E228" s="8"/>
      <c r="F228" s="8"/>
      <c r="G228" s="122"/>
      <c r="H228" s="48" t="s">
        <v>417</v>
      </c>
      <c r="I228" s="48" t="str">
        <f t="shared" si="8"/>
        <v>NTS MG 2</v>
      </c>
      <c r="J228" s="12">
        <f t="shared" ref="J228:J242" ca="1" si="11">IFERROR($E195/$H43*1000000," ")</f>
        <v>4.9260835925111657</v>
      </c>
      <c r="L228" s="21"/>
      <c r="M228" s="123"/>
      <c r="Q228" s="8"/>
      <c r="R228" s="124"/>
      <c r="S228" s="125"/>
      <c r="T228" s="125"/>
      <c r="U228" s="125"/>
    </row>
    <row r="229" spans="1:21" ht="16.5" x14ac:dyDescent="0.35">
      <c r="A229" s="48" t="s">
        <v>418</v>
      </c>
      <c r="B229" s="48" t="str">
        <f t="shared" si="9"/>
        <v>PR-ITABORAÍ</v>
      </c>
      <c r="C229" s="12">
        <f t="shared" ca="1" si="10"/>
        <v>5.0318685799748408</v>
      </c>
      <c r="D229" s="121"/>
      <c r="E229" s="8"/>
      <c r="F229" s="8"/>
      <c r="G229" s="122"/>
      <c r="H229" s="48" t="s">
        <v>419</v>
      </c>
      <c r="I229" s="48" t="str">
        <f t="shared" si="8"/>
        <v>NTS MG 3</v>
      </c>
      <c r="J229" s="12">
        <f t="shared" ca="1" si="11"/>
        <v>6.2176030840405483</v>
      </c>
      <c r="L229" s="21"/>
      <c r="M229" s="123"/>
      <c r="Q229" s="8"/>
      <c r="R229" s="124"/>
      <c r="S229" s="125"/>
      <c r="T229" s="125"/>
      <c r="U229" s="125"/>
    </row>
    <row r="230" spans="1:21" ht="16.5" x14ac:dyDescent="0.35">
      <c r="A230" s="48" t="s">
        <v>420</v>
      </c>
      <c r="B230" s="48" t="str">
        <f t="shared" si="9"/>
        <v>PR-GASPAJ (INTERCONEXÃO)</v>
      </c>
      <c r="C230" s="12" t="str">
        <f t="shared" ca="1" si="10"/>
        <v xml:space="preserve"> </v>
      </c>
      <c r="D230" s="121"/>
      <c r="E230" s="8"/>
      <c r="F230" s="8"/>
      <c r="G230" s="122"/>
      <c r="H230" s="48" t="s">
        <v>421</v>
      </c>
      <c r="I230" s="48" t="str">
        <f t="shared" si="8"/>
        <v>NTS MG 4</v>
      </c>
      <c r="J230" s="12">
        <f t="shared" ca="1" si="11"/>
        <v>6.6573594265887452</v>
      </c>
      <c r="L230" s="21"/>
      <c r="M230" s="123"/>
      <c r="Q230" s="8"/>
      <c r="R230" s="124"/>
      <c r="S230" s="125"/>
      <c r="T230" s="125"/>
      <c r="U230" s="125"/>
    </row>
    <row r="231" spans="1:21" ht="16.5" x14ac:dyDescent="0.35">
      <c r="A231" s="48" t="s">
        <v>422</v>
      </c>
      <c r="B231" s="48" t="str">
        <f t="shared" si="9"/>
        <v>PR-REDUC</v>
      </c>
      <c r="C231" s="12" t="str">
        <f t="shared" ca="1" si="10"/>
        <v xml:space="preserve"> </v>
      </c>
      <c r="D231" s="121"/>
      <c r="E231" s="8"/>
      <c r="F231" s="8"/>
      <c r="G231" s="122"/>
      <c r="H231" s="48" t="s">
        <v>423</v>
      </c>
      <c r="I231" s="48" t="str">
        <f t="shared" si="8"/>
        <v>NTS RJ 1</v>
      </c>
      <c r="J231" s="12">
        <f t="shared" ca="1" si="11"/>
        <v>1.872157702693761</v>
      </c>
      <c r="L231" s="21"/>
      <c r="M231" s="123"/>
      <c r="Q231" s="8"/>
      <c r="R231" s="124"/>
      <c r="S231" s="125"/>
      <c r="T231" s="125"/>
      <c r="U231" s="125"/>
    </row>
    <row r="232" spans="1:21" ht="16.5" x14ac:dyDescent="0.35">
      <c r="A232" s="48" t="s">
        <v>424</v>
      </c>
      <c r="B232" s="48" t="str">
        <f t="shared" si="9"/>
        <v>PR-RPBC</v>
      </c>
      <c r="C232" s="12" t="str">
        <f t="shared" ca="1" si="10"/>
        <v xml:space="preserve"> </v>
      </c>
      <c r="D232" s="121"/>
      <c r="E232" s="8"/>
      <c r="F232" s="8"/>
      <c r="G232" s="122"/>
      <c r="H232" s="48" t="s">
        <v>425</v>
      </c>
      <c r="I232" s="48" t="str">
        <f t="shared" si="8"/>
        <v>NTS RJ 2</v>
      </c>
      <c r="J232" s="12">
        <f t="shared" ca="1" si="11"/>
        <v>1.8650764706091159</v>
      </c>
      <c r="L232" s="21"/>
      <c r="M232" s="123"/>
      <c r="Q232" s="8"/>
      <c r="R232" s="124"/>
      <c r="S232" s="125"/>
      <c r="T232" s="125"/>
      <c r="U232" s="125"/>
    </row>
    <row r="233" spans="1:21" ht="16.5" x14ac:dyDescent="0.35">
      <c r="A233" s="48" t="s">
        <v>426</v>
      </c>
      <c r="B233" s="48" t="str">
        <f t="shared" si="9"/>
        <v>PR-TECAB</v>
      </c>
      <c r="C233" s="12">
        <f t="shared" ca="1" si="10"/>
        <v>7.1700818995176867</v>
      </c>
      <c r="D233" s="121"/>
      <c r="E233" s="8"/>
      <c r="F233" s="8"/>
      <c r="G233" s="122"/>
      <c r="H233" s="48" t="s">
        <v>427</v>
      </c>
      <c r="I233" s="48" t="str">
        <f t="shared" si="8"/>
        <v>NTS RJ 3</v>
      </c>
      <c r="J233" s="12">
        <f t="shared" ca="1" si="11"/>
        <v>2.1495223231905469</v>
      </c>
      <c r="L233" s="21"/>
      <c r="M233" s="123"/>
      <c r="Q233" s="8"/>
      <c r="R233" s="124"/>
      <c r="S233" s="125"/>
      <c r="T233" s="125"/>
      <c r="U233" s="125"/>
    </row>
    <row r="234" spans="1:21" ht="16.5" x14ac:dyDescent="0.35">
      <c r="A234" s="48" t="s">
        <v>428</v>
      </c>
      <c r="B234" s="48" t="str">
        <f t="shared" si="9"/>
        <v>PR-GUARAREMA (INTERCONEXÃO)</v>
      </c>
      <c r="C234" s="12" t="str">
        <f t="shared" ca="1" si="10"/>
        <v xml:space="preserve"> </v>
      </c>
      <c r="D234" s="121"/>
      <c r="E234" s="8"/>
      <c r="F234" s="8"/>
      <c r="G234" s="122"/>
      <c r="H234" s="48" t="s">
        <v>429</v>
      </c>
      <c r="I234" s="48" t="str">
        <f t="shared" si="8"/>
        <v>NTS RJ 4</v>
      </c>
      <c r="J234" s="12">
        <f t="shared" ca="1" si="11"/>
        <v>2.51803586429756</v>
      </c>
      <c r="L234" s="21"/>
      <c r="M234" s="123"/>
      <c r="Q234" s="8"/>
      <c r="R234" s="124"/>
      <c r="S234" s="125"/>
      <c r="T234" s="125"/>
      <c r="U234" s="125"/>
    </row>
    <row r="235" spans="1:21" ht="16.5" x14ac:dyDescent="0.35">
      <c r="A235" s="48" t="s">
        <v>430</v>
      </c>
      <c r="B235" s="48" t="str">
        <f t="shared" si="9"/>
        <v>PR-REPLAN (INTERCONEXÃO)</v>
      </c>
      <c r="C235" s="12" t="str">
        <f t="shared" ca="1" si="10"/>
        <v xml:space="preserve"> </v>
      </c>
      <c r="D235" s="116"/>
      <c r="E235" s="8"/>
      <c r="F235" s="8"/>
      <c r="G235" s="116"/>
      <c r="H235" s="48" t="s">
        <v>431</v>
      </c>
      <c r="I235" s="48" t="str">
        <f t="shared" si="8"/>
        <v>NTS RJ 5</v>
      </c>
      <c r="J235" s="12">
        <f t="shared" ca="1" si="11"/>
        <v>1.8975637433359973</v>
      </c>
      <c r="L235" s="21"/>
      <c r="Q235" s="8"/>
      <c r="R235" s="124"/>
      <c r="S235" s="125"/>
      <c r="T235" s="125"/>
      <c r="U235" s="125"/>
    </row>
    <row r="236" spans="1:21" ht="16.5" x14ac:dyDescent="0.35">
      <c r="A236" s="48" t="s">
        <v>432</v>
      </c>
      <c r="B236" s="48" t="str">
        <f t="shared" si="9"/>
        <v>PR-TECAB (INTERCONEXÃO)</v>
      </c>
      <c r="C236" s="12" t="str">
        <f t="shared" ca="1" si="10"/>
        <v xml:space="preserve"> </v>
      </c>
      <c r="D236" s="116"/>
      <c r="E236" s="8"/>
      <c r="F236" s="8"/>
      <c r="G236" s="116"/>
      <c r="H236" s="48" t="s">
        <v>433</v>
      </c>
      <c r="I236" s="48" t="str">
        <f t="shared" si="8"/>
        <v>NTS SP 1</v>
      </c>
      <c r="J236" s="12">
        <f t="shared" ca="1" si="11"/>
        <v>3.6040744095041739</v>
      </c>
      <c r="L236" s="21"/>
      <c r="Q236" s="8"/>
      <c r="R236" s="124"/>
      <c r="S236" s="125"/>
      <c r="T236" s="125"/>
      <c r="U236" s="125"/>
    </row>
    <row r="237" spans="1:21" ht="16.5" x14ac:dyDescent="0.35">
      <c r="D237" s="116"/>
      <c r="E237" s="8"/>
      <c r="F237" s="8"/>
      <c r="G237" s="116"/>
      <c r="H237" s="48" t="s">
        <v>434</v>
      </c>
      <c r="I237" s="48" t="str">
        <f t="shared" si="8"/>
        <v>NTS SP 2</v>
      </c>
      <c r="J237" s="12">
        <f t="shared" ca="1" si="11"/>
        <v>3.5008239852189913</v>
      </c>
      <c r="K237" s="116"/>
      <c r="L237" s="21"/>
      <c r="Q237" s="8"/>
      <c r="R237" s="124"/>
      <c r="S237" s="125"/>
      <c r="T237" s="125"/>
      <c r="U237" s="125"/>
    </row>
    <row r="238" spans="1:21" ht="16.5" x14ac:dyDescent="0.35">
      <c r="D238" s="116"/>
      <c r="E238" s="8"/>
      <c r="F238" s="8"/>
      <c r="G238" s="116"/>
      <c r="H238" s="48" t="s">
        <v>435</v>
      </c>
      <c r="I238" s="48" t="str">
        <f t="shared" si="8"/>
        <v>NTS SP 3</v>
      </c>
      <c r="J238" s="12">
        <f t="shared" ca="1" si="11"/>
        <v>4.73693006332749</v>
      </c>
      <c r="L238" s="21"/>
      <c r="Q238" s="8"/>
      <c r="R238" s="124"/>
      <c r="S238" s="125"/>
      <c r="T238" s="125"/>
      <c r="U238" s="125"/>
    </row>
    <row r="239" spans="1:21" ht="16.5" x14ac:dyDescent="0.35">
      <c r="D239" s="116"/>
      <c r="E239" s="8"/>
      <c r="F239" s="8"/>
      <c r="G239" s="116"/>
      <c r="H239" s="48" t="s">
        <v>436</v>
      </c>
      <c r="I239" s="48" t="str">
        <f t="shared" si="8"/>
        <v>NTS SP 4</v>
      </c>
      <c r="J239" s="12">
        <f t="shared" ca="1" si="11"/>
        <v>5.1277766783718688</v>
      </c>
      <c r="L239" s="21"/>
      <c r="Q239" s="8"/>
      <c r="R239" s="124"/>
      <c r="S239" s="125"/>
      <c r="T239" s="125"/>
      <c r="U239" s="125"/>
    </row>
    <row r="240" spans="1:21" ht="16.5" x14ac:dyDescent="0.35">
      <c r="D240" s="116"/>
      <c r="E240" s="8"/>
      <c r="F240" s="8"/>
      <c r="G240" s="116"/>
      <c r="H240" s="48" t="s">
        <v>437</v>
      </c>
      <c r="I240" s="48" t="str">
        <f t="shared" si="8"/>
        <v>PE-GUARAREMA (INTERCONEXÃO)</v>
      </c>
      <c r="J240" s="12" t="str">
        <f t="shared" ca="1" si="11"/>
        <v xml:space="preserve"> </v>
      </c>
      <c r="L240" s="21"/>
      <c r="Q240" s="8"/>
      <c r="R240" s="124"/>
      <c r="S240" s="10"/>
      <c r="T240" s="10"/>
      <c r="U240" s="10"/>
    </row>
    <row r="241" spans="1:22" ht="16.5" x14ac:dyDescent="0.35">
      <c r="E241" s="8"/>
      <c r="F241" s="8"/>
      <c r="G241" s="116"/>
      <c r="H241" s="48" t="s">
        <v>438</v>
      </c>
      <c r="I241" s="48" t="str">
        <f t="shared" si="8"/>
        <v>PE-REPLAN (INTERCONEXÃO)</v>
      </c>
      <c r="J241" s="12" t="str">
        <f t="shared" ca="1" si="11"/>
        <v xml:space="preserve"> </v>
      </c>
      <c r="L241" s="21"/>
      <c r="Q241" s="8"/>
      <c r="R241" s="126"/>
      <c r="S241" s="10"/>
      <c r="T241" s="10"/>
      <c r="U241" s="10"/>
      <c r="V241" s="116"/>
    </row>
    <row r="242" spans="1:22" ht="16.5" x14ac:dyDescent="0.35">
      <c r="E242" s="8"/>
      <c r="F242" s="8"/>
      <c r="G242" s="116"/>
      <c r="H242" s="48" t="s">
        <v>439</v>
      </c>
      <c r="I242" s="48" t="str">
        <f t="shared" si="8"/>
        <v>PE-TECAB (INTERCONEXÃO)</v>
      </c>
      <c r="J242" s="12" t="str">
        <f t="shared" ca="1" si="11"/>
        <v xml:space="preserve"> </v>
      </c>
      <c r="L242" s="21"/>
      <c r="P242" s="122"/>
      <c r="Q242" s="126"/>
      <c r="R242" s="126"/>
      <c r="S242" s="8"/>
      <c r="T242" s="8"/>
      <c r="U242" s="8"/>
      <c r="V242" s="116"/>
    </row>
    <row r="243" spans="1:22" x14ac:dyDescent="0.35">
      <c r="L243" s="21"/>
    </row>
    <row r="244" spans="1:22" x14ac:dyDescent="0.35">
      <c r="L244" s="21"/>
    </row>
    <row r="245" spans="1:22" ht="16.5" x14ac:dyDescent="0.35">
      <c r="A245" s="108" t="s">
        <v>410</v>
      </c>
      <c r="B245" s="108" t="s">
        <v>163</v>
      </c>
      <c r="C245" s="108" t="s">
        <v>411</v>
      </c>
      <c r="D245" s="108" t="s">
        <v>440</v>
      </c>
      <c r="E245" s="108" t="s">
        <v>441</v>
      </c>
      <c r="F245" s="259" t="s">
        <v>457</v>
      </c>
      <c r="G245" s="119"/>
      <c r="H245" s="108" t="s">
        <v>412</v>
      </c>
      <c r="I245" s="108" t="s">
        <v>164</v>
      </c>
      <c r="J245" s="108" t="s">
        <v>413</v>
      </c>
      <c r="K245" s="108" t="s">
        <v>442</v>
      </c>
      <c r="L245" s="108" t="s">
        <v>443</v>
      </c>
      <c r="M245" s="259" t="s">
        <v>457</v>
      </c>
    </row>
    <row r="246" spans="1:22" ht="16.5" x14ac:dyDescent="0.35">
      <c r="A246" s="48" t="s">
        <v>414</v>
      </c>
      <c r="B246" s="48" t="str">
        <f t="shared" ref="B246:B255" si="12">B227</f>
        <v>PR-CARAGUATATUBA</v>
      </c>
      <c r="C246" s="12">
        <f ca="1">IF(H25=0," ",C227*(1-$C$12))</f>
        <v>1.5105996678323403</v>
      </c>
      <c r="D246" s="12">
        <f t="shared" ref="D246:D252" ca="1" si="13">$F$8*$C$12</f>
        <v>4.703778157720893</v>
      </c>
      <c r="E246" s="12">
        <f ca="1">IFERROR(C246+D246," ")</f>
        <v>6.2143778255532336</v>
      </c>
      <c r="F246" s="256">
        <f ca="1">E246*H25</f>
        <v>1199608936.7709899</v>
      </c>
      <c r="G246" s="123"/>
      <c r="H246" s="48" t="s">
        <v>415</v>
      </c>
      <c r="I246" s="48" t="str">
        <f t="shared" ref="I246:I261" si="14">I227</f>
        <v>NTS MG 1</v>
      </c>
      <c r="J246" s="12">
        <f ca="1">IF(H42=0," ",J227*(1-$C$12))</f>
        <v>0.77100772150489738</v>
      </c>
      <c r="K246" s="12">
        <f t="shared" ref="K246:K258" ca="1" si="15">$F$11*$C$12</f>
        <v>2.4511770057812541</v>
      </c>
      <c r="L246" s="12">
        <f ca="1">IFERROR(J246+K246," ")</f>
        <v>3.2221847272861517</v>
      </c>
      <c r="M246" s="256">
        <f ca="1">L246*H42</f>
        <v>26629694.98835792</v>
      </c>
      <c r="N246" s="131"/>
    </row>
    <row r="247" spans="1:22" ht="16.5" x14ac:dyDescent="0.35">
      <c r="A247" s="48" t="s">
        <v>416</v>
      </c>
      <c r="B247" s="48" t="str">
        <f t="shared" si="12"/>
        <v>PR-GNLBGB</v>
      </c>
      <c r="C247" s="12">
        <f t="shared" ref="C247:C255" ca="1" si="16">IF(H26=0," ",C228*(1-$C$12))</f>
        <v>0.86104408107227359</v>
      </c>
      <c r="D247" s="12">
        <f t="shared" ca="1" si="13"/>
        <v>4.703778157720893</v>
      </c>
      <c r="E247" s="12">
        <f t="shared" ref="E247:E252" ca="1" si="17">IFERROR(C247+D247," ")</f>
        <v>5.564822238793167</v>
      </c>
      <c r="F247" s="256">
        <f t="shared" ref="F247:F252" ca="1" si="18">E247*H26</f>
        <v>1515333965.3588972</v>
      </c>
      <c r="G247" s="123"/>
      <c r="H247" s="48" t="s">
        <v>417</v>
      </c>
      <c r="I247" s="48" t="str">
        <f t="shared" si="14"/>
        <v>NTS MG 2</v>
      </c>
      <c r="J247" s="12">
        <f t="shared" ref="J247:J248" ca="1" si="19">IF(H43=0," ",J228*(1-$C$12))</f>
        <v>0.98521671850223291</v>
      </c>
      <c r="K247" s="12">
        <f t="shared" ca="1" si="15"/>
        <v>2.4511770057812541</v>
      </c>
      <c r="L247" s="12">
        <f t="shared" ref="L247:L258" ca="1" si="20">IFERROR(J247+K247," ")</f>
        <v>3.4363937242834872</v>
      </c>
      <c r="M247" s="256">
        <f t="shared" ref="M247:M258" ca="1" si="21">L247*H43</f>
        <v>78509450.914126292</v>
      </c>
    </row>
    <row r="248" spans="1:22" ht="16.5" x14ac:dyDescent="0.35">
      <c r="A248" s="48" t="s">
        <v>418</v>
      </c>
      <c r="B248" s="48" t="str">
        <f t="shared" si="12"/>
        <v>PR-ITABORAÍ</v>
      </c>
      <c r="C248" s="12">
        <f t="shared" ca="1" si="16"/>
        <v>1.0063737159949679</v>
      </c>
      <c r="D248" s="12">
        <f t="shared" ca="1" si="13"/>
        <v>4.703778157720893</v>
      </c>
      <c r="E248" s="12">
        <f t="shared" ca="1" si="17"/>
        <v>5.7101518737158612</v>
      </c>
      <c r="F248" s="256">
        <f t="shared" ca="1" si="18"/>
        <v>1045520195.2559044</v>
      </c>
      <c r="G248" s="123"/>
      <c r="H248" s="48" t="s">
        <v>419</v>
      </c>
      <c r="I248" s="48" t="str">
        <f t="shared" si="14"/>
        <v>NTS MG 3</v>
      </c>
      <c r="J248" s="12">
        <f t="shared" ca="1" si="19"/>
        <v>1.2435206168081094</v>
      </c>
      <c r="K248" s="12">
        <f t="shared" ca="1" si="15"/>
        <v>2.4511770057812541</v>
      </c>
      <c r="L248" s="12">
        <f t="shared" ca="1" si="20"/>
        <v>3.6946976225893637</v>
      </c>
      <c r="M248" s="256">
        <f t="shared" ca="1" si="21"/>
        <v>137683140.89799455</v>
      </c>
    </row>
    <row r="249" spans="1:22" ht="16.5" x14ac:dyDescent="0.35">
      <c r="A249" s="48" t="s">
        <v>420</v>
      </c>
      <c r="B249" s="48" t="str">
        <f t="shared" si="12"/>
        <v>PR-GASPAJ (INTERCONEXÃO)</v>
      </c>
      <c r="C249" s="12" t="str">
        <f t="shared" si="16"/>
        <v xml:space="preserve"> </v>
      </c>
      <c r="D249" s="12">
        <f t="shared" ca="1" si="13"/>
        <v>4.703778157720893</v>
      </c>
      <c r="E249" s="127">
        <f ca="1">E271</f>
        <v>0.57459513218442759</v>
      </c>
      <c r="F249" s="256">
        <f t="shared" ca="1" si="18"/>
        <v>0</v>
      </c>
      <c r="G249" s="123"/>
      <c r="H249" s="48" t="s">
        <v>421</v>
      </c>
      <c r="I249" s="48" t="str">
        <f t="shared" si="14"/>
        <v>NTS MG 4</v>
      </c>
      <c r="J249" s="12">
        <f ca="1">IF(H45=0," ",J230*(1-$C$12))</f>
        <v>1.3314718853177487</v>
      </c>
      <c r="K249" s="12">
        <f t="shared" ca="1" si="15"/>
        <v>2.4511770057812541</v>
      </c>
      <c r="L249" s="12">
        <f t="shared" ca="1" si="20"/>
        <v>3.7826488910990026</v>
      </c>
      <c r="M249" s="256">
        <f t="shared" ca="1" si="21"/>
        <v>17253130.403309263</v>
      </c>
    </row>
    <row r="250" spans="1:22" ht="16.5" x14ac:dyDescent="0.35">
      <c r="A250" s="48" t="s">
        <v>422</v>
      </c>
      <c r="B250" s="48" t="str">
        <f t="shared" si="12"/>
        <v>PR-REDUC</v>
      </c>
      <c r="C250" s="12" t="str">
        <f t="shared" si="16"/>
        <v xml:space="preserve"> </v>
      </c>
      <c r="D250" s="12"/>
      <c r="E250" s="12" t="str">
        <f t="shared" si="17"/>
        <v xml:space="preserve"> </v>
      </c>
      <c r="F250" s="256"/>
      <c r="G250" s="123"/>
      <c r="H250" s="48" t="s">
        <v>423</v>
      </c>
      <c r="I250" s="48" t="str">
        <f t="shared" si="14"/>
        <v>NTS RJ 1</v>
      </c>
      <c r="J250" s="12">
        <f t="shared" ref="J250:J261" ca="1" si="22">IF(H46=0," ",J231*(1-$C$12))</f>
        <v>0.37443154053875211</v>
      </c>
      <c r="K250" s="12">
        <f t="shared" ca="1" si="15"/>
        <v>2.4511770057812541</v>
      </c>
      <c r="L250" s="12">
        <f t="shared" ca="1" si="20"/>
        <v>2.825608546320006</v>
      </c>
      <c r="M250" s="256">
        <f t="shared" ca="1" si="21"/>
        <v>684523308.03058028</v>
      </c>
    </row>
    <row r="251" spans="1:22" ht="16.5" x14ac:dyDescent="0.35">
      <c r="A251" s="48" t="s">
        <v>424</v>
      </c>
      <c r="B251" s="48" t="str">
        <f t="shared" si="12"/>
        <v>PR-RPBC</v>
      </c>
      <c r="C251" s="12" t="str">
        <f t="shared" si="16"/>
        <v xml:space="preserve"> </v>
      </c>
      <c r="D251" s="12"/>
      <c r="E251" s="12" t="str">
        <f t="shared" si="17"/>
        <v xml:space="preserve"> </v>
      </c>
      <c r="F251" s="256"/>
      <c r="G251" s="123"/>
      <c r="H251" s="48" t="s">
        <v>425</v>
      </c>
      <c r="I251" s="48" t="str">
        <f t="shared" si="14"/>
        <v>NTS RJ 2</v>
      </c>
      <c r="J251" s="12">
        <f t="shared" ca="1" si="22"/>
        <v>0.3730152941218231</v>
      </c>
      <c r="K251" s="12">
        <f t="shared" ca="1" si="15"/>
        <v>2.4511770057812541</v>
      </c>
      <c r="L251" s="12">
        <f t="shared" ca="1" si="20"/>
        <v>2.8241922999030771</v>
      </c>
      <c r="M251" s="256">
        <f t="shared" ca="1" si="21"/>
        <v>323229296.13998765</v>
      </c>
    </row>
    <row r="252" spans="1:22" ht="16.5" x14ac:dyDescent="0.35">
      <c r="A252" s="48" t="s">
        <v>426</v>
      </c>
      <c r="B252" s="48" t="str">
        <f t="shared" si="12"/>
        <v>PR-TECAB</v>
      </c>
      <c r="C252" s="12">
        <f t="shared" ca="1" si="16"/>
        <v>1.434016379903537</v>
      </c>
      <c r="D252" s="12">
        <f t="shared" ca="1" si="13"/>
        <v>4.703778157720893</v>
      </c>
      <c r="E252" s="12">
        <f t="shared" ca="1" si="17"/>
        <v>6.1377945376244298</v>
      </c>
      <c r="F252" s="256">
        <f t="shared" ca="1" si="18"/>
        <v>1241400936.6559763</v>
      </c>
      <c r="G252" s="123"/>
      <c r="H252" s="48" t="s">
        <v>427</v>
      </c>
      <c r="I252" s="48" t="str">
        <f t="shared" si="14"/>
        <v>NTS RJ 3</v>
      </c>
      <c r="J252" s="12">
        <f t="shared" ca="1" si="22"/>
        <v>0.42990446463810927</v>
      </c>
      <c r="K252" s="12">
        <f t="shared" ca="1" si="15"/>
        <v>2.4511770057812541</v>
      </c>
      <c r="L252" s="12">
        <f t="shared" ca="1" si="20"/>
        <v>2.8810814704193635</v>
      </c>
      <c r="M252" s="256">
        <f t="shared" ca="1" si="21"/>
        <v>67234692.528180063</v>
      </c>
    </row>
    <row r="253" spans="1:22" ht="16.5" x14ac:dyDescent="0.35">
      <c r="A253" s="48" t="s">
        <v>428</v>
      </c>
      <c r="B253" s="48" t="str">
        <f t="shared" si="12"/>
        <v>PR-GUARAREMA (INTERCONEXÃO)</v>
      </c>
      <c r="C253" s="12" t="str">
        <f t="shared" si="16"/>
        <v xml:space="preserve"> </v>
      </c>
      <c r="D253" s="12"/>
      <c r="E253" s="127">
        <f ca="1">E269</f>
        <v>0.5345107320621999</v>
      </c>
      <c r="F253" s="257"/>
      <c r="G253" s="123"/>
      <c r="H253" s="48" t="s">
        <v>429</v>
      </c>
      <c r="I253" s="48" t="str">
        <f t="shared" si="14"/>
        <v>NTS RJ 4</v>
      </c>
      <c r="J253" s="12">
        <f t="shared" ca="1" si="22"/>
        <v>0.50360717285951184</v>
      </c>
      <c r="K253" s="12">
        <f t="shared" ca="1" si="15"/>
        <v>2.4511770057812541</v>
      </c>
      <c r="L253" s="12">
        <f t="shared" ca="1" si="20"/>
        <v>2.9547841786407658</v>
      </c>
      <c r="M253" s="256">
        <f t="shared" ca="1" si="21"/>
        <v>12994373.735611554</v>
      </c>
    </row>
    <row r="254" spans="1:22" ht="16.5" x14ac:dyDescent="0.35">
      <c r="A254" s="48" t="s">
        <v>430</v>
      </c>
      <c r="B254" s="48" t="str">
        <f t="shared" si="12"/>
        <v>PR-REPLAN (INTERCONEXÃO)</v>
      </c>
      <c r="C254" s="12" t="str">
        <f t="shared" si="16"/>
        <v xml:space="preserve"> </v>
      </c>
      <c r="D254" s="12"/>
      <c r="E254" s="127">
        <f ca="1">E268</f>
        <v>0.57459513218442759</v>
      </c>
      <c r="F254" s="258">
        <f ca="1">SUM(F246:F252)</f>
        <v>5001864034.0417681</v>
      </c>
      <c r="G254" s="123"/>
      <c r="H254" s="48" t="s">
        <v>431</v>
      </c>
      <c r="I254" s="48" t="str">
        <f t="shared" si="14"/>
        <v>NTS RJ 5</v>
      </c>
      <c r="J254" s="12">
        <f t="shared" ca="1" si="22"/>
        <v>0.37951274866719936</v>
      </c>
      <c r="K254" s="12">
        <f t="shared" ca="1" si="15"/>
        <v>2.4511770057812541</v>
      </c>
      <c r="L254" s="12">
        <f t="shared" ca="1" si="20"/>
        <v>2.8306897544484535</v>
      </c>
      <c r="M254" s="256">
        <f t="shared" ca="1" si="21"/>
        <v>82014560.674246147</v>
      </c>
    </row>
    <row r="255" spans="1:22" ht="16.5" x14ac:dyDescent="0.35">
      <c r="A255" s="48" t="s">
        <v>432</v>
      </c>
      <c r="B255" s="48" t="str">
        <f t="shared" si="12"/>
        <v>PR-TECAB (INTERCONEXÃO)</v>
      </c>
      <c r="C255" s="12" t="str">
        <f t="shared" si="16"/>
        <v xml:space="preserve"> </v>
      </c>
      <c r="D255" s="12"/>
      <c r="E255" s="127">
        <f ca="1">E270</f>
        <v>0.56141765604601046</v>
      </c>
      <c r="G255" s="123"/>
      <c r="H255" s="48" t="s">
        <v>433</v>
      </c>
      <c r="I255" s="48" t="str">
        <f t="shared" si="14"/>
        <v>NTS SP 1</v>
      </c>
      <c r="J255" s="12">
        <f t="shared" ca="1" si="22"/>
        <v>0.72081488190083465</v>
      </c>
      <c r="K255" s="12">
        <f t="shared" ca="1" si="15"/>
        <v>2.4511770057812541</v>
      </c>
      <c r="L255" s="12">
        <f t="shared" ca="1" si="20"/>
        <v>3.171991887682089</v>
      </c>
      <c r="M255" s="256">
        <f t="shared" ca="1" si="21"/>
        <v>53423069.056206532</v>
      </c>
    </row>
    <row r="256" spans="1:22" ht="16.5" x14ac:dyDescent="0.35">
      <c r="F256" s="131"/>
      <c r="H256" s="48" t="s">
        <v>434</v>
      </c>
      <c r="I256" s="48" t="str">
        <f t="shared" si="14"/>
        <v>NTS SP 2</v>
      </c>
      <c r="J256" s="12">
        <f t="shared" ca="1" si="22"/>
        <v>0.70016479704379808</v>
      </c>
      <c r="K256" s="12">
        <f t="shared" ca="1" si="15"/>
        <v>2.4511770057812541</v>
      </c>
      <c r="L256" s="12">
        <f t="shared" ca="1" si="20"/>
        <v>3.1513418028250522</v>
      </c>
      <c r="M256" s="256">
        <f t="shared" ca="1" si="21"/>
        <v>127517967.45926739</v>
      </c>
    </row>
    <row r="257" spans="1:13" ht="16.5" x14ac:dyDescent="0.35">
      <c r="H257" s="48" t="s">
        <v>435</v>
      </c>
      <c r="I257" s="48" t="str">
        <f t="shared" si="14"/>
        <v>NTS SP 3</v>
      </c>
      <c r="J257" s="12">
        <f t="shared" ca="1" si="22"/>
        <v>0.94738601266549782</v>
      </c>
      <c r="K257" s="12">
        <f t="shared" ca="1" si="15"/>
        <v>2.4511770057812541</v>
      </c>
      <c r="L257" s="12">
        <f t="shared" ca="1" si="20"/>
        <v>3.3985630184467519</v>
      </c>
      <c r="M257" s="256">
        <f t="shared" ca="1" si="21"/>
        <v>368745068.07055902</v>
      </c>
    </row>
    <row r="258" spans="1:13" ht="16.5" x14ac:dyDescent="0.35">
      <c r="H258" s="48" t="s">
        <v>436</v>
      </c>
      <c r="I258" s="48" t="str">
        <f t="shared" si="14"/>
        <v>NTS SP 4</v>
      </c>
      <c r="J258" s="12">
        <f t="shared" ca="1" si="22"/>
        <v>1.0255553356743736</v>
      </c>
      <c r="K258" s="12">
        <f t="shared" ca="1" si="15"/>
        <v>2.4511770057812541</v>
      </c>
      <c r="L258" s="12">
        <f t="shared" ca="1" si="20"/>
        <v>3.4767323414556275</v>
      </c>
      <c r="M258" s="256">
        <f t="shared" ca="1" si="21"/>
        <v>155311836.16292897</v>
      </c>
    </row>
    <row r="259" spans="1:13" ht="16.5" x14ac:dyDescent="0.35">
      <c r="H259" s="48" t="s">
        <v>437</v>
      </c>
      <c r="I259" s="48" t="str">
        <f t="shared" si="14"/>
        <v>PE-GUARAREMA (INTERCONEXÃO)</v>
      </c>
      <c r="J259" s="12" t="str">
        <f t="shared" si="22"/>
        <v xml:space="preserve"> </v>
      </c>
      <c r="K259" s="12"/>
      <c r="L259" s="12">
        <f>0</f>
        <v>0</v>
      </c>
      <c r="M259" s="257"/>
    </row>
    <row r="260" spans="1:13" ht="16.5" x14ac:dyDescent="0.35">
      <c r="H260" s="48" t="s">
        <v>438</v>
      </c>
      <c r="I260" s="48" t="str">
        <f t="shared" si="14"/>
        <v>PE-REPLAN (INTERCONEXÃO)</v>
      </c>
      <c r="J260" s="12" t="str">
        <f t="shared" si="22"/>
        <v xml:space="preserve"> </v>
      </c>
      <c r="K260" s="12"/>
      <c r="L260" s="127">
        <f ca="1">E272</f>
        <v>0.30415148533969139</v>
      </c>
      <c r="M260" s="258">
        <f ca="1">SUM(M246:M258)</f>
        <v>2135069589.0613556</v>
      </c>
    </row>
    <row r="261" spans="1:13" ht="16.5" x14ac:dyDescent="0.35">
      <c r="H261" s="48" t="s">
        <v>439</v>
      </c>
      <c r="I261" s="48" t="str">
        <f t="shared" si="14"/>
        <v>PE-TECAB (INTERCONEXÃO)</v>
      </c>
      <c r="J261" s="12" t="str">
        <f t="shared" si="22"/>
        <v xml:space="preserve"> </v>
      </c>
      <c r="K261" s="12"/>
      <c r="L261" s="127">
        <f ca="1">E273</f>
        <v>0.26281815713874873</v>
      </c>
    </row>
    <row r="263" spans="1:13" x14ac:dyDescent="0.35">
      <c r="A263" t="s">
        <v>165</v>
      </c>
      <c r="C263" s="94">
        <v>0.9</v>
      </c>
    </row>
    <row r="264" spans="1:13" x14ac:dyDescent="0.35">
      <c r="J264" s="123"/>
      <c r="K264" s="123"/>
      <c r="L264" s="123"/>
      <c r="M264" s="123"/>
    </row>
    <row r="265" spans="1:13" x14ac:dyDescent="0.35">
      <c r="A265" s="244" t="s">
        <v>464</v>
      </c>
      <c r="J265" s="123"/>
      <c r="K265" s="123"/>
      <c r="L265" s="123"/>
      <c r="M265" s="123"/>
    </row>
    <row r="266" spans="1:13" x14ac:dyDescent="0.35">
      <c r="E266" s="260"/>
      <c r="L266" s="128"/>
    </row>
    <row r="267" spans="1:13" ht="37" x14ac:dyDescent="0.35">
      <c r="B267" s="245" t="s">
        <v>449</v>
      </c>
      <c r="C267" s="264" t="s">
        <v>456</v>
      </c>
      <c r="D267" s="264" t="s">
        <v>455</v>
      </c>
      <c r="E267" s="270" t="s">
        <v>462</v>
      </c>
      <c r="F267" s="245" t="s">
        <v>467</v>
      </c>
      <c r="L267" s="128"/>
    </row>
    <row r="268" spans="1:13" ht="18.5" x14ac:dyDescent="0.45">
      <c r="B268" s="246" t="s">
        <v>450</v>
      </c>
      <c r="C268" s="271">
        <f>'Oferta (Legados)'!I11</f>
        <v>200</v>
      </c>
      <c r="D268" s="265">
        <f ca="1">'CWD 2029 Legados (sem desc.)'!D267</f>
        <v>5.7459513218442773</v>
      </c>
      <c r="E268" s="268">
        <f ca="1">D268*(1-$C$263)</f>
        <v>0.57459513218442759</v>
      </c>
      <c r="F268" s="266">
        <f ca="1">C268*E268*'Premissas (Legados)'!$C$44*'Premissas (Legados)'!$F$20*1000</f>
        <v>1564656.4845488691</v>
      </c>
      <c r="L268" s="128"/>
    </row>
    <row r="269" spans="1:13" ht="18.5" x14ac:dyDescent="0.45">
      <c r="B269" s="247" t="s">
        <v>451</v>
      </c>
      <c r="C269" s="271">
        <f>'Oferta (Legados)'!I10</f>
        <v>6000</v>
      </c>
      <c r="D269" s="265">
        <f ca="1">'CWD 2029 Legados (sem desc.)'!D268</f>
        <v>5.3451073206220006</v>
      </c>
      <c r="E269" s="268">
        <f t="shared" ref="E269:E271" ca="1" si="23">D269*(1-$C$263)</f>
        <v>0.5345107320621999</v>
      </c>
      <c r="F269" s="266">
        <f ca="1">C269*E269*'Premissas (Legados)'!$C$44*'Premissas (Legados)'!$F$20*1000</f>
        <v>43665128.860523432</v>
      </c>
      <c r="G269" s="129"/>
      <c r="K269" s="129"/>
      <c r="L269" s="128"/>
    </row>
    <row r="270" spans="1:13" ht="18.5" x14ac:dyDescent="0.45">
      <c r="B270" s="248" t="s">
        <v>452</v>
      </c>
      <c r="C270" s="271">
        <f>'Oferta (Legados)'!I12</f>
        <v>200</v>
      </c>
      <c r="D270" s="265">
        <f ca="1">'CWD 2029 Legados (sem desc.)'!D269</f>
        <v>5.6141765604601055</v>
      </c>
      <c r="E270" s="268">
        <f t="shared" ca="1" si="23"/>
        <v>0.56141765604601046</v>
      </c>
      <c r="F270" s="266">
        <f ca="1">C270*E270*'Premissas (Legados)'!$C$44*'Premissas (Legados)'!$F$20*1000</f>
        <v>1528773.4386699761</v>
      </c>
      <c r="K270" s="129"/>
      <c r="L270" s="128"/>
    </row>
    <row r="271" spans="1:13" ht="18.5" x14ac:dyDescent="0.45">
      <c r="B271" s="248" t="s">
        <v>243</v>
      </c>
      <c r="C271" s="271">
        <f>'Oferta (Legados)'!I6</f>
        <v>335</v>
      </c>
      <c r="D271" s="265">
        <f ca="1">'CWD 2029 Legados (sem desc.)'!D270</f>
        <v>5.7459513218442773</v>
      </c>
      <c r="E271" s="268">
        <f t="shared" ca="1" si="23"/>
        <v>0.57459513218442759</v>
      </c>
      <c r="F271" s="266">
        <f ca="1">C271*E271*'Premissas (Legados)'!$C$44*'Premissas (Legados)'!$F$20*1000</f>
        <v>2620799.6116193552</v>
      </c>
      <c r="K271" s="129"/>
      <c r="L271" s="128"/>
    </row>
    <row r="272" spans="1:13" ht="18.5" x14ac:dyDescent="0.45">
      <c r="B272" s="246" t="s">
        <v>453</v>
      </c>
      <c r="C272" s="271">
        <f>'Demanda (Legados)'!I17</f>
        <v>7011</v>
      </c>
      <c r="D272" s="265">
        <f ca="1">'CWD 2029 Legados (sem desc.)'!D271</f>
        <v>3.0415148533969147</v>
      </c>
      <c r="E272" s="268">
        <f ca="1">D272*(1-$C$263)</f>
        <v>0.30415148533969139</v>
      </c>
      <c r="F272" s="266">
        <f ca="1">C272*E272*'Premissas (Legados)'!$C$44*'Premissas (Legados)'!$F$20*1000</f>
        <v>29033338.33164601</v>
      </c>
      <c r="K272" s="129"/>
      <c r="L272" s="128"/>
    </row>
    <row r="273" spans="2:13" ht="18.5" x14ac:dyDescent="0.45">
      <c r="B273" s="248" t="s">
        <v>454</v>
      </c>
      <c r="C273" s="271">
        <f>'Demanda (Legados)'!I18</f>
        <v>200</v>
      </c>
      <c r="D273" s="265">
        <f ca="1">'CWD 2029 Legados (sem desc.)'!D272</f>
        <v>2.6281815713874876</v>
      </c>
      <c r="E273" s="268">
        <f ca="1">D273*(1-$C$263)</f>
        <v>0.26281815713874873</v>
      </c>
      <c r="F273" s="266">
        <f ca="1">C273*E273*'Premissas (Legados)'!$C$44*'Premissas (Legados)'!$F$20*1000</f>
        <v>715669.36576890049</v>
      </c>
      <c r="K273" s="129"/>
      <c r="L273" s="128"/>
    </row>
    <row r="274" spans="2:13" ht="19" thickBot="1" x14ac:dyDescent="0.5">
      <c r="B274" s="248"/>
      <c r="C274" s="269"/>
      <c r="D274" s="269"/>
      <c r="E274" s="269"/>
      <c r="F274" s="267">
        <f ca="1">SUM(F268:F273)</f>
        <v>79128366.092776537</v>
      </c>
      <c r="K274" s="129"/>
      <c r="L274" s="128"/>
    </row>
    <row r="275" spans="2:13" ht="15" thickTop="1" x14ac:dyDescent="0.35">
      <c r="K275" s="129"/>
      <c r="L275" s="128"/>
    </row>
    <row r="276" spans="2:13" x14ac:dyDescent="0.35">
      <c r="E276" t="s">
        <v>110</v>
      </c>
      <c r="F276" s="235">
        <f ca="1">F254+M260+F274</f>
        <v>7216061989.1959</v>
      </c>
      <c r="K276" s="129"/>
      <c r="L276" s="128"/>
    </row>
    <row r="277" spans="2:13" x14ac:dyDescent="0.35">
      <c r="E277" s="250" t="s">
        <v>457</v>
      </c>
      <c r="F277" s="251">
        <f ca="1">(F276/10^6)-D4</f>
        <v>0</v>
      </c>
      <c r="K277" s="129"/>
      <c r="L277" s="128"/>
    </row>
    <row r="278" spans="2:13" x14ac:dyDescent="0.35">
      <c r="K278" s="129"/>
    </row>
    <row r="279" spans="2:13" x14ac:dyDescent="0.35">
      <c r="K279" s="129"/>
    </row>
    <row r="280" spans="2:13" x14ac:dyDescent="0.35">
      <c r="K280" s="129"/>
      <c r="M280" s="130"/>
    </row>
    <row r="281" spans="2:13" x14ac:dyDescent="0.35">
      <c r="K281" s="129"/>
      <c r="M281" s="130"/>
    </row>
    <row r="282" spans="2:13" x14ac:dyDescent="0.35">
      <c r="K282" s="129"/>
      <c r="M282" s="130"/>
    </row>
    <row r="283" spans="2:13" x14ac:dyDescent="0.35">
      <c r="K283" s="129"/>
      <c r="M283" s="130"/>
    </row>
    <row r="284" spans="2:13" x14ac:dyDescent="0.35">
      <c r="K284" s="129"/>
      <c r="M284" s="130"/>
    </row>
    <row r="285" spans="2:13" x14ac:dyDescent="0.35">
      <c r="K285" s="129"/>
      <c r="M285" s="130"/>
    </row>
    <row r="286" spans="2:13" x14ac:dyDescent="0.35">
      <c r="K286" s="129"/>
      <c r="M286" s="130"/>
    </row>
    <row r="287" spans="2:13" x14ac:dyDescent="0.35">
      <c r="K287" s="129"/>
      <c r="M287" s="130"/>
    </row>
    <row r="288" spans="2:13" x14ac:dyDescent="0.35">
      <c r="M288" s="130"/>
    </row>
    <row r="289" spans="13:14" x14ac:dyDescent="0.35">
      <c r="M289" s="130"/>
    </row>
    <row r="290" spans="13:14" x14ac:dyDescent="0.35">
      <c r="M290" s="130"/>
    </row>
    <row r="291" spans="13:14" x14ac:dyDescent="0.35">
      <c r="M291" s="130"/>
    </row>
    <row r="292" spans="13:14" x14ac:dyDescent="0.35">
      <c r="M292" s="130"/>
    </row>
    <row r="293" spans="13:14" x14ac:dyDescent="0.35">
      <c r="M293" s="130"/>
    </row>
    <row r="294" spans="13:14" x14ac:dyDescent="0.35">
      <c r="M294" s="130"/>
    </row>
    <row r="295" spans="13:14" x14ac:dyDescent="0.35">
      <c r="M295" s="130"/>
    </row>
    <row r="296" spans="13:14" x14ac:dyDescent="0.35">
      <c r="M296" s="130"/>
    </row>
    <row r="297" spans="13:14" x14ac:dyDescent="0.35">
      <c r="M297" s="130"/>
    </row>
    <row r="298" spans="13:14" x14ac:dyDescent="0.35">
      <c r="M298" s="130"/>
    </row>
    <row r="299" spans="13:14" x14ac:dyDescent="0.35">
      <c r="M299" s="130"/>
    </row>
    <row r="303" spans="13:14" x14ac:dyDescent="0.35">
      <c r="N303" s="131"/>
    </row>
  </sheetData>
  <mergeCells count="8">
    <mergeCell ref="C40:D40"/>
    <mergeCell ref="G40:H40"/>
    <mergeCell ref="C22:D22"/>
    <mergeCell ref="G22:H22"/>
    <mergeCell ref="C23:D23"/>
    <mergeCell ref="G23:H23"/>
    <mergeCell ref="C39:D39"/>
    <mergeCell ref="G39:H39"/>
  </mergeCell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7365-34C8-4512-B6E7-64C0F4F01B78}">
  <sheetPr codeName="Planilha28">
    <tabColor theme="1" tint="0.499984740745262"/>
  </sheetPr>
  <dimension ref="A1:V39"/>
  <sheetViews>
    <sheetView showGridLines="0" zoomScale="110" zoomScaleNormal="110" workbookViewId="0">
      <selection activeCell="L29" sqref="L29"/>
    </sheetView>
  </sheetViews>
  <sheetFormatPr defaultColWidth="10.81640625" defaultRowHeight="14.5" x14ac:dyDescent="0.35"/>
  <cols>
    <col min="1" max="1" width="10.81640625" style="59"/>
    <col min="2" max="2" width="27.453125" style="59" bestFit="1" customWidth="1"/>
    <col min="3" max="3" width="15.1796875" style="61" customWidth="1"/>
    <col min="4" max="4" width="13.81640625" style="61" customWidth="1"/>
    <col min="5" max="5" width="14.1796875" style="59" bestFit="1" customWidth="1"/>
    <col min="6" max="6" width="14.81640625" style="59" customWidth="1"/>
    <col min="7" max="7" width="14.1796875" style="59" bestFit="1" customWidth="1"/>
    <col min="8" max="11" width="10.81640625" style="59"/>
    <col min="12" max="12" width="23" style="64" bestFit="1" customWidth="1"/>
    <col min="13" max="13" width="16.81640625" style="64" customWidth="1"/>
    <col min="14" max="22" width="14.81640625" style="64" customWidth="1"/>
    <col min="23" max="16384" width="10.81640625" style="59"/>
  </cols>
  <sheetData>
    <row r="1" spans="1:22" ht="26.15" customHeight="1" x14ac:dyDescent="0.35">
      <c r="A1" s="325" t="s">
        <v>131</v>
      </c>
      <c r="B1" s="326" t="s">
        <v>132</v>
      </c>
      <c r="C1" s="324" t="s">
        <v>252</v>
      </c>
      <c r="D1" s="324" t="s">
        <v>253</v>
      </c>
      <c r="E1" s="324" t="s">
        <v>255</v>
      </c>
      <c r="L1" s="234"/>
      <c r="M1" s="234" t="s">
        <v>28</v>
      </c>
      <c r="N1" s="234" t="s">
        <v>26</v>
      </c>
      <c r="O1" s="234" t="s">
        <v>488</v>
      </c>
      <c r="P1" s="234" t="s">
        <v>463</v>
      </c>
      <c r="Q1" s="234" t="s">
        <v>27</v>
      </c>
      <c r="R1" s="234" t="s">
        <v>29</v>
      </c>
      <c r="S1" s="234" t="s">
        <v>24</v>
      </c>
      <c r="T1" s="234" t="s">
        <v>264</v>
      </c>
      <c r="U1" s="234" t="s">
        <v>266</v>
      </c>
      <c r="V1" s="234" t="s">
        <v>265</v>
      </c>
    </row>
    <row r="2" spans="1:22" x14ac:dyDescent="0.35">
      <c r="A2" s="319" t="str">
        <f>'CWD 2029 Legado (com desc.)'!A246</f>
        <v>TEN1</v>
      </c>
      <c r="B2" s="320" t="str">
        <f>'CWD 2029 Legado (com desc.)'!B246</f>
        <v>PR-CARAGUATATUBA</v>
      </c>
      <c r="C2" s="321">
        <f>'CWD 2029 Legados (sem desc.)'!H24</f>
        <v>193037657.25962999</v>
      </c>
      <c r="D2" s="322">
        <f ca="1">'CWD 2029 Legado (com desc.)'!E246</f>
        <v>6.2143778255532336</v>
      </c>
      <c r="E2" s="323">
        <f t="shared" ref="E2:E11" ca="1" si="0">IFERROR(C2*D2," ")</f>
        <v>1199608936.7709899</v>
      </c>
      <c r="F2" s="363"/>
      <c r="L2" s="68" t="s">
        <v>58</v>
      </c>
      <c r="M2" s="67">
        <f ca="1">IFERROR($D$2+$C34," ")</f>
        <v>9.780125365287347</v>
      </c>
      <c r="N2" s="67">
        <f ca="1">IFERROR($D$3+$C34," ")</f>
        <v>9.1305697785272795</v>
      </c>
      <c r="O2" s="67">
        <f ca="1">IFERROR($D$4+$C34," ")</f>
        <v>9.2758994134499737</v>
      </c>
      <c r="P2" s="67">
        <f ca="1">IFERROR($D$5+$C34," ")</f>
        <v>4.1403426719185399</v>
      </c>
      <c r="Q2" s="67" t="str">
        <f ca="1">IFERROR($D$6+$C34," ")</f>
        <v xml:space="preserve"> </v>
      </c>
      <c r="R2" s="67" t="str">
        <f ca="1">IFERROR($D$7+$C34," ")</f>
        <v xml:space="preserve"> </v>
      </c>
      <c r="S2" s="67">
        <f ca="1">IFERROR($D$8+$C34," ")</f>
        <v>9.7035420773585415</v>
      </c>
      <c r="T2" s="67">
        <f ca="1">IFERROR($D$9+$C34," ")</f>
        <v>4.1002582717963127</v>
      </c>
      <c r="U2" s="67">
        <f ca="1">IFERROR($D$10+$C34," ")</f>
        <v>4.1403426719185399</v>
      </c>
      <c r="V2" s="67">
        <f ca="1">IFERROR($D$11+$C34," ")</f>
        <v>4.1271651957801225</v>
      </c>
    </row>
    <row r="3" spans="1:22" s="62" customFormat="1" x14ac:dyDescent="0.35">
      <c r="A3" s="292" t="str">
        <f>'CWD 2029 Legado (com desc.)'!A247</f>
        <v>TEN2</v>
      </c>
      <c r="B3" s="295" t="str">
        <f>'CWD 2029 Legado (com desc.)'!B247</f>
        <v>PR-GNLBGB</v>
      </c>
      <c r="C3" s="296">
        <f>'CWD 2029 Legados (sem desc.)'!H25</f>
        <v>272305906.69999999</v>
      </c>
      <c r="D3" s="297">
        <f ca="1">'CWD 2029 Legado (com desc.)'!E247</f>
        <v>5.564822238793167</v>
      </c>
      <c r="E3" s="298">
        <f t="shared" ca="1" si="0"/>
        <v>1515333965.3588972</v>
      </c>
      <c r="F3" s="363"/>
      <c r="L3" s="68" t="s">
        <v>69</v>
      </c>
      <c r="M3" s="67">
        <f t="shared" ref="M3:M7" ca="1" si="1">IFERROR($D$2+$C35," ")</f>
        <v>9.044455880655434</v>
      </c>
      <c r="N3" s="67">
        <f t="shared" ref="N3:N7" ca="1" si="2">IFERROR($D$3+$C35," ")</f>
        <v>8.3949002938953665</v>
      </c>
      <c r="O3" s="67">
        <f t="shared" ref="O3:O7" ca="1" si="3">IFERROR($D$4+$C35," ")</f>
        <v>8.5402299288180608</v>
      </c>
      <c r="P3" s="67">
        <f t="shared" ref="P3:P7" ca="1" si="4">IFERROR($D$5+$C35," ")</f>
        <v>3.4046731872866269</v>
      </c>
      <c r="Q3" s="67" t="str">
        <f t="shared" ref="Q3:Q7" ca="1" si="5">IFERROR($D$6+$C35," ")</f>
        <v xml:space="preserve"> </v>
      </c>
      <c r="R3" s="67" t="str">
        <f t="shared" ref="R3:R7" ca="1" si="6">IFERROR($D$7+$C35," ")</f>
        <v xml:space="preserve"> </v>
      </c>
      <c r="S3" s="67">
        <f t="shared" ref="S3:S7" ca="1" si="7">IFERROR($D$8+$C35," ")</f>
        <v>8.9678725927266285</v>
      </c>
      <c r="T3" s="67">
        <f t="shared" ref="T3:T7" ca="1" si="8">IFERROR($D$9+$C35," ")</f>
        <v>3.3645887871643994</v>
      </c>
      <c r="U3" s="67">
        <f t="shared" ref="U3:U7" ca="1" si="9">IFERROR($D$10+$C35," ")</f>
        <v>3.4046731872866269</v>
      </c>
      <c r="V3" s="67">
        <f t="shared" ref="V3:V7" ca="1" si="10">IFERROR($D$11+$C35," ")</f>
        <v>3.39149571114821</v>
      </c>
    </row>
    <row r="4" spans="1:22" x14ac:dyDescent="0.35">
      <c r="A4" s="292" t="str">
        <f>'CWD 2029 Legado (com desc.)'!A248</f>
        <v>TEN3</v>
      </c>
      <c r="B4" s="295" t="str">
        <f>'CWD 2029 Legado (com desc.)'!B248</f>
        <v>PR-ITABORAÍ</v>
      </c>
      <c r="C4" s="296">
        <f>'CWD 2029 Legados (sem desc.)'!H26</f>
        <v>183098491.66507998</v>
      </c>
      <c r="D4" s="297">
        <f ca="1">'CWD 2029 Legado (com desc.)'!E248</f>
        <v>5.7101518737158612</v>
      </c>
      <c r="E4" s="296">
        <f t="shared" ca="1" si="0"/>
        <v>1045520195.2559044</v>
      </c>
      <c r="F4" s="363"/>
      <c r="L4" s="68" t="s">
        <v>258</v>
      </c>
      <c r="M4" s="67">
        <f t="shared" ca="1" si="1"/>
        <v>9.5638732204285084</v>
      </c>
      <c r="N4" s="67">
        <f t="shared" ca="1" si="2"/>
        <v>8.9143176336684427</v>
      </c>
      <c r="O4" s="67">
        <f t="shared" ca="1" si="3"/>
        <v>9.0596472685911369</v>
      </c>
      <c r="P4" s="67">
        <f t="shared" ca="1" si="4"/>
        <v>3.9240905270597031</v>
      </c>
      <c r="Q4" s="67" t="str">
        <f t="shared" ca="1" si="5"/>
        <v xml:space="preserve"> </v>
      </c>
      <c r="R4" s="67" t="str">
        <f t="shared" ca="1" si="6"/>
        <v xml:space="preserve"> </v>
      </c>
      <c r="S4" s="67">
        <f t="shared" ca="1" si="7"/>
        <v>9.4872899324997046</v>
      </c>
      <c r="T4" s="67">
        <f t="shared" ca="1" si="8"/>
        <v>3.884006126937475</v>
      </c>
      <c r="U4" s="67">
        <f t="shared" ca="1" si="9"/>
        <v>3.9240905270597031</v>
      </c>
      <c r="V4" s="67">
        <f t="shared" ca="1" si="10"/>
        <v>3.9109130509212857</v>
      </c>
    </row>
    <row r="5" spans="1:22" ht="24" x14ac:dyDescent="0.35">
      <c r="A5" s="292" t="str">
        <f>'CWD 2029 Legado (com desc.)'!A249</f>
        <v>TEN4</v>
      </c>
      <c r="B5" s="295" t="str">
        <f>'CWD 2029 Legado (com desc.)'!B249</f>
        <v>PR-GASPAJ (INTERCONEXÃO)</v>
      </c>
      <c r="C5" s="296">
        <f>'CWD 2029 Legados (sem desc.)'!H27</f>
        <v>4561123.937225</v>
      </c>
      <c r="D5" s="297">
        <f ca="1">'CWD 2029 Legado (com desc.)'!E249</f>
        <v>0.57459513218442759</v>
      </c>
      <c r="E5" s="296">
        <f t="shared" ca="1" si="0"/>
        <v>2620799.6116193556</v>
      </c>
      <c r="F5" s="363"/>
      <c r="L5" s="132" t="str">
        <f>B28</f>
        <v>PE-GUARAREMA (INTERCONEXÃO)</v>
      </c>
      <c r="M5" s="67" t="str">
        <f t="shared" ca="1" si="1"/>
        <v xml:space="preserve"> </v>
      </c>
      <c r="N5" s="67" t="str">
        <f t="shared" ca="1" si="2"/>
        <v xml:space="preserve"> </v>
      </c>
      <c r="O5" s="67" t="str">
        <f t="shared" ca="1" si="3"/>
        <v xml:space="preserve"> </v>
      </c>
      <c r="P5" s="67" t="str">
        <f t="shared" ca="1" si="4"/>
        <v xml:space="preserve"> </v>
      </c>
      <c r="Q5" s="67" t="str">
        <f t="shared" si="5"/>
        <v xml:space="preserve"> </v>
      </c>
      <c r="R5" s="67" t="str">
        <f t="shared" si="6"/>
        <v xml:space="preserve"> </v>
      </c>
      <c r="S5" s="67" t="str">
        <f t="shared" ca="1" si="7"/>
        <v xml:space="preserve"> </v>
      </c>
      <c r="T5" s="67" t="str">
        <f t="shared" ca="1" si="8"/>
        <v xml:space="preserve"> </v>
      </c>
      <c r="U5" s="67" t="str">
        <f t="shared" ca="1" si="9"/>
        <v xml:space="preserve"> </v>
      </c>
      <c r="V5" s="67" t="str">
        <f t="shared" ca="1" si="10"/>
        <v xml:space="preserve"> </v>
      </c>
    </row>
    <row r="6" spans="1:22" x14ac:dyDescent="0.35">
      <c r="A6" s="292" t="str">
        <f>'CWD 2029 Legado (com desc.)'!A250</f>
        <v>TEN5</v>
      </c>
      <c r="B6" s="295" t="str">
        <f>'CWD 2029 Legado (com desc.)'!B250</f>
        <v>PR-REDUC</v>
      </c>
      <c r="C6" s="296">
        <f>'CWD 2029 Legados (sem desc.)'!H28</f>
        <v>0</v>
      </c>
      <c r="D6" s="297" t="str">
        <f>'CWD 2029 Legado (com desc.)'!E250</f>
        <v xml:space="preserve"> </v>
      </c>
      <c r="E6" s="296" t="str">
        <f t="shared" si="0"/>
        <v xml:space="preserve"> </v>
      </c>
      <c r="F6" s="363"/>
      <c r="L6" s="132" t="str">
        <f t="shared" ref="L6:L7" si="11">B29</f>
        <v>PE-REPLAN (INTERCONEXÃO)</v>
      </c>
      <c r="M6" s="67">
        <f t="shared" ca="1" si="1"/>
        <v>6.5185293108929248</v>
      </c>
      <c r="N6" s="67">
        <f t="shared" ca="1" si="2"/>
        <v>5.8689737241328581</v>
      </c>
      <c r="O6" s="67">
        <f t="shared" ca="1" si="3"/>
        <v>6.0143033590555524</v>
      </c>
      <c r="P6" s="67">
        <f t="shared" ca="1" si="4"/>
        <v>0.87874661752411898</v>
      </c>
      <c r="Q6" s="67" t="str">
        <f t="shared" ca="1" si="5"/>
        <v xml:space="preserve"> </v>
      </c>
      <c r="R6" s="67" t="str">
        <f t="shared" ca="1" si="6"/>
        <v xml:space="preserve"> </v>
      </c>
      <c r="S6" s="67">
        <f t="shared" ca="1" si="7"/>
        <v>6.441946022964121</v>
      </c>
      <c r="T6" s="67">
        <f t="shared" ca="1" si="8"/>
        <v>0.83866221740189129</v>
      </c>
      <c r="U6" s="67">
        <f t="shared" ca="1" si="9"/>
        <v>0.87874661752411898</v>
      </c>
      <c r="V6" s="67">
        <f t="shared" ca="1" si="10"/>
        <v>0.86556914138570185</v>
      </c>
    </row>
    <row r="7" spans="1:22" x14ac:dyDescent="0.35">
      <c r="A7" s="292" t="str">
        <f>'CWD 2029 Legado (com desc.)'!A251</f>
        <v>TEN6</v>
      </c>
      <c r="B7" s="295" t="str">
        <f>'CWD 2029 Legado (com desc.)'!B251</f>
        <v>PR-RPBC</v>
      </c>
      <c r="C7" s="296">
        <f>'CWD 2029 Legados (sem desc.)'!H29</f>
        <v>0</v>
      </c>
      <c r="D7" s="297" t="str">
        <f>'CWD 2029 Legado (com desc.)'!E251</f>
        <v xml:space="preserve"> </v>
      </c>
      <c r="E7" s="296" t="str">
        <f t="shared" si="0"/>
        <v xml:space="preserve"> </v>
      </c>
      <c r="F7" s="363"/>
      <c r="L7" s="132" t="str">
        <f t="shared" si="11"/>
        <v>PE-TECAB (INTERCONEXÃO)</v>
      </c>
      <c r="M7" s="67">
        <f t="shared" ca="1" si="1"/>
        <v>6.477195982691982</v>
      </c>
      <c r="N7" s="67">
        <f t="shared" ca="1" si="2"/>
        <v>5.8276403959319154</v>
      </c>
      <c r="O7" s="67">
        <f t="shared" ca="1" si="3"/>
        <v>5.9729700308546096</v>
      </c>
      <c r="P7" s="67">
        <f t="shared" ca="1" si="4"/>
        <v>0.83741328932317627</v>
      </c>
      <c r="Q7" s="67" t="str">
        <f t="shared" ca="1" si="5"/>
        <v xml:space="preserve"> </v>
      </c>
      <c r="R7" s="67" t="str">
        <f t="shared" ca="1" si="6"/>
        <v xml:space="preserve"> </v>
      </c>
      <c r="S7" s="67">
        <f t="shared" ca="1" si="7"/>
        <v>6.4006126947631783</v>
      </c>
      <c r="T7" s="67">
        <f t="shared" ca="1" si="8"/>
        <v>0.79732888920094869</v>
      </c>
      <c r="U7" s="67">
        <f t="shared" ca="1" si="9"/>
        <v>0.83741328932317627</v>
      </c>
      <c r="V7" s="67">
        <f t="shared" ca="1" si="10"/>
        <v>0.82423581318475914</v>
      </c>
    </row>
    <row r="8" spans="1:22" x14ac:dyDescent="0.35">
      <c r="A8" s="292" t="str">
        <f>'CWD 2029 Legado (com desc.)'!A252</f>
        <v>TEN7</v>
      </c>
      <c r="B8" s="295" t="str">
        <f>'CWD 2029 Legado (com desc.)'!B252</f>
        <v>PR-TECAB</v>
      </c>
      <c r="C8" s="296">
        <f>'CWD 2029 Legados (sem desc.)'!H30</f>
        <v>202255212.20142499</v>
      </c>
      <c r="D8" s="297">
        <f ca="1">'CWD 2029 Legado (com desc.)'!E252</f>
        <v>6.1377945376244298</v>
      </c>
      <c r="E8" s="296">
        <f t="shared" ca="1" si="0"/>
        <v>1241400936.6559763</v>
      </c>
      <c r="F8" s="363"/>
      <c r="L8" s="61"/>
    </row>
    <row r="9" spans="1:22" x14ac:dyDescent="0.35">
      <c r="A9" s="292" t="str">
        <f>'CWD 2029 Legado (com desc.)'!A253</f>
        <v>TEN8</v>
      </c>
      <c r="B9" s="295" t="str">
        <f>'CWD 2029 Legado (com desc.)'!B253</f>
        <v>PR-GUARAREMA (INTERCONEXÃO)</v>
      </c>
      <c r="C9" s="296">
        <f>'CWD 2029 Legados (sem desc.)'!H31</f>
        <v>81691772.010000005</v>
      </c>
      <c r="D9" s="297">
        <f ca="1">'CWD 2029 Legado (com desc.)'!E253</f>
        <v>0.5345107320621999</v>
      </c>
      <c r="E9" s="296">
        <f t="shared" ca="1" si="0"/>
        <v>43665128.860523432</v>
      </c>
      <c r="F9" s="363"/>
      <c r="L9" s="61"/>
    </row>
    <row r="10" spans="1:22" x14ac:dyDescent="0.35">
      <c r="A10" s="292" t="str">
        <f>'CWD 2029 Legado (com desc.)'!A254</f>
        <v>TEN9</v>
      </c>
      <c r="B10" s="295" t="str">
        <f>'CWD 2029 Legado (com desc.)'!B254</f>
        <v>PR-REPLAN (INTERCONEXÃO)</v>
      </c>
      <c r="C10" s="296">
        <f>'CWD 2029 Legados (sem desc.)'!H32</f>
        <v>2723059.0670000003</v>
      </c>
      <c r="D10" s="297">
        <f ca="1">'CWD 2029 Legado (com desc.)'!E254</f>
        <v>0.57459513218442759</v>
      </c>
      <c r="E10" s="296">
        <f t="shared" ca="1" si="0"/>
        <v>1564656.4845488693</v>
      </c>
      <c r="F10" s="363"/>
      <c r="L10" s="61"/>
    </row>
    <row r="11" spans="1:22" x14ac:dyDescent="0.35">
      <c r="A11" s="292" t="str">
        <f>'CWD 2029 Legado (com desc.)'!A255</f>
        <v>TEN10</v>
      </c>
      <c r="B11" s="295" t="str">
        <f>'CWD 2029 Legado (com desc.)'!B255</f>
        <v>PR-TECAB (INTERCONEXÃO)</v>
      </c>
      <c r="C11" s="296">
        <f>'CWD 2029 Legados (sem desc.)'!H33</f>
        <v>2723059.0670000003</v>
      </c>
      <c r="D11" s="297">
        <f ca="1">'CWD 2029 Legado (com desc.)'!E255</f>
        <v>0.56141765604601046</v>
      </c>
      <c r="E11" s="296">
        <f t="shared" ca="1" si="0"/>
        <v>1528773.4386699763</v>
      </c>
      <c r="F11" s="363"/>
      <c r="L11" s="61"/>
    </row>
    <row r="12" spans="1:22" x14ac:dyDescent="0.35">
      <c r="E12" s="65">
        <f ca="1">SUM(E2:E11)</f>
        <v>5051243392.437129</v>
      </c>
      <c r="L12" s="61"/>
    </row>
    <row r="13" spans="1:22" x14ac:dyDescent="0.35">
      <c r="F13" s="60"/>
      <c r="L13" s="59"/>
    </row>
    <row r="14" spans="1:22" ht="24" x14ac:dyDescent="0.35">
      <c r="A14" s="294" t="s">
        <v>131</v>
      </c>
      <c r="B14" s="294" t="s">
        <v>140</v>
      </c>
      <c r="C14" s="294" t="s">
        <v>252</v>
      </c>
      <c r="D14" s="294" t="s">
        <v>254</v>
      </c>
      <c r="E14" s="294" t="s">
        <v>253</v>
      </c>
      <c r="F14" s="294" t="s">
        <v>255</v>
      </c>
      <c r="G14" s="294" t="s">
        <v>256</v>
      </c>
      <c r="H14" s="294" t="s">
        <v>487</v>
      </c>
      <c r="L14" s="59"/>
    </row>
    <row r="15" spans="1:22" x14ac:dyDescent="0.35">
      <c r="A15" s="296" t="str">
        <f>'CWD 2029 Legado (com desc.)'!H246</f>
        <v>TEX1</v>
      </c>
      <c r="B15" s="296" t="str">
        <f>'CWD 2029 Legado (com desc.)'!I246</f>
        <v>NTS MG 1</v>
      </c>
      <c r="C15" s="296">
        <f>'CWD 2029 Legados (sem desc.)'!H41</f>
        <v>8264484.2683449984</v>
      </c>
      <c r="D15" s="296"/>
      <c r="E15" s="299">
        <f ca="1">'CWD 2029 Legado (com desc.)'!L246</f>
        <v>3.2221847272861517</v>
      </c>
      <c r="F15" s="305">
        <f ca="1">IFERROR(C15*E15," ")</f>
        <v>26629694.98835792</v>
      </c>
      <c r="G15" s="308"/>
      <c r="H15" s="314" t="str">
        <f>IFERROR(G15/D15," ")</f>
        <v xml:space="preserve"> </v>
      </c>
      <c r="I15" s="66"/>
      <c r="J15" s="66"/>
      <c r="L15" s="59"/>
    </row>
    <row r="16" spans="1:22" x14ac:dyDescent="0.35">
      <c r="A16" s="296" t="str">
        <f>'CWD 2029 Legado (com desc.)'!H247</f>
        <v>TEX2</v>
      </c>
      <c r="B16" s="296" t="str">
        <f>'CWD 2029 Legado (com desc.)'!I247</f>
        <v>NTS MG 2</v>
      </c>
      <c r="C16" s="296">
        <f>'CWD 2029 Legados (sem desc.)'!H42</f>
        <v>22846465.572130002</v>
      </c>
      <c r="D16" s="296"/>
      <c r="E16" s="299">
        <f ca="1">'CWD 2029 Legado (com desc.)'!L247</f>
        <v>3.4363937242834872</v>
      </c>
      <c r="F16" s="305">
        <f t="shared" ref="F16:F30" ca="1" si="12">IFERROR(C16*E16," ")</f>
        <v>78509450.914126292</v>
      </c>
      <c r="G16" s="317"/>
      <c r="H16" s="315" t="str">
        <f t="shared" ref="H16:H30" si="13">IFERROR(G16/D16," ")</f>
        <v xml:space="preserve"> </v>
      </c>
      <c r="I16" s="66"/>
      <c r="J16" s="66"/>
      <c r="L16" s="59"/>
    </row>
    <row r="17" spans="1:12" x14ac:dyDescent="0.35">
      <c r="A17" s="296" t="str">
        <f>'CWD 2029 Legado (com desc.)'!H248</f>
        <v>TEX3</v>
      </c>
      <c r="B17" s="296" t="str">
        <f>'CWD 2029 Legado (com desc.)'!I248</f>
        <v>NTS MG 3</v>
      </c>
      <c r="C17" s="296">
        <f>'CWD 2029 Legados (sem desc.)'!H43</f>
        <v>37265063.331895001</v>
      </c>
      <c r="D17" s="296"/>
      <c r="E17" s="299">
        <f ca="1">'CWD 2029 Legado (com desc.)'!L248</f>
        <v>3.6946976225893637</v>
      </c>
      <c r="F17" s="305">
        <f ca="1">IFERROR(C17*E17," ")</f>
        <v>137683140.89799455</v>
      </c>
      <c r="G17" s="310"/>
      <c r="H17" s="316" t="str">
        <f t="shared" si="13"/>
        <v xml:space="preserve"> </v>
      </c>
      <c r="I17" s="66"/>
      <c r="J17" s="66"/>
      <c r="L17" s="59"/>
    </row>
    <row r="18" spans="1:12" x14ac:dyDescent="0.35">
      <c r="A18" s="301" t="str">
        <f>'CWD 2029 Legado (com desc.)'!H249</f>
        <v>TEX4</v>
      </c>
      <c r="B18" s="301" t="str">
        <f>'CWD 2029 Legado (com desc.)'!I249</f>
        <v>NTS MG 4</v>
      </c>
      <c r="C18" s="301">
        <f>'CWD 2029 Legados (sem desc.)'!H44</f>
        <v>4561123.937225</v>
      </c>
      <c r="D18" s="301">
        <f>SUM(C15:C18)</f>
        <v>72937137.109595001</v>
      </c>
      <c r="E18" s="302">
        <f ca="1">'CWD 2029 Legado (com desc.)'!L249</f>
        <v>3.7826488910990026</v>
      </c>
      <c r="F18" s="301">
        <f ca="1">IFERROR(C18*E18," ")</f>
        <v>17253130.403309263</v>
      </c>
      <c r="G18" s="313">
        <f ca="1">SUM(F15:F18)</f>
        <v>260075417.20378801</v>
      </c>
      <c r="H18" s="311">
        <f t="shared" ca="1" si="13"/>
        <v>3.5657475397341125</v>
      </c>
      <c r="I18" s="332"/>
      <c r="J18"/>
      <c r="L18" s="59"/>
    </row>
    <row r="19" spans="1:12" x14ac:dyDescent="0.35">
      <c r="A19" s="296" t="str">
        <f>'CWD 2029 Legado (com desc.)'!H250</f>
        <v>TEX5</v>
      </c>
      <c r="B19" s="296" t="str">
        <f>'CWD 2029 Legado (com desc.)'!I250</f>
        <v>NTS RJ 1</v>
      </c>
      <c r="C19" s="296">
        <f>'CWD 2029 Legados (sem desc.)'!H45</f>
        <v>242256949.89565501</v>
      </c>
      <c r="D19" s="296"/>
      <c r="E19" s="299">
        <f ca="1">'CWD 2029 Legado (com desc.)'!L250</f>
        <v>2.825608546320006</v>
      </c>
      <c r="F19" s="305">
        <f t="shared" ca="1" si="12"/>
        <v>684523308.03058028</v>
      </c>
      <c r="G19" s="308"/>
      <c r="H19" s="314" t="str">
        <f t="shared" si="13"/>
        <v xml:space="preserve"> </v>
      </c>
      <c r="I19"/>
      <c r="J19"/>
      <c r="L19" s="59"/>
    </row>
    <row r="20" spans="1:12" x14ac:dyDescent="0.35">
      <c r="A20" s="296" t="str">
        <f>'CWD 2029 Legado (com desc.)'!H251</f>
        <v>TEX6</v>
      </c>
      <c r="B20" s="296" t="str">
        <f>'CWD 2029 Legado (com desc.)'!I251</f>
        <v>NTS RJ 2</v>
      </c>
      <c r="C20" s="296">
        <f>'CWD 2029 Legados (sem desc.)'!H46</f>
        <v>114450172.58600999</v>
      </c>
      <c r="D20" s="296"/>
      <c r="E20" s="299">
        <f ca="1">'CWD 2029 Legado (com desc.)'!L251</f>
        <v>2.8241922999030771</v>
      </c>
      <c r="F20" s="305">
        <f t="shared" ca="1" si="12"/>
        <v>323229296.13998765</v>
      </c>
      <c r="G20" s="309"/>
      <c r="H20" s="315" t="str">
        <f t="shared" si="13"/>
        <v xml:space="preserve"> </v>
      </c>
      <c r="I20"/>
      <c r="J20"/>
      <c r="L20" s="59"/>
    </row>
    <row r="21" spans="1:12" x14ac:dyDescent="0.35">
      <c r="A21" s="296" t="str">
        <f>'CWD 2029 Legado (com desc.)'!H252</f>
        <v>TEX7</v>
      </c>
      <c r="B21" s="296" t="str">
        <f>'CWD 2029 Legado (com desc.)'!I252</f>
        <v>NTS RJ 3</v>
      </c>
      <c r="C21" s="296">
        <f>'CWD 2029 Legados (sem desc.)'!H47</f>
        <v>23336616.204189997</v>
      </c>
      <c r="D21" s="304"/>
      <c r="E21" s="299">
        <f ca="1">'CWD 2029 Legado (com desc.)'!L252</f>
        <v>2.8810814704193635</v>
      </c>
      <c r="F21" s="305">
        <f t="shared" ca="1" si="12"/>
        <v>67234692.528180063</v>
      </c>
      <c r="G21" s="312"/>
      <c r="H21" s="315" t="str">
        <f t="shared" si="13"/>
        <v xml:space="preserve"> </v>
      </c>
      <c r="I21"/>
      <c r="J21"/>
      <c r="L21" s="59"/>
    </row>
    <row r="22" spans="1:12" x14ac:dyDescent="0.35">
      <c r="A22" s="296" t="str">
        <f>'CWD 2029 Legado (com desc.)'!H253</f>
        <v>TEX8</v>
      </c>
      <c r="B22" s="296" t="str">
        <f>'CWD 2029 Legado (com desc.)'!I253</f>
        <v>NTS RJ 4</v>
      </c>
      <c r="C22" s="296">
        <f>'CWD 2029 Legados (sem desc.)'!H48</f>
        <v>4397740.3932050001</v>
      </c>
      <c r="D22" s="296"/>
      <c r="E22" s="299">
        <f ca="1">'CWD 2029 Legado (com desc.)'!L253</f>
        <v>2.9547841786407658</v>
      </c>
      <c r="F22" s="305">
        <f t="shared" ca="1" si="12"/>
        <v>12994373.735611554</v>
      </c>
      <c r="G22" s="310"/>
      <c r="H22" s="316" t="str">
        <f t="shared" si="13"/>
        <v xml:space="preserve"> </v>
      </c>
      <c r="I22"/>
      <c r="J22"/>
      <c r="L22" s="59"/>
    </row>
    <row r="23" spans="1:12" x14ac:dyDescent="0.35">
      <c r="A23" s="301" t="str">
        <f>'CWD 2029 Legado (com desc.)'!H254</f>
        <v>TEX9</v>
      </c>
      <c r="B23" s="301" t="str">
        <f>'CWD 2029 Legado (com desc.)'!I254</f>
        <v>NTS RJ 5</v>
      </c>
      <c r="C23" s="301">
        <f>'CWD 2029 Legados (sem desc.)'!H49</f>
        <v>28973348.472879995</v>
      </c>
      <c r="D23" s="301">
        <f>SUM(C19:C23)</f>
        <v>413414827.55194002</v>
      </c>
      <c r="E23" s="302">
        <f ca="1">'CWD 2029 Legado (com desc.)'!L254</f>
        <v>2.8306897544484535</v>
      </c>
      <c r="F23" s="301">
        <f t="shared" ca="1" si="12"/>
        <v>82014560.674246147</v>
      </c>
      <c r="G23" s="313">
        <f ca="1">SUM(F19:F23)</f>
        <v>1169996231.1086056</v>
      </c>
      <c r="H23" s="311">
        <f t="shared" ca="1" si="13"/>
        <v>2.8300780551021996</v>
      </c>
      <c r="I23" s="332"/>
      <c r="J23"/>
    </row>
    <row r="24" spans="1:12" x14ac:dyDescent="0.35">
      <c r="A24" s="296" t="str">
        <f>'CWD 2029 Legado (com desc.)'!H255</f>
        <v>TEX10</v>
      </c>
      <c r="B24" s="296" t="str">
        <f>'CWD 2029 Legado (com desc.)'!I255</f>
        <v>NTS SP 1</v>
      </c>
      <c r="C24" s="296">
        <f>'CWD 2029 Legados (sem desc.)'!H50</f>
        <v>16842120.329395</v>
      </c>
      <c r="D24" s="296"/>
      <c r="E24" s="299">
        <f ca="1">'CWD 2029 Legado (com desc.)'!L255</f>
        <v>3.171991887682089</v>
      </c>
      <c r="F24" s="305">
        <f t="shared" ca="1" si="12"/>
        <v>53423069.056206532</v>
      </c>
      <c r="G24" s="308"/>
      <c r="H24" s="314" t="str">
        <f t="shared" si="13"/>
        <v xml:space="preserve"> </v>
      </c>
      <c r="I24"/>
      <c r="J24"/>
    </row>
    <row r="25" spans="1:12" x14ac:dyDescent="0.35">
      <c r="A25" s="296" t="str">
        <f>'CWD 2029 Legado (com desc.)'!H256</f>
        <v>TEX11</v>
      </c>
      <c r="B25" s="296" t="str">
        <f>'CWD 2029 Legado (com desc.)'!I256</f>
        <v>NTS SP 2</v>
      </c>
      <c r="C25" s="296">
        <f>'CWD 2029 Legados (sem desc.)'!H51</f>
        <v>40464657.735619992</v>
      </c>
      <c r="D25" s="296"/>
      <c r="E25" s="299">
        <f ca="1">'CWD 2029 Legado (com desc.)'!L256</f>
        <v>3.1513418028250522</v>
      </c>
      <c r="F25" s="305">
        <f t="shared" ca="1" si="12"/>
        <v>127517967.45926739</v>
      </c>
      <c r="G25" s="309"/>
      <c r="H25" s="315" t="str">
        <f t="shared" si="13"/>
        <v xml:space="preserve"> </v>
      </c>
      <c r="I25"/>
      <c r="J25"/>
    </row>
    <row r="26" spans="1:12" x14ac:dyDescent="0.35">
      <c r="A26" s="296" t="str">
        <f>'CWD 2029 Legado (com desc.)'!H257</f>
        <v>TEX12</v>
      </c>
      <c r="B26" s="296" t="str">
        <f>'CWD 2029 Legado (com desc.)'!I257</f>
        <v>NTS SP 3</v>
      </c>
      <c r="C26" s="296">
        <f>'CWD 2029 Legados (sem desc.)'!H52</f>
        <v>108500288.52461499</v>
      </c>
      <c r="D26" s="304"/>
      <c r="E26" s="299">
        <f ca="1">'CWD 2029 Legado (com desc.)'!L257</f>
        <v>3.3985630184467519</v>
      </c>
      <c r="F26" s="305">
        <f t="shared" ca="1" si="12"/>
        <v>368745068.07055902</v>
      </c>
      <c r="G26" s="318"/>
      <c r="H26" s="316" t="str">
        <f t="shared" si="13"/>
        <v xml:space="preserve"> </v>
      </c>
      <c r="I26"/>
      <c r="J26"/>
    </row>
    <row r="27" spans="1:12" x14ac:dyDescent="0.35">
      <c r="A27" s="301" t="str">
        <f>'CWD 2029 Legado (com desc.)'!H258</f>
        <v>TEX13</v>
      </c>
      <c r="B27" s="301" t="str">
        <f>'CWD 2029 Legado (com desc.)'!I258</f>
        <v>NTS SP 4</v>
      </c>
      <c r="C27" s="301">
        <f>'CWD 2029 Legados (sem desc.)'!H53</f>
        <v>44671783.994134992</v>
      </c>
      <c r="D27" s="301">
        <f>SUM(C24:C27)</f>
        <v>210478850.58376497</v>
      </c>
      <c r="E27" s="302">
        <f ca="1">'CWD 2029 Legado (com desc.)'!L258</f>
        <v>3.4767323414556275</v>
      </c>
      <c r="F27" s="301">
        <f t="shared" ca="1" si="12"/>
        <v>155311836.16292897</v>
      </c>
      <c r="G27" s="306">
        <f ca="1">SUM(F24:F27)</f>
        <v>704997940.74896193</v>
      </c>
      <c r="H27" s="307">
        <f t="shared" ca="1" si="13"/>
        <v>3.3494953948752753</v>
      </c>
      <c r="I27" s="332"/>
      <c r="J27"/>
    </row>
    <row r="28" spans="1:12" x14ac:dyDescent="0.35">
      <c r="A28" s="296" t="str">
        <f>'CWD 2029 Legado (com desc.)'!H259</f>
        <v>TEX14</v>
      </c>
      <c r="B28" s="296" t="str">
        <f>'CWD 2029 Legado (com desc.)'!I259</f>
        <v>PE-GUARAREMA (INTERCONEXÃO)</v>
      </c>
      <c r="C28" s="296">
        <f>'CWD 2029 Legados (sem desc.)'!H54</f>
        <v>0</v>
      </c>
      <c r="D28" s="296">
        <f>C28</f>
        <v>0</v>
      </c>
      <c r="E28" s="299">
        <f>'CWD 2029 Legado (com desc.)'!L259</f>
        <v>0</v>
      </c>
      <c r="F28" s="296">
        <f t="shared" si="12"/>
        <v>0</v>
      </c>
      <c r="G28" s="296">
        <f>F28</f>
        <v>0</v>
      </c>
      <c r="H28" s="300" t="str">
        <f t="shared" si="13"/>
        <v xml:space="preserve"> </v>
      </c>
      <c r="I28"/>
      <c r="J28"/>
    </row>
    <row r="29" spans="1:12" x14ac:dyDescent="0.35">
      <c r="A29" s="301" t="str">
        <f>'CWD 2029 Legado (com desc.)'!H260</f>
        <v>TEX15</v>
      </c>
      <c r="B29" s="301" t="str">
        <f>'CWD 2029 Legado (com desc.)'!I260</f>
        <v>PE-REPLAN (INTERCONEXÃO)</v>
      </c>
      <c r="C29" s="301">
        <f>'CWD 2029 Legados (sem desc.)'!H55</f>
        <v>95456835.593685001</v>
      </c>
      <c r="D29" s="301">
        <f t="shared" ref="D29:D30" si="14">C29</f>
        <v>95456835.593685001</v>
      </c>
      <c r="E29" s="302">
        <f ca="1">'CWD 2029 Legado (com desc.)'!L260</f>
        <v>0.30415148533969139</v>
      </c>
      <c r="F29" s="301">
        <f t="shared" ca="1" si="12"/>
        <v>29033338.331646014</v>
      </c>
      <c r="G29" s="301">
        <f t="shared" ref="G29:G30" ca="1" si="15">F29</f>
        <v>29033338.331646014</v>
      </c>
      <c r="H29" s="303">
        <f t="shared" ca="1" si="13"/>
        <v>0.30415148533969139</v>
      </c>
      <c r="I29" s="332"/>
      <c r="J29"/>
    </row>
    <row r="30" spans="1:12" x14ac:dyDescent="0.35">
      <c r="A30" s="296" t="str">
        <f>'CWD 2029 Legado (com desc.)'!H261</f>
        <v>TEX16</v>
      </c>
      <c r="B30" s="296" t="str">
        <f>'CWD 2029 Legado (com desc.)'!I261</f>
        <v>PE-TECAB (INTERCONEXÃO)</v>
      </c>
      <c r="C30" s="296">
        <f>'CWD 2029 Legados (sem desc.)'!H56</f>
        <v>2723059.0670000003</v>
      </c>
      <c r="D30" s="296">
        <f t="shared" si="14"/>
        <v>2723059.0670000003</v>
      </c>
      <c r="E30" s="299">
        <f ca="1">'CWD 2029 Legado (com desc.)'!L261</f>
        <v>0.26281815713874873</v>
      </c>
      <c r="F30" s="296">
        <f t="shared" ca="1" si="12"/>
        <v>715669.36576890061</v>
      </c>
      <c r="G30" s="296">
        <f t="shared" ca="1" si="15"/>
        <v>715669.36576890061</v>
      </c>
      <c r="H30" s="300">
        <f t="shared" ca="1" si="13"/>
        <v>0.26281815713874873</v>
      </c>
      <c r="I30" s="332"/>
      <c r="J30" s="66"/>
    </row>
    <row r="31" spans="1:12" x14ac:dyDescent="0.35">
      <c r="C31" s="65">
        <f>SUM(C15:C30)</f>
        <v>795010709.905985</v>
      </c>
      <c r="D31" s="65">
        <f>SUM(D15:D30)</f>
        <v>795010709.90598512</v>
      </c>
      <c r="F31" s="65">
        <f ca="1">SUM(F15:F30)</f>
        <v>2164818596.7587705</v>
      </c>
      <c r="G31" s="65">
        <f ca="1">SUM(G15:G30)</f>
        <v>2164818596.7587705</v>
      </c>
    </row>
    <row r="32" spans="1:12" x14ac:dyDescent="0.35">
      <c r="C32" s="65"/>
      <c r="D32" s="65"/>
      <c r="F32" s="65"/>
      <c r="G32" s="65"/>
    </row>
    <row r="33" spans="2:3" x14ac:dyDescent="0.35">
      <c r="C33" s="63" t="s">
        <v>257</v>
      </c>
    </row>
    <row r="34" spans="2:3" x14ac:dyDescent="0.35">
      <c r="B34" s="68" t="s">
        <v>58</v>
      </c>
      <c r="C34" s="66">
        <f ca="1">H18</f>
        <v>3.5657475397341125</v>
      </c>
    </row>
    <row r="35" spans="2:3" x14ac:dyDescent="0.35">
      <c r="B35" s="68" t="s">
        <v>69</v>
      </c>
      <c r="C35" s="66">
        <f ca="1">H23</f>
        <v>2.8300780551021996</v>
      </c>
    </row>
    <row r="36" spans="2:3" x14ac:dyDescent="0.35">
      <c r="B36" s="68" t="s">
        <v>258</v>
      </c>
      <c r="C36" s="66">
        <f ca="1">H27</f>
        <v>3.3494953948752753</v>
      </c>
    </row>
    <row r="37" spans="2:3" x14ac:dyDescent="0.35">
      <c r="B37" s="132" t="s">
        <v>269</v>
      </c>
      <c r="C37" s="66" t="str">
        <f>H28</f>
        <v xml:space="preserve"> </v>
      </c>
    </row>
    <row r="38" spans="2:3" x14ac:dyDescent="0.35">
      <c r="B38" s="132" t="s">
        <v>268</v>
      </c>
      <c r="C38" s="66">
        <f t="shared" ref="C38:C39" ca="1" si="16">H29</f>
        <v>0.30415148533969139</v>
      </c>
    </row>
    <row r="39" spans="2:3" x14ac:dyDescent="0.35">
      <c r="B39" s="132" t="s">
        <v>267</v>
      </c>
      <c r="C39" s="66">
        <f t="shared" ca="1" si="16"/>
        <v>0.26281815713874873</v>
      </c>
    </row>
  </sheetData>
  <pageMargins left="0.511811024" right="0.511811024" top="0.78740157499999996" bottom="0.78740157499999996" header="0.31496062000000002" footer="0.31496062000000002"/>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A1F6-3823-4278-80E7-3A7981A5A9EE}">
  <sheetPr codeName="Planilha16"/>
  <dimension ref="A1:T247"/>
  <sheetViews>
    <sheetView zoomScale="80" zoomScaleNormal="80" workbookViewId="0">
      <pane xSplit="3" ySplit="6" topLeftCell="G186" activePane="bottomRight" state="frozen"/>
      <selection pane="topRight" activeCell="D1" sqref="D1"/>
      <selection pane="bottomLeft" activeCell="A7" sqref="A7"/>
      <selection pane="bottomRight" activeCell="M203" sqref="M203:M204"/>
    </sheetView>
  </sheetViews>
  <sheetFormatPr defaultColWidth="9.1796875" defaultRowHeight="14.5" x14ac:dyDescent="0.35"/>
  <cols>
    <col min="1" max="1" width="8.1796875" style="4" bestFit="1" customWidth="1"/>
    <col min="2" max="2" width="9.1796875" style="4" customWidth="1"/>
    <col min="3" max="3" width="8.1796875" style="14" bestFit="1" customWidth="1"/>
    <col min="4" max="4" width="22.81640625" style="4" customWidth="1"/>
    <col min="5" max="5" width="8.1796875" style="13" bestFit="1" customWidth="1"/>
    <col min="6" max="6" width="23.1796875" style="4" customWidth="1"/>
    <col min="7" max="7" width="13.1796875" style="4" customWidth="1"/>
    <col min="8" max="8" width="12.81640625" style="4" hidden="1" customWidth="1"/>
    <col min="9" max="9" width="15.81640625" style="11" customWidth="1"/>
    <col min="10" max="10" width="12.81640625" style="4" hidden="1" customWidth="1"/>
    <col min="11" max="11" width="15.81640625" style="11" customWidth="1"/>
    <col min="12" max="12" width="15.81640625" style="11" hidden="1" customWidth="1"/>
    <col min="13" max="14" width="15.81640625" style="11" customWidth="1"/>
    <col min="15" max="16" width="32.1796875" style="11" bestFit="1" customWidth="1"/>
    <col min="17" max="17" width="15.81640625" style="11" customWidth="1"/>
    <col min="18" max="18" width="12" style="4" customWidth="1"/>
    <col min="19" max="19" width="13.453125" style="4" bestFit="1" customWidth="1"/>
    <col min="20" max="20" width="47.453125" style="4" bestFit="1" customWidth="1"/>
    <col min="21" max="16384" width="9.1796875" style="4"/>
  </cols>
  <sheetData>
    <row r="1" spans="1:20" x14ac:dyDescent="0.35">
      <c r="C1" s="13">
        <v>2</v>
      </c>
      <c r="D1" s="13">
        <v>3</v>
      </c>
      <c r="E1" s="13">
        <v>4</v>
      </c>
      <c r="F1" s="13">
        <v>5</v>
      </c>
      <c r="G1" s="13">
        <v>6</v>
      </c>
    </row>
    <row r="2" spans="1:20" x14ac:dyDescent="0.35">
      <c r="C2" s="4"/>
      <c r="E2" s="4"/>
      <c r="I2" s="4"/>
      <c r="K2" s="4"/>
      <c r="L2" s="4"/>
      <c r="M2" s="4"/>
      <c r="N2" s="4"/>
      <c r="O2" s="4"/>
      <c r="P2" s="4"/>
      <c r="Q2" s="4"/>
    </row>
    <row r="3" spans="1:20" x14ac:dyDescent="0.35">
      <c r="I3" s="4"/>
      <c r="K3" s="4"/>
      <c r="L3" s="4"/>
      <c r="M3" s="4"/>
      <c r="N3" s="4"/>
      <c r="O3" s="4"/>
      <c r="P3" s="4"/>
      <c r="Q3" s="4"/>
    </row>
    <row r="4" spans="1:20" x14ac:dyDescent="0.35">
      <c r="I4" s="4"/>
      <c r="K4" s="4"/>
      <c r="L4" s="4"/>
      <c r="M4" s="4"/>
      <c r="N4" s="4"/>
      <c r="O4" s="4"/>
      <c r="P4" s="4"/>
      <c r="Q4" s="4"/>
    </row>
    <row r="5" spans="1:20" x14ac:dyDescent="0.35">
      <c r="H5" s="14" t="s">
        <v>14</v>
      </c>
      <c r="I5" s="14" t="s">
        <v>14</v>
      </c>
      <c r="J5" s="14" t="s">
        <v>14</v>
      </c>
      <c r="K5" s="14" t="s">
        <v>14</v>
      </c>
      <c r="L5" s="14"/>
      <c r="M5" s="14"/>
      <c r="N5" s="14"/>
      <c r="O5" s="14"/>
      <c r="P5" s="14"/>
      <c r="Q5" s="14"/>
    </row>
    <row r="6" spans="1:20" x14ac:dyDescent="0.35">
      <c r="C6" s="19"/>
      <c r="D6" s="16" t="s">
        <v>166</v>
      </c>
      <c r="E6" s="20"/>
      <c r="F6" s="16" t="s">
        <v>167</v>
      </c>
      <c r="G6" s="16" t="s">
        <v>168</v>
      </c>
      <c r="H6" s="19" t="s">
        <v>169</v>
      </c>
      <c r="I6" s="19" t="s">
        <v>170</v>
      </c>
      <c r="J6" s="19" t="s">
        <v>171</v>
      </c>
      <c r="K6" s="19" t="s">
        <v>172</v>
      </c>
      <c r="L6" s="19"/>
      <c r="M6" s="19"/>
      <c r="N6" s="19"/>
      <c r="O6" s="19"/>
      <c r="P6" s="19"/>
      <c r="Q6" s="19"/>
      <c r="S6" s="18" t="s">
        <v>173</v>
      </c>
    </row>
    <row r="7" spans="1:20" x14ac:dyDescent="0.35">
      <c r="B7" s="4" t="s">
        <v>174</v>
      </c>
      <c r="C7" s="14" t="s">
        <v>175</v>
      </c>
      <c r="E7" s="14" t="s">
        <v>175</v>
      </c>
      <c r="S7" s="17"/>
    </row>
    <row r="8" spans="1:20" x14ac:dyDescent="0.35">
      <c r="A8" s="13"/>
      <c r="B8" s="13">
        <v>1</v>
      </c>
      <c r="C8" s="13" t="e">
        <f>VLOOKUP($B8,#REF!,C$1,FALSE)</f>
        <v>#REF!</v>
      </c>
      <c r="D8" s="25" t="e">
        <f>VLOOKUP($B8,#REF!,D$1,FALSE)</f>
        <v>#REF!</v>
      </c>
      <c r="E8" s="13" t="e">
        <f>VLOOKUP($B8,#REF!,E$1,FALSE)</f>
        <v>#REF!</v>
      </c>
      <c r="F8" s="25" t="e">
        <f>VLOOKUP($B8,#REF!,F$1,FALSE)</f>
        <v>#REF!</v>
      </c>
      <c r="G8" s="14" t="e">
        <f>IF(VLOOKUP($B8,#REF!,G$1,FALSE)=0,0.0001,VLOOKUP($B8,#REF!,G$1,FALSE))</f>
        <v>#REF!</v>
      </c>
      <c r="H8" s="23">
        <v>20545.2</v>
      </c>
      <c r="I8" s="24">
        <v>30080</v>
      </c>
      <c r="M8" s="40">
        <v>30080</v>
      </c>
      <c r="N8" s="40"/>
      <c r="O8" s="37" t="e">
        <f>D8</f>
        <v>#REF!</v>
      </c>
      <c r="P8" s="37" t="e">
        <f t="shared" ref="P8:Q11" si="0">F8</f>
        <v>#REF!</v>
      </c>
      <c r="Q8" s="14" t="e">
        <f t="shared" si="0"/>
        <v>#REF!</v>
      </c>
      <c r="S8" s="15" t="str">
        <f t="shared" ref="S8:S39" si="1">IF((H8&gt;0),IF((H8-I8)=0,"a",IF(H8/I8&lt;0.5,"b","c")),)</f>
        <v>c</v>
      </c>
      <c r="T8" s="4" t="e">
        <f>VLOOKUP(B8,#REF!,7,FALSE)</f>
        <v>#REF!</v>
      </c>
    </row>
    <row r="9" spans="1:20" x14ac:dyDescent="0.35">
      <c r="A9" s="13"/>
      <c r="B9" s="13">
        <v>2</v>
      </c>
      <c r="C9" s="13" t="e">
        <f>VLOOKUP($B9,#REF!,C$1,FALSE)</f>
        <v>#REF!</v>
      </c>
      <c r="D9" s="25" t="e">
        <f>VLOOKUP($B9,#REF!,D$1,FALSE)</f>
        <v>#REF!</v>
      </c>
      <c r="E9" s="13" t="e">
        <f>VLOOKUP($B9,#REF!,E$1,FALSE)</f>
        <v>#REF!</v>
      </c>
      <c r="F9" s="25" t="e">
        <f>VLOOKUP($B9,#REF!,F$1,FALSE)</f>
        <v>#REF!</v>
      </c>
      <c r="G9" s="14" t="e">
        <f>IF(VLOOKUP($B9,#REF!,G$1,FALSE)=0,0.0001,VLOOKUP($B9,#REF!,G$1,FALSE))</f>
        <v>#REF!</v>
      </c>
      <c r="H9" s="23">
        <v>20545.2</v>
      </c>
      <c r="I9" s="24">
        <v>30080</v>
      </c>
      <c r="M9" s="40">
        <v>30080</v>
      </c>
      <c r="N9" s="40"/>
      <c r="O9" s="37" t="e">
        <f>D9</f>
        <v>#REF!</v>
      </c>
      <c r="P9" s="37" t="e">
        <f t="shared" si="0"/>
        <v>#REF!</v>
      </c>
      <c r="Q9" s="14" t="e">
        <f t="shared" si="0"/>
        <v>#REF!</v>
      </c>
      <c r="R9" s="35" t="s">
        <v>176</v>
      </c>
      <c r="S9" s="15" t="str">
        <f t="shared" si="1"/>
        <v>c</v>
      </c>
      <c r="T9" s="4" t="e">
        <f>VLOOKUP(B9,#REF!,7,FALSE)</f>
        <v>#REF!</v>
      </c>
    </row>
    <row r="10" spans="1:20" x14ac:dyDescent="0.35">
      <c r="A10" s="13"/>
      <c r="B10" s="13">
        <v>3</v>
      </c>
      <c r="C10" s="13" t="e">
        <f>VLOOKUP($B10,#REF!,C$1,FALSE)</f>
        <v>#REF!</v>
      </c>
      <c r="D10" s="25" t="e">
        <f>VLOOKUP($B10,#REF!,D$1,FALSE)</f>
        <v>#REF!</v>
      </c>
      <c r="E10" s="13" t="e">
        <f>VLOOKUP($B10,#REF!,E$1,FALSE)</f>
        <v>#REF!</v>
      </c>
      <c r="F10" s="25" t="e">
        <f>VLOOKUP($B10,#REF!,F$1,FALSE)</f>
        <v>#REF!</v>
      </c>
      <c r="G10" s="14" t="e">
        <f>IF(VLOOKUP($B10,#REF!,G$1,FALSE)=0,0.0001,VLOOKUP($B10,#REF!,G$1,FALSE))</f>
        <v>#REF!</v>
      </c>
      <c r="H10" s="23">
        <v>20464.107</v>
      </c>
      <c r="I10" s="24">
        <v>30080</v>
      </c>
      <c r="M10" s="40">
        <v>30080</v>
      </c>
      <c r="N10" s="40"/>
      <c r="O10" s="37" t="e">
        <f>D10</f>
        <v>#REF!</v>
      </c>
      <c r="P10" s="37" t="e">
        <f t="shared" si="0"/>
        <v>#REF!</v>
      </c>
      <c r="Q10" s="14" t="e">
        <f t="shared" si="0"/>
        <v>#REF!</v>
      </c>
      <c r="R10" s="35" t="s">
        <v>176</v>
      </c>
      <c r="S10" s="15" t="str">
        <f t="shared" si="1"/>
        <v>c</v>
      </c>
      <c r="T10" s="4" t="e">
        <f>VLOOKUP(B10,#REF!,7,FALSE)</f>
        <v>#REF!</v>
      </c>
    </row>
    <row r="11" spans="1:20" x14ac:dyDescent="0.35">
      <c r="A11" s="13"/>
      <c r="B11" s="13">
        <v>4</v>
      </c>
      <c r="C11" s="13" t="e">
        <f>VLOOKUP($B11,#REF!,C$1,FALSE)</f>
        <v>#REF!</v>
      </c>
      <c r="D11" s="25" t="e">
        <f>VLOOKUP($B11,#REF!,D$1,FALSE)</f>
        <v>#REF!</v>
      </c>
      <c r="E11" s="13" t="e">
        <f>VLOOKUP($B11,#REF!,E$1,FALSE)</f>
        <v>#REF!</v>
      </c>
      <c r="F11" s="25" t="e">
        <f>VLOOKUP($B11,#REF!,F$1,FALSE)</f>
        <v>#REF!</v>
      </c>
      <c r="G11" s="14" t="e">
        <f>IF(VLOOKUP($B11,#REF!,G$1,FALSE)=0,0.0001,VLOOKUP($B11,#REF!,G$1,FALSE))</f>
        <v>#REF!</v>
      </c>
      <c r="H11" s="23">
        <v>20464.107</v>
      </c>
      <c r="I11" s="24">
        <v>30080</v>
      </c>
      <c r="M11" s="40">
        <v>30080</v>
      </c>
      <c r="N11" s="40"/>
      <c r="O11" s="37" t="e">
        <f>D11</f>
        <v>#REF!</v>
      </c>
      <c r="P11" s="37" t="e">
        <f t="shared" si="0"/>
        <v>#REF!</v>
      </c>
      <c r="Q11" s="14" t="e">
        <f t="shared" si="0"/>
        <v>#REF!</v>
      </c>
      <c r="R11" s="35" t="s">
        <v>176</v>
      </c>
      <c r="S11" s="15" t="str">
        <f t="shared" si="1"/>
        <v>c</v>
      </c>
      <c r="T11" s="4" t="e">
        <f>VLOOKUP(B11,#REF!,7,FALSE)</f>
        <v>#REF!</v>
      </c>
    </row>
    <row r="12" spans="1:20" x14ac:dyDescent="0.35">
      <c r="A12" s="13"/>
      <c r="B12" s="13">
        <v>5</v>
      </c>
      <c r="C12" s="13" t="e">
        <f>VLOOKUP($B12,#REF!,C$1,FALSE)</f>
        <v>#REF!</v>
      </c>
      <c r="D12" s="25" t="e">
        <f>VLOOKUP($B12,#REF!,D$1,FALSE)</f>
        <v>#REF!</v>
      </c>
      <c r="E12" s="13" t="e">
        <f>VLOOKUP($B12,#REF!,E$1,FALSE)</f>
        <v>#REF!</v>
      </c>
      <c r="F12" s="25" t="e">
        <f>VLOOKUP($B12,#REF!,F$1,FALSE)</f>
        <v>#REF!</v>
      </c>
      <c r="G12" s="14" t="e">
        <f>IF(VLOOKUP($B12,#REF!,G$1,FALSE)=0,0.0001,VLOOKUP($B12,#REF!,G$1,FALSE))</f>
        <v>#REF!</v>
      </c>
      <c r="H12" s="23">
        <v>19057.942999999999</v>
      </c>
      <c r="I12" s="24">
        <v>30080</v>
      </c>
      <c r="M12" s="436">
        <v>30080</v>
      </c>
      <c r="N12" s="436"/>
      <c r="O12" s="434" t="e">
        <f>D12</f>
        <v>#REF!</v>
      </c>
      <c r="P12" s="434" t="e">
        <f>F18</f>
        <v>#REF!</v>
      </c>
      <c r="Q12" s="435" t="e">
        <f>SUM(G12:G18)</f>
        <v>#REF!</v>
      </c>
      <c r="R12" s="432" t="s">
        <v>177</v>
      </c>
      <c r="S12" s="15" t="str">
        <f t="shared" si="1"/>
        <v>c</v>
      </c>
      <c r="T12" s="4" t="e">
        <f>VLOOKUP(B12,#REF!,7,FALSE)</f>
        <v>#REF!</v>
      </c>
    </row>
    <row r="13" spans="1:20" x14ac:dyDescent="0.35">
      <c r="A13" s="13"/>
      <c r="B13" s="13">
        <v>6</v>
      </c>
      <c r="C13" s="13" t="e">
        <f>VLOOKUP($B13,#REF!,C$1,FALSE)</f>
        <v>#REF!</v>
      </c>
      <c r="D13" s="25" t="e">
        <f>VLOOKUP($B13,#REF!,D$1,FALSE)</f>
        <v>#REF!</v>
      </c>
      <c r="E13" s="13" t="e">
        <f>VLOOKUP($B13,#REF!,E$1,FALSE)</f>
        <v>#REF!</v>
      </c>
      <c r="F13" s="25" t="e">
        <f>VLOOKUP($B13,#REF!,F$1,FALSE)</f>
        <v>#REF!</v>
      </c>
      <c r="G13" s="14" t="e">
        <f>IF(VLOOKUP($B13,#REF!,G$1,FALSE)=0,0.0001,VLOOKUP($B13,#REF!,G$1,FALSE))</f>
        <v>#REF!</v>
      </c>
      <c r="H13" s="23">
        <v>19056.240000000002</v>
      </c>
      <c r="I13" s="24">
        <v>30080</v>
      </c>
      <c r="M13" s="436"/>
      <c r="N13" s="436"/>
      <c r="O13" s="434"/>
      <c r="P13" s="434"/>
      <c r="Q13" s="435"/>
      <c r="R13" s="432"/>
      <c r="S13" s="15" t="str">
        <f t="shared" si="1"/>
        <v>c</v>
      </c>
      <c r="T13" s="4" t="e">
        <f>VLOOKUP(B13,#REF!,7,FALSE)</f>
        <v>#REF!</v>
      </c>
    </row>
    <row r="14" spans="1:20" x14ac:dyDescent="0.35">
      <c r="A14" s="13"/>
      <c r="B14" s="13">
        <v>7</v>
      </c>
      <c r="C14" s="13" t="e">
        <f>VLOOKUP($B14,#REF!,C$1,FALSE)</f>
        <v>#REF!</v>
      </c>
      <c r="D14" s="25" t="e">
        <f>VLOOKUP($B14,#REF!,D$1,FALSE)</f>
        <v>#REF!</v>
      </c>
      <c r="E14" s="13" t="e">
        <f>VLOOKUP($B14,#REF!,E$1,FALSE)</f>
        <v>#REF!</v>
      </c>
      <c r="F14" s="25" t="e">
        <f>VLOOKUP($B14,#REF!,F$1,FALSE)</f>
        <v>#REF!</v>
      </c>
      <c r="G14" s="14" t="e">
        <f>IF(VLOOKUP($B14,#REF!,G$1,FALSE)=0,0.0001,VLOOKUP($B14,#REF!,G$1,FALSE))</f>
        <v>#REF!</v>
      </c>
      <c r="H14" s="23">
        <v>19008.580000000002</v>
      </c>
      <c r="I14" s="24">
        <v>30080</v>
      </c>
      <c r="M14" s="436"/>
      <c r="N14" s="436"/>
      <c r="O14" s="434"/>
      <c r="P14" s="434"/>
      <c r="Q14" s="435"/>
      <c r="R14" s="432"/>
      <c r="S14" s="15" t="str">
        <f t="shared" si="1"/>
        <v>c</v>
      </c>
      <c r="T14" s="4" t="e">
        <f>VLOOKUP(B14,#REF!,7,FALSE)</f>
        <v>#REF!</v>
      </c>
    </row>
    <row r="15" spans="1:20" x14ac:dyDescent="0.35">
      <c r="A15" s="13"/>
      <c r="B15" s="13">
        <v>8</v>
      </c>
      <c r="C15" s="13" t="e">
        <f>VLOOKUP($B15,#REF!,C$1,FALSE)</f>
        <v>#REF!</v>
      </c>
      <c r="D15" s="25" t="e">
        <f>VLOOKUP($B15,#REF!,D$1,FALSE)</f>
        <v>#REF!</v>
      </c>
      <c r="E15" s="13" t="e">
        <f>VLOOKUP($B15,#REF!,E$1,FALSE)</f>
        <v>#REF!</v>
      </c>
      <c r="F15" s="25" t="e">
        <f>VLOOKUP($B15,#REF!,F$1,FALSE)</f>
        <v>#REF!</v>
      </c>
      <c r="G15" s="14" t="e">
        <f>IF(VLOOKUP($B15,#REF!,G$1,FALSE)=0,0.0001,VLOOKUP($B15,#REF!,G$1,FALSE))</f>
        <v>#REF!</v>
      </c>
      <c r="H15" s="23">
        <v>18942.807000000001</v>
      </c>
      <c r="I15" s="24">
        <v>30080</v>
      </c>
      <c r="M15" s="436"/>
      <c r="N15" s="436"/>
      <c r="O15" s="434"/>
      <c r="P15" s="434"/>
      <c r="Q15" s="435"/>
      <c r="R15" s="432"/>
      <c r="S15" s="15" t="str">
        <f t="shared" si="1"/>
        <v>c</v>
      </c>
      <c r="T15" s="4" t="e">
        <f>VLOOKUP(B15,#REF!,7,FALSE)</f>
        <v>#REF!</v>
      </c>
    </row>
    <row r="16" spans="1:20" x14ac:dyDescent="0.35">
      <c r="A16" s="13"/>
      <c r="B16" s="13">
        <v>9</v>
      </c>
      <c r="C16" s="13" t="e">
        <f>VLOOKUP($B16,#REF!,C$1,FALSE)</f>
        <v>#REF!</v>
      </c>
      <c r="D16" s="25" t="e">
        <f>VLOOKUP($B16,#REF!,D$1,FALSE)</f>
        <v>#REF!</v>
      </c>
      <c r="E16" s="13" t="e">
        <f>VLOOKUP($B16,#REF!,E$1,FALSE)</f>
        <v>#REF!</v>
      </c>
      <c r="F16" s="25" t="e">
        <f>VLOOKUP($B16,#REF!,F$1,FALSE)</f>
        <v>#REF!</v>
      </c>
      <c r="G16" s="14" t="e">
        <f>IF(VLOOKUP($B16,#REF!,G$1,FALSE)=0,0.0001,VLOOKUP($B16,#REF!,G$1,FALSE))</f>
        <v>#REF!</v>
      </c>
      <c r="H16" s="23">
        <v>18855.669999999998</v>
      </c>
      <c r="I16" s="24">
        <v>30080</v>
      </c>
      <c r="M16" s="436"/>
      <c r="N16" s="436"/>
      <c r="O16" s="434"/>
      <c r="P16" s="434"/>
      <c r="Q16" s="435"/>
      <c r="R16" s="432"/>
      <c r="S16" s="15" t="str">
        <f t="shared" si="1"/>
        <v>c</v>
      </c>
      <c r="T16" s="4" t="e">
        <f>VLOOKUP(B16,#REF!,7,FALSE)</f>
        <v>#REF!</v>
      </c>
    </row>
    <row r="17" spans="1:20" x14ac:dyDescent="0.35">
      <c r="A17" s="13"/>
      <c r="B17" s="13">
        <v>10</v>
      </c>
      <c r="C17" s="13" t="e">
        <f>VLOOKUP($B17,#REF!,C$1,FALSE)</f>
        <v>#REF!</v>
      </c>
      <c r="D17" s="25" t="e">
        <f>VLOOKUP($B17,#REF!,D$1,FALSE)</f>
        <v>#REF!</v>
      </c>
      <c r="E17" s="13" t="e">
        <f>VLOOKUP($B17,#REF!,E$1,FALSE)</f>
        <v>#REF!</v>
      </c>
      <c r="F17" s="25" t="e">
        <f>VLOOKUP($B17,#REF!,F$1,FALSE)</f>
        <v>#REF!</v>
      </c>
      <c r="G17" s="14" t="e">
        <f>IF(VLOOKUP($B17,#REF!,G$1,FALSE)=0,0.0001,VLOOKUP($B17,#REF!,G$1,FALSE))</f>
        <v>#REF!</v>
      </c>
      <c r="H17" s="23">
        <v>18837.857</v>
      </c>
      <c r="I17" s="24">
        <v>30080</v>
      </c>
      <c r="M17" s="436"/>
      <c r="N17" s="436"/>
      <c r="O17" s="434"/>
      <c r="P17" s="434"/>
      <c r="Q17" s="435"/>
      <c r="R17" s="432"/>
      <c r="S17" s="15" t="str">
        <f t="shared" si="1"/>
        <v>c</v>
      </c>
      <c r="T17" s="4" t="e">
        <f>VLOOKUP(B17,#REF!,7,FALSE)</f>
        <v>#REF!</v>
      </c>
    </row>
    <row r="18" spans="1:20" x14ac:dyDescent="0.35">
      <c r="A18" s="13"/>
      <c r="B18" s="13">
        <v>11</v>
      </c>
      <c r="C18" s="13" t="e">
        <f>VLOOKUP($B18,#REF!,C$1,FALSE)</f>
        <v>#REF!</v>
      </c>
      <c r="D18" s="25" t="e">
        <f>VLOOKUP($B18,#REF!,D$1,FALSE)</f>
        <v>#REF!</v>
      </c>
      <c r="E18" s="13" t="e">
        <f>VLOOKUP($B18,#REF!,E$1,FALSE)</f>
        <v>#REF!</v>
      </c>
      <c r="F18" s="25" t="e">
        <f>VLOOKUP($B18,#REF!,F$1,FALSE)</f>
        <v>#REF!</v>
      </c>
      <c r="G18" s="14" t="e">
        <f>IF(VLOOKUP($B18,#REF!,G$1,FALSE)=0,0.0001,VLOOKUP($B18,#REF!,G$1,FALSE))</f>
        <v>#REF!</v>
      </c>
      <c r="H18" s="23">
        <v>18628.38</v>
      </c>
      <c r="I18" s="24">
        <v>30080</v>
      </c>
      <c r="M18" s="436"/>
      <c r="N18" s="436"/>
      <c r="O18" s="434"/>
      <c r="P18" s="434"/>
      <c r="Q18" s="435"/>
      <c r="R18" s="432"/>
      <c r="S18" s="15" t="str">
        <f t="shared" si="1"/>
        <v>c</v>
      </c>
      <c r="T18" s="4" t="e">
        <f>VLOOKUP(B18,#REF!,7,FALSE)</f>
        <v>#REF!</v>
      </c>
    </row>
    <row r="19" spans="1:20" x14ac:dyDescent="0.35">
      <c r="A19" s="13"/>
      <c r="B19" s="13">
        <v>12</v>
      </c>
      <c r="C19" s="13" t="e">
        <f>VLOOKUP($B19,#REF!,C$1,FALSE)</f>
        <v>#REF!</v>
      </c>
      <c r="D19" s="25" t="e">
        <f>VLOOKUP($B19,#REF!,D$1,FALSE)</f>
        <v>#REF!</v>
      </c>
      <c r="E19" s="13" t="e">
        <f>VLOOKUP($B19,#REF!,E$1,FALSE)</f>
        <v>#REF!</v>
      </c>
      <c r="F19" s="25" t="e">
        <f>VLOOKUP($B19,#REF!,F$1,FALSE)</f>
        <v>#REF!</v>
      </c>
      <c r="G19" s="14" t="e">
        <f>IF(VLOOKUP($B19,#REF!,G$1,FALSE)=0,0.0001,VLOOKUP($B19,#REF!,G$1,FALSE))</f>
        <v>#REF!</v>
      </c>
      <c r="H19" s="23">
        <v>18317.900000000001</v>
      </c>
      <c r="I19" s="24">
        <v>30080</v>
      </c>
      <c r="M19" s="436">
        <v>30080</v>
      </c>
      <c r="N19" s="436"/>
      <c r="O19" s="434" t="e">
        <f>D19</f>
        <v>#REF!</v>
      </c>
      <c r="P19" s="434" t="e">
        <f>F23</f>
        <v>#REF!</v>
      </c>
      <c r="Q19" s="435" t="e">
        <f>SUM(G19:G23)</f>
        <v>#REF!</v>
      </c>
      <c r="R19" s="432" t="s">
        <v>178</v>
      </c>
      <c r="S19" s="15" t="str">
        <f t="shared" si="1"/>
        <v>c</v>
      </c>
      <c r="T19" s="4" t="e">
        <f>VLOOKUP(B19,#REF!,7,FALSE)</f>
        <v>#REF!</v>
      </c>
    </row>
    <row r="20" spans="1:20" x14ac:dyDescent="0.35">
      <c r="A20" s="13"/>
      <c r="B20" s="13">
        <v>13</v>
      </c>
      <c r="C20" s="13" t="e">
        <f>VLOOKUP($B20,#REF!,C$1,FALSE)</f>
        <v>#REF!</v>
      </c>
      <c r="D20" s="25" t="e">
        <f>VLOOKUP($B20,#REF!,D$1,FALSE)</f>
        <v>#REF!</v>
      </c>
      <c r="E20" s="13" t="e">
        <f>VLOOKUP($B20,#REF!,E$1,FALSE)</f>
        <v>#REF!</v>
      </c>
      <c r="F20" s="25" t="e">
        <f>VLOOKUP($B20,#REF!,F$1,FALSE)</f>
        <v>#REF!</v>
      </c>
      <c r="G20" s="14" t="e">
        <f>IF(VLOOKUP($B20,#REF!,G$1,FALSE)=0,0.0001,VLOOKUP($B20,#REF!,G$1,FALSE))</f>
        <v>#REF!</v>
      </c>
      <c r="H20" s="23">
        <v>18317.757000000001</v>
      </c>
      <c r="I20" s="24">
        <v>30080</v>
      </c>
      <c r="M20" s="436"/>
      <c r="N20" s="436"/>
      <c r="O20" s="434"/>
      <c r="P20" s="434"/>
      <c r="Q20" s="435"/>
      <c r="R20" s="432"/>
      <c r="S20" s="15" t="str">
        <f t="shared" si="1"/>
        <v>c</v>
      </c>
      <c r="T20" s="4" t="e">
        <f>VLOOKUP(B20,#REF!,7,FALSE)</f>
        <v>#REF!</v>
      </c>
    </row>
    <row r="21" spans="1:20" x14ac:dyDescent="0.35">
      <c r="A21" s="13"/>
      <c r="B21" s="13">
        <v>14</v>
      </c>
      <c r="C21" s="13" t="e">
        <f>VLOOKUP($B21,#REF!,C$1,FALSE)</f>
        <v>#REF!</v>
      </c>
      <c r="D21" s="25" t="e">
        <f>VLOOKUP($B21,#REF!,D$1,FALSE)</f>
        <v>#REF!</v>
      </c>
      <c r="E21" s="13" t="e">
        <f>VLOOKUP($B21,#REF!,E$1,FALSE)</f>
        <v>#REF!</v>
      </c>
      <c r="F21" s="25" t="e">
        <f>VLOOKUP($B21,#REF!,F$1,FALSE)</f>
        <v>#REF!</v>
      </c>
      <c r="G21" s="14" t="e">
        <f>IF(VLOOKUP($B21,#REF!,G$1,FALSE)=0,0.0001,VLOOKUP($B21,#REF!,G$1,FALSE))</f>
        <v>#REF!</v>
      </c>
      <c r="H21" s="23">
        <v>16911.02</v>
      </c>
      <c r="I21" s="24">
        <v>30080</v>
      </c>
      <c r="M21" s="436"/>
      <c r="N21" s="436"/>
      <c r="O21" s="434"/>
      <c r="P21" s="434"/>
      <c r="Q21" s="435"/>
      <c r="R21" s="432"/>
      <c r="S21" s="15" t="str">
        <f t="shared" si="1"/>
        <v>c</v>
      </c>
      <c r="T21" s="4" t="e">
        <f>VLOOKUP(B21,#REF!,7,FALSE)</f>
        <v>#REF!</v>
      </c>
    </row>
    <row r="22" spans="1:20" x14ac:dyDescent="0.35">
      <c r="A22" s="13"/>
      <c r="B22" s="13">
        <v>15</v>
      </c>
      <c r="C22" s="13" t="e">
        <f>VLOOKUP($B22,#REF!,C$1,FALSE)</f>
        <v>#REF!</v>
      </c>
      <c r="D22" s="25" t="e">
        <f>VLOOKUP($B22,#REF!,D$1,FALSE)</f>
        <v>#REF!</v>
      </c>
      <c r="E22" s="13" t="e">
        <f>VLOOKUP($B22,#REF!,E$1,FALSE)</f>
        <v>#REF!</v>
      </c>
      <c r="F22" s="25" t="e">
        <f>VLOOKUP($B22,#REF!,F$1,FALSE)</f>
        <v>#REF!</v>
      </c>
      <c r="G22" s="14" t="e">
        <f>IF(VLOOKUP($B22,#REF!,G$1,FALSE)=0,0.0001,VLOOKUP($B22,#REF!,G$1,FALSE))</f>
        <v>#REF!</v>
      </c>
      <c r="H22" s="23">
        <v>15538.954</v>
      </c>
      <c r="I22" s="24">
        <v>30080</v>
      </c>
      <c r="M22" s="436"/>
      <c r="N22" s="436"/>
      <c r="O22" s="434"/>
      <c r="P22" s="434"/>
      <c r="Q22" s="435"/>
      <c r="R22" s="432"/>
      <c r="S22" s="15" t="str">
        <f t="shared" si="1"/>
        <v>c</v>
      </c>
      <c r="T22" s="4" t="e">
        <f>VLOOKUP(B22,#REF!,7,FALSE)</f>
        <v>#REF!</v>
      </c>
    </row>
    <row r="23" spans="1:20" x14ac:dyDescent="0.35">
      <c r="A23" s="13"/>
      <c r="B23" s="13">
        <v>16</v>
      </c>
      <c r="C23" s="13" t="e">
        <f>VLOOKUP($B23,#REF!,C$1,FALSE)</f>
        <v>#REF!</v>
      </c>
      <c r="D23" s="25" t="e">
        <f>VLOOKUP($B23,#REF!,D$1,FALSE)</f>
        <v>#REF!</v>
      </c>
      <c r="E23" s="13" t="e">
        <f>VLOOKUP($B23,#REF!,E$1,FALSE)</f>
        <v>#REF!</v>
      </c>
      <c r="F23" s="25" t="e">
        <f>VLOOKUP($B23,#REF!,F$1,FALSE)</f>
        <v>#REF!</v>
      </c>
      <c r="G23" s="14" t="e">
        <f>IF(VLOOKUP($B23,#REF!,G$1,FALSE)=0,0.0001,VLOOKUP($B23,#REF!,G$1,FALSE))</f>
        <v>#REF!</v>
      </c>
      <c r="H23" s="23">
        <v>15135.09</v>
      </c>
      <c r="I23" s="24">
        <v>30080</v>
      </c>
      <c r="M23" s="436"/>
      <c r="N23" s="436"/>
      <c r="O23" s="434"/>
      <c r="P23" s="434"/>
      <c r="Q23" s="435"/>
      <c r="R23" s="432"/>
      <c r="S23" s="15" t="str">
        <f t="shared" si="1"/>
        <v>c</v>
      </c>
      <c r="T23" s="4" t="e">
        <f>VLOOKUP(B23,#REF!,7,FALSE)</f>
        <v>#REF!</v>
      </c>
    </row>
    <row r="24" spans="1:20" x14ac:dyDescent="0.35">
      <c r="A24" s="13"/>
      <c r="B24" s="13">
        <v>17</v>
      </c>
      <c r="C24" s="13" t="e">
        <f>VLOOKUP($B24,#REF!,C$1,FALSE)</f>
        <v>#REF!</v>
      </c>
      <c r="D24" s="25" t="e">
        <f>VLOOKUP($B24,#REF!,D$1,FALSE)</f>
        <v>#REF!</v>
      </c>
      <c r="E24" s="13" t="e">
        <f>VLOOKUP($B24,#REF!,E$1,FALSE)</f>
        <v>#REF!</v>
      </c>
      <c r="F24" s="25" t="e">
        <f>VLOOKUP($B24,#REF!,F$1,FALSE)</f>
        <v>#REF!</v>
      </c>
      <c r="G24" s="14" t="e">
        <f>IF(VLOOKUP($B24,#REF!,G$1,FALSE)=0,0.0001,VLOOKUP($B24,#REF!,G$1,FALSE))</f>
        <v>#REF!</v>
      </c>
      <c r="H24" s="23">
        <v>12970.58</v>
      </c>
      <c r="I24" s="24">
        <v>15000</v>
      </c>
      <c r="M24" s="40">
        <v>15000</v>
      </c>
      <c r="N24" s="40"/>
      <c r="O24" s="37" t="e">
        <f>D24</f>
        <v>#REF!</v>
      </c>
      <c r="P24" s="37" t="e">
        <f>F24</f>
        <v>#REF!</v>
      </c>
      <c r="Q24" s="14" t="e">
        <f>G24</f>
        <v>#REF!</v>
      </c>
      <c r="R24" s="14"/>
      <c r="S24" s="15" t="str">
        <f t="shared" si="1"/>
        <v>c</v>
      </c>
      <c r="T24" s="4" t="e">
        <f>VLOOKUP(B24,#REF!,7,FALSE)</f>
        <v>#REF!</v>
      </c>
    </row>
    <row r="25" spans="1:20" x14ac:dyDescent="0.35">
      <c r="A25" s="13"/>
      <c r="B25" s="13">
        <v>18</v>
      </c>
      <c r="C25" s="13" t="e">
        <f>VLOOKUP($B25,#REF!,C$1,FALSE)</f>
        <v>#REF!</v>
      </c>
      <c r="D25" s="25" t="e">
        <f>VLOOKUP($B25,#REF!,D$1,FALSE)</f>
        <v>#REF!</v>
      </c>
      <c r="E25" s="13" t="e">
        <f>VLOOKUP($B25,#REF!,E$1,FALSE)</f>
        <v>#REF!</v>
      </c>
      <c r="F25" s="25" t="e">
        <f>VLOOKUP($B25,#REF!,F$1,FALSE)</f>
        <v>#REF!</v>
      </c>
      <c r="G25" s="14" t="e">
        <f>IF(VLOOKUP($B25,#REF!,G$1,FALSE)=0,0.0001,VLOOKUP($B25,#REF!,G$1,FALSE))</f>
        <v>#REF!</v>
      </c>
      <c r="H25" s="23">
        <v>2568.63</v>
      </c>
      <c r="I25" s="24">
        <v>9300</v>
      </c>
      <c r="M25" s="436">
        <v>9300</v>
      </c>
      <c r="N25" s="436"/>
      <c r="O25" s="434" t="e">
        <f>D25</f>
        <v>#REF!</v>
      </c>
      <c r="P25" s="434" t="e">
        <f>F27</f>
        <v>#REF!</v>
      </c>
      <c r="Q25" s="437" t="e">
        <f>SUM(G25:G27)</f>
        <v>#REF!</v>
      </c>
      <c r="R25" s="432" t="s">
        <v>178</v>
      </c>
      <c r="S25" s="15" t="str">
        <f t="shared" si="1"/>
        <v>b</v>
      </c>
      <c r="T25" s="4" t="e">
        <f>VLOOKUP(B25,#REF!,7,FALSE)</f>
        <v>#REF!</v>
      </c>
    </row>
    <row r="26" spans="1:20" x14ac:dyDescent="0.35">
      <c r="A26" s="13"/>
      <c r="B26" s="13">
        <v>19</v>
      </c>
      <c r="C26" s="13" t="e">
        <f>VLOOKUP($B26,#REF!,C$1,FALSE)</f>
        <v>#REF!</v>
      </c>
      <c r="D26" s="25" t="e">
        <f>VLOOKUP($B26,#REF!,D$1,FALSE)</f>
        <v>#REF!</v>
      </c>
      <c r="E26" s="13" t="e">
        <f>VLOOKUP($B26,#REF!,E$1,FALSE)</f>
        <v>#REF!</v>
      </c>
      <c r="F26" s="25" t="e">
        <f>VLOOKUP($B26,#REF!,F$1,FALSE)</f>
        <v>#REF!</v>
      </c>
      <c r="G26" s="14" t="e">
        <f>IF(VLOOKUP($B26,#REF!,G$1,FALSE)=0,0.0001,VLOOKUP($B26,#REF!,G$1,FALSE))</f>
        <v>#REF!</v>
      </c>
      <c r="H26" s="23">
        <v>1181.8667</v>
      </c>
      <c r="I26" s="24">
        <v>9300</v>
      </c>
      <c r="M26" s="436"/>
      <c r="N26" s="436"/>
      <c r="O26" s="434"/>
      <c r="P26" s="434"/>
      <c r="Q26" s="437"/>
      <c r="R26" s="432"/>
      <c r="S26" s="15" t="str">
        <f t="shared" si="1"/>
        <v>b</v>
      </c>
      <c r="T26" s="4" t="e">
        <f>VLOOKUP(B26,#REF!,7,FALSE)</f>
        <v>#REF!</v>
      </c>
    </row>
    <row r="27" spans="1:20" x14ac:dyDescent="0.35">
      <c r="A27" s="13"/>
      <c r="B27" s="13">
        <v>20</v>
      </c>
      <c r="C27" s="13" t="e">
        <f>VLOOKUP($B27,#REF!,C$1,FALSE)</f>
        <v>#REF!</v>
      </c>
      <c r="D27" s="25" t="e">
        <f>VLOOKUP($B27,#REF!,D$1,FALSE)</f>
        <v>#REF!</v>
      </c>
      <c r="E27" s="13" t="e">
        <f>VLOOKUP($B27,#REF!,E$1,FALSE)</f>
        <v>#REF!</v>
      </c>
      <c r="F27" s="25" t="e">
        <f>VLOOKUP($B27,#REF!,F$1,FALSE)</f>
        <v>#REF!</v>
      </c>
      <c r="G27" s="14" t="e">
        <f>IF(VLOOKUP($B27,#REF!,G$1,FALSE)=0,0.0001,VLOOKUP($B27,#REF!,G$1,FALSE))</f>
        <v>#REF!</v>
      </c>
      <c r="H27" s="23">
        <v>621.75666999999999</v>
      </c>
      <c r="I27" s="24">
        <v>9300</v>
      </c>
      <c r="M27" s="436"/>
      <c r="N27" s="436"/>
      <c r="O27" s="434"/>
      <c r="P27" s="434"/>
      <c r="Q27" s="437"/>
      <c r="R27" s="432"/>
      <c r="S27" s="15" t="str">
        <f t="shared" si="1"/>
        <v>b</v>
      </c>
      <c r="T27" s="4" t="e">
        <f>VLOOKUP(B27,#REF!,7,FALSE)</f>
        <v>#REF!</v>
      </c>
    </row>
    <row r="28" spans="1:20" x14ac:dyDescent="0.35">
      <c r="A28" s="13"/>
      <c r="B28" s="13">
        <v>21</v>
      </c>
      <c r="C28" s="13" t="e">
        <f>VLOOKUP($B28,#REF!,C$1,FALSE)</f>
        <v>#REF!</v>
      </c>
      <c r="D28" s="25" t="e">
        <f>VLOOKUP($B28,#REF!,D$1,FALSE)</f>
        <v>#REF!</v>
      </c>
      <c r="E28" s="13" t="e">
        <f>VLOOKUP($B28,#REF!,E$1,FALSE)</f>
        <v>#REF!</v>
      </c>
      <c r="F28" s="25" t="e">
        <f>VLOOKUP($B28,#REF!,F$1,FALSE)</f>
        <v>#REF!</v>
      </c>
      <c r="G28" s="14" t="e">
        <f>IF(VLOOKUP($B28,#REF!,G$1,FALSE)=0,0.0001,VLOOKUP($B28,#REF!,G$1,FALSE))</f>
        <v>#REF!</v>
      </c>
      <c r="H28" s="23">
        <v>0</v>
      </c>
      <c r="I28" s="24">
        <v>9300</v>
      </c>
      <c r="M28" s="40">
        <v>9300</v>
      </c>
      <c r="N28" s="40"/>
      <c r="O28" s="37" t="e">
        <f>D28</f>
        <v>#REF!</v>
      </c>
      <c r="P28" s="37" t="e">
        <f>F28</f>
        <v>#REF!</v>
      </c>
      <c r="Q28" s="14" t="e">
        <f>G28</f>
        <v>#REF!</v>
      </c>
      <c r="R28" s="14"/>
      <c r="S28" s="15">
        <f t="shared" si="1"/>
        <v>0</v>
      </c>
      <c r="T28" s="4" t="e">
        <f>VLOOKUP(B28,#REF!,7,FALSE)</f>
        <v>#REF!</v>
      </c>
    </row>
    <row r="29" spans="1:20" x14ac:dyDescent="0.35">
      <c r="A29" s="13"/>
      <c r="B29" s="13">
        <v>22</v>
      </c>
      <c r="C29" s="13" t="e">
        <f>VLOOKUP($B29,#REF!,C$1,FALSE)</f>
        <v>#REF!</v>
      </c>
      <c r="D29" s="25" t="e">
        <f>VLOOKUP($B29,#REF!,D$1,FALSE)</f>
        <v>#REF!</v>
      </c>
      <c r="E29" s="13" t="e">
        <f>VLOOKUP($B29,#REF!,E$1,FALSE)</f>
        <v>#REF!</v>
      </c>
      <c r="F29" s="25" t="e">
        <f>VLOOKUP($B29,#REF!,F$1,FALSE)</f>
        <v>#REF!</v>
      </c>
      <c r="G29" s="14" t="e">
        <f>IF(VLOOKUP($B29,#REF!,G$1,FALSE)=0,0.0001,VLOOKUP($B29,#REF!,G$1,FALSE))</f>
        <v>#REF!</v>
      </c>
      <c r="H29" s="23">
        <v>10340.576999999999</v>
      </c>
      <c r="I29" s="24">
        <v>12580</v>
      </c>
      <c r="M29" s="436">
        <v>12580</v>
      </c>
      <c r="N29" s="436"/>
      <c r="O29" s="434" t="e">
        <f>D29</f>
        <v>#REF!</v>
      </c>
      <c r="P29" s="434" t="e">
        <f>F32</f>
        <v>#REF!</v>
      </c>
      <c r="Q29" s="437" t="e">
        <f>SUM(G29:G32)</f>
        <v>#REF!</v>
      </c>
      <c r="R29" s="432" t="s">
        <v>179</v>
      </c>
      <c r="S29" s="15" t="str">
        <f t="shared" si="1"/>
        <v>c</v>
      </c>
      <c r="T29" s="4" t="e">
        <f>VLOOKUP(B29,#REF!,7,FALSE)</f>
        <v>#REF!</v>
      </c>
    </row>
    <row r="30" spans="1:20" x14ac:dyDescent="0.35">
      <c r="A30" s="13"/>
      <c r="B30" s="13">
        <v>23</v>
      </c>
      <c r="C30" s="13" t="e">
        <f>VLOOKUP($B30,#REF!,C$1,FALSE)</f>
        <v>#REF!</v>
      </c>
      <c r="D30" s="25" t="e">
        <f>VLOOKUP($B30,#REF!,D$1,FALSE)</f>
        <v>#REF!</v>
      </c>
      <c r="E30" s="13" t="e">
        <f>VLOOKUP($B30,#REF!,E$1,FALSE)</f>
        <v>#REF!</v>
      </c>
      <c r="F30" s="25" t="e">
        <f>VLOOKUP($B30,#REF!,F$1,FALSE)</f>
        <v>#REF!</v>
      </c>
      <c r="G30" s="14" t="e">
        <f>IF(VLOOKUP($B30,#REF!,G$1,FALSE)=0,0.0001,VLOOKUP($B30,#REF!,G$1,FALSE))</f>
        <v>#REF!</v>
      </c>
      <c r="H30" s="23">
        <v>10058.576999999999</v>
      </c>
      <c r="I30" s="24">
        <v>12580</v>
      </c>
      <c r="M30" s="436"/>
      <c r="N30" s="436"/>
      <c r="O30" s="434"/>
      <c r="P30" s="434"/>
      <c r="Q30" s="437"/>
      <c r="R30" s="432"/>
      <c r="S30" s="15" t="str">
        <f t="shared" si="1"/>
        <v>c</v>
      </c>
      <c r="T30" s="4" t="e">
        <f>VLOOKUP(B30,#REF!,7,FALSE)</f>
        <v>#REF!</v>
      </c>
    </row>
    <row r="31" spans="1:20" x14ac:dyDescent="0.35">
      <c r="A31" s="13"/>
      <c r="B31" s="13">
        <v>24</v>
      </c>
      <c r="C31" s="13" t="e">
        <f>VLOOKUP($B31,#REF!,C$1,FALSE)</f>
        <v>#REF!</v>
      </c>
      <c r="D31" s="25" t="e">
        <f>VLOOKUP($B31,#REF!,D$1,FALSE)</f>
        <v>#REF!</v>
      </c>
      <c r="E31" s="13" t="e">
        <f>VLOOKUP($B31,#REF!,E$1,FALSE)</f>
        <v>#REF!</v>
      </c>
      <c r="F31" s="25" t="e">
        <f>VLOOKUP($B31,#REF!,F$1,FALSE)</f>
        <v>#REF!</v>
      </c>
      <c r="G31" s="14" t="e">
        <f>IF(VLOOKUP($B31,#REF!,G$1,FALSE)=0,0.0001,VLOOKUP($B31,#REF!,G$1,FALSE))</f>
        <v>#REF!</v>
      </c>
      <c r="H31" s="23">
        <v>9700.9333000000006</v>
      </c>
      <c r="I31" s="24">
        <v>12580</v>
      </c>
      <c r="M31" s="436"/>
      <c r="N31" s="436"/>
      <c r="O31" s="434"/>
      <c r="P31" s="434"/>
      <c r="Q31" s="437"/>
      <c r="R31" s="432"/>
      <c r="S31" s="15" t="str">
        <f t="shared" si="1"/>
        <v>c</v>
      </c>
      <c r="T31" s="4" t="e">
        <f>VLOOKUP(B31,#REF!,7,FALSE)</f>
        <v>#REF!</v>
      </c>
    </row>
    <row r="32" spans="1:20" x14ac:dyDescent="0.35">
      <c r="A32" s="13"/>
      <c r="B32" s="13">
        <v>25</v>
      </c>
      <c r="C32" s="13" t="e">
        <f>VLOOKUP($B32,#REF!,C$1,FALSE)</f>
        <v>#REF!</v>
      </c>
      <c r="D32" s="25" t="e">
        <f>VLOOKUP($B32,#REF!,D$1,FALSE)</f>
        <v>#REF!</v>
      </c>
      <c r="E32" s="13" t="e">
        <f>VLOOKUP($B32,#REF!,E$1,FALSE)</f>
        <v>#REF!</v>
      </c>
      <c r="F32" s="25" t="e">
        <f>VLOOKUP($B32,#REF!,F$1,FALSE)</f>
        <v>#REF!</v>
      </c>
      <c r="G32" s="14" t="e">
        <f>IF(VLOOKUP($B32,#REF!,G$1,FALSE)=0,0.0001,VLOOKUP($B32,#REF!,G$1,FALSE))</f>
        <v>#REF!</v>
      </c>
      <c r="H32" s="23">
        <v>9617.5467000000008</v>
      </c>
      <c r="I32" s="24">
        <v>12580</v>
      </c>
      <c r="M32" s="436"/>
      <c r="N32" s="436"/>
      <c r="O32" s="434"/>
      <c r="P32" s="434"/>
      <c r="Q32" s="437"/>
      <c r="R32" s="432"/>
      <c r="S32" s="15" t="str">
        <f t="shared" si="1"/>
        <v>c</v>
      </c>
      <c r="T32" s="4" t="e">
        <f>VLOOKUP(B32,#REF!,7,FALSE)</f>
        <v>#REF!</v>
      </c>
    </row>
    <row r="33" spans="1:20" x14ac:dyDescent="0.35">
      <c r="A33" s="13"/>
      <c r="B33" s="13">
        <v>26</v>
      </c>
      <c r="C33" s="13" t="e">
        <f>VLOOKUP($B33,#REF!,C$1,FALSE)</f>
        <v>#REF!</v>
      </c>
      <c r="D33" s="25" t="e">
        <f>VLOOKUP($B33,#REF!,D$1,FALSE)</f>
        <v>#REF!</v>
      </c>
      <c r="E33" s="13" t="e">
        <f>VLOOKUP($B33,#REF!,E$1,FALSE)</f>
        <v>#REF!</v>
      </c>
      <c r="F33" s="25" t="e">
        <f>VLOOKUP($B33,#REF!,F$1,FALSE)</f>
        <v>#REF!</v>
      </c>
      <c r="G33" s="14" t="e">
        <f>IF(VLOOKUP($B33,#REF!,G$1,FALSE)=0,0.0001,VLOOKUP($B33,#REF!,G$1,FALSE))</f>
        <v>#REF!</v>
      </c>
      <c r="H33" s="23">
        <v>9534.2199999999993</v>
      </c>
      <c r="I33" s="24">
        <v>12580</v>
      </c>
      <c r="M33" s="436">
        <v>12580</v>
      </c>
      <c r="N33" s="436"/>
      <c r="O33" s="434" t="e">
        <f>D33</f>
        <v>#REF!</v>
      </c>
      <c r="P33" s="434" t="e">
        <f>F36</f>
        <v>#REF!</v>
      </c>
      <c r="Q33" s="437" t="e">
        <f>SUM(G33:G36)</f>
        <v>#REF!</v>
      </c>
      <c r="R33" s="432" t="s">
        <v>180</v>
      </c>
      <c r="S33" s="15" t="str">
        <f t="shared" si="1"/>
        <v>c</v>
      </c>
      <c r="T33" s="4" t="e">
        <f>VLOOKUP(B33,#REF!,7,FALSE)</f>
        <v>#REF!</v>
      </c>
    </row>
    <row r="34" spans="1:20" x14ac:dyDescent="0.35">
      <c r="A34" s="13"/>
      <c r="B34" s="13">
        <v>27</v>
      </c>
      <c r="C34" s="13" t="e">
        <f>VLOOKUP($B34,#REF!,C$1,FALSE)</f>
        <v>#REF!</v>
      </c>
      <c r="D34" s="25" t="e">
        <f>VLOOKUP($B34,#REF!,D$1,FALSE)</f>
        <v>#REF!</v>
      </c>
      <c r="E34" s="13" t="e">
        <f>VLOOKUP($B34,#REF!,E$1,FALSE)</f>
        <v>#REF!</v>
      </c>
      <c r="F34" s="25" t="e">
        <f>VLOOKUP($B34,#REF!,F$1,FALSE)</f>
        <v>#REF!</v>
      </c>
      <c r="G34" s="14" t="e">
        <f>IF(VLOOKUP($B34,#REF!,G$1,FALSE)=0,0.0001,VLOOKUP($B34,#REF!,G$1,FALSE))</f>
        <v>#REF!</v>
      </c>
      <c r="H34" s="23">
        <v>9173.74</v>
      </c>
      <c r="I34" s="24">
        <v>12580</v>
      </c>
      <c r="M34" s="436"/>
      <c r="N34" s="436"/>
      <c r="O34" s="434"/>
      <c r="P34" s="434"/>
      <c r="Q34" s="437"/>
      <c r="R34" s="432"/>
      <c r="S34" s="15" t="str">
        <f t="shared" si="1"/>
        <v>c</v>
      </c>
      <c r="T34" s="4" t="e">
        <f>VLOOKUP(B34,#REF!,7,FALSE)</f>
        <v>#REF!</v>
      </c>
    </row>
    <row r="35" spans="1:20" x14ac:dyDescent="0.35">
      <c r="A35" s="13"/>
      <c r="B35" s="13">
        <v>28</v>
      </c>
      <c r="C35" s="13" t="e">
        <f>VLOOKUP($B35,#REF!,C$1,FALSE)</f>
        <v>#REF!</v>
      </c>
      <c r="D35" s="25" t="e">
        <f>VLOOKUP($B35,#REF!,D$1,FALSE)</f>
        <v>#REF!</v>
      </c>
      <c r="E35" s="13" t="e">
        <f>VLOOKUP($B35,#REF!,E$1,FALSE)</f>
        <v>#REF!</v>
      </c>
      <c r="F35" s="25" t="e">
        <f>VLOOKUP($B35,#REF!,F$1,FALSE)</f>
        <v>#REF!</v>
      </c>
      <c r="G35" s="14" t="e">
        <f>IF(VLOOKUP($B35,#REF!,G$1,FALSE)=0,0.0001,VLOOKUP($B35,#REF!,G$1,FALSE))</f>
        <v>#REF!</v>
      </c>
      <c r="H35" s="23">
        <v>8793.6633000000002</v>
      </c>
      <c r="I35" s="24">
        <v>12580</v>
      </c>
      <c r="M35" s="436"/>
      <c r="N35" s="436"/>
      <c r="O35" s="434"/>
      <c r="P35" s="434"/>
      <c r="Q35" s="437"/>
      <c r="R35" s="432"/>
      <c r="S35" s="15" t="str">
        <f t="shared" si="1"/>
        <v>c</v>
      </c>
      <c r="T35" s="4" t="e">
        <f>VLOOKUP(B35,#REF!,7,FALSE)</f>
        <v>#REF!</v>
      </c>
    </row>
    <row r="36" spans="1:20" x14ac:dyDescent="0.35">
      <c r="A36" s="13"/>
      <c r="B36" s="13">
        <v>29</v>
      </c>
      <c r="C36" s="13" t="e">
        <f>VLOOKUP($B36,#REF!,C$1,FALSE)</f>
        <v>#REF!</v>
      </c>
      <c r="D36" s="25" t="e">
        <f>VLOOKUP($B36,#REF!,D$1,FALSE)</f>
        <v>#REF!</v>
      </c>
      <c r="E36" s="13" t="e">
        <f>VLOOKUP($B36,#REF!,E$1,FALSE)</f>
        <v>#REF!</v>
      </c>
      <c r="F36" s="25" t="e">
        <f>VLOOKUP($B36,#REF!,F$1,FALSE)</f>
        <v>#REF!</v>
      </c>
      <c r="G36" s="14" t="e">
        <f>IF(VLOOKUP($B36,#REF!,G$1,FALSE)=0,0.0001,VLOOKUP($B36,#REF!,G$1,FALSE))</f>
        <v>#REF!</v>
      </c>
      <c r="H36" s="23">
        <v>8610.5033000000003</v>
      </c>
      <c r="I36" s="24">
        <v>12580</v>
      </c>
      <c r="M36" s="436"/>
      <c r="N36" s="436"/>
      <c r="O36" s="434"/>
      <c r="P36" s="434"/>
      <c r="Q36" s="437"/>
      <c r="R36" s="432"/>
      <c r="S36" s="15" t="str">
        <f t="shared" si="1"/>
        <v>c</v>
      </c>
      <c r="T36" s="4" t="e">
        <f>VLOOKUP(B36,#REF!,7,FALSE)</f>
        <v>#REF!</v>
      </c>
    </row>
    <row r="37" spans="1:20" x14ac:dyDescent="0.35">
      <c r="A37" s="13"/>
      <c r="B37" s="13">
        <v>30</v>
      </c>
      <c r="C37" s="13" t="e">
        <f>VLOOKUP($B37,#REF!,C$1,FALSE)</f>
        <v>#REF!</v>
      </c>
      <c r="D37" s="25" t="e">
        <f>VLOOKUP($B37,#REF!,D$1,FALSE)</f>
        <v>#REF!</v>
      </c>
      <c r="E37" s="13" t="e">
        <f>VLOOKUP($B37,#REF!,E$1,FALSE)</f>
        <v>#REF!</v>
      </c>
      <c r="F37" s="25" t="e">
        <f>VLOOKUP($B37,#REF!,F$1,FALSE)</f>
        <v>#REF!</v>
      </c>
      <c r="G37" s="14" t="e">
        <f>IF(VLOOKUP($B37,#REF!,G$1,FALSE)=0,0.0001,VLOOKUP($B37,#REF!,G$1,FALSE))</f>
        <v>#REF!</v>
      </c>
      <c r="H37" s="23">
        <v>8607.26</v>
      </c>
      <c r="I37" s="24">
        <v>12580</v>
      </c>
      <c r="M37" s="436">
        <v>12580</v>
      </c>
      <c r="N37" s="436"/>
      <c r="O37" s="434" t="e">
        <f>D37</f>
        <v>#REF!</v>
      </c>
      <c r="P37" s="434" t="e">
        <f>F38</f>
        <v>#REF!</v>
      </c>
      <c r="Q37" s="435" t="e">
        <f>SUM(G37:G38)</f>
        <v>#REF!</v>
      </c>
      <c r="R37" s="432" t="s">
        <v>181</v>
      </c>
      <c r="S37" s="15" t="str">
        <f t="shared" si="1"/>
        <v>c</v>
      </c>
      <c r="T37" s="4" t="e">
        <f>VLOOKUP(B37,#REF!,7,FALSE)</f>
        <v>#REF!</v>
      </c>
    </row>
    <row r="38" spans="1:20" x14ac:dyDescent="0.35">
      <c r="A38" s="13"/>
      <c r="B38" s="13">
        <v>31</v>
      </c>
      <c r="C38" s="13" t="e">
        <f>VLOOKUP($B38,#REF!,C$1,FALSE)</f>
        <v>#REF!</v>
      </c>
      <c r="D38" s="25" t="e">
        <f>VLOOKUP($B38,#REF!,D$1,FALSE)</f>
        <v>#REF!</v>
      </c>
      <c r="E38" s="13" t="e">
        <f>VLOOKUP($B38,#REF!,E$1,FALSE)</f>
        <v>#REF!</v>
      </c>
      <c r="F38" s="25" t="e">
        <f>VLOOKUP($B38,#REF!,F$1,FALSE)</f>
        <v>#REF!</v>
      </c>
      <c r="G38" s="14" t="e">
        <f>IF(VLOOKUP($B38,#REF!,G$1,FALSE)=0,0.0001,VLOOKUP($B38,#REF!,G$1,FALSE))</f>
        <v>#REF!</v>
      </c>
      <c r="H38" s="23">
        <v>8424.42</v>
      </c>
      <c r="I38" s="24">
        <v>12580</v>
      </c>
      <c r="M38" s="436"/>
      <c r="N38" s="436"/>
      <c r="O38" s="434"/>
      <c r="P38" s="434"/>
      <c r="Q38" s="435"/>
      <c r="R38" s="432"/>
      <c r="S38" s="15" t="str">
        <f t="shared" si="1"/>
        <v>c</v>
      </c>
      <c r="T38" s="4" t="e">
        <f>VLOOKUP(B38,#REF!,7,FALSE)</f>
        <v>#REF!</v>
      </c>
    </row>
    <row r="39" spans="1:20" x14ac:dyDescent="0.35">
      <c r="A39" s="13"/>
      <c r="B39" s="13">
        <v>32</v>
      </c>
      <c r="C39" s="13" t="e">
        <f>VLOOKUP($B39,#REF!,C$1,FALSE)</f>
        <v>#REF!</v>
      </c>
      <c r="D39" s="25" t="e">
        <f>VLOOKUP($B39,#REF!,D$1,FALSE)</f>
        <v>#REF!</v>
      </c>
      <c r="E39" s="13" t="e">
        <f>VLOOKUP($B39,#REF!,E$1,FALSE)</f>
        <v>#REF!</v>
      </c>
      <c r="F39" s="25" t="e">
        <f>VLOOKUP($B39,#REF!,F$1,FALSE)</f>
        <v>#REF!</v>
      </c>
      <c r="G39" s="14" t="e">
        <f>IF(VLOOKUP($B39,#REF!,G$1,FALSE)=0,0.0001,VLOOKUP($B39,#REF!,G$1,FALSE))</f>
        <v>#REF!</v>
      </c>
      <c r="H39" s="23">
        <v>7709.51</v>
      </c>
      <c r="I39" s="24">
        <v>12580</v>
      </c>
      <c r="M39" s="40">
        <v>12580</v>
      </c>
      <c r="N39" s="40"/>
      <c r="O39" s="37" t="e">
        <f>D39</f>
        <v>#REF!</v>
      </c>
      <c r="P39" s="37" t="e">
        <f>F39</f>
        <v>#REF!</v>
      </c>
      <c r="Q39" s="14" t="e">
        <f>G39</f>
        <v>#REF!</v>
      </c>
      <c r="R39" s="432" t="s">
        <v>181</v>
      </c>
      <c r="S39" s="15" t="str">
        <f t="shared" si="1"/>
        <v>c</v>
      </c>
      <c r="T39" s="4" t="e">
        <f>VLOOKUP(B39,#REF!,7,FALSE)</f>
        <v>#REF!</v>
      </c>
    </row>
    <row r="40" spans="1:20" x14ac:dyDescent="0.35">
      <c r="A40" s="13"/>
      <c r="B40" s="13">
        <v>33</v>
      </c>
      <c r="C40" s="13" t="e">
        <f>VLOOKUP($B40,#REF!,C$1,FALSE)</f>
        <v>#REF!</v>
      </c>
      <c r="D40" s="25" t="e">
        <f>VLOOKUP($B40,#REF!,D$1,FALSE)</f>
        <v>#REF!</v>
      </c>
      <c r="E40" s="13" t="e">
        <f>VLOOKUP($B40,#REF!,E$1,FALSE)</f>
        <v>#REF!</v>
      </c>
      <c r="F40" s="25" t="e">
        <f>VLOOKUP($B40,#REF!,F$1,FALSE)</f>
        <v>#REF!</v>
      </c>
      <c r="G40" s="14" t="e">
        <f>IF(VLOOKUP($B40,#REF!,G$1,FALSE)=0,0.0001,VLOOKUP($B40,#REF!,G$1,FALSE))</f>
        <v>#REF!</v>
      </c>
      <c r="H40" s="23">
        <v>6463.7466999999997</v>
      </c>
      <c r="I40" s="24">
        <v>12580</v>
      </c>
      <c r="M40" s="40">
        <v>12580</v>
      </c>
      <c r="N40" s="40"/>
      <c r="O40" s="37" t="e">
        <f>D40</f>
        <v>#REF!</v>
      </c>
      <c r="P40" s="37" t="e">
        <f>F40</f>
        <v>#REF!</v>
      </c>
      <c r="Q40" s="14" t="e">
        <f>G40</f>
        <v>#REF!</v>
      </c>
      <c r="R40" s="432"/>
      <c r="S40" s="15" t="str">
        <f t="shared" ref="S40:S56" si="2">IF((H40&gt;0),IF((H40-I40)=0,"a",IF(H40/I40&lt;0.5,"b","c")),)</f>
        <v>c</v>
      </c>
      <c r="T40" s="4" t="e">
        <f>VLOOKUP(B40,#REF!,7,FALSE)</f>
        <v>#REF!</v>
      </c>
    </row>
    <row r="41" spans="1:20" x14ac:dyDescent="0.35">
      <c r="A41" s="13"/>
      <c r="B41" s="13">
        <v>34</v>
      </c>
      <c r="C41" s="13" t="e">
        <f>VLOOKUP($B41,#REF!,C$1,FALSE)</f>
        <v>#REF!</v>
      </c>
      <c r="D41" s="25" t="e">
        <f>VLOOKUP($B41,#REF!,D$1,FALSE)</f>
        <v>#REF!</v>
      </c>
      <c r="E41" s="13" t="e">
        <f>VLOOKUP($B41,#REF!,E$1,FALSE)</f>
        <v>#REF!</v>
      </c>
      <c r="F41" s="25" t="e">
        <f>VLOOKUP($B41,#REF!,F$1,FALSE)</f>
        <v>#REF!</v>
      </c>
      <c r="G41" s="14" t="e">
        <f>IF(VLOOKUP($B41,#REF!,G$1,FALSE)=0,0.0001,VLOOKUP($B41,#REF!,G$1,FALSE))</f>
        <v>#REF!</v>
      </c>
      <c r="H41" s="23">
        <v>4648.5200000000004</v>
      </c>
      <c r="I41" s="26">
        <v>5500</v>
      </c>
      <c r="M41" s="436">
        <v>5500</v>
      </c>
      <c r="N41" s="436"/>
      <c r="O41" s="434" t="e">
        <f>D41</f>
        <v>#REF!</v>
      </c>
      <c r="P41" s="434" t="e">
        <f>F45</f>
        <v>#REF!</v>
      </c>
      <c r="Q41" s="437" t="e">
        <f>SUM(G41:G45)</f>
        <v>#REF!</v>
      </c>
      <c r="R41" s="432" t="s">
        <v>182</v>
      </c>
      <c r="S41" s="15" t="str">
        <f t="shared" si="2"/>
        <v>c</v>
      </c>
      <c r="T41" s="4" t="e">
        <f>VLOOKUP(B41,#REF!,7,FALSE)</f>
        <v>#REF!</v>
      </c>
    </row>
    <row r="42" spans="1:20" x14ac:dyDescent="0.35">
      <c r="A42" s="13"/>
      <c r="B42" s="13">
        <v>35</v>
      </c>
      <c r="C42" s="13" t="e">
        <f>VLOOKUP($B42,#REF!,C$1,FALSE)</f>
        <v>#REF!</v>
      </c>
      <c r="D42" s="25" t="e">
        <f>VLOOKUP($B42,#REF!,D$1,FALSE)</f>
        <v>#REF!</v>
      </c>
      <c r="E42" s="13" t="e">
        <f>VLOOKUP($B42,#REF!,E$1,FALSE)</f>
        <v>#REF!</v>
      </c>
      <c r="F42" s="25" t="e">
        <f>VLOOKUP($B42,#REF!,F$1,FALSE)</f>
        <v>#REF!</v>
      </c>
      <c r="G42" s="14" t="e">
        <f>IF(VLOOKUP($B42,#REF!,G$1,FALSE)=0,0.0001,VLOOKUP($B42,#REF!,G$1,FALSE))</f>
        <v>#REF!</v>
      </c>
      <c r="H42" s="23">
        <v>4512.7367000000004</v>
      </c>
      <c r="I42" s="26">
        <v>5500</v>
      </c>
      <c r="M42" s="436"/>
      <c r="N42" s="436"/>
      <c r="O42" s="434"/>
      <c r="P42" s="434"/>
      <c r="Q42" s="437"/>
      <c r="R42" s="432"/>
      <c r="S42" s="15" t="str">
        <f t="shared" si="2"/>
        <v>c</v>
      </c>
      <c r="T42" s="4" t="e">
        <f>VLOOKUP(B42,#REF!,7,FALSE)</f>
        <v>#REF!</v>
      </c>
    </row>
    <row r="43" spans="1:20" x14ac:dyDescent="0.35">
      <c r="A43" s="13"/>
      <c r="B43" s="13">
        <v>36</v>
      </c>
      <c r="C43" s="13" t="e">
        <f>VLOOKUP($B43,#REF!,C$1,FALSE)</f>
        <v>#REF!</v>
      </c>
      <c r="D43" s="25" t="e">
        <f>VLOOKUP($B43,#REF!,D$1,FALSE)</f>
        <v>#REF!</v>
      </c>
      <c r="E43" s="13" t="e">
        <f>VLOOKUP($B43,#REF!,E$1,FALSE)</f>
        <v>#REF!</v>
      </c>
      <c r="F43" s="25" t="e">
        <f>VLOOKUP($B43,#REF!,F$1,FALSE)</f>
        <v>#REF!</v>
      </c>
      <c r="G43" s="14" t="e">
        <f>IF(VLOOKUP($B43,#REF!,G$1,FALSE)=0,0.0001,VLOOKUP($B43,#REF!,G$1,FALSE))</f>
        <v>#REF!</v>
      </c>
      <c r="H43" s="23">
        <v>4002.2467000000001</v>
      </c>
      <c r="I43" s="26">
        <v>5500</v>
      </c>
      <c r="M43" s="436"/>
      <c r="N43" s="436"/>
      <c r="O43" s="434"/>
      <c r="P43" s="434"/>
      <c r="Q43" s="437"/>
      <c r="R43" s="432"/>
      <c r="S43" s="15" t="str">
        <f t="shared" si="2"/>
        <v>c</v>
      </c>
      <c r="T43" s="4" t="e">
        <f>VLOOKUP(B43,#REF!,7,FALSE)</f>
        <v>#REF!</v>
      </c>
    </row>
    <row r="44" spans="1:20" x14ac:dyDescent="0.35">
      <c r="A44" s="13"/>
      <c r="B44" s="13">
        <v>37</v>
      </c>
      <c r="C44" s="13" t="e">
        <f>VLOOKUP($B44,#REF!,C$1,FALSE)</f>
        <v>#REF!</v>
      </c>
      <c r="D44" s="25" t="e">
        <f>VLOOKUP($B44,#REF!,D$1,FALSE)</f>
        <v>#REF!</v>
      </c>
      <c r="E44" s="13" t="e">
        <f>VLOOKUP($B44,#REF!,E$1,FALSE)</f>
        <v>#REF!</v>
      </c>
      <c r="F44" s="25" t="e">
        <f>VLOOKUP($B44,#REF!,F$1,FALSE)</f>
        <v>#REF!</v>
      </c>
      <c r="G44" s="14" t="e">
        <f>IF(VLOOKUP($B44,#REF!,G$1,FALSE)=0,0.0001,VLOOKUP($B44,#REF!,G$1,FALSE))</f>
        <v>#REF!</v>
      </c>
      <c r="H44" s="23">
        <v>3798.63</v>
      </c>
      <c r="I44" s="26">
        <v>5500</v>
      </c>
      <c r="M44" s="436"/>
      <c r="N44" s="436"/>
      <c r="O44" s="434"/>
      <c r="P44" s="434"/>
      <c r="Q44" s="437"/>
      <c r="R44" s="432"/>
      <c r="S44" s="15" t="str">
        <f t="shared" si="2"/>
        <v>c</v>
      </c>
      <c r="T44" s="4" t="e">
        <f>VLOOKUP(B44,#REF!,7,FALSE)</f>
        <v>#REF!</v>
      </c>
    </row>
    <row r="45" spans="1:20" x14ac:dyDescent="0.35">
      <c r="A45" s="13"/>
      <c r="B45" s="13">
        <v>38</v>
      </c>
      <c r="C45" s="13" t="e">
        <f>VLOOKUP($B45,#REF!,C$1,FALSE)</f>
        <v>#REF!</v>
      </c>
      <c r="D45" s="25" t="e">
        <f>VLOOKUP($B45,#REF!,D$1,FALSE)</f>
        <v>#REF!</v>
      </c>
      <c r="E45" s="13" t="e">
        <f>VLOOKUP($B45,#REF!,E$1,FALSE)</f>
        <v>#REF!</v>
      </c>
      <c r="F45" s="25" t="e">
        <f>VLOOKUP($B45,#REF!,F$1,FALSE)</f>
        <v>#REF!</v>
      </c>
      <c r="G45" s="14" t="e">
        <f>IF(VLOOKUP($B45,#REF!,G$1,FALSE)=0,0.0001,VLOOKUP($B45,#REF!,G$1,FALSE))</f>
        <v>#REF!</v>
      </c>
      <c r="H45" s="23">
        <v>3776.2332999999999</v>
      </c>
      <c r="I45" s="26">
        <v>5500</v>
      </c>
      <c r="M45" s="436"/>
      <c r="N45" s="436"/>
      <c r="O45" s="434"/>
      <c r="P45" s="434"/>
      <c r="Q45" s="437"/>
      <c r="R45" s="432"/>
      <c r="S45" s="15" t="str">
        <f t="shared" si="2"/>
        <v>c</v>
      </c>
      <c r="T45" s="4" t="e">
        <f>VLOOKUP(B45,#REF!,7,FALSE)</f>
        <v>#REF!</v>
      </c>
    </row>
    <row r="46" spans="1:20" x14ac:dyDescent="0.35">
      <c r="A46" s="13"/>
      <c r="B46" s="13">
        <v>39</v>
      </c>
      <c r="C46" s="13" t="e">
        <f>VLOOKUP($B46,#REF!,C$1,FALSE)</f>
        <v>#REF!</v>
      </c>
      <c r="D46" s="25" t="e">
        <f>VLOOKUP($B46,#REF!,D$1,FALSE)</f>
        <v>#REF!</v>
      </c>
      <c r="E46" s="13" t="e">
        <f>VLOOKUP($B46,#REF!,E$1,FALSE)</f>
        <v>#REF!</v>
      </c>
      <c r="F46" s="25" t="e">
        <f>VLOOKUP($B46,#REF!,F$1,FALSE)</f>
        <v>#REF!</v>
      </c>
      <c r="G46" s="14" t="e">
        <f>IF(VLOOKUP($B46,#REF!,G$1,FALSE)=0,0.0001,VLOOKUP($B46,#REF!,G$1,FALSE))</f>
        <v>#REF!</v>
      </c>
      <c r="H46" s="23">
        <v>3476.78</v>
      </c>
      <c r="I46" s="24">
        <v>4400</v>
      </c>
      <c r="M46" s="436">
        <v>4400</v>
      </c>
      <c r="N46" s="436"/>
      <c r="O46" s="434" t="e">
        <f>D47</f>
        <v>#REF!</v>
      </c>
      <c r="P46" s="434" t="e">
        <f>F49</f>
        <v>#REF!</v>
      </c>
      <c r="Q46" s="437" t="e">
        <f>SUM(G46:G49)</f>
        <v>#REF!</v>
      </c>
      <c r="R46" s="432" t="s">
        <v>183</v>
      </c>
      <c r="S46" s="15" t="str">
        <f t="shared" si="2"/>
        <v>c</v>
      </c>
      <c r="T46" s="4" t="e">
        <f>VLOOKUP(B46,#REF!,7,FALSE)</f>
        <v>#REF!</v>
      </c>
    </row>
    <row r="47" spans="1:20" x14ac:dyDescent="0.35">
      <c r="A47" s="13"/>
      <c r="B47" s="13">
        <v>40</v>
      </c>
      <c r="C47" s="13" t="e">
        <f>VLOOKUP($B47,#REF!,C$1,FALSE)</f>
        <v>#REF!</v>
      </c>
      <c r="D47" s="25" t="e">
        <f>VLOOKUP($B47,#REF!,D$1,FALSE)</f>
        <v>#REF!</v>
      </c>
      <c r="E47" s="13" t="e">
        <f>VLOOKUP($B47,#REF!,E$1,FALSE)</f>
        <v>#REF!</v>
      </c>
      <c r="F47" s="25" t="e">
        <f>VLOOKUP($B47,#REF!,F$1,FALSE)</f>
        <v>#REF!</v>
      </c>
      <c r="G47" s="14" t="e">
        <f>IF(VLOOKUP($B47,#REF!,G$1,FALSE)=0,0.0001,VLOOKUP($B47,#REF!,G$1,FALSE))</f>
        <v>#REF!</v>
      </c>
      <c r="H47" s="23">
        <v>3352.66</v>
      </c>
      <c r="I47" s="24">
        <v>4400</v>
      </c>
      <c r="M47" s="436"/>
      <c r="N47" s="436"/>
      <c r="O47" s="434"/>
      <c r="P47" s="434"/>
      <c r="Q47" s="437"/>
      <c r="R47" s="432"/>
      <c r="S47" s="15" t="str">
        <f t="shared" si="2"/>
        <v>c</v>
      </c>
      <c r="T47" s="4" t="e">
        <f>VLOOKUP(B47,#REF!,7,FALSE)</f>
        <v>#REF!</v>
      </c>
    </row>
    <row r="48" spans="1:20" x14ac:dyDescent="0.35">
      <c r="A48" s="13"/>
      <c r="B48" s="13">
        <v>41</v>
      </c>
      <c r="C48" s="13" t="e">
        <f>VLOOKUP($B48,#REF!,C$1,FALSE)</f>
        <v>#REF!</v>
      </c>
      <c r="D48" s="25" t="e">
        <f>VLOOKUP($B48,#REF!,D$1,FALSE)</f>
        <v>#REF!</v>
      </c>
      <c r="E48" s="13" t="e">
        <f>VLOOKUP($B48,#REF!,E$1,FALSE)</f>
        <v>#REF!</v>
      </c>
      <c r="F48" s="25" t="e">
        <f>VLOOKUP($B48,#REF!,F$1,FALSE)</f>
        <v>#REF!</v>
      </c>
      <c r="G48" s="14" t="e">
        <f>IF(VLOOKUP($B48,#REF!,G$1,FALSE)=0,0.0001,VLOOKUP($B48,#REF!,G$1,FALSE))</f>
        <v>#REF!</v>
      </c>
      <c r="H48" s="23">
        <v>3200.6833000000001</v>
      </c>
      <c r="I48" s="24">
        <v>4400</v>
      </c>
      <c r="M48" s="436"/>
      <c r="N48" s="436"/>
      <c r="O48" s="434"/>
      <c r="P48" s="434"/>
      <c r="Q48" s="437"/>
      <c r="R48" s="432"/>
      <c r="S48" s="15" t="str">
        <f t="shared" si="2"/>
        <v>c</v>
      </c>
      <c r="T48" s="4" t="e">
        <f>VLOOKUP(B48,#REF!,7,FALSE)</f>
        <v>#REF!</v>
      </c>
    </row>
    <row r="49" spans="1:20" x14ac:dyDescent="0.35">
      <c r="A49" s="13"/>
      <c r="B49" s="13">
        <v>42</v>
      </c>
      <c r="C49" s="13" t="e">
        <f>VLOOKUP($B49,#REF!,C$1,FALSE)</f>
        <v>#REF!</v>
      </c>
      <c r="D49" s="25" t="e">
        <f>VLOOKUP($B49,#REF!,D$1,FALSE)</f>
        <v>#REF!</v>
      </c>
      <c r="E49" s="13" t="e">
        <f>VLOOKUP($B49,#REF!,E$1,FALSE)</f>
        <v>#REF!</v>
      </c>
      <c r="F49" s="25" t="e">
        <f>VLOOKUP($B49,#REF!,F$1,FALSE)</f>
        <v>#REF!</v>
      </c>
      <c r="G49" s="14" t="e">
        <f>IF(VLOOKUP($B49,#REF!,G$1,FALSE)=0,0.0001,VLOOKUP($B49,#REF!,G$1,FALSE))</f>
        <v>#REF!</v>
      </c>
      <c r="H49" s="23">
        <v>2796.0533</v>
      </c>
      <c r="I49" s="24">
        <v>2800</v>
      </c>
      <c r="M49" s="436"/>
      <c r="N49" s="436"/>
      <c r="O49" s="434"/>
      <c r="P49" s="434"/>
      <c r="Q49" s="437"/>
      <c r="R49" s="432"/>
      <c r="S49" s="15" t="str">
        <f t="shared" si="2"/>
        <v>c</v>
      </c>
      <c r="T49" s="4" t="e">
        <f>VLOOKUP(B49,#REF!,7,FALSE)</f>
        <v>#REF!</v>
      </c>
    </row>
    <row r="50" spans="1:20" x14ac:dyDescent="0.35">
      <c r="A50" s="13"/>
      <c r="B50" s="13">
        <v>43</v>
      </c>
      <c r="C50" s="13" t="e">
        <f>VLOOKUP($B50,#REF!,C$1,FALSE)</f>
        <v>#REF!</v>
      </c>
      <c r="D50" s="25" t="e">
        <f>VLOOKUP($B50,#REF!,D$1,FALSE)</f>
        <v>#REF!</v>
      </c>
      <c r="E50" s="13" t="e">
        <f>VLOOKUP($B50,#REF!,E$1,FALSE)</f>
        <v>#REF!</v>
      </c>
      <c r="F50" s="25" t="e">
        <f>VLOOKUP($B50,#REF!,F$1,FALSE)</f>
        <v>#REF!</v>
      </c>
      <c r="G50" s="14" t="e">
        <f>IF(VLOOKUP($B50,#REF!,G$1,FALSE)=0,0.0001,VLOOKUP($B50,#REF!,G$1,FALSE))</f>
        <v>#REF!</v>
      </c>
      <c r="H50" s="23">
        <v>2366.5500000000002</v>
      </c>
      <c r="I50" s="24">
        <v>2800</v>
      </c>
      <c r="M50" s="436">
        <v>2800</v>
      </c>
      <c r="N50" s="436"/>
      <c r="O50" s="434" t="e">
        <f>D50</f>
        <v>#REF!</v>
      </c>
      <c r="P50" s="434" t="str">
        <f>F54</f>
        <v>Canoas</v>
      </c>
      <c r="Q50" s="435" t="e">
        <f>SUM(G50:G54)</f>
        <v>#REF!</v>
      </c>
      <c r="R50" s="435" t="s">
        <v>184</v>
      </c>
      <c r="S50" s="15" t="str">
        <f t="shared" si="2"/>
        <v>c</v>
      </c>
      <c r="T50" s="4" t="e">
        <f>VLOOKUP(B50,#REF!,7,FALSE)</f>
        <v>#REF!</v>
      </c>
    </row>
    <row r="51" spans="1:20" x14ac:dyDescent="0.35">
      <c r="A51" s="13"/>
      <c r="B51" s="13">
        <v>44</v>
      </c>
      <c r="C51" s="13" t="e">
        <f>VLOOKUP($B51,#REF!,C$1,FALSE)</f>
        <v>#REF!</v>
      </c>
      <c r="D51" s="25" t="e">
        <f>VLOOKUP($B51,#REF!,D$1,FALSE)</f>
        <v>#REF!</v>
      </c>
      <c r="E51" s="13" t="e">
        <f>VLOOKUP($B51,#REF!,E$1,FALSE)</f>
        <v>#REF!</v>
      </c>
      <c r="F51" s="25" t="e">
        <f>VLOOKUP($B51,#REF!,F$1,FALSE)</f>
        <v>#REF!</v>
      </c>
      <c r="G51" s="14" t="e">
        <f>IF(VLOOKUP($B51,#REF!,G$1,FALSE)=0,0.0001,VLOOKUP($B51,#REF!,G$1,FALSE))</f>
        <v>#REF!</v>
      </c>
      <c r="H51" s="23">
        <v>2174.5032999999999</v>
      </c>
      <c r="I51" s="24">
        <v>2800</v>
      </c>
      <c r="M51" s="436"/>
      <c r="N51" s="436"/>
      <c r="O51" s="434"/>
      <c r="P51" s="434"/>
      <c r="Q51" s="435"/>
      <c r="R51" s="435"/>
      <c r="S51" s="15" t="str">
        <f t="shared" si="2"/>
        <v>c</v>
      </c>
      <c r="T51" s="4" t="e">
        <f>VLOOKUP(B51,#REF!,7,FALSE)</f>
        <v>#REF!</v>
      </c>
    </row>
    <row r="52" spans="1:20" x14ac:dyDescent="0.35">
      <c r="A52" s="13"/>
      <c r="B52" s="13">
        <v>45</v>
      </c>
      <c r="C52" s="13" t="e">
        <f>VLOOKUP($B52,#REF!,C$1,FALSE)</f>
        <v>#REF!</v>
      </c>
      <c r="D52" s="25" t="e">
        <f>VLOOKUP($B52,#REF!,D$1,FALSE)</f>
        <v>#REF!</v>
      </c>
      <c r="E52" s="13" t="e">
        <f>VLOOKUP($B52,#REF!,E$1,FALSE)</f>
        <v>#REF!</v>
      </c>
      <c r="F52" s="25" t="e">
        <f>VLOOKUP($B52,#REF!,F$1,FALSE)</f>
        <v>#REF!</v>
      </c>
      <c r="G52" s="14" t="e">
        <f>IF(VLOOKUP($B52,#REF!,G$1,FALSE)=0,0.0001,VLOOKUP($B52,#REF!,G$1,FALSE))</f>
        <v>#REF!</v>
      </c>
      <c r="H52" s="23">
        <v>2156.42</v>
      </c>
      <c r="I52" s="24">
        <v>2800</v>
      </c>
      <c r="M52" s="436"/>
      <c r="N52" s="436"/>
      <c r="O52" s="434"/>
      <c r="P52" s="434"/>
      <c r="Q52" s="435"/>
      <c r="R52" s="435"/>
      <c r="S52" s="15" t="str">
        <f t="shared" si="2"/>
        <v>c</v>
      </c>
      <c r="T52" s="4" t="e">
        <f>VLOOKUP(B52,#REF!,7,FALSE)</f>
        <v>#REF!</v>
      </c>
    </row>
    <row r="53" spans="1:20" x14ac:dyDescent="0.35">
      <c r="A53" s="13"/>
      <c r="B53" s="13">
        <v>46</v>
      </c>
      <c r="C53" s="13" t="e">
        <f>VLOOKUP($B53,#REF!,C$1,FALSE)</f>
        <v>#REF!</v>
      </c>
      <c r="D53" s="25" t="e">
        <f>VLOOKUP($B53,#REF!,D$1,FALSE)</f>
        <v>#REF!</v>
      </c>
      <c r="E53" s="13" t="e">
        <f>VLOOKUP($B53,#REF!,E$1,FALSE)</f>
        <v>#REF!</v>
      </c>
      <c r="F53" s="25" t="e">
        <f>VLOOKUP($B53,#REF!,F$1,FALSE)</f>
        <v>#REF!</v>
      </c>
      <c r="G53" s="14" t="e">
        <f>IF(VLOOKUP($B53,#REF!,G$1,FALSE)=0,0.0001,VLOOKUP($B53,#REF!,G$1,FALSE))</f>
        <v>#REF!</v>
      </c>
      <c r="H53" s="23">
        <v>1932.3333</v>
      </c>
      <c r="I53" s="24">
        <v>2400</v>
      </c>
      <c r="M53" s="436"/>
      <c r="N53" s="436"/>
      <c r="O53" s="434"/>
      <c r="P53" s="434"/>
      <c r="Q53" s="435"/>
      <c r="R53" s="435"/>
      <c r="S53" s="15" t="str">
        <f t="shared" si="2"/>
        <v>c</v>
      </c>
      <c r="T53" s="4" t="e">
        <f>VLOOKUP(B53,#REF!,7,FALSE)</f>
        <v>#REF!</v>
      </c>
    </row>
    <row r="54" spans="1:20" x14ac:dyDescent="0.35">
      <c r="A54" s="13"/>
      <c r="B54" s="13">
        <v>47</v>
      </c>
      <c r="C54" s="13" t="e">
        <f>VLOOKUP($B54,#REF!,C$1,FALSE)</f>
        <v>#REF!</v>
      </c>
      <c r="D54" s="25" t="e">
        <f>VLOOKUP($B54,#REF!,D$1,FALSE)</f>
        <v>#REF!</v>
      </c>
      <c r="E54" s="13">
        <v>69</v>
      </c>
      <c r="F54" s="25" t="s">
        <v>57</v>
      </c>
      <c r="G54" s="14" t="e">
        <f>IF(VLOOKUP($B54,#REF!,G$1,FALSE)=0,0.0001,VLOOKUP($B54,#REF!,G$1,FALSE))</f>
        <v>#REF!</v>
      </c>
      <c r="H54" s="23">
        <v>1516.0667000000001</v>
      </c>
      <c r="I54" s="24">
        <v>2400</v>
      </c>
      <c r="M54" s="436"/>
      <c r="N54" s="436"/>
      <c r="O54" s="434"/>
      <c r="P54" s="434"/>
      <c r="Q54" s="435"/>
      <c r="R54" s="435"/>
      <c r="S54" s="15" t="str">
        <f t="shared" si="2"/>
        <v>c</v>
      </c>
      <c r="T54" s="4" t="e">
        <f>VLOOKUP(B54,#REF!,7,FALSE)</f>
        <v>#REF!</v>
      </c>
    </row>
    <row r="55" spans="1:20" x14ac:dyDescent="0.35">
      <c r="A55" s="13"/>
      <c r="B55" s="13">
        <v>48</v>
      </c>
      <c r="C55" s="13">
        <v>69</v>
      </c>
      <c r="D55" s="25" t="s">
        <v>57</v>
      </c>
      <c r="E55" s="13" t="e">
        <f>VLOOKUP($B55,#REF!,E$1,FALSE)</f>
        <v>#REF!</v>
      </c>
      <c r="F55" s="25" t="e">
        <f>VLOOKUP($B55,#REF!,F$1,FALSE)</f>
        <v>#REF!</v>
      </c>
      <c r="G55" s="14" t="e">
        <f>IF(VLOOKUP($B55,#REF!,G$1,FALSE)=0,0.0001,VLOOKUP($B55,#REF!,G$1,FALSE))</f>
        <v>#REF!</v>
      </c>
      <c r="H55" s="23">
        <v>1515.87</v>
      </c>
      <c r="I55" s="24">
        <v>2400</v>
      </c>
      <c r="M55" s="40">
        <v>2400</v>
      </c>
      <c r="N55" s="40"/>
      <c r="O55" s="37" t="str">
        <f>D55</f>
        <v>Canoas</v>
      </c>
      <c r="P55" s="37" t="e">
        <f>F55</f>
        <v>#REF!</v>
      </c>
      <c r="Q55" s="14" t="e">
        <f>G55</f>
        <v>#REF!</v>
      </c>
      <c r="R55" s="35" t="s">
        <v>184</v>
      </c>
      <c r="S55" s="15" t="str">
        <f t="shared" si="2"/>
        <v>c</v>
      </c>
      <c r="T55" s="4" t="e">
        <f>VLOOKUP(B55,#REF!,7,FALSE)</f>
        <v>#REF!</v>
      </c>
    </row>
    <row r="56" spans="1:20" x14ac:dyDescent="0.35">
      <c r="A56" s="13"/>
      <c r="B56" s="13">
        <v>49</v>
      </c>
      <c r="C56" s="13" t="e">
        <f>VLOOKUP($B56,#REF!,C$1,FALSE)</f>
        <v>#REF!</v>
      </c>
      <c r="D56" s="25" t="e">
        <f>VLOOKUP($B56,#REF!,D$1,FALSE)</f>
        <v>#REF!</v>
      </c>
      <c r="E56" s="13" t="e">
        <f>VLOOKUP($B54,#REF!,E$1,FALSE)</f>
        <v>#REF!</v>
      </c>
      <c r="F56" s="25" t="e">
        <f>VLOOKUP($B54,#REF!,F$1,FALSE)</f>
        <v>#REF!</v>
      </c>
      <c r="G56" s="14" t="e">
        <f>IF(VLOOKUP($B56,#REF!,G$1,FALSE)=0,0.0001,VLOOKUP($B56,#REF!,G$1,FALSE))</f>
        <v>#REF!</v>
      </c>
      <c r="H56" s="23">
        <v>785.73667</v>
      </c>
      <c r="I56" s="24">
        <v>2400</v>
      </c>
      <c r="M56" s="40">
        <v>2400</v>
      </c>
      <c r="N56" s="40"/>
      <c r="O56" s="37" t="e">
        <f>D56</f>
        <v>#REF!</v>
      </c>
      <c r="P56" s="37" t="str">
        <f>F54</f>
        <v>Canoas</v>
      </c>
      <c r="Q56" s="14" t="e">
        <f>G56</f>
        <v>#REF!</v>
      </c>
      <c r="R56" s="35" t="s">
        <v>184</v>
      </c>
      <c r="S56" s="15" t="str">
        <f t="shared" si="2"/>
        <v>b</v>
      </c>
      <c r="T56" s="4" t="e">
        <f>VLOOKUP(B56,#REF!,7,FALSE)</f>
        <v>#REF!</v>
      </c>
    </row>
    <row r="57" spans="1:20" x14ac:dyDescent="0.35">
      <c r="A57" s="13"/>
      <c r="M57" s="32"/>
      <c r="N57" s="32"/>
      <c r="O57" s="37"/>
      <c r="P57" s="37"/>
      <c r="Q57" s="14"/>
    </row>
    <row r="58" spans="1:20" x14ac:dyDescent="0.35">
      <c r="A58" s="13"/>
      <c r="B58" s="13">
        <v>50</v>
      </c>
      <c r="C58" s="13" t="e">
        <f>VLOOKUP($B58,#REF!,C$1,FALSE)</f>
        <v>#REF!</v>
      </c>
      <c r="D58" s="25" t="e">
        <f>VLOOKUP($B58,#REF!,D$1,FALSE)</f>
        <v>#REF!</v>
      </c>
      <c r="E58" s="13" t="e">
        <f>VLOOKUP($B58,#REF!,E$1,FALSE)</f>
        <v>#REF!</v>
      </c>
      <c r="F58" s="25" t="e">
        <f>VLOOKUP($B58,#REF!,F$1,FALSE)</f>
        <v>#REF!</v>
      </c>
      <c r="G58" s="14" t="e">
        <f>IF(VLOOKUP($B58,#REF!,G$1,FALSE)=0,0.0001,VLOOKUP($B58,#REF!,G$1,FALSE))</f>
        <v>#REF!</v>
      </c>
      <c r="H58" s="23">
        <v>283.38225</v>
      </c>
      <c r="I58" s="24">
        <v>1200</v>
      </c>
      <c r="M58" s="40">
        <v>1200</v>
      </c>
      <c r="N58" s="40"/>
      <c r="O58" s="37" t="e">
        <f>D58</f>
        <v>#REF!</v>
      </c>
      <c r="P58" s="37" t="e">
        <f>F58</f>
        <v>#REF!</v>
      </c>
      <c r="Q58" s="14" t="e">
        <f>G58</f>
        <v>#REF!</v>
      </c>
      <c r="R58" s="14" t="s">
        <v>185</v>
      </c>
      <c r="S58" s="15" t="str">
        <f>IF((H58&gt;0),IF((H58-I58)=0,"a",IF(H58/I58&lt;0.5,"b","c")),)</f>
        <v>b</v>
      </c>
      <c r="T58" s="4" t="e">
        <f>VLOOKUP(B58,#REF!,7,FALSE)</f>
        <v>#REF!</v>
      </c>
    </row>
    <row r="59" spans="1:20" x14ac:dyDescent="0.35">
      <c r="A59" s="13"/>
      <c r="M59" s="40"/>
      <c r="N59" s="40"/>
      <c r="O59" s="37"/>
      <c r="P59" s="37"/>
      <c r="Q59" s="14"/>
    </row>
    <row r="60" spans="1:20" x14ac:dyDescent="0.35">
      <c r="A60" s="13"/>
      <c r="B60" s="13">
        <v>51</v>
      </c>
      <c r="C60" s="13" t="e">
        <f>VLOOKUP($B60,#REF!,C$1,FALSE)</f>
        <v>#REF!</v>
      </c>
      <c r="D60" s="25" t="e">
        <f>VLOOKUP($B60,#REF!,D$1,FALSE)</f>
        <v>#REF!</v>
      </c>
      <c r="E60" s="13" t="e">
        <f>VLOOKUP($B60,#REF!,E$1,FALSE)</f>
        <v>#REF!</v>
      </c>
      <c r="F60" s="25" t="e">
        <f>VLOOKUP($B60,#REF!,F$1,FALSE)</f>
        <v>#REF!</v>
      </c>
      <c r="G60" s="14" t="e">
        <f>IF(VLOOKUP($B60,#REF!,G$1,FALSE)=0,0.0001,VLOOKUP($B60,#REF!,G$1,FALSE))</f>
        <v>#REF!</v>
      </c>
      <c r="H60" s="23">
        <v>0</v>
      </c>
      <c r="I60" s="24">
        <v>15000</v>
      </c>
      <c r="K60" s="24">
        <v>15000</v>
      </c>
      <c r="L60" s="24"/>
      <c r="M60" s="436">
        <v>15000</v>
      </c>
      <c r="N60" s="436">
        <v>15000</v>
      </c>
      <c r="O60" s="438" t="e">
        <f>D60</f>
        <v>#REF!</v>
      </c>
      <c r="P60" s="434" t="e">
        <f>F63</f>
        <v>#REF!</v>
      </c>
      <c r="Q60" s="435" t="e">
        <f>SUM(G60:G63)</f>
        <v>#REF!</v>
      </c>
      <c r="R60" s="432" t="s">
        <v>177</v>
      </c>
      <c r="S60" s="15">
        <f t="shared" ref="S60:S68" si="3">IF((H60&gt;0),IF((H60-I60)=0,"a",IF(H60/I60&lt;0.5,"b","c")),)</f>
        <v>0</v>
      </c>
      <c r="T60" s="4" t="e">
        <f>VLOOKUP(B60,#REF!,7,FALSE)</f>
        <v>#REF!</v>
      </c>
    </row>
    <row r="61" spans="1:20" x14ac:dyDescent="0.35">
      <c r="A61" s="13"/>
      <c r="B61" s="13">
        <v>52</v>
      </c>
      <c r="C61" s="13" t="e">
        <f>VLOOKUP($B61,#REF!,C$1,FALSE)</f>
        <v>#REF!</v>
      </c>
      <c r="D61" s="25" t="e">
        <f>VLOOKUP($B61,#REF!,D$1,FALSE)</f>
        <v>#REF!</v>
      </c>
      <c r="E61" s="13" t="e">
        <f>VLOOKUP($B61,#REF!,E$1,FALSE)</f>
        <v>#REF!</v>
      </c>
      <c r="F61" s="25" t="e">
        <f>VLOOKUP($B61,#REF!,F$1,FALSE)</f>
        <v>#REF!</v>
      </c>
      <c r="G61" s="14" t="e">
        <f>IF(VLOOKUP($B61,#REF!,G$1,FALSE)=0,0.0001,VLOOKUP($B61,#REF!,G$1,FALSE))</f>
        <v>#REF!</v>
      </c>
      <c r="H61" s="23">
        <v>0</v>
      </c>
      <c r="I61" s="24">
        <v>999999999</v>
      </c>
      <c r="K61" s="24">
        <v>999999999</v>
      </c>
      <c r="L61" s="24"/>
      <c r="M61" s="436"/>
      <c r="N61" s="436"/>
      <c r="O61" s="438"/>
      <c r="P61" s="434"/>
      <c r="Q61" s="435"/>
      <c r="R61" s="432"/>
      <c r="S61" s="15">
        <f t="shared" si="3"/>
        <v>0</v>
      </c>
      <c r="T61" s="4" t="e">
        <f>VLOOKUP(B61,#REF!,7,FALSE)</f>
        <v>#REF!</v>
      </c>
    </row>
    <row r="62" spans="1:20" x14ac:dyDescent="0.35">
      <c r="A62" s="13"/>
      <c r="B62" s="13">
        <v>53</v>
      </c>
      <c r="C62" s="13" t="e">
        <f>VLOOKUP($B62,#REF!,C$1,FALSE)</f>
        <v>#REF!</v>
      </c>
      <c r="D62" s="25" t="e">
        <f>VLOOKUP($B62,#REF!,D$1,FALSE)</f>
        <v>#REF!</v>
      </c>
      <c r="E62" s="13" t="e">
        <f>VLOOKUP($B62,#REF!,E$1,FALSE)</f>
        <v>#REF!</v>
      </c>
      <c r="F62" s="25" t="e">
        <f>VLOOKUP($B62,#REF!,F$1,FALSE)</f>
        <v>#REF!</v>
      </c>
      <c r="G62" s="14" t="e">
        <f>IF(VLOOKUP($B62,#REF!,G$1,FALSE)=0,0.0001,VLOOKUP($B62,#REF!,G$1,FALSE))</f>
        <v>#REF!</v>
      </c>
      <c r="H62" s="23">
        <v>0</v>
      </c>
      <c r="I62" s="24">
        <v>999999999</v>
      </c>
      <c r="K62" s="24">
        <v>999999999</v>
      </c>
      <c r="L62" s="24"/>
      <c r="M62" s="436"/>
      <c r="N62" s="436"/>
      <c r="O62" s="438"/>
      <c r="P62" s="434"/>
      <c r="Q62" s="435"/>
      <c r="R62" s="432"/>
      <c r="S62" s="15">
        <f t="shared" si="3"/>
        <v>0</v>
      </c>
      <c r="T62" s="4" t="e">
        <f>VLOOKUP(B62,#REF!,7,FALSE)</f>
        <v>#REF!</v>
      </c>
    </row>
    <row r="63" spans="1:20" x14ac:dyDescent="0.35">
      <c r="A63" s="13"/>
      <c r="B63" s="13">
        <v>54</v>
      </c>
      <c r="C63" s="13" t="e">
        <f>VLOOKUP($B63,#REF!,C$1,FALSE)</f>
        <v>#REF!</v>
      </c>
      <c r="D63" s="25" t="e">
        <f>VLOOKUP($B63,#REF!,D$1,FALSE)</f>
        <v>#REF!</v>
      </c>
      <c r="E63" s="13" t="e">
        <f>VLOOKUP($B63,#REF!,E$1,FALSE)</f>
        <v>#REF!</v>
      </c>
      <c r="F63" s="25" t="e">
        <f>VLOOKUP($B63,#REF!,F$1,FALSE)</f>
        <v>#REF!</v>
      </c>
      <c r="G63" s="14" t="e">
        <f>IF(VLOOKUP($B63,#REF!,G$1,FALSE)=0,0.0001,VLOOKUP($B63,#REF!,G$1,FALSE))</f>
        <v>#REF!</v>
      </c>
      <c r="H63" s="23">
        <v>0</v>
      </c>
      <c r="I63" s="24">
        <v>999999999</v>
      </c>
      <c r="K63" s="24">
        <v>999999999</v>
      </c>
      <c r="L63" s="24"/>
      <c r="M63" s="436"/>
      <c r="N63" s="436"/>
      <c r="O63" s="438"/>
      <c r="P63" s="434"/>
      <c r="Q63" s="435"/>
      <c r="R63" s="432"/>
      <c r="S63" s="15">
        <f t="shared" si="3"/>
        <v>0</v>
      </c>
      <c r="T63" s="4" t="e">
        <f>VLOOKUP(B63,#REF!,7,FALSE)</f>
        <v>#REF!</v>
      </c>
    </row>
    <row r="64" spans="1:20" x14ac:dyDescent="0.35">
      <c r="A64" s="13"/>
      <c r="B64" s="13">
        <v>55</v>
      </c>
      <c r="C64" s="13" t="e">
        <f>VLOOKUP($B64,#REF!,C$1,FALSE)</f>
        <v>#REF!</v>
      </c>
      <c r="D64" s="25" t="e">
        <f>VLOOKUP($B64,#REF!,D$1,FALSE)</f>
        <v>#REF!</v>
      </c>
      <c r="E64" s="13" t="e">
        <f>VLOOKUP($B64,#REF!,E$1,FALSE)</f>
        <v>#REF!</v>
      </c>
      <c r="F64" s="25" t="e">
        <f>VLOOKUP($B64,#REF!,F$1,FALSE)</f>
        <v>#REF!</v>
      </c>
      <c r="G64" s="14" t="e">
        <f>IF(VLOOKUP($B64,#REF!,G$1,FALSE)=0,0.0001,VLOOKUP($B64,#REF!,G$1,FALSE))</f>
        <v>#REF!</v>
      </c>
      <c r="H64" s="23">
        <v>0</v>
      </c>
      <c r="I64" s="24">
        <v>999999999</v>
      </c>
      <c r="K64" s="24">
        <v>999999999</v>
      </c>
      <c r="L64" s="24"/>
      <c r="M64" s="38">
        <v>999999999</v>
      </c>
      <c r="N64" s="38">
        <v>999999999</v>
      </c>
      <c r="O64" s="37" t="e">
        <f>D64</f>
        <v>#REF!</v>
      </c>
      <c r="P64" s="37" t="e">
        <f t="shared" ref="P64:Q68" si="4">F64</f>
        <v>#REF!</v>
      </c>
      <c r="Q64" s="14" t="e">
        <f t="shared" si="4"/>
        <v>#REF!</v>
      </c>
      <c r="R64" s="14" t="s">
        <v>186</v>
      </c>
      <c r="S64" s="15">
        <f t="shared" si="3"/>
        <v>0</v>
      </c>
      <c r="T64" s="4" t="e">
        <f>VLOOKUP(B64,#REF!,7,FALSE)</f>
        <v>#REF!</v>
      </c>
    </row>
    <row r="65" spans="1:20" x14ac:dyDescent="0.35">
      <c r="A65" s="13"/>
      <c r="B65" s="13">
        <v>56</v>
      </c>
      <c r="C65" s="13" t="e">
        <f>VLOOKUP($B65,#REF!,C$1,FALSE)</f>
        <v>#REF!</v>
      </c>
      <c r="D65" s="25" t="e">
        <f>VLOOKUP($B65,#REF!,D$1,FALSE)</f>
        <v>#REF!</v>
      </c>
      <c r="E65" s="13" t="e">
        <f>VLOOKUP($B65,#REF!,E$1,FALSE)</f>
        <v>#REF!</v>
      </c>
      <c r="F65" s="25" t="e">
        <f>VLOOKUP($B65,#REF!,F$1,FALSE)</f>
        <v>#REF!</v>
      </c>
      <c r="G65" s="14" t="e">
        <f>IF(VLOOKUP($B65,#REF!,G$1,FALSE)=0,0.0001,VLOOKUP($B65,#REF!,G$1,FALSE))</f>
        <v>#REF!</v>
      </c>
      <c r="H65" s="23">
        <v>0</v>
      </c>
      <c r="I65" s="24">
        <v>999999999</v>
      </c>
      <c r="K65" s="24">
        <v>999999999</v>
      </c>
      <c r="L65" s="24"/>
      <c r="M65" s="38">
        <v>999999999</v>
      </c>
      <c r="N65" s="38">
        <v>999999999</v>
      </c>
      <c r="O65" s="37" t="e">
        <f>D65</f>
        <v>#REF!</v>
      </c>
      <c r="P65" s="37" t="e">
        <f t="shared" si="4"/>
        <v>#REF!</v>
      </c>
      <c r="Q65" s="14" t="e">
        <f t="shared" si="4"/>
        <v>#REF!</v>
      </c>
      <c r="R65" s="14" t="s">
        <v>177</v>
      </c>
      <c r="S65" s="15">
        <f t="shared" si="3"/>
        <v>0</v>
      </c>
      <c r="T65" s="4" t="e">
        <f>VLOOKUP(B65,#REF!,7,FALSE)</f>
        <v>#REF!</v>
      </c>
    </row>
    <row r="66" spans="1:20" x14ac:dyDescent="0.35">
      <c r="A66" s="13"/>
      <c r="B66" s="13">
        <v>57</v>
      </c>
      <c r="C66" s="13" t="e">
        <f>VLOOKUP($B66,#REF!,C$1,FALSE)</f>
        <v>#REF!</v>
      </c>
      <c r="D66" s="25" t="e">
        <f>VLOOKUP($B66,#REF!,D$1,FALSE)</f>
        <v>#REF!</v>
      </c>
      <c r="E66" s="13" t="e">
        <f>VLOOKUP($B66,#REF!,E$1,FALSE)</f>
        <v>#REF!</v>
      </c>
      <c r="F66" s="25" t="e">
        <f>VLOOKUP($B66,#REF!,F$1,FALSE)</f>
        <v>#REF!</v>
      </c>
      <c r="G66" s="14" t="e">
        <f>IF(VLOOKUP($B66,#REF!,G$1,FALSE)=0,0.0001,VLOOKUP($B66,#REF!,G$1,FALSE))</f>
        <v>#REF!</v>
      </c>
      <c r="H66" s="23">
        <v>0</v>
      </c>
      <c r="I66" s="24">
        <v>999999999</v>
      </c>
      <c r="K66" s="24">
        <v>999999999</v>
      </c>
      <c r="L66" s="24"/>
      <c r="M66" s="38">
        <v>999999999</v>
      </c>
      <c r="N66" s="38">
        <v>999999999</v>
      </c>
      <c r="O66" s="37" t="e">
        <f>D66</f>
        <v>#REF!</v>
      </c>
      <c r="P66" s="37" t="e">
        <f t="shared" si="4"/>
        <v>#REF!</v>
      </c>
      <c r="Q66" s="14" t="e">
        <f t="shared" si="4"/>
        <v>#REF!</v>
      </c>
      <c r="R66" s="14" t="s">
        <v>187</v>
      </c>
      <c r="S66" s="15">
        <f t="shared" si="3"/>
        <v>0</v>
      </c>
      <c r="T66" s="4" t="e">
        <f>VLOOKUP(B66,#REF!,7,FALSE)</f>
        <v>#REF!</v>
      </c>
    </row>
    <row r="67" spans="1:20" x14ac:dyDescent="0.35">
      <c r="A67" s="13"/>
      <c r="B67" s="13">
        <v>58</v>
      </c>
      <c r="C67" s="13" t="e">
        <f>VLOOKUP($B67,#REF!,C$1,FALSE)</f>
        <v>#REF!</v>
      </c>
      <c r="D67" s="25" t="e">
        <f>VLOOKUP($B67,#REF!,D$1,FALSE)</f>
        <v>#REF!</v>
      </c>
      <c r="E67" s="13" t="e">
        <f>VLOOKUP($B67,#REF!,E$1,FALSE)</f>
        <v>#REF!</v>
      </c>
      <c r="F67" s="25" t="e">
        <f>VLOOKUP($B67,#REF!,F$1,FALSE)</f>
        <v>#REF!</v>
      </c>
      <c r="G67" s="14" t="e">
        <f>IF(VLOOKUP($B67,#REF!,G$1,FALSE)=0,0.0001,VLOOKUP($B67,#REF!,G$1,FALSE))</f>
        <v>#REF!</v>
      </c>
      <c r="H67" s="23">
        <v>0</v>
      </c>
      <c r="I67" s="24">
        <v>999999999</v>
      </c>
      <c r="K67" s="24">
        <v>999999999</v>
      </c>
      <c r="L67" s="24"/>
      <c r="M67" s="38">
        <v>999999999</v>
      </c>
      <c r="N67" s="38">
        <v>999999999</v>
      </c>
      <c r="O67" s="37" t="e">
        <f>D67</f>
        <v>#REF!</v>
      </c>
      <c r="P67" s="37" t="e">
        <f t="shared" si="4"/>
        <v>#REF!</v>
      </c>
      <c r="Q67" s="14" t="e">
        <f t="shared" si="4"/>
        <v>#REF!</v>
      </c>
      <c r="R67" s="14" t="s">
        <v>186</v>
      </c>
      <c r="S67" s="15">
        <f t="shared" si="3"/>
        <v>0</v>
      </c>
      <c r="T67" s="4" t="e">
        <f>VLOOKUP(B67,#REF!,7,FALSE)</f>
        <v>#REF!</v>
      </c>
    </row>
    <row r="68" spans="1:20" x14ac:dyDescent="0.35">
      <c r="A68" s="13"/>
      <c r="B68" s="13">
        <v>59</v>
      </c>
      <c r="C68" s="13" t="e">
        <f>VLOOKUP($B68,#REF!,C$1,FALSE)</f>
        <v>#REF!</v>
      </c>
      <c r="D68" s="25" t="e">
        <f>VLOOKUP($B68,#REF!,D$1,FALSE)</f>
        <v>#REF!</v>
      </c>
      <c r="E68" s="13" t="e">
        <f>VLOOKUP($B68,#REF!,E$1,FALSE)</f>
        <v>#REF!</v>
      </c>
      <c r="F68" s="25" t="e">
        <f>VLOOKUP($B68,#REF!,F$1,FALSE)</f>
        <v>#REF!</v>
      </c>
      <c r="G68" s="14" t="e">
        <f>IF(VLOOKUP($B68,#REF!,G$1,FALSE)=0,0.0001,VLOOKUP($B68,#REF!,G$1,FALSE))</f>
        <v>#REF!</v>
      </c>
      <c r="H68" s="23">
        <v>2663.3119999999999</v>
      </c>
      <c r="I68" s="24">
        <v>999999999</v>
      </c>
      <c r="K68" s="24">
        <v>999999999</v>
      </c>
      <c r="L68" s="24"/>
      <c r="M68" s="38">
        <v>999999999</v>
      </c>
      <c r="N68" s="38">
        <v>999999999</v>
      </c>
      <c r="O68" s="37" t="e">
        <f>D68</f>
        <v>#REF!</v>
      </c>
      <c r="P68" s="37" t="e">
        <f t="shared" si="4"/>
        <v>#REF!</v>
      </c>
      <c r="Q68" s="14" t="e">
        <f t="shared" si="4"/>
        <v>#REF!</v>
      </c>
      <c r="R68" s="14" t="s">
        <v>188</v>
      </c>
      <c r="S68" s="15" t="str">
        <f t="shared" si="3"/>
        <v>b</v>
      </c>
      <c r="T68" s="4" t="e">
        <f>VLOOKUP(B68,#REF!,7,FALSE)</f>
        <v>#REF!</v>
      </c>
    </row>
    <row r="69" spans="1:20" x14ac:dyDescent="0.35">
      <c r="A69" s="13"/>
      <c r="M69" s="32"/>
      <c r="N69" s="32"/>
      <c r="O69" s="37"/>
      <c r="P69" s="37"/>
      <c r="Q69" s="14"/>
    </row>
    <row r="70" spans="1:20" x14ac:dyDescent="0.35">
      <c r="A70" s="13"/>
      <c r="B70" s="13">
        <v>73</v>
      </c>
      <c r="C70" s="13" t="e">
        <f>VLOOKUP($B70,#REF!,E$1,FALSE)</f>
        <v>#REF!</v>
      </c>
      <c r="D70" s="25" t="e">
        <f>VLOOKUP($B70,#REF!,F$1,FALSE)</f>
        <v>#REF!</v>
      </c>
      <c r="E70" s="13" t="e">
        <f>VLOOKUP($B70,#REF!,C$1,FALSE)</f>
        <v>#REF!</v>
      </c>
      <c r="F70" s="25" t="e">
        <f>VLOOKUP($B70,#REF!,D$1,FALSE)</f>
        <v>#REF!</v>
      </c>
      <c r="G70" s="14" t="e">
        <f>IF(VLOOKUP($B70,#REF!,G$1,FALSE)=0,0.0001,VLOOKUP($B70,#REF!,G$1,FALSE))</f>
        <v>#REF!</v>
      </c>
      <c r="H70" s="23">
        <v>0</v>
      </c>
      <c r="I70" s="24">
        <v>999999999</v>
      </c>
      <c r="K70" s="24">
        <v>999999999</v>
      </c>
      <c r="L70" s="24"/>
      <c r="M70" s="38">
        <v>999999999</v>
      </c>
      <c r="N70" s="38">
        <v>999999999</v>
      </c>
      <c r="O70" s="37" t="e">
        <f>D70</f>
        <v>#REF!</v>
      </c>
      <c r="P70" s="37" t="e">
        <f>F70</f>
        <v>#REF!</v>
      </c>
      <c r="Q70" s="14" t="e">
        <f>G70</f>
        <v>#REF!</v>
      </c>
      <c r="R70" s="14" t="s">
        <v>179</v>
      </c>
      <c r="S70" s="15">
        <f t="shared" ref="S70:S84" si="5">IF((H70&gt;0),IF((H70-I70)=0,"a",IF(H70/I70&lt;0.5,"b","c")),)</f>
        <v>0</v>
      </c>
      <c r="T70" s="4" t="e">
        <f>VLOOKUP(B70,#REF!,7,FALSE)</f>
        <v>#REF!</v>
      </c>
    </row>
    <row r="71" spans="1:20" x14ac:dyDescent="0.35">
      <c r="A71" s="13"/>
      <c r="B71" s="13">
        <v>72</v>
      </c>
      <c r="C71" s="13" t="e">
        <f>VLOOKUP($B71,#REF!,E$1,FALSE)</f>
        <v>#REF!</v>
      </c>
      <c r="D71" s="25" t="e">
        <f>VLOOKUP($B71,#REF!,F$1,FALSE)</f>
        <v>#REF!</v>
      </c>
      <c r="E71" s="13" t="e">
        <f>VLOOKUP($B71,#REF!,C$1,FALSE)</f>
        <v>#REF!</v>
      </c>
      <c r="F71" s="25" t="e">
        <f>VLOOKUP($B71,#REF!,D$1,FALSE)</f>
        <v>#REF!</v>
      </c>
      <c r="G71" s="14" t="e">
        <f>IF(VLOOKUP($B71,#REF!,G$1,FALSE)=0,0.0001,VLOOKUP($B71,#REF!,G$1,FALSE))</f>
        <v>#REF!</v>
      </c>
      <c r="H71" s="23">
        <v>0</v>
      </c>
      <c r="I71" s="24">
        <v>999999999</v>
      </c>
      <c r="K71" s="24">
        <v>999999999</v>
      </c>
      <c r="L71" s="24"/>
      <c r="M71" s="38">
        <v>999999999</v>
      </c>
      <c r="N71" s="38">
        <v>999999999</v>
      </c>
      <c r="O71" s="37" t="e">
        <f>D71</f>
        <v>#REF!</v>
      </c>
      <c r="P71" s="37" t="e">
        <f>F71</f>
        <v>#REF!</v>
      </c>
      <c r="Q71" s="14" t="e">
        <f>G71</f>
        <v>#REF!</v>
      </c>
      <c r="R71" s="14" t="s">
        <v>186</v>
      </c>
      <c r="S71" s="15">
        <f t="shared" si="5"/>
        <v>0</v>
      </c>
      <c r="T71" s="4" t="e">
        <f>VLOOKUP(B71,#REF!,7,FALSE)</f>
        <v>#REF!</v>
      </c>
    </row>
    <row r="72" spans="1:20" x14ac:dyDescent="0.35">
      <c r="A72" s="13"/>
      <c r="B72" s="13">
        <v>71</v>
      </c>
      <c r="C72" s="13" t="e">
        <f>VLOOKUP($B72,#REF!,E$1,FALSE)</f>
        <v>#REF!</v>
      </c>
      <c r="D72" s="25" t="e">
        <f>VLOOKUP($B72,#REF!,F$1,FALSE)</f>
        <v>#REF!</v>
      </c>
      <c r="E72" s="13" t="e">
        <f>VLOOKUP($B72,#REF!,C$1,FALSE)</f>
        <v>#REF!</v>
      </c>
      <c r="F72" s="25" t="e">
        <f>VLOOKUP($B72,#REF!,D$1,FALSE)</f>
        <v>#REF!</v>
      </c>
      <c r="G72" s="14" t="e">
        <f>IF(VLOOKUP($B72,#REF!,G$1,FALSE)=0,0.0001,VLOOKUP($B72,#REF!,G$1,FALSE))</f>
        <v>#REF!</v>
      </c>
      <c r="H72" s="23">
        <v>0</v>
      </c>
      <c r="I72" s="24">
        <v>999999999</v>
      </c>
      <c r="K72" s="24">
        <v>999999999</v>
      </c>
      <c r="L72" s="24"/>
      <c r="M72" s="433">
        <v>999999999</v>
      </c>
      <c r="N72" s="433">
        <v>999999999</v>
      </c>
      <c r="O72" s="438" t="e">
        <f>D72</f>
        <v>#REF!</v>
      </c>
      <c r="P72" s="438" t="e">
        <f>F73</f>
        <v>#REF!</v>
      </c>
      <c r="Q72" s="435" t="e">
        <f>SUM(G72:G73)</f>
        <v>#REF!</v>
      </c>
      <c r="R72" s="432" t="s">
        <v>179</v>
      </c>
      <c r="S72" s="15">
        <f t="shared" si="5"/>
        <v>0</v>
      </c>
      <c r="T72" s="4" t="e">
        <f>VLOOKUP(B72,#REF!,7,FALSE)</f>
        <v>#REF!</v>
      </c>
    </row>
    <row r="73" spans="1:20" x14ac:dyDescent="0.35">
      <c r="A73" s="13"/>
      <c r="B73" s="13">
        <v>70</v>
      </c>
      <c r="C73" s="13" t="e">
        <f>VLOOKUP($B73,#REF!,E$1,FALSE)</f>
        <v>#REF!</v>
      </c>
      <c r="D73" s="25" t="e">
        <f>VLOOKUP($B73,#REF!,F$1,FALSE)</f>
        <v>#REF!</v>
      </c>
      <c r="E73" s="13" t="e">
        <f>VLOOKUP($B73,#REF!,C$1,FALSE)</f>
        <v>#REF!</v>
      </c>
      <c r="F73" s="25" t="e">
        <f>VLOOKUP($B73,#REF!,D$1,FALSE)</f>
        <v>#REF!</v>
      </c>
      <c r="G73" s="14" t="e">
        <f>IF(VLOOKUP($B73,#REF!,G$1,FALSE)=0,0.0001,VLOOKUP($B73,#REF!,G$1,FALSE))</f>
        <v>#REF!</v>
      </c>
      <c r="H73" s="23">
        <v>0</v>
      </c>
      <c r="I73" s="24">
        <v>999999999</v>
      </c>
      <c r="K73" s="24">
        <v>999999999</v>
      </c>
      <c r="L73" s="24"/>
      <c r="M73" s="433"/>
      <c r="N73" s="433"/>
      <c r="O73" s="438"/>
      <c r="P73" s="438"/>
      <c r="Q73" s="435"/>
      <c r="R73" s="432"/>
      <c r="S73" s="15">
        <f t="shared" si="5"/>
        <v>0</v>
      </c>
      <c r="T73" s="4" t="e">
        <f>VLOOKUP(B73,#REF!,7,FALSE)</f>
        <v>#REF!</v>
      </c>
    </row>
    <row r="74" spans="1:20" x14ac:dyDescent="0.35">
      <c r="A74" s="13"/>
      <c r="B74" s="13">
        <v>69</v>
      </c>
      <c r="C74" s="13" t="e">
        <f>VLOOKUP($B74,#REF!,C$1,FALSE)</f>
        <v>#REF!</v>
      </c>
      <c r="D74" s="25" t="e">
        <f>VLOOKUP($B74,#REF!,D$1,FALSE)</f>
        <v>#REF!</v>
      </c>
      <c r="E74" s="13" t="e">
        <f>VLOOKUP($B74,#REF!,E$1,FALSE)</f>
        <v>#REF!</v>
      </c>
      <c r="F74" s="25" t="e">
        <f>VLOOKUP($B74,#REF!,F$1,FALSE)</f>
        <v>#REF!</v>
      </c>
      <c r="G74" s="14" t="e">
        <f>IF(VLOOKUP($B74,#REF!,G$1,FALSE)=0,0.0001,VLOOKUP($B74,#REF!,G$1,FALSE))</f>
        <v>#REF!</v>
      </c>
      <c r="H74" s="23">
        <v>0</v>
      </c>
      <c r="I74" s="24">
        <v>999999999</v>
      </c>
      <c r="M74" s="38">
        <v>999999999</v>
      </c>
      <c r="N74" s="32"/>
      <c r="O74" s="37" t="e">
        <f>D74</f>
        <v>#REF!</v>
      </c>
      <c r="P74" s="37" t="e">
        <f>F74</f>
        <v>#REF!</v>
      </c>
      <c r="Q74" s="14" t="e">
        <f>G74</f>
        <v>#REF!</v>
      </c>
      <c r="R74" s="14"/>
      <c r="S74" s="15">
        <f t="shared" si="5"/>
        <v>0</v>
      </c>
      <c r="T74" s="4" t="e">
        <f>VLOOKUP(B74,#REF!,7,FALSE)</f>
        <v>#REF!</v>
      </c>
    </row>
    <row r="75" spans="1:20" x14ac:dyDescent="0.35">
      <c r="A75" s="13"/>
      <c r="B75" s="13">
        <v>68</v>
      </c>
      <c r="C75" s="13" t="e">
        <f>VLOOKUP($B75,#REF!,E$1,FALSE)</f>
        <v>#REF!</v>
      </c>
      <c r="D75" s="25" t="e">
        <f>VLOOKUP($B75,#REF!,F$1,FALSE)</f>
        <v>#REF!</v>
      </c>
      <c r="E75" s="13" t="e">
        <f>VLOOKUP($B75,#REF!,C$1,FALSE)</f>
        <v>#REF!</v>
      </c>
      <c r="F75" s="25" t="e">
        <f>VLOOKUP($B75,#REF!,D$1,FALSE)</f>
        <v>#REF!</v>
      </c>
      <c r="G75" s="14" t="e">
        <f>IF(VLOOKUP($B75,#REF!,G$1,FALSE)=0,0.0001,VLOOKUP($B75,#REF!,G$1,FALSE))</f>
        <v>#REF!</v>
      </c>
      <c r="H75" s="23">
        <v>0</v>
      </c>
      <c r="I75" s="24">
        <v>999999999</v>
      </c>
      <c r="K75" s="24">
        <v>999999999</v>
      </c>
      <c r="L75" s="24"/>
      <c r="M75" s="33">
        <v>999999999</v>
      </c>
      <c r="N75" s="33">
        <v>999999999</v>
      </c>
      <c r="O75" s="9" t="e">
        <f>D75</f>
        <v>#REF!</v>
      </c>
      <c r="P75" s="9" t="e">
        <f>F75</f>
        <v>#REF!</v>
      </c>
      <c r="Q75" s="36" t="e">
        <f>SUM(G75:G76)</f>
        <v>#REF!</v>
      </c>
      <c r="R75" s="35" t="s">
        <v>178</v>
      </c>
      <c r="S75" s="15">
        <f t="shared" si="5"/>
        <v>0</v>
      </c>
      <c r="T75" s="4" t="e">
        <f>VLOOKUP(B75,#REF!,7,FALSE)</f>
        <v>#REF!</v>
      </c>
    </row>
    <row r="76" spans="1:20" x14ac:dyDescent="0.35">
      <c r="A76" s="13"/>
      <c r="B76" s="13">
        <v>67</v>
      </c>
      <c r="C76" s="13" t="e">
        <f>VLOOKUP($B76,#REF!,E$1,FALSE)</f>
        <v>#REF!</v>
      </c>
      <c r="D76" s="25" t="e">
        <f>VLOOKUP($B76,#REF!,F$1,FALSE)</f>
        <v>#REF!</v>
      </c>
      <c r="E76" s="13" t="e">
        <f>VLOOKUP($B76,#REF!,C$1,FALSE)</f>
        <v>#REF!</v>
      </c>
      <c r="F76" s="25" t="e">
        <f>VLOOKUP($B76,#REF!,D$1,FALSE)</f>
        <v>#REF!</v>
      </c>
      <c r="G76" s="14" t="e">
        <f>IF(VLOOKUP($B76,#REF!,G$1,FALSE)=0,0.0001,VLOOKUP($B76,#REF!,G$1,FALSE))</f>
        <v>#REF!</v>
      </c>
      <c r="H76" s="23">
        <v>2099.5985000000001</v>
      </c>
      <c r="I76" s="24">
        <v>999999999</v>
      </c>
      <c r="K76" s="24">
        <v>999999999</v>
      </c>
      <c r="L76" s="24"/>
      <c r="M76" s="33">
        <v>999999999</v>
      </c>
      <c r="N76" s="33">
        <v>999999999</v>
      </c>
      <c r="O76" s="9" t="e">
        <f>D76</f>
        <v>#REF!</v>
      </c>
      <c r="P76" s="9" t="e">
        <f>F76</f>
        <v>#REF!</v>
      </c>
      <c r="Q76" s="36" t="e">
        <f>SUM(G76:G77)</f>
        <v>#REF!</v>
      </c>
      <c r="R76" s="35" t="s">
        <v>178</v>
      </c>
      <c r="S76" s="15" t="str">
        <f t="shared" si="5"/>
        <v>b</v>
      </c>
      <c r="T76" s="4" t="e">
        <f>VLOOKUP(B76,#REF!,7,FALSE)</f>
        <v>#REF!</v>
      </c>
    </row>
    <row r="77" spans="1:20" x14ac:dyDescent="0.35">
      <c r="A77" s="13"/>
      <c r="B77" s="13">
        <v>66</v>
      </c>
      <c r="C77" s="13" t="e">
        <f>VLOOKUP($B77,#REF!,E$1,FALSE)</f>
        <v>#REF!</v>
      </c>
      <c r="D77" s="25" t="e">
        <f>VLOOKUP($B77,#REF!,F$1,FALSE)</f>
        <v>#REF!</v>
      </c>
      <c r="E77" s="13" t="e">
        <f>VLOOKUP($B77,#REF!,C$1,FALSE)</f>
        <v>#REF!</v>
      </c>
      <c r="F77" s="25" t="e">
        <f>VLOOKUP($B77,#REF!,D$1,FALSE)</f>
        <v>#REF!</v>
      </c>
      <c r="G77" s="14" t="e">
        <f>IF(VLOOKUP($B77,#REF!,G$1,FALSE)=0,0.0001,VLOOKUP($B77,#REF!,G$1,FALSE))</f>
        <v>#REF!</v>
      </c>
      <c r="H77" s="23">
        <v>371.33753999999999</v>
      </c>
      <c r="I77" s="24">
        <v>999999999</v>
      </c>
      <c r="K77" s="24">
        <v>999999999</v>
      </c>
      <c r="L77" s="24"/>
      <c r="M77" s="38">
        <v>999999999</v>
      </c>
      <c r="N77" s="38">
        <v>999999999</v>
      </c>
      <c r="O77" s="37" t="e">
        <f>D77</f>
        <v>#REF!</v>
      </c>
      <c r="P77" s="37" t="e">
        <f>F77</f>
        <v>#REF!</v>
      </c>
      <c r="Q77" s="14" t="e">
        <f>G77</f>
        <v>#REF!</v>
      </c>
      <c r="R77" s="14" t="s">
        <v>186</v>
      </c>
      <c r="S77" s="15" t="str">
        <f t="shared" si="5"/>
        <v>b</v>
      </c>
      <c r="T77" s="4" t="e">
        <f>VLOOKUP(B77,#REF!,7,FALSE)</f>
        <v>#REF!</v>
      </c>
    </row>
    <row r="78" spans="1:20" x14ac:dyDescent="0.35">
      <c r="A78" s="13"/>
      <c r="B78" s="13">
        <v>60</v>
      </c>
      <c r="C78" s="13" t="e">
        <f>VLOOKUP($B78,#REF!,C$1,FALSE)</f>
        <v>#REF!</v>
      </c>
      <c r="D78" s="25" t="e">
        <f>VLOOKUP($B78,#REF!,D$1,FALSE)</f>
        <v>#REF!</v>
      </c>
      <c r="E78" s="13" t="e">
        <f>VLOOKUP($B78,#REF!,E$1,FALSE)</f>
        <v>#REF!</v>
      </c>
      <c r="F78" s="25" t="e">
        <f>VLOOKUP($B78,#REF!,F$1,FALSE)</f>
        <v>#REF!</v>
      </c>
      <c r="G78" s="14" t="e">
        <f>IF(VLOOKUP($B78,#REF!,G$1,FALSE)=0,0.0001,VLOOKUP($B78,#REF!,G$1,FALSE))</f>
        <v>#REF!</v>
      </c>
      <c r="H78" s="23">
        <v>0</v>
      </c>
      <c r="I78" s="24">
        <v>999999999</v>
      </c>
      <c r="K78" s="24">
        <v>999999999</v>
      </c>
      <c r="L78" s="24"/>
      <c r="M78" s="433">
        <v>999999999</v>
      </c>
      <c r="N78" s="433">
        <v>999999999</v>
      </c>
      <c r="O78" s="434" t="e">
        <f>D78</f>
        <v>#REF!</v>
      </c>
      <c r="P78" s="434" t="e">
        <f>F80</f>
        <v>#REF!</v>
      </c>
      <c r="Q78" s="435" t="e">
        <f>SUM(G78:G80)</f>
        <v>#REF!</v>
      </c>
      <c r="R78" s="432" t="s">
        <v>177</v>
      </c>
      <c r="S78" s="15">
        <f t="shared" si="5"/>
        <v>0</v>
      </c>
      <c r="T78" s="4" t="e">
        <f>VLOOKUP(B78,#REF!,7,FALSE)</f>
        <v>#REF!</v>
      </c>
    </row>
    <row r="79" spans="1:20" x14ac:dyDescent="0.35">
      <c r="B79" s="13">
        <v>61</v>
      </c>
      <c r="C79" s="13" t="e">
        <f>VLOOKUP($B79,#REF!,C$1,FALSE)</f>
        <v>#REF!</v>
      </c>
      <c r="D79" s="25" t="e">
        <f>VLOOKUP($B79,#REF!,D$1,FALSE)</f>
        <v>#REF!</v>
      </c>
      <c r="E79" s="13" t="e">
        <f>VLOOKUP($B79,#REF!,E$1,FALSE)</f>
        <v>#REF!</v>
      </c>
      <c r="F79" s="25" t="e">
        <f>VLOOKUP($B79,#REF!,F$1,FALSE)</f>
        <v>#REF!</v>
      </c>
      <c r="G79" s="14" t="e">
        <f>IF(VLOOKUP($B79,#REF!,G$1,FALSE)=0,0.0001,VLOOKUP($B79,#REF!,G$1,FALSE))</f>
        <v>#REF!</v>
      </c>
      <c r="H79" s="23">
        <v>0</v>
      </c>
      <c r="I79" s="24">
        <v>999999999</v>
      </c>
      <c r="K79" s="24">
        <v>999999999</v>
      </c>
      <c r="L79" s="24"/>
      <c r="M79" s="433"/>
      <c r="N79" s="433"/>
      <c r="O79" s="434"/>
      <c r="P79" s="434"/>
      <c r="Q79" s="435"/>
      <c r="R79" s="432"/>
      <c r="S79" s="15">
        <f t="shared" si="5"/>
        <v>0</v>
      </c>
      <c r="T79" s="4" t="e">
        <f>VLOOKUP(B79,#REF!,7,FALSE)</f>
        <v>#REF!</v>
      </c>
    </row>
    <row r="80" spans="1:20" x14ac:dyDescent="0.35">
      <c r="A80" s="13"/>
      <c r="B80" s="13">
        <v>62</v>
      </c>
      <c r="C80" s="13" t="e">
        <f>VLOOKUP($B80,#REF!,C$1,FALSE)</f>
        <v>#REF!</v>
      </c>
      <c r="D80" s="25" t="e">
        <f>VLOOKUP($B80,#REF!,D$1,FALSE)</f>
        <v>#REF!</v>
      </c>
      <c r="E80" s="13" t="e">
        <f>VLOOKUP($B80,#REF!,E$1,FALSE)</f>
        <v>#REF!</v>
      </c>
      <c r="F80" s="25" t="e">
        <f>VLOOKUP($B80,#REF!,F$1,FALSE)</f>
        <v>#REF!</v>
      </c>
      <c r="G80" s="14" t="e">
        <f>IF(VLOOKUP($B80,#REF!,G$1,FALSE)=0,0.0001,VLOOKUP($B80,#REF!,G$1,FALSE))</f>
        <v>#REF!</v>
      </c>
      <c r="H80" s="23">
        <v>0</v>
      </c>
      <c r="I80" s="24">
        <v>999999999</v>
      </c>
      <c r="K80" s="24">
        <v>999999999</v>
      </c>
      <c r="L80" s="24"/>
      <c r="M80" s="433"/>
      <c r="N80" s="433"/>
      <c r="O80" s="434"/>
      <c r="P80" s="434"/>
      <c r="Q80" s="435"/>
      <c r="R80" s="432"/>
      <c r="S80" s="15">
        <f t="shared" si="5"/>
        <v>0</v>
      </c>
      <c r="T80" s="4" t="e">
        <f>VLOOKUP(B80,#REF!,7,FALSE)</f>
        <v>#REF!</v>
      </c>
    </row>
    <row r="81" spans="1:20" x14ac:dyDescent="0.35">
      <c r="A81" s="13"/>
      <c r="B81" s="13">
        <v>63</v>
      </c>
      <c r="C81" s="13" t="e">
        <f>VLOOKUP($B81,#REF!,C$1,FALSE)</f>
        <v>#REF!</v>
      </c>
      <c r="D81" s="25" t="e">
        <f>VLOOKUP($B81,#REF!,D$1,FALSE)</f>
        <v>#REF!</v>
      </c>
      <c r="E81" s="13" t="e">
        <f>VLOOKUP($B81,#REF!,E$1,FALSE)</f>
        <v>#REF!</v>
      </c>
      <c r="F81" s="25" t="e">
        <f>VLOOKUP($B81,#REF!,F$1,FALSE)</f>
        <v>#REF!</v>
      </c>
      <c r="G81" s="14" t="e">
        <f>IF(VLOOKUP($B81,#REF!,G$1,FALSE)=0,0.0001,VLOOKUP($B81,#REF!,G$1,FALSE))</f>
        <v>#REF!</v>
      </c>
      <c r="H81" s="23">
        <v>0</v>
      </c>
      <c r="I81" s="24">
        <v>999999999</v>
      </c>
      <c r="K81" s="24">
        <v>999999999</v>
      </c>
      <c r="L81" s="24"/>
      <c r="M81" s="433">
        <v>999999999</v>
      </c>
      <c r="N81" s="433">
        <v>999999999</v>
      </c>
      <c r="O81" s="438" t="e">
        <f>D81</f>
        <v>#REF!</v>
      </c>
      <c r="P81" s="438" t="e">
        <f>F83</f>
        <v>#REF!</v>
      </c>
      <c r="Q81" s="14" t="e">
        <f>G81</f>
        <v>#REF!</v>
      </c>
      <c r="R81" s="432" t="s">
        <v>189</v>
      </c>
      <c r="S81" s="15">
        <f t="shared" si="5"/>
        <v>0</v>
      </c>
      <c r="T81" s="4" t="e">
        <f>VLOOKUP(B81,#REF!,7,FALSE)</f>
        <v>#REF!</v>
      </c>
    </row>
    <row r="82" spans="1:20" x14ac:dyDescent="0.35">
      <c r="A82" s="13"/>
      <c r="B82" s="13">
        <v>64</v>
      </c>
      <c r="C82" s="13" t="e">
        <f>VLOOKUP($B82,#REF!,C$1,FALSE)</f>
        <v>#REF!</v>
      </c>
      <c r="D82" s="25" t="e">
        <f>VLOOKUP($B82,#REF!,D$1,FALSE)</f>
        <v>#REF!</v>
      </c>
      <c r="E82" s="13" t="e">
        <f>VLOOKUP($B82,#REF!,E$1,FALSE)</f>
        <v>#REF!</v>
      </c>
      <c r="F82" s="25" t="e">
        <f>VLOOKUP($B82,#REF!,F$1,FALSE)</f>
        <v>#REF!</v>
      </c>
      <c r="G82" s="14" t="e">
        <f>IF(VLOOKUP($B82,#REF!,G$1,FALSE)=0,0.0001,VLOOKUP($B82,#REF!,G$1,FALSE))</f>
        <v>#REF!</v>
      </c>
      <c r="H82" s="23">
        <v>0</v>
      </c>
      <c r="I82" s="24">
        <v>999999999</v>
      </c>
      <c r="K82" s="24">
        <v>999999999</v>
      </c>
      <c r="L82" s="24"/>
      <c r="M82" s="433"/>
      <c r="N82" s="433"/>
      <c r="O82" s="438"/>
      <c r="P82" s="438"/>
      <c r="Q82" s="14" t="e">
        <f>G82</f>
        <v>#REF!</v>
      </c>
      <c r="R82" s="432"/>
      <c r="S82" s="15">
        <f t="shared" si="5"/>
        <v>0</v>
      </c>
      <c r="T82" s="4" t="e">
        <f>VLOOKUP(B82,#REF!,7,FALSE)</f>
        <v>#REF!</v>
      </c>
    </row>
    <row r="83" spans="1:20" x14ac:dyDescent="0.35">
      <c r="B83" s="13">
        <v>65</v>
      </c>
      <c r="C83" s="13" t="e">
        <f>VLOOKUP($B83,#REF!,C$1,FALSE)</f>
        <v>#REF!</v>
      </c>
      <c r="D83" s="25" t="e">
        <f>VLOOKUP($B83,#REF!,D$1,FALSE)</f>
        <v>#REF!</v>
      </c>
      <c r="E83" s="13" t="e">
        <f>VLOOKUP($B83,#REF!,E$1,FALSE)</f>
        <v>#REF!</v>
      </c>
      <c r="F83" s="25" t="e">
        <f>VLOOKUP($B83,#REF!,F$1,FALSE)</f>
        <v>#REF!</v>
      </c>
      <c r="G83" s="14" t="e">
        <f>IF(VLOOKUP($B83,#REF!,G$1,FALSE)=0,0.0001,VLOOKUP($B83,#REF!,G$1,FALSE))</f>
        <v>#REF!</v>
      </c>
      <c r="H83" s="23">
        <v>0</v>
      </c>
      <c r="I83" s="24">
        <v>999999999</v>
      </c>
      <c r="K83" s="24">
        <v>999999999</v>
      </c>
      <c r="L83" s="24"/>
      <c r="M83" s="433"/>
      <c r="N83" s="433"/>
      <c r="O83" s="438"/>
      <c r="P83" s="438"/>
      <c r="Q83" s="14" t="e">
        <f>G83</f>
        <v>#REF!</v>
      </c>
      <c r="R83" s="432"/>
      <c r="S83" s="15">
        <f t="shared" si="5"/>
        <v>0</v>
      </c>
      <c r="T83" s="4" t="e">
        <f>VLOOKUP(B83,#REF!,7,FALSE)</f>
        <v>#REF!</v>
      </c>
    </row>
    <row r="84" spans="1:20" x14ac:dyDescent="0.35">
      <c r="A84" s="13"/>
      <c r="B84" s="13">
        <v>74</v>
      </c>
      <c r="C84" s="13" t="e">
        <f>VLOOKUP($B84,#REF!,C$1,FALSE)</f>
        <v>#REF!</v>
      </c>
      <c r="D84" s="25" t="e">
        <f>VLOOKUP($B84,#REF!,D$1,FALSE)</f>
        <v>#REF!</v>
      </c>
      <c r="E84" s="13" t="e">
        <f>VLOOKUP($B84,#REF!,E$1,FALSE)</f>
        <v>#REF!</v>
      </c>
      <c r="F84" s="25" t="e">
        <f>VLOOKUP($B84,#REF!,F$1,FALSE)</f>
        <v>#REF!</v>
      </c>
      <c r="G84" s="14" t="e">
        <f>IF(VLOOKUP($B84,#REF!,G$1,FALSE)=0,0.0001,VLOOKUP($B84,#REF!,G$1,FALSE))</f>
        <v>#REF!</v>
      </c>
      <c r="H84" s="23">
        <v>12720.319</v>
      </c>
      <c r="I84" s="24">
        <v>999999999</v>
      </c>
      <c r="M84" s="38">
        <v>999999999</v>
      </c>
      <c r="N84" s="32"/>
      <c r="O84" s="37" t="e">
        <f>D84</f>
        <v>#REF!</v>
      </c>
      <c r="P84" s="37" t="e">
        <f>F84</f>
        <v>#REF!</v>
      </c>
      <c r="Q84" s="14" t="e">
        <f>G84</f>
        <v>#REF!</v>
      </c>
      <c r="R84" s="14" t="s">
        <v>178</v>
      </c>
      <c r="S84" s="15" t="str">
        <f t="shared" si="5"/>
        <v>b</v>
      </c>
      <c r="T84" s="4" t="e">
        <f>VLOOKUP(B84,#REF!,7,FALSE)</f>
        <v>#REF!</v>
      </c>
    </row>
    <row r="85" spans="1:20" x14ac:dyDescent="0.35">
      <c r="A85" s="13"/>
      <c r="M85" s="32"/>
      <c r="N85" s="32"/>
      <c r="O85" s="37"/>
      <c r="P85" s="37"/>
      <c r="Q85" s="14"/>
    </row>
    <row r="86" spans="1:20" x14ac:dyDescent="0.35">
      <c r="A86" s="13"/>
      <c r="B86" s="13">
        <v>75</v>
      </c>
      <c r="C86" s="13" t="e">
        <f>VLOOKUP($B86,#REF!,C$1,FALSE)</f>
        <v>#REF!</v>
      </c>
      <c r="D86" s="25" t="e">
        <f>VLOOKUP($B86,#REF!,D$1,FALSE)</f>
        <v>#REF!</v>
      </c>
      <c r="E86" s="13" t="e">
        <f>VLOOKUP($B86,#REF!,E$1,FALSE)</f>
        <v>#REF!</v>
      </c>
      <c r="F86" s="25" t="e">
        <f>VLOOKUP($B86,#REF!,F$1,FALSE)</f>
        <v>#REF!</v>
      </c>
      <c r="G86" s="14" t="e">
        <f>IF(VLOOKUP($B86,#REF!,G$1,FALSE)=0,0.0001,VLOOKUP($B86,#REF!,G$1,FALSE))</f>
        <v>#REF!</v>
      </c>
      <c r="H86" s="23">
        <v>0</v>
      </c>
      <c r="I86" s="24">
        <v>999999999</v>
      </c>
      <c r="K86" s="24">
        <v>999999999</v>
      </c>
      <c r="L86" s="24"/>
      <c r="M86" s="38">
        <v>999999999</v>
      </c>
      <c r="N86" s="38">
        <v>999999999</v>
      </c>
      <c r="O86" s="37" t="e">
        <f>D86</f>
        <v>#REF!</v>
      </c>
      <c r="P86" s="37" t="e">
        <f>F86</f>
        <v>#REF!</v>
      </c>
      <c r="Q86" s="14" t="e">
        <f>G86</f>
        <v>#REF!</v>
      </c>
      <c r="R86" s="14" t="s">
        <v>186</v>
      </c>
      <c r="S86" s="15">
        <f>IF((H86&gt;0),IF((H86-I86)=0,"a",IF(H86/I86&lt;0.5,"b","c")),)</f>
        <v>0</v>
      </c>
      <c r="T86" s="4" t="e">
        <f>VLOOKUP(B86,#REF!,7,FALSE)</f>
        <v>#REF!</v>
      </c>
    </row>
    <row r="87" spans="1:20" x14ac:dyDescent="0.35">
      <c r="A87" s="13"/>
      <c r="M87" s="32"/>
      <c r="N87" s="32"/>
      <c r="O87" s="37"/>
      <c r="P87" s="37"/>
      <c r="Q87" s="14"/>
    </row>
    <row r="88" spans="1:20" x14ac:dyDescent="0.35">
      <c r="A88" s="13"/>
      <c r="B88" s="13">
        <v>79</v>
      </c>
      <c r="C88" s="13" t="e">
        <f>VLOOKUP($B88,#REF!,E$1,FALSE)</f>
        <v>#REF!</v>
      </c>
      <c r="D88" s="25" t="e">
        <f>VLOOKUP($B88,#REF!,F$1,FALSE)</f>
        <v>#REF!</v>
      </c>
      <c r="E88" s="13" t="e">
        <f>VLOOKUP($B88,#REF!,C$1,FALSE)</f>
        <v>#REF!</v>
      </c>
      <c r="F88" s="25" t="e">
        <f>VLOOKUP($B88,#REF!,D$1,FALSE)</f>
        <v>#REF!</v>
      </c>
      <c r="G88" s="14" t="e">
        <f>IF(VLOOKUP($B88,#REF!,G$1,FALSE)=0,0.0001,VLOOKUP($B88,#REF!,G$1,FALSE))</f>
        <v>#REF!</v>
      </c>
      <c r="H88" s="23">
        <v>3492.3678</v>
      </c>
      <c r="I88" s="24">
        <v>999999999</v>
      </c>
      <c r="K88" s="24">
        <v>999999999</v>
      </c>
      <c r="L88" s="24"/>
      <c r="M88" s="433">
        <v>999999999</v>
      </c>
      <c r="N88" s="433">
        <v>999999999</v>
      </c>
      <c r="O88" s="434" t="e">
        <f>D88</f>
        <v>#REF!</v>
      </c>
      <c r="P88" s="434" t="e">
        <f>F90</f>
        <v>#REF!</v>
      </c>
      <c r="Q88" s="437" t="e">
        <f>SUM(G88:G90)</f>
        <v>#REF!</v>
      </c>
      <c r="R88" s="432" t="s">
        <v>180</v>
      </c>
      <c r="S88" s="15" t="str">
        <f>IF((H88&gt;0),IF((H88-I88)=0,"a",IF(H88/I88&lt;0.5,"b","c")),)</f>
        <v>b</v>
      </c>
      <c r="T88" s="4" t="e">
        <f>VLOOKUP(B88,#REF!,7,FALSE)</f>
        <v>#REF!</v>
      </c>
    </row>
    <row r="89" spans="1:20" x14ac:dyDescent="0.35">
      <c r="A89" s="13"/>
      <c r="B89" s="13">
        <v>80</v>
      </c>
      <c r="C89" s="13" t="e">
        <f>VLOOKUP($B89,#REF!,E$1,FALSE)</f>
        <v>#REF!</v>
      </c>
      <c r="D89" s="25" t="e">
        <f>VLOOKUP($B89,#REF!,F$1,FALSE)</f>
        <v>#REF!</v>
      </c>
      <c r="E89" s="13" t="e">
        <f>VLOOKUP($B89,#REF!,C$1,FALSE)</f>
        <v>#REF!</v>
      </c>
      <c r="F89" s="25" t="e">
        <f>VLOOKUP($B89,#REF!,D$1,FALSE)</f>
        <v>#REF!</v>
      </c>
      <c r="G89" s="14" t="e">
        <f>IF(VLOOKUP($B89,#REF!,G$1,FALSE)=0,0.0001,VLOOKUP($B89,#REF!,G$1,FALSE))</f>
        <v>#REF!</v>
      </c>
      <c r="H89" s="23">
        <v>2240.4569000000001</v>
      </c>
      <c r="I89" s="24">
        <v>999999999</v>
      </c>
      <c r="K89" s="24">
        <v>999999999</v>
      </c>
      <c r="L89" s="24"/>
      <c r="M89" s="433"/>
      <c r="N89" s="433"/>
      <c r="O89" s="434"/>
      <c r="P89" s="434"/>
      <c r="Q89" s="437"/>
      <c r="R89" s="432"/>
      <c r="S89" s="15" t="str">
        <f>IF((H89&gt;0),IF((H89-I89)=0,"a",IF(H89/I89&lt;0.5,"b","c")),)</f>
        <v>b</v>
      </c>
      <c r="T89" s="4" t="e">
        <f>VLOOKUP(B89,#REF!,7,FALSE)</f>
        <v>#REF!</v>
      </c>
    </row>
    <row r="90" spans="1:20" x14ac:dyDescent="0.35">
      <c r="A90" s="13"/>
      <c r="B90" s="13">
        <v>81</v>
      </c>
      <c r="C90" s="13" t="e">
        <f>VLOOKUP($B90,#REF!,E$1,FALSE)</f>
        <v>#REF!</v>
      </c>
      <c r="D90" s="25" t="e">
        <f>VLOOKUP($B90,#REF!,F$1,FALSE)</f>
        <v>#REF!</v>
      </c>
      <c r="E90" s="13" t="e">
        <f>VLOOKUP($B90,#REF!,C$1,FALSE)</f>
        <v>#REF!</v>
      </c>
      <c r="F90" s="25" t="e">
        <f>VLOOKUP($B90,#REF!,D$1,FALSE)</f>
        <v>#REF!</v>
      </c>
      <c r="G90" s="14" t="e">
        <f>IF(VLOOKUP($B90,#REF!,G$1,FALSE)=0,0.0001,VLOOKUP($B90,#REF!,G$1,FALSE))</f>
        <v>#REF!</v>
      </c>
      <c r="H90" s="23">
        <v>1041.3898999999999</v>
      </c>
      <c r="I90" s="24">
        <v>999999999</v>
      </c>
      <c r="K90" s="24">
        <v>999999999</v>
      </c>
      <c r="L90" s="24"/>
      <c r="M90" s="433"/>
      <c r="N90" s="433"/>
      <c r="O90" s="434"/>
      <c r="P90" s="434"/>
      <c r="Q90" s="437"/>
      <c r="R90" s="432"/>
      <c r="S90" s="15" t="str">
        <f>IF((H90&gt;0),IF((H90-I90)=0,"a",IF(H90/I90&lt;0.5,"b","c")),)</f>
        <v>b</v>
      </c>
      <c r="T90" s="4" t="e">
        <f>VLOOKUP(B90,#REF!,7,FALSE)</f>
        <v>#REF!</v>
      </c>
    </row>
    <row r="91" spans="1:20" x14ac:dyDescent="0.35">
      <c r="A91" s="13"/>
      <c r="B91" s="13">
        <v>78</v>
      </c>
      <c r="C91" s="13" t="e">
        <f>VLOOKUP($B91,#REF!,C$1,FALSE)</f>
        <v>#REF!</v>
      </c>
      <c r="D91" s="25" t="e">
        <f>VLOOKUP($B91,#REF!,D$1,FALSE)</f>
        <v>#REF!</v>
      </c>
      <c r="E91" s="13" t="e">
        <f>VLOOKUP($B91,#REF!,E$1,FALSE)</f>
        <v>#REF!</v>
      </c>
      <c r="F91" s="25" t="e">
        <f>VLOOKUP($B91,#REF!,F$1,FALSE)</f>
        <v>#REF!</v>
      </c>
      <c r="G91" s="14" t="e">
        <f>IF(VLOOKUP($B91,#REF!,G$1,FALSE)=0,0.0001,VLOOKUP($B91,#REF!,G$1,FALSE))</f>
        <v>#REF!</v>
      </c>
      <c r="H91" s="23">
        <v>618.97388999999998</v>
      </c>
      <c r="I91" s="24">
        <v>999999999</v>
      </c>
      <c r="K91" s="24">
        <v>999999999</v>
      </c>
      <c r="L91" s="24"/>
      <c r="M91" s="38">
        <v>999999999</v>
      </c>
      <c r="N91" s="38">
        <v>999999999</v>
      </c>
      <c r="O91" s="37" t="e">
        <f>D91</f>
        <v>#REF!</v>
      </c>
      <c r="P91" s="37" t="e">
        <f>F91</f>
        <v>#REF!</v>
      </c>
      <c r="Q91" s="14" t="e">
        <f>G91</f>
        <v>#REF!</v>
      </c>
      <c r="R91" s="14" t="s">
        <v>179</v>
      </c>
      <c r="S91" s="15" t="str">
        <f>IF((H91&gt;0),IF((H91-I91)=0,"a",IF(H91/I91&lt;0.5,"b","c")),)</f>
        <v>b</v>
      </c>
      <c r="T91" s="4" t="e">
        <f>VLOOKUP(B91,#REF!,7,FALSE)</f>
        <v>#REF!</v>
      </c>
    </row>
    <row r="92" spans="1:20" x14ac:dyDescent="0.35">
      <c r="A92" s="13"/>
      <c r="B92" s="13">
        <v>82</v>
      </c>
      <c r="C92" s="13" t="e">
        <f>VLOOKUP($B92,#REF!,C$1,FALSE)</f>
        <v>#REF!</v>
      </c>
      <c r="D92" s="25" t="e">
        <f>VLOOKUP($B92,#REF!,D$1,FALSE)</f>
        <v>#REF!</v>
      </c>
      <c r="E92" s="13" t="e">
        <f>VLOOKUP($B92,#REF!,E$1,FALSE)</f>
        <v>#REF!</v>
      </c>
      <c r="F92" s="25" t="e">
        <f>VLOOKUP($B92,#REF!,F$1,FALSE)</f>
        <v>#REF!</v>
      </c>
      <c r="G92" s="14" t="e">
        <f>IF(VLOOKUP($B92,#REF!,G$1,FALSE)=0,0.0001,VLOOKUP($B92,#REF!,G$1,FALSE))</f>
        <v>#REF!</v>
      </c>
      <c r="H92" s="23">
        <v>0</v>
      </c>
      <c r="I92" s="24">
        <v>999999999</v>
      </c>
      <c r="M92" s="38">
        <v>999999999</v>
      </c>
      <c r="N92" s="32"/>
      <c r="O92" s="37" t="e">
        <f>D92</f>
        <v>#REF!</v>
      </c>
      <c r="P92" s="37" t="e">
        <f>F92</f>
        <v>#REF!</v>
      </c>
      <c r="Q92" s="14" t="e">
        <f>G92</f>
        <v>#REF!</v>
      </c>
      <c r="R92" s="35"/>
      <c r="S92" s="15">
        <f>IF((H92&gt;0),IF((H92-I92)=0,"a",IF(H92/I92&lt;0.5,"b","c")),)</f>
        <v>0</v>
      </c>
      <c r="T92" s="4" t="e">
        <f>VLOOKUP(B92,#REF!,7,FALSE)</f>
        <v>#REF!</v>
      </c>
    </row>
    <row r="93" spans="1:20" x14ac:dyDescent="0.35">
      <c r="A93" s="13"/>
      <c r="C93" s="4"/>
      <c r="E93" s="4"/>
      <c r="I93" s="4"/>
      <c r="K93" s="4"/>
      <c r="L93" s="4"/>
      <c r="M93" s="36"/>
      <c r="N93" s="36"/>
      <c r="O93" s="39"/>
      <c r="P93" s="39"/>
      <c r="Q93" s="14"/>
    </row>
    <row r="94" spans="1:20" x14ac:dyDescent="0.35">
      <c r="A94" s="13"/>
      <c r="B94" s="13">
        <v>76</v>
      </c>
      <c r="C94" s="13" t="e">
        <f>VLOOKUP($B94,#REF!,E$1,FALSE)</f>
        <v>#REF!</v>
      </c>
      <c r="D94" s="25" t="e">
        <f>VLOOKUP($B94,#REF!,F$1,FALSE)</f>
        <v>#REF!</v>
      </c>
      <c r="E94" s="13" t="e">
        <f>VLOOKUP($B94,#REF!,C$1,FALSE)</f>
        <v>#REF!</v>
      </c>
      <c r="F94" s="25" t="e">
        <f>VLOOKUP($B94,#REF!,D$1,FALSE)</f>
        <v>#REF!</v>
      </c>
      <c r="G94" s="14" t="e">
        <f>IF(VLOOKUP($B94,#REF!,G$1,FALSE)=0,0.0001,VLOOKUP($B94,#REF!,G$1,FALSE))</f>
        <v>#REF!</v>
      </c>
      <c r="H94" s="23">
        <v>0</v>
      </c>
      <c r="I94" s="24">
        <v>999999999</v>
      </c>
      <c r="K94" s="24">
        <v>999999999</v>
      </c>
      <c r="L94" s="24"/>
      <c r="M94" s="38">
        <v>999999999</v>
      </c>
      <c r="N94" s="38">
        <v>999999999</v>
      </c>
      <c r="O94" s="37" t="e">
        <f>D94</f>
        <v>#REF!</v>
      </c>
      <c r="P94" s="37" t="e">
        <f>F94</f>
        <v>#REF!</v>
      </c>
      <c r="Q94" s="14" t="e">
        <f>G94</f>
        <v>#REF!</v>
      </c>
      <c r="R94" s="14" t="s">
        <v>186</v>
      </c>
      <c r="S94" s="15">
        <f>IF((H94&gt;0),IF((H94-I94)=0,"a",IF(H94/I94&lt;0.5,"b","c")),)</f>
        <v>0</v>
      </c>
      <c r="T94" s="4" t="e">
        <f>VLOOKUP(B94,#REF!,7,FALSE)</f>
        <v>#REF!</v>
      </c>
    </row>
    <row r="95" spans="1:20" x14ac:dyDescent="0.35">
      <c r="A95" s="13"/>
      <c r="B95" s="13">
        <v>77</v>
      </c>
      <c r="C95" s="13" t="e">
        <f>VLOOKUP($B95,#REF!,E$1,FALSE)</f>
        <v>#REF!</v>
      </c>
      <c r="D95" s="25" t="e">
        <f>VLOOKUP($B95,#REF!,F$1,FALSE)</f>
        <v>#REF!</v>
      </c>
      <c r="E95" s="13" t="e">
        <f>VLOOKUP($B95,#REF!,C$1,FALSE)</f>
        <v>#REF!</v>
      </c>
      <c r="F95" s="25" t="e">
        <f>VLOOKUP($B95,#REF!,D$1,FALSE)</f>
        <v>#REF!</v>
      </c>
      <c r="G95" s="14" t="e">
        <f>IF(VLOOKUP($B95,#REF!,G$1,FALSE)=0,0.0001,VLOOKUP($B95,#REF!,G$1,FALSE))</f>
        <v>#REF!</v>
      </c>
      <c r="H95" s="23">
        <v>0</v>
      </c>
      <c r="I95" s="24">
        <v>999999999</v>
      </c>
      <c r="K95" s="24">
        <v>999999999</v>
      </c>
      <c r="L95" s="24"/>
      <c r="M95" s="38">
        <v>999999999</v>
      </c>
      <c r="N95" s="38">
        <v>999999999</v>
      </c>
      <c r="O95" s="37" t="e">
        <f>D95</f>
        <v>#REF!</v>
      </c>
      <c r="P95" s="37" t="e">
        <f>F95</f>
        <v>#REF!</v>
      </c>
      <c r="Q95" s="14" t="e">
        <f>G95</f>
        <v>#REF!</v>
      </c>
      <c r="R95" s="14" t="s">
        <v>179</v>
      </c>
      <c r="S95" s="15">
        <f>IF((H95&gt;0),IF((H95-I95)=0,"a",IF(H95/I95&lt;0.5,"b","c")),)</f>
        <v>0</v>
      </c>
      <c r="T95" s="4" t="e">
        <f>VLOOKUP(B95,#REF!,7,FALSE)</f>
        <v>#REF!</v>
      </c>
    </row>
    <row r="96" spans="1:20" x14ac:dyDescent="0.35">
      <c r="A96" s="13"/>
      <c r="C96" s="4"/>
      <c r="E96" s="4"/>
      <c r="I96" s="4"/>
      <c r="K96" s="4"/>
      <c r="L96" s="4"/>
      <c r="M96" s="36"/>
      <c r="N96" s="36"/>
      <c r="O96" s="37"/>
      <c r="P96" s="37"/>
      <c r="Q96" s="14"/>
    </row>
    <row r="97" spans="1:20" x14ac:dyDescent="0.35">
      <c r="A97" s="13"/>
      <c r="B97" s="13">
        <v>83</v>
      </c>
      <c r="C97" s="13" t="e">
        <f>VLOOKUP($B97,#REF!,C$1,FALSE)</f>
        <v>#REF!</v>
      </c>
      <c r="D97" s="25" t="e">
        <f>VLOOKUP($B97,#REF!,D$1,FALSE)</f>
        <v>#REF!</v>
      </c>
      <c r="E97" s="13" t="e">
        <f>VLOOKUP($B97,#REF!,E$1,FALSE)</f>
        <v>#REF!</v>
      </c>
      <c r="F97" s="25" t="e">
        <f>VLOOKUP($B97,#REF!,F$1,FALSE)</f>
        <v>#REF!</v>
      </c>
      <c r="G97" s="11" t="e">
        <f>IF(VLOOKUP($B97,#REF!,G$1,FALSE)=0,0.0001,VLOOKUP($B97,#REF!,G$1,FALSE))</f>
        <v>#REF!</v>
      </c>
      <c r="H97" s="23">
        <v>12720.319</v>
      </c>
      <c r="I97" s="24">
        <v>999999999</v>
      </c>
      <c r="M97" s="38">
        <v>999999999</v>
      </c>
      <c r="N97" s="32"/>
      <c r="O97" s="37" t="e">
        <f>D97</f>
        <v>#REF!</v>
      </c>
      <c r="P97" s="37" t="e">
        <f>F97</f>
        <v>#REF!</v>
      </c>
      <c r="Q97" s="14" t="e">
        <f>G97</f>
        <v>#REF!</v>
      </c>
      <c r="R97" s="14" t="s">
        <v>186</v>
      </c>
      <c r="S97" s="15" t="str">
        <f>IF((H97&gt;0),IF((H97-I97)=0,"a",IF(H97/I97&lt;0.5,"b","c")),)</f>
        <v>b</v>
      </c>
      <c r="T97" s="4" t="e">
        <f>VLOOKUP(B97,#REF!,7,FALSE)</f>
        <v>#REF!</v>
      </c>
    </row>
    <row r="98" spans="1:20" x14ac:dyDescent="0.35">
      <c r="A98" s="13"/>
      <c r="B98" s="13">
        <v>84</v>
      </c>
      <c r="C98" s="13" t="e">
        <f>VLOOKUP($B98,#REF!,C$1,FALSE)</f>
        <v>#REF!</v>
      </c>
      <c r="D98" s="25" t="e">
        <f>VLOOKUP($B98,#REF!,D$1,FALSE)</f>
        <v>#REF!</v>
      </c>
      <c r="E98" s="13" t="e">
        <f>VLOOKUP($B98,#REF!,E$1,FALSE)</f>
        <v>#REF!</v>
      </c>
      <c r="F98" s="25" t="e">
        <f>VLOOKUP($B98,#REF!,F$1,FALSE)</f>
        <v>#REF!</v>
      </c>
      <c r="G98" s="11" t="e">
        <f>IF(VLOOKUP($B98,#REF!,G$1,FALSE)=0,0.0001,VLOOKUP($B98,#REF!,G$1,FALSE))</f>
        <v>#REF!</v>
      </c>
      <c r="H98" s="23">
        <v>0</v>
      </c>
      <c r="I98" s="24">
        <v>999999999</v>
      </c>
      <c r="K98" s="24">
        <v>999999999</v>
      </c>
      <c r="L98" s="24"/>
      <c r="M98" s="38">
        <v>999999999</v>
      </c>
      <c r="N98" s="38">
        <v>999999999</v>
      </c>
      <c r="O98" s="37" t="e">
        <f>D98</f>
        <v>#REF!</v>
      </c>
      <c r="P98" s="37" t="e">
        <f>F98</f>
        <v>#REF!</v>
      </c>
      <c r="Q98" s="14" t="e">
        <f>G98</f>
        <v>#REF!</v>
      </c>
      <c r="R98" s="14" t="s">
        <v>186</v>
      </c>
      <c r="S98" s="15">
        <f>IF((H98&gt;0),IF((H98-I98)=0,"a",IF(H98/I98&lt;0.5,"b","c")),)</f>
        <v>0</v>
      </c>
      <c r="T98" s="4" t="e">
        <f>VLOOKUP(B98,#REF!,7,FALSE)</f>
        <v>#REF!</v>
      </c>
    </row>
    <row r="99" spans="1:20" x14ac:dyDescent="0.35">
      <c r="A99" s="13"/>
      <c r="M99" s="32"/>
      <c r="N99" s="32"/>
      <c r="O99" s="37"/>
      <c r="P99" s="37"/>
      <c r="Q99" s="14"/>
    </row>
    <row r="100" spans="1:20" x14ac:dyDescent="0.35">
      <c r="A100" s="13"/>
      <c r="B100" s="13">
        <v>95</v>
      </c>
      <c r="C100" s="13" t="e">
        <f>VLOOKUP($B100,#REF!,C$1,FALSE)</f>
        <v>#REF!</v>
      </c>
      <c r="D100" s="25" t="e">
        <f>VLOOKUP($B100,#REF!,D$1,FALSE)</f>
        <v>#REF!</v>
      </c>
      <c r="E100" s="13" t="e">
        <f>VLOOKUP($B100,#REF!,E$1,FALSE)</f>
        <v>#REF!</v>
      </c>
      <c r="F100" s="25" t="e">
        <f>VLOOKUP($B100,#REF!,F$1,FALSE)</f>
        <v>#REF!</v>
      </c>
      <c r="G100" s="14" t="e">
        <f>IF(VLOOKUP($B100,#REF!,G$1,FALSE)=0,0.0001,VLOOKUP($B100,#REF!,G$1,FALSE))</f>
        <v>#REF!</v>
      </c>
      <c r="H100" s="23">
        <v>986.50365999999997</v>
      </c>
      <c r="I100" s="24">
        <v>999999999</v>
      </c>
      <c r="M100" s="38">
        <v>999999999</v>
      </c>
      <c r="N100" s="32"/>
      <c r="O100" s="37" t="e">
        <f>D100</f>
        <v>#REF!</v>
      </c>
      <c r="P100" s="37" t="e">
        <f>F100</f>
        <v>#REF!</v>
      </c>
      <c r="Q100" s="14" t="e">
        <f>G100</f>
        <v>#REF!</v>
      </c>
      <c r="R100" s="35" t="s">
        <v>190</v>
      </c>
      <c r="S100" s="15" t="str">
        <f t="shared" ref="S100:S110" si="6">IF((H100&gt;0),IF((H100-I100)=0,"a",IF(H100/I100&lt;0.5,"b","c")),)</f>
        <v>b</v>
      </c>
      <c r="T100" s="4" t="e">
        <f>VLOOKUP(B100,#REF!,7,FALSE)</f>
        <v>#REF!</v>
      </c>
    </row>
    <row r="101" spans="1:20" x14ac:dyDescent="0.35">
      <c r="A101" s="13"/>
      <c r="B101" s="13">
        <v>94</v>
      </c>
      <c r="C101" s="13" t="e">
        <f>VLOOKUP($B101,#REF!,C$1,FALSE)</f>
        <v>#REF!</v>
      </c>
      <c r="D101" s="25" t="e">
        <f>VLOOKUP($B101,#REF!,D$1,FALSE)</f>
        <v>#REF!</v>
      </c>
      <c r="E101" s="13" t="e">
        <f>VLOOKUP($B101,#REF!,E$1,FALSE)</f>
        <v>#REF!</v>
      </c>
      <c r="F101" s="25" t="e">
        <f>VLOOKUP($B101,#REF!,F$1,FALSE)</f>
        <v>#REF!</v>
      </c>
      <c r="G101" s="14" t="e">
        <f>IF(VLOOKUP($B101,#REF!,G$1,FALSE)=0,0.0001,VLOOKUP($B101,#REF!,G$1,FALSE))</f>
        <v>#REF!</v>
      </c>
      <c r="H101" s="23">
        <v>1437.6048000000001</v>
      </c>
      <c r="I101" s="24">
        <v>999999999</v>
      </c>
      <c r="M101" s="433">
        <v>999999999</v>
      </c>
      <c r="N101" s="433"/>
      <c r="O101" s="434" t="e">
        <f>D102</f>
        <v>#REF!</v>
      </c>
      <c r="P101" s="434" t="e">
        <f>F101</f>
        <v>#REF!</v>
      </c>
      <c r="Q101" s="437" t="e">
        <f>SUM(G101:G102)</f>
        <v>#REF!</v>
      </c>
      <c r="R101" s="35" t="s">
        <v>190</v>
      </c>
      <c r="S101" s="15" t="str">
        <f t="shared" si="6"/>
        <v>b</v>
      </c>
      <c r="T101" s="4" t="e">
        <f>VLOOKUP(B101,#REF!,7,FALSE)</f>
        <v>#REF!</v>
      </c>
    </row>
    <row r="102" spans="1:20" x14ac:dyDescent="0.35">
      <c r="A102" s="13"/>
      <c r="B102" s="13">
        <v>93</v>
      </c>
      <c r="C102" s="13" t="e">
        <f>VLOOKUP($B102,#REF!,C$1,FALSE)</f>
        <v>#REF!</v>
      </c>
      <c r="D102" s="25" t="e">
        <f>VLOOKUP($B102,#REF!,D$1,FALSE)</f>
        <v>#REF!</v>
      </c>
      <c r="E102" s="13" t="e">
        <f>VLOOKUP($B102,#REF!,E$1,FALSE)</f>
        <v>#REF!</v>
      </c>
      <c r="F102" s="25" t="e">
        <f>VLOOKUP($B102,#REF!,F$1,FALSE)</f>
        <v>#REF!</v>
      </c>
      <c r="G102" s="14" t="e">
        <f>IF(VLOOKUP($B102,#REF!,G$1,FALSE)=0,0.0001,VLOOKUP($B102,#REF!,G$1,FALSE))</f>
        <v>#REF!</v>
      </c>
      <c r="H102" s="23">
        <v>1787.7670000000001</v>
      </c>
      <c r="I102" s="24">
        <v>999999999</v>
      </c>
      <c r="M102" s="433"/>
      <c r="N102" s="433"/>
      <c r="O102" s="434"/>
      <c r="P102" s="434"/>
      <c r="Q102" s="437"/>
      <c r="R102" s="35" t="s">
        <v>190</v>
      </c>
      <c r="S102" s="15" t="str">
        <f t="shared" si="6"/>
        <v>b</v>
      </c>
      <c r="T102" s="4" t="e">
        <f>VLOOKUP(B102,#REF!,7,FALSE)</f>
        <v>#REF!</v>
      </c>
    </row>
    <row r="103" spans="1:20" x14ac:dyDescent="0.35">
      <c r="A103" s="13"/>
      <c r="B103" s="13">
        <v>92</v>
      </c>
      <c r="C103" s="13" t="e">
        <f>VLOOKUP($B103,#REF!,C$1,FALSE)</f>
        <v>#REF!</v>
      </c>
      <c r="D103" s="25" t="e">
        <f>VLOOKUP($B103,#REF!,D$1,FALSE)</f>
        <v>#REF!</v>
      </c>
      <c r="E103" s="13" t="e">
        <f>VLOOKUP($B103,#REF!,E$1,FALSE)</f>
        <v>#REF!</v>
      </c>
      <c r="F103" s="25" t="e">
        <f>VLOOKUP($B103,#REF!,F$1,FALSE)</f>
        <v>#REF!</v>
      </c>
      <c r="G103" s="14" t="e">
        <f>IF(VLOOKUP($B103,#REF!,G$1,FALSE)=0,0.0001,VLOOKUP($B103,#REF!,G$1,FALSE))</f>
        <v>#REF!</v>
      </c>
      <c r="H103" s="23">
        <v>2579.5796999999998</v>
      </c>
      <c r="I103" s="24">
        <v>999999999</v>
      </c>
      <c r="M103" s="433">
        <v>999999999</v>
      </c>
      <c r="N103" s="433"/>
      <c r="O103" s="434" t="e">
        <f>D104</f>
        <v>#REF!</v>
      </c>
      <c r="P103" s="434" t="e">
        <f>F103</f>
        <v>#REF!</v>
      </c>
      <c r="Q103" s="437" t="e">
        <f>SUM(G103:G104)</f>
        <v>#REF!</v>
      </c>
      <c r="R103" s="35" t="s">
        <v>190</v>
      </c>
      <c r="S103" s="15" t="str">
        <f t="shared" si="6"/>
        <v>b</v>
      </c>
      <c r="T103" s="4" t="e">
        <f>VLOOKUP(B103,#REF!,7,FALSE)</f>
        <v>#REF!</v>
      </c>
    </row>
    <row r="104" spans="1:20" x14ac:dyDescent="0.35">
      <c r="A104" s="13"/>
      <c r="B104" s="13">
        <v>91</v>
      </c>
      <c r="C104" s="13" t="e">
        <f>VLOOKUP($B104,#REF!,C$1,FALSE)</f>
        <v>#REF!</v>
      </c>
      <c r="D104" s="25" t="e">
        <f>VLOOKUP($B104,#REF!,D$1,FALSE)</f>
        <v>#REF!</v>
      </c>
      <c r="E104" s="13" t="e">
        <f>VLOOKUP($B104,#REF!,E$1,FALSE)</f>
        <v>#REF!</v>
      </c>
      <c r="F104" s="25" t="e">
        <f>VLOOKUP($B104,#REF!,F$1,FALSE)</f>
        <v>#REF!</v>
      </c>
      <c r="G104" s="14" t="e">
        <f>IF(VLOOKUP($B104,#REF!,G$1,FALSE)=0,0.0001,VLOOKUP($B104,#REF!,G$1,FALSE))</f>
        <v>#REF!</v>
      </c>
      <c r="H104" s="23">
        <v>2769.5459999999998</v>
      </c>
      <c r="I104" s="24">
        <v>999999999</v>
      </c>
      <c r="M104" s="433"/>
      <c r="N104" s="433"/>
      <c r="O104" s="434"/>
      <c r="P104" s="434"/>
      <c r="Q104" s="437"/>
      <c r="R104" s="35" t="s">
        <v>190</v>
      </c>
      <c r="S104" s="15" t="str">
        <f t="shared" si="6"/>
        <v>b</v>
      </c>
      <c r="T104" s="4" t="e">
        <f>VLOOKUP(B104,#REF!,7,FALSE)</f>
        <v>#REF!</v>
      </c>
    </row>
    <row r="105" spans="1:20" x14ac:dyDescent="0.35">
      <c r="A105" s="13"/>
      <c r="B105" s="13">
        <v>90</v>
      </c>
      <c r="C105" s="13" t="e">
        <f>VLOOKUP($B105,#REF!,C$1,FALSE)</f>
        <v>#REF!</v>
      </c>
      <c r="D105" s="25" t="e">
        <f>VLOOKUP($B105,#REF!,D$1,FALSE)</f>
        <v>#REF!</v>
      </c>
      <c r="E105" s="13" t="e">
        <f>VLOOKUP($B105,#REF!,E$1,FALSE)</f>
        <v>#REF!</v>
      </c>
      <c r="F105" s="25" t="e">
        <f>VLOOKUP($B105,#REF!,F$1,FALSE)</f>
        <v>#REF!</v>
      </c>
      <c r="G105" s="14" t="e">
        <f>IF(VLOOKUP($B105,#REF!,G$1,FALSE)=0,0.0001,VLOOKUP($B105,#REF!,G$1,FALSE))</f>
        <v>#REF!</v>
      </c>
      <c r="H105" s="23">
        <v>3967.3595999999998</v>
      </c>
      <c r="I105" s="24">
        <v>999999999</v>
      </c>
      <c r="M105" s="433">
        <v>999999999</v>
      </c>
      <c r="N105" s="433"/>
      <c r="O105" s="434" t="e">
        <f>D106</f>
        <v>#REF!</v>
      </c>
      <c r="P105" s="434" t="e">
        <f>D104</f>
        <v>#REF!</v>
      </c>
      <c r="Q105" s="437" t="e">
        <f>SUM(G105:G106)</f>
        <v>#REF!</v>
      </c>
      <c r="R105" s="432" t="s">
        <v>191</v>
      </c>
      <c r="S105" s="15" t="str">
        <f t="shared" si="6"/>
        <v>b</v>
      </c>
      <c r="T105" s="4" t="e">
        <f>VLOOKUP(B105,#REF!,7,FALSE)</f>
        <v>#REF!</v>
      </c>
    </row>
    <row r="106" spans="1:20" x14ac:dyDescent="0.35">
      <c r="A106" s="13"/>
      <c r="B106" s="13">
        <v>89</v>
      </c>
      <c r="C106" s="13" t="e">
        <f>VLOOKUP($B106,#REF!,C$1,FALSE)</f>
        <v>#REF!</v>
      </c>
      <c r="D106" s="25" t="e">
        <f>VLOOKUP($B106,#REF!,D$1,FALSE)</f>
        <v>#REF!</v>
      </c>
      <c r="E106" s="13" t="e">
        <f>VLOOKUP($B106,#REF!,E$1,FALSE)</f>
        <v>#REF!</v>
      </c>
      <c r="F106" s="25" t="e">
        <f>VLOOKUP($B106,#REF!,F$1,FALSE)</f>
        <v>#REF!</v>
      </c>
      <c r="G106" s="14" t="e">
        <f>IF(VLOOKUP($B106,#REF!,G$1,FALSE)=0,0.0001,VLOOKUP($B106,#REF!,G$1,FALSE))</f>
        <v>#REF!</v>
      </c>
      <c r="H106" s="23">
        <v>3987.0511000000001</v>
      </c>
      <c r="I106" s="24">
        <v>999999999</v>
      </c>
      <c r="M106" s="433"/>
      <c r="N106" s="433"/>
      <c r="O106" s="434"/>
      <c r="P106" s="434"/>
      <c r="Q106" s="437"/>
      <c r="R106" s="432"/>
      <c r="S106" s="15" t="str">
        <f t="shared" si="6"/>
        <v>b</v>
      </c>
      <c r="T106" s="4" t="e">
        <f>VLOOKUP(B106,#REF!,7,FALSE)</f>
        <v>#REF!</v>
      </c>
    </row>
    <row r="107" spans="1:20" x14ac:dyDescent="0.35">
      <c r="A107" s="13"/>
      <c r="B107" s="13">
        <v>88</v>
      </c>
      <c r="C107" s="13" t="e">
        <f>VLOOKUP($B107,#REF!,C$1,FALSE)</f>
        <v>#REF!</v>
      </c>
      <c r="D107" s="25" t="e">
        <f>VLOOKUP($B107,#REF!,D$1,FALSE)</f>
        <v>#REF!</v>
      </c>
      <c r="E107" s="13" t="e">
        <f>VLOOKUP($B107,#REF!,E$1,FALSE)</f>
        <v>#REF!</v>
      </c>
      <c r="F107" s="25" t="e">
        <f>VLOOKUP($B107,#REF!,F$1,FALSE)</f>
        <v>#REF!</v>
      </c>
      <c r="G107" s="14" t="e">
        <f>IF(VLOOKUP($B107,#REF!,G$1,FALSE)=0,0.0001,VLOOKUP($B107,#REF!,G$1,FALSE))</f>
        <v>#REF!</v>
      </c>
      <c r="H107" s="23">
        <v>4088.2190999999998</v>
      </c>
      <c r="I107" s="24">
        <v>999999999</v>
      </c>
      <c r="M107" s="38">
        <v>999999999</v>
      </c>
      <c r="N107" s="32"/>
      <c r="O107" s="37" t="e">
        <f>D107</f>
        <v>#REF!</v>
      </c>
      <c r="P107" s="37" t="e">
        <f t="shared" ref="P107:Q110" si="7">F107</f>
        <v>#REF!</v>
      </c>
      <c r="Q107" s="14" t="e">
        <f t="shared" si="7"/>
        <v>#REF!</v>
      </c>
      <c r="R107" s="35" t="s">
        <v>192</v>
      </c>
      <c r="S107" s="15" t="str">
        <f t="shared" si="6"/>
        <v>b</v>
      </c>
      <c r="T107" s="4" t="e">
        <f>VLOOKUP(B107,#REF!,7,FALSE)</f>
        <v>#REF!</v>
      </c>
    </row>
    <row r="108" spans="1:20" x14ac:dyDescent="0.35">
      <c r="A108" s="13"/>
      <c r="B108" s="13">
        <v>87</v>
      </c>
      <c r="C108" s="13" t="e">
        <f>VLOOKUP($B108,#REF!,C$1,FALSE)</f>
        <v>#REF!</v>
      </c>
      <c r="D108" s="25" t="e">
        <f>VLOOKUP($B108,#REF!,D$1,FALSE)</f>
        <v>#REF!</v>
      </c>
      <c r="E108" s="13" t="e">
        <f>VLOOKUP($B108,#REF!,E$1,FALSE)</f>
        <v>#REF!</v>
      </c>
      <c r="F108" s="25" t="e">
        <f>VLOOKUP($B108,#REF!,F$1,FALSE)</f>
        <v>#REF!</v>
      </c>
      <c r="G108" s="14" t="e">
        <f>IF(VLOOKUP($B108,#REF!,G$1,FALSE)=0,0.0001,VLOOKUP($B108,#REF!,G$1,FALSE))</f>
        <v>#REF!</v>
      </c>
      <c r="H108" s="23">
        <v>4547.7695000000003</v>
      </c>
      <c r="I108" s="24">
        <v>999999999</v>
      </c>
      <c r="M108" s="38">
        <v>999999999</v>
      </c>
      <c r="N108" s="32"/>
      <c r="O108" s="37" t="e">
        <f>D108</f>
        <v>#REF!</v>
      </c>
      <c r="P108" s="37" t="e">
        <f t="shared" si="7"/>
        <v>#REF!</v>
      </c>
      <c r="Q108" s="14" t="e">
        <f t="shared" si="7"/>
        <v>#REF!</v>
      </c>
      <c r="R108" s="35" t="s">
        <v>192</v>
      </c>
      <c r="S108" s="15" t="str">
        <f t="shared" si="6"/>
        <v>b</v>
      </c>
      <c r="T108" s="4" t="e">
        <f>VLOOKUP(B108,#REF!,7,FALSE)</f>
        <v>#REF!</v>
      </c>
    </row>
    <row r="109" spans="1:20" x14ac:dyDescent="0.35">
      <c r="A109" s="13"/>
      <c r="B109" s="13">
        <v>85</v>
      </c>
      <c r="C109" s="13" t="e">
        <f>VLOOKUP($B109,#REF!,C$1,FALSE)</f>
        <v>#REF!</v>
      </c>
      <c r="D109" s="25" t="e">
        <f>VLOOKUP($B109,#REF!,D$1,FALSE)</f>
        <v>#REF!</v>
      </c>
      <c r="E109" s="13" t="e">
        <f>VLOOKUP($B109,#REF!,E$1,FALSE)</f>
        <v>#REF!</v>
      </c>
      <c r="F109" s="25" t="e">
        <f>VLOOKUP($B109,#REF!,F$1,FALSE)</f>
        <v>#REF!</v>
      </c>
      <c r="G109" s="14" t="e">
        <f>IF(VLOOKUP($B109,#REF!,G$1,FALSE)=0,0.0001,VLOOKUP($B109,#REF!,G$1,FALSE))</f>
        <v>#REF!</v>
      </c>
      <c r="H109" s="23">
        <v>0</v>
      </c>
      <c r="I109" s="24">
        <v>999999999</v>
      </c>
      <c r="M109" s="38">
        <v>999999999</v>
      </c>
      <c r="N109" s="32"/>
      <c r="O109" s="37" t="e">
        <f>D109</f>
        <v>#REF!</v>
      </c>
      <c r="P109" s="37" t="e">
        <f t="shared" si="7"/>
        <v>#REF!</v>
      </c>
      <c r="Q109" s="14" t="e">
        <f t="shared" si="7"/>
        <v>#REF!</v>
      </c>
      <c r="R109" s="14" t="s">
        <v>193</v>
      </c>
      <c r="S109" s="15">
        <f t="shared" si="6"/>
        <v>0</v>
      </c>
      <c r="T109" s="4" t="e">
        <f>VLOOKUP(B109,#REF!,7,FALSE)</f>
        <v>#REF!</v>
      </c>
    </row>
    <row r="110" spans="1:20" x14ac:dyDescent="0.35">
      <c r="A110" s="13"/>
      <c r="B110" s="13">
        <v>86</v>
      </c>
      <c r="C110" s="13" t="e">
        <f>VLOOKUP($B110,#REF!,C$1,FALSE)</f>
        <v>#REF!</v>
      </c>
      <c r="D110" s="25" t="e">
        <f>VLOOKUP($B110,#REF!,D$1,FALSE)</f>
        <v>#REF!</v>
      </c>
      <c r="E110" s="13" t="e">
        <f>VLOOKUP($B110,#REF!,E$1,FALSE)</f>
        <v>#REF!</v>
      </c>
      <c r="F110" s="25" t="e">
        <f>VLOOKUP($B110,#REF!,F$1,FALSE)</f>
        <v>#REF!</v>
      </c>
      <c r="G110" s="14" t="e">
        <f>IF(VLOOKUP($B110,#REF!,G$1,FALSE)=0,0.0001,VLOOKUP($B110,#REF!,G$1,FALSE))</f>
        <v>#REF!</v>
      </c>
      <c r="H110" s="23">
        <v>4604.1985000000004</v>
      </c>
      <c r="I110" s="24">
        <v>999999999</v>
      </c>
      <c r="M110" s="38">
        <v>999999999</v>
      </c>
      <c r="N110" s="32"/>
      <c r="O110" s="37" t="e">
        <f>D110</f>
        <v>#REF!</v>
      </c>
      <c r="P110" s="37" t="e">
        <f t="shared" si="7"/>
        <v>#REF!</v>
      </c>
      <c r="Q110" s="14" t="e">
        <f t="shared" si="7"/>
        <v>#REF!</v>
      </c>
      <c r="R110" s="14" t="s">
        <v>193</v>
      </c>
      <c r="S110" s="15" t="str">
        <f t="shared" si="6"/>
        <v>b</v>
      </c>
      <c r="T110" s="4" t="e">
        <f>VLOOKUP(B110,#REF!,7,FALSE)</f>
        <v>#REF!</v>
      </c>
    </row>
    <row r="111" spans="1:20" x14ac:dyDescent="0.35">
      <c r="A111" s="13"/>
      <c r="O111" s="37"/>
      <c r="P111" s="37"/>
      <c r="Q111" s="14"/>
    </row>
    <row r="112" spans="1:20" x14ac:dyDescent="0.35">
      <c r="A112" s="13"/>
      <c r="B112" s="13">
        <v>96</v>
      </c>
      <c r="C112" s="13" t="e">
        <f>VLOOKUP($B112,#REF!,C$1,FALSE)</f>
        <v>#REF!</v>
      </c>
      <c r="D112" s="25" t="e">
        <f>VLOOKUP($B112,#REF!,D$1,FALSE)</f>
        <v>#REF!</v>
      </c>
      <c r="E112" s="13" t="e">
        <f>VLOOKUP($B112,#REF!,E$1,FALSE)</f>
        <v>#REF!</v>
      </c>
      <c r="F112" s="25" t="e">
        <f>VLOOKUP($B112,#REF!,F$1,FALSE)</f>
        <v>#REF!</v>
      </c>
      <c r="G112" s="14" t="e">
        <f>IF(VLOOKUP($B112,#REF!,G$1,FALSE)=0,0.0001,VLOOKUP($B112,#REF!,G$1,FALSE))</f>
        <v>#REF!</v>
      </c>
      <c r="H112" s="23">
        <v>1142.3041000000001</v>
      </c>
      <c r="I112" s="24">
        <v>999999999</v>
      </c>
      <c r="M112" s="24">
        <v>999999999</v>
      </c>
      <c r="O112" s="37" t="e">
        <f>D112</f>
        <v>#REF!</v>
      </c>
      <c r="P112" s="37" t="e">
        <f>F112</f>
        <v>#REF!</v>
      </c>
      <c r="Q112" s="14" t="e">
        <f>G112</f>
        <v>#REF!</v>
      </c>
      <c r="R112" s="14" t="s">
        <v>189</v>
      </c>
      <c r="S112" s="15" t="str">
        <f t="shared" ref="S112:S117" si="8">IF((H112&gt;0),IF((H112-I112)=0,"a",IF(H112/I112&lt;0.5,"b","c")),)</f>
        <v>b</v>
      </c>
      <c r="T112" s="4" t="e">
        <f>VLOOKUP(B112,#REF!,7,FALSE)</f>
        <v>#REF!</v>
      </c>
    </row>
    <row r="113" spans="1:20" x14ac:dyDescent="0.35">
      <c r="A113" s="13"/>
      <c r="B113" s="13">
        <v>97</v>
      </c>
      <c r="C113" s="13" t="e">
        <f>VLOOKUP($B113,#REF!,E$1,FALSE)</f>
        <v>#REF!</v>
      </c>
      <c r="D113" s="25" t="e">
        <f>VLOOKUP($B113,#REF!,F$1,FALSE)</f>
        <v>#REF!</v>
      </c>
      <c r="E113" s="13" t="e">
        <f>VLOOKUP($B113,#REF!,C$1,FALSE)</f>
        <v>#REF!</v>
      </c>
      <c r="F113" s="25" t="e">
        <f>VLOOKUP($B113,#REF!,D$1,FALSE)</f>
        <v>#REF!</v>
      </c>
      <c r="G113" s="14" t="e">
        <f>IF(VLOOKUP($B113,#REF!,G$1,FALSE)=0,0.0001,VLOOKUP($B113,#REF!,G$1,FALSE))</f>
        <v>#REF!</v>
      </c>
      <c r="H113" s="23">
        <v>2166.3685999999998</v>
      </c>
      <c r="I113" s="24">
        <v>999999999</v>
      </c>
      <c r="K113" s="24">
        <v>999999999</v>
      </c>
      <c r="L113" s="24"/>
      <c r="M113" s="433">
        <v>999999999</v>
      </c>
      <c r="N113" s="433">
        <v>999999999</v>
      </c>
      <c r="O113" s="434" t="e">
        <f>D114</f>
        <v>#REF!</v>
      </c>
      <c r="P113" s="434" t="e">
        <f>F113</f>
        <v>#REF!</v>
      </c>
      <c r="Q113" s="437" t="e">
        <f>SUM(G113:G114)</f>
        <v>#REF!</v>
      </c>
      <c r="R113" s="432" t="s">
        <v>189</v>
      </c>
      <c r="S113" s="15" t="str">
        <f t="shared" si="8"/>
        <v>b</v>
      </c>
      <c r="T113" s="4" t="e">
        <f>VLOOKUP(B113,#REF!,7,FALSE)</f>
        <v>#REF!</v>
      </c>
    </row>
    <row r="114" spans="1:20" x14ac:dyDescent="0.35">
      <c r="A114" s="13"/>
      <c r="B114" s="13">
        <v>98</v>
      </c>
      <c r="C114" s="13" t="e">
        <f>VLOOKUP($B114,#REF!,E$1,FALSE)</f>
        <v>#REF!</v>
      </c>
      <c r="D114" s="25" t="e">
        <f>VLOOKUP($B114,#REF!,F$1,FALSE)</f>
        <v>#REF!</v>
      </c>
      <c r="E114" s="13" t="e">
        <f>VLOOKUP($B114,#REF!,C$1,FALSE)</f>
        <v>#REF!</v>
      </c>
      <c r="F114" s="25" t="e">
        <f>VLOOKUP($B114,#REF!,D$1,FALSE)</f>
        <v>#REF!</v>
      </c>
      <c r="G114" s="14" t="e">
        <f>IF(VLOOKUP($B114,#REF!,G$1,FALSE)=0,0.0001,VLOOKUP($B114,#REF!,G$1,FALSE))</f>
        <v>#REF!</v>
      </c>
      <c r="H114" s="23">
        <v>2259.8852999999999</v>
      </c>
      <c r="I114" s="24">
        <v>999999999</v>
      </c>
      <c r="K114" s="24">
        <v>999999999</v>
      </c>
      <c r="L114" s="24"/>
      <c r="M114" s="433"/>
      <c r="N114" s="433"/>
      <c r="O114" s="434"/>
      <c r="P114" s="434"/>
      <c r="Q114" s="437"/>
      <c r="R114" s="432"/>
      <c r="S114" s="15" t="str">
        <f t="shared" si="8"/>
        <v>b</v>
      </c>
      <c r="T114" s="4" t="e">
        <f>VLOOKUP(B114,#REF!,7,FALSE)</f>
        <v>#REF!</v>
      </c>
    </row>
    <row r="115" spans="1:20" x14ac:dyDescent="0.35">
      <c r="A115" s="13"/>
      <c r="B115" s="13">
        <v>99</v>
      </c>
      <c r="C115" s="13" t="e">
        <f>VLOOKUP($B115,#REF!,E$1,FALSE)</f>
        <v>#REF!</v>
      </c>
      <c r="D115" s="25" t="e">
        <f>VLOOKUP($B115,#REF!,F$1,FALSE)</f>
        <v>#REF!</v>
      </c>
      <c r="E115" s="13" t="e">
        <f>VLOOKUP($B115,#REF!,C$1,FALSE)</f>
        <v>#REF!</v>
      </c>
      <c r="F115" s="25" t="e">
        <f>VLOOKUP($B115,#REF!,D$1,FALSE)</f>
        <v>#REF!</v>
      </c>
      <c r="G115" s="14" t="e">
        <f>IF(VLOOKUP($B115,#REF!,G$1,FALSE)=0,0.0001,VLOOKUP($B115,#REF!,G$1,FALSE))</f>
        <v>#REF!</v>
      </c>
      <c r="H115" s="23">
        <v>2279.4191000000001</v>
      </c>
      <c r="I115" s="24">
        <v>999999999</v>
      </c>
      <c r="K115" s="24">
        <v>999999999</v>
      </c>
      <c r="L115" s="24"/>
      <c r="M115" s="24">
        <v>999999999</v>
      </c>
      <c r="N115" s="24">
        <v>999999999</v>
      </c>
      <c r="O115" s="37" t="e">
        <f>D115</f>
        <v>#REF!</v>
      </c>
      <c r="P115" s="37" t="e">
        <f t="shared" ref="P115:Q117" si="9">F115</f>
        <v>#REF!</v>
      </c>
      <c r="Q115" s="14" t="e">
        <f t="shared" si="9"/>
        <v>#REF!</v>
      </c>
      <c r="R115" s="31"/>
      <c r="S115" s="15" t="str">
        <f t="shared" si="8"/>
        <v>b</v>
      </c>
      <c r="T115" s="4" t="e">
        <f>VLOOKUP(B115,#REF!,7,FALSE)</f>
        <v>#REF!</v>
      </c>
    </row>
    <row r="116" spans="1:20" x14ac:dyDescent="0.35">
      <c r="A116" s="13"/>
      <c r="B116" s="13">
        <v>101</v>
      </c>
      <c r="C116" s="13" t="e">
        <f>VLOOKUP($B116,#REF!,C$1,FALSE)</f>
        <v>#REF!</v>
      </c>
      <c r="D116" s="25" t="e">
        <f>VLOOKUP($B116,#REF!,D$1,FALSE)</f>
        <v>#REF!</v>
      </c>
      <c r="E116" s="13" t="e">
        <f>VLOOKUP($B116,#REF!,E$1,FALSE)</f>
        <v>#REF!</v>
      </c>
      <c r="F116" s="25" t="e">
        <f>VLOOKUP($B116,#REF!,F$1,FALSE)</f>
        <v>#REF!</v>
      </c>
      <c r="G116" s="14" t="e">
        <f>IF(VLOOKUP($B116,#REF!,G$1,FALSE)=0,0.0001,VLOOKUP($B116,#REF!,G$1,FALSE))</f>
        <v>#REF!</v>
      </c>
      <c r="H116" s="23">
        <v>2566.5679</v>
      </c>
      <c r="I116" s="24">
        <v>999999999</v>
      </c>
      <c r="M116" s="24">
        <v>999999999</v>
      </c>
      <c r="O116" s="37" t="e">
        <f>D116</f>
        <v>#REF!</v>
      </c>
      <c r="P116" s="37" t="e">
        <f t="shared" si="9"/>
        <v>#REF!</v>
      </c>
      <c r="Q116" s="14" t="e">
        <f t="shared" si="9"/>
        <v>#REF!</v>
      </c>
      <c r="R116" s="14" t="s">
        <v>188</v>
      </c>
      <c r="S116" s="15" t="str">
        <f t="shared" si="8"/>
        <v>b</v>
      </c>
      <c r="T116" s="4" t="e">
        <f>VLOOKUP(B116,#REF!,7,FALSE)</f>
        <v>#REF!</v>
      </c>
    </row>
    <row r="117" spans="1:20" x14ac:dyDescent="0.35">
      <c r="A117" s="13"/>
      <c r="B117" s="13">
        <v>100</v>
      </c>
      <c r="C117" s="13" t="e">
        <f>VLOOKUP($B117,#REF!,E$1,FALSE)</f>
        <v>#REF!</v>
      </c>
      <c r="D117" s="25" t="e">
        <f>VLOOKUP($B117,#REF!,F$1,FALSE)</f>
        <v>#REF!</v>
      </c>
      <c r="E117" s="13" t="e">
        <f>VLOOKUP($B117,#REF!,C$1,FALSE)</f>
        <v>#REF!</v>
      </c>
      <c r="F117" s="25" t="e">
        <f>VLOOKUP($B117,#REF!,D$1,FALSE)</f>
        <v>#REF!</v>
      </c>
      <c r="G117" s="14" t="e">
        <f>IF(VLOOKUP($B117,#REF!,G$1,FALSE)=0,0.0001,VLOOKUP($B117,#REF!,G$1,FALSE))</f>
        <v>#REF!</v>
      </c>
      <c r="H117" s="23">
        <v>13328.395</v>
      </c>
      <c r="I117" s="24">
        <v>999999999</v>
      </c>
      <c r="K117" s="24">
        <v>999999999</v>
      </c>
      <c r="L117" s="24"/>
      <c r="M117" s="24">
        <v>999999999</v>
      </c>
      <c r="N117" s="24">
        <v>999999999</v>
      </c>
      <c r="O117" s="37" t="e">
        <f>D117</f>
        <v>#REF!</v>
      </c>
      <c r="P117" s="37" t="e">
        <f t="shared" si="9"/>
        <v>#REF!</v>
      </c>
      <c r="Q117" s="14" t="e">
        <f t="shared" si="9"/>
        <v>#REF!</v>
      </c>
      <c r="R117" s="14" t="s">
        <v>186</v>
      </c>
      <c r="S117" s="15" t="str">
        <f t="shared" si="8"/>
        <v>b</v>
      </c>
      <c r="T117" s="4" t="e">
        <f>VLOOKUP(B117,#REF!,7,FALSE)</f>
        <v>#REF!</v>
      </c>
    </row>
    <row r="118" spans="1:20" x14ac:dyDescent="0.35">
      <c r="A118" s="13"/>
      <c r="O118" s="37"/>
      <c r="P118" s="37"/>
      <c r="Q118" s="14"/>
    </row>
    <row r="119" spans="1:20" x14ac:dyDescent="0.35">
      <c r="A119" s="13"/>
      <c r="B119" s="13">
        <v>106</v>
      </c>
      <c r="C119" s="13" t="e">
        <f>VLOOKUP($B119,#REF!,C$1,FALSE)</f>
        <v>#REF!</v>
      </c>
      <c r="D119" s="25" t="e">
        <f>VLOOKUP($B119,#REF!,D$1,FALSE)</f>
        <v>#REF!</v>
      </c>
      <c r="E119" s="13" t="e">
        <f>VLOOKUP($B119,#REF!,E$1,FALSE)</f>
        <v>#REF!</v>
      </c>
      <c r="F119" s="25" t="e">
        <f>VLOOKUP($B119,#REF!,F$1,FALSE)</f>
        <v>#REF!</v>
      </c>
      <c r="G119" s="14" t="e">
        <f>IF(VLOOKUP($B119,#REF!,G$1,FALSE)=0,0.0001,VLOOKUP($B119,#REF!,G$1,FALSE))</f>
        <v>#REF!</v>
      </c>
      <c r="H119" s="23">
        <v>1838.9359999999999</v>
      </c>
      <c r="I119" s="24">
        <v>999999999</v>
      </c>
      <c r="M119" s="433">
        <v>999999999</v>
      </c>
      <c r="N119" s="433"/>
      <c r="O119" s="434" t="e">
        <f>D119</f>
        <v>#REF!</v>
      </c>
      <c r="P119" s="434" t="e">
        <f>F120</f>
        <v>#REF!</v>
      </c>
      <c r="Q119" s="437" t="e">
        <f>SUM(G119:G120)</f>
        <v>#REF!</v>
      </c>
      <c r="R119" s="432" t="s">
        <v>194</v>
      </c>
      <c r="S119" s="15" t="str">
        <f>IF((H119&gt;0),IF((H119-I119)=0,"a",IF(H119/I119&lt;0.5,"b","c")),)</f>
        <v>b</v>
      </c>
      <c r="T119" s="4" t="e">
        <f>VLOOKUP(B119,#REF!,7,FALSE)</f>
        <v>#REF!</v>
      </c>
    </row>
    <row r="120" spans="1:20" x14ac:dyDescent="0.35">
      <c r="A120" s="13"/>
      <c r="B120" s="13">
        <v>107</v>
      </c>
      <c r="C120" s="13" t="e">
        <f>VLOOKUP($B120,#REF!,C$1,FALSE)</f>
        <v>#REF!</v>
      </c>
      <c r="D120" s="25" t="e">
        <f>VLOOKUP($B120,#REF!,D$1,FALSE)</f>
        <v>#REF!</v>
      </c>
      <c r="E120" s="13" t="e">
        <f>VLOOKUP($B120,#REF!,E$1,FALSE)</f>
        <v>#REF!</v>
      </c>
      <c r="F120" s="25" t="e">
        <f>VLOOKUP($B120,#REF!,F$1,FALSE)</f>
        <v>#REF!</v>
      </c>
      <c r="G120" s="14" t="e">
        <f>IF(VLOOKUP($B120,#REF!,G$1,FALSE)=0,0.0001,VLOOKUP($B120,#REF!,G$1,FALSE))</f>
        <v>#REF!</v>
      </c>
      <c r="H120" s="23">
        <v>3718.7453999999998</v>
      </c>
      <c r="I120" s="24">
        <v>999999999</v>
      </c>
      <c r="M120" s="433"/>
      <c r="N120" s="433"/>
      <c r="O120" s="434"/>
      <c r="P120" s="434"/>
      <c r="Q120" s="437"/>
      <c r="R120" s="432"/>
      <c r="S120" s="15" t="str">
        <f>IF((H120&gt;0),IF((H120-I120)=0,"a",IF(H120/I120&lt;0.5,"b","c")),)</f>
        <v>b</v>
      </c>
      <c r="T120" s="4" t="e">
        <f>VLOOKUP(B120,#REF!,7,FALSE)</f>
        <v>#REF!</v>
      </c>
    </row>
    <row r="121" spans="1:20" x14ac:dyDescent="0.35">
      <c r="A121" s="13"/>
      <c r="B121" s="13">
        <v>108</v>
      </c>
      <c r="C121" s="13" t="e">
        <f>VLOOKUP($B121,#REF!,C$1,FALSE)</f>
        <v>#REF!</v>
      </c>
      <c r="D121" s="25" t="e">
        <f>VLOOKUP($B121,#REF!,D$1,FALSE)</f>
        <v>#REF!</v>
      </c>
      <c r="E121" s="13" t="e">
        <f>VLOOKUP($B121,#REF!,E$1,FALSE)</f>
        <v>#REF!</v>
      </c>
      <c r="F121" s="25" t="e">
        <f>VLOOKUP($B121,#REF!,F$1,FALSE)</f>
        <v>#REF!</v>
      </c>
      <c r="G121" s="14" t="e">
        <f>IF(VLOOKUP($B121,#REF!,G$1,FALSE)=0,0.0001,VLOOKUP($B121,#REF!,G$1,FALSE))</f>
        <v>#REF!</v>
      </c>
      <c r="H121" s="23">
        <v>722.77566999999999</v>
      </c>
      <c r="I121" s="24">
        <v>999999999</v>
      </c>
      <c r="M121" s="24">
        <v>999999999</v>
      </c>
      <c r="O121" s="37" t="e">
        <f>D121</f>
        <v>#REF!</v>
      </c>
      <c r="P121" s="37" t="e">
        <f>F121</f>
        <v>#REF!</v>
      </c>
      <c r="Q121" s="14" t="e">
        <f>G121</f>
        <v>#REF!</v>
      </c>
      <c r="R121" s="14" t="s">
        <v>193</v>
      </c>
      <c r="S121" s="15" t="str">
        <f>IF((H121&gt;0),IF((H121-I121)=0,"a",IF(H121/I121&lt;0.5,"b","c")),)</f>
        <v>b</v>
      </c>
      <c r="T121" s="4" t="e">
        <f>VLOOKUP(B121,#REF!,7,FALSE)</f>
        <v>#REF!</v>
      </c>
    </row>
    <row r="122" spans="1:20" x14ac:dyDescent="0.35">
      <c r="A122" s="13"/>
      <c r="B122" s="13">
        <v>109</v>
      </c>
      <c r="C122" s="13" t="e">
        <f>VLOOKUP($B122,#REF!,C$1,FALSE)</f>
        <v>#REF!</v>
      </c>
      <c r="D122" s="25" t="e">
        <f>VLOOKUP($B122,#REF!,D$1,FALSE)</f>
        <v>#REF!</v>
      </c>
      <c r="E122" s="13" t="e">
        <f>VLOOKUP($B122,#REF!,E$1,FALSE)</f>
        <v>#REF!</v>
      </c>
      <c r="F122" s="25" t="e">
        <f>VLOOKUP($B122,#REF!,F$1,FALSE)</f>
        <v>#REF!</v>
      </c>
      <c r="G122" s="14" t="e">
        <f>IF(VLOOKUP($B122,#REF!,G$1,FALSE)=0,0.0001,VLOOKUP($B122,#REF!,G$1,FALSE))</f>
        <v>#REF!</v>
      </c>
      <c r="H122" s="23">
        <v>1759.4701</v>
      </c>
      <c r="I122" s="24">
        <v>999999999</v>
      </c>
      <c r="M122" s="24">
        <v>999999999</v>
      </c>
      <c r="O122" s="37" t="e">
        <f>D122</f>
        <v>#REF!</v>
      </c>
      <c r="P122" s="37" t="e">
        <f>F122</f>
        <v>#REF!</v>
      </c>
      <c r="Q122" s="14" t="e">
        <f>G122</f>
        <v>#REF!</v>
      </c>
      <c r="R122" s="14" t="s">
        <v>186</v>
      </c>
      <c r="S122" s="15" t="str">
        <f>IF((H122&gt;0),IF((H122-I122)=0,"a",IF(H122/I122&lt;0.5,"b","c")),)</f>
        <v>b</v>
      </c>
      <c r="T122" s="4" t="e">
        <f>VLOOKUP(B122,#REF!,7,FALSE)</f>
        <v>#REF!</v>
      </c>
    </row>
    <row r="123" spans="1:20" x14ac:dyDescent="0.35">
      <c r="A123" s="13"/>
      <c r="O123" s="37"/>
      <c r="P123" s="37"/>
      <c r="Q123" s="14"/>
    </row>
    <row r="124" spans="1:20" x14ac:dyDescent="0.35">
      <c r="A124" s="13"/>
      <c r="B124" s="13">
        <v>103</v>
      </c>
      <c r="C124" s="13" t="e">
        <f>VLOOKUP($B124,#REF!,C$1,FALSE)</f>
        <v>#REF!</v>
      </c>
      <c r="D124" s="25" t="e">
        <f>VLOOKUP($B124,#REF!,D$1,FALSE)</f>
        <v>#REF!</v>
      </c>
      <c r="E124" s="13" t="e">
        <f>VLOOKUP($B124,#REF!,E$1,FALSE)</f>
        <v>#REF!</v>
      </c>
      <c r="F124" s="25" t="e">
        <f>VLOOKUP($B124,#REF!,F$1,FALSE)</f>
        <v>#REF!</v>
      </c>
      <c r="G124" s="14" t="e">
        <f>IF(VLOOKUP($B124,#REF!,G$1,FALSE)=0,0.0001,VLOOKUP($B124,#REF!,G$1,FALSE))</f>
        <v>#REF!</v>
      </c>
      <c r="H124" s="23">
        <v>0</v>
      </c>
      <c r="I124" s="24">
        <v>999999999</v>
      </c>
      <c r="K124" s="24">
        <v>999999999</v>
      </c>
      <c r="L124" s="24"/>
      <c r="M124" s="24">
        <v>999999999</v>
      </c>
      <c r="N124" s="24">
        <v>999999999</v>
      </c>
      <c r="O124" s="37" t="e">
        <f t="shared" ref="O124:O134" si="10">D124</f>
        <v>#REF!</v>
      </c>
      <c r="P124" s="37" t="e">
        <f t="shared" ref="P124:P134" si="11">F124</f>
        <v>#REF!</v>
      </c>
      <c r="Q124" s="14" t="e">
        <f t="shared" ref="Q124:Q134" si="12">G124</f>
        <v>#REF!</v>
      </c>
      <c r="R124" s="14" t="s">
        <v>194</v>
      </c>
      <c r="S124" s="15">
        <f>IF((H124&gt;0),IF((H124-I124)=0,"a",IF(H124/I124&lt;0.5,"b","c")),)</f>
        <v>0</v>
      </c>
      <c r="T124" s="4" t="e">
        <f>VLOOKUP(B124,#REF!,7,FALSE)</f>
        <v>#REF!</v>
      </c>
    </row>
    <row r="125" spans="1:20" x14ac:dyDescent="0.35">
      <c r="A125" s="13"/>
      <c r="B125" s="13">
        <v>102</v>
      </c>
      <c r="C125" s="13" t="e">
        <f>VLOOKUP($B125,#REF!,C$1,FALSE)</f>
        <v>#REF!</v>
      </c>
      <c r="D125" s="25" t="e">
        <f>VLOOKUP($B125,#REF!,D$1,FALSE)</f>
        <v>#REF!</v>
      </c>
      <c r="E125" s="13" t="e">
        <f>VLOOKUP($B125,#REF!,E$1,FALSE)</f>
        <v>#REF!</v>
      </c>
      <c r="F125" s="25" t="e">
        <f>VLOOKUP($B125,#REF!,F$1,FALSE)</f>
        <v>#REF!</v>
      </c>
      <c r="G125" s="14" t="e">
        <f>IF(VLOOKUP($B125,#REF!,G$1,FALSE)=0,0.0001,VLOOKUP($B125,#REF!,G$1,FALSE))</f>
        <v>#REF!</v>
      </c>
      <c r="H125" s="23">
        <v>2272.8690999999999</v>
      </c>
      <c r="I125" s="24">
        <v>999999999</v>
      </c>
      <c r="M125" s="24">
        <v>999999999</v>
      </c>
      <c r="O125" s="37" t="e">
        <f t="shared" si="10"/>
        <v>#REF!</v>
      </c>
      <c r="P125" s="37" t="e">
        <f t="shared" si="11"/>
        <v>#REF!</v>
      </c>
      <c r="Q125" s="14" t="e">
        <f t="shared" si="12"/>
        <v>#REF!</v>
      </c>
      <c r="R125" s="14" t="s">
        <v>188</v>
      </c>
      <c r="S125" s="15" t="str">
        <f>IF((H125&gt;0),IF((H125-I125)=0,"a",IF(H125/I125&lt;0.5,"b","c")),)</f>
        <v>b</v>
      </c>
      <c r="T125" s="4" t="e">
        <f>VLOOKUP(B125,#REF!,7,FALSE)</f>
        <v>#REF!</v>
      </c>
    </row>
    <row r="126" spans="1:20" x14ac:dyDescent="0.35">
      <c r="A126" s="13"/>
      <c r="B126" s="13">
        <v>104</v>
      </c>
      <c r="C126" s="13" t="e">
        <f>VLOOKUP($B126,#REF!,E$1,FALSE)</f>
        <v>#REF!</v>
      </c>
      <c r="D126" s="25" t="e">
        <f>VLOOKUP($B126,#REF!,F$1,FALSE)</f>
        <v>#REF!</v>
      </c>
      <c r="E126" s="13" t="e">
        <f>VLOOKUP($B126,#REF!,C$1,FALSE)</f>
        <v>#REF!</v>
      </c>
      <c r="F126" s="25" t="e">
        <f>VLOOKUP($B126,#REF!,D$1,FALSE)</f>
        <v>#REF!</v>
      </c>
      <c r="G126" s="14" t="e">
        <f>IF(VLOOKUP($B126,#REF!,G$1,FALSE)=0,0.0001,VLOOKUP($B126,#REF!,G$1,FALSE))</f>
        <v>#REF!</v>
      </c>
      <c r="H126" s="23">
        <v>786.81904999999995</v>
      </c>
      <c r="I126" s="24">
        <v>999999999</v>
      </c>
      <c r="K126" s="24">
        <v>999999999</v>
      </c>
      <c r="L126" s="24"/>
      <c r="M126" s="24">
        <v>999999999</v>
      </c>
      <c r="N126" s="24">
        <v>999999999</v>
      </c>
      <c r="O126" s="37" t="e">
        <f t="shared" si="10"/>
        <v>#REF!</v>
      </c>
      <c r="P126" s="37" t="e">
        <f t="shared" si="11"/>
        <v>#REF!</v>
      </c>
      <c r="Q126" s="14" t="e">
        <f t="shared" si="12"/>
        <v>#REF!</v>
      </c>
      <c r="R126" s="14" t="s">
        <v>194</v>
      </c>
      <c r="S126" s="27" t="str">
        <f>IF((H126&gt;0),IF((H126-I126)=0,"a",IF(H126/I126&lt;0.5,"b","c")),)</f>
        <v>b</v>
      </c>
      <c r="T126" s="4" t="e">
        <f>VLOOKUP(B126,#REF!,7,FALSE)</f>
        <v>#REF!</v>
      </c>
    </row>
    <row r="127" spans="1:20" x14ac:dyDescent="0.35">
      <c r="A127" s="13"/>
      <c r="B127" s="13"/>
      <c r="C127" s="13"/>
      <c r="D127" s="25"/>
      <c r="F127" s="25"/>
      <c r="G127" s="14"/>
      <c r="H127" s="28"/>
      <c r="I127" s="29"/>
      <c r="M127" s="29"/>
      <c r="O127" s="37"/>
      <c r="P127" s="37"/>
      <c r="Q127" s="14"/>
      <c r="R127" s="14"/>
      <c r="S127" s="30"/>
    </row>
    <row r="128" spans="1:20" x14ac:dyDescent="0.35">
      <c r="A128" s="13"/>
      <c r="B128" s="13">
        <v>105</v>
      </c>
      <c r="C128" s="13" t="e">
        <f>VLOOKUP($B128,#REF!,C$1,FALSE)</f>
        <v>#REF!</v>
      </c>
      <c r="D128" s="25" t="e">
        <f>VLOOKUP($B128,#REF!,D$1,FALSE)</f>
        <v>#REF!</v>
      </c>
      <c r="E128" s="13" t="e">
        <f>VLOOKUP($B128,#REF!,E$1,FALSE)</f>
        <v>#REF!</v>
      </c>
      <c r="F128" s="25" t="e">
        <f>VLOOKUP($B128,#REF!,F$1,FALSE)</f>
        <v>#REF!</v>
      </c>
      <c r="G128" s="14" t="e">
        <f>IF(VLOOKUP($B128,#REF!,G$1,FALSE)=0,0.0001,VLOOKUP($B128,#REF!,G$1,FALSE))</f>
        <v>#REF!</v>
      </c>
      <c r="H128" s="23">
        <v>23240.400000000001</v>
      </c>
      <c r="I128" s="24">
        <v>999999999</v>
      </c>
      <c r="K128" s="24">
        <v>999999999</v>
      </c>
      <c r="L128" s="24"/>
      <c r="M128" s="24">
        <v>999999999</v>
      </c>
      <c r="N128" s="24">
        <v>999999999</v>
      </c>
      <c r="O128" s="37" t="e">
        <f t="shared" si="10"/>
        <v>#REF!</v>
      </c>
      <c r="P128" s="37" t="e">
        <f t="shared" si="11"/>
        <v>#REF!</v>
      </c>
      <c r="Q128" s="14" t="e">
        <f t="shared" si="12"/>
        <v>#REF!</v>
      </c>
      <c r="R128" s="14" t="s">
        <v>186</v>
      </c>
      <c r="S128" s="15" t="str">
        <f>IF((H128&gt;0),IF((H128-I128)=0,"a",IF(H128/I128&lt;0.5,"b","c")),)</f>
        <v>b</v>
      </c>
      <c r="T128" s="4" t="e">
        <f>VLOOKUP(B128,#REF!,7,FALSE)</f>
        <v>#REF!</v>
      </c>
    </row>
    <row r="129" spans="1:20" x14ac:dyDescent="0.35">
      <c r="A129" s="13"/>
      <c r="B129" s="13">
        <v>110</v>
      </c>
      <c r="C129" s="13" t="e">
        <f>VLOOKUP($B129,#REF!,C$1,FALSE)</f>
        <v>#REF!</v>
      </c>
      <c r="D129" s="25" t="e">
        <f>VLOOKUP($B129,#REF!,D$1,FALSE)</f>
        <v>#REF!</v>
      </c>
      <c r="E129" s="13" t="e">
        <f>VLOOKUP($B129,#REF!,E$1,FALSE)</f>
        <v>#REF!</v>
      </c>
      <c r="F129" s="25" t="e">
        <f>VLOOKUP($B129,#REF!,F$1,FALSE)</f>
        <v>#REF!</v>
      </c>
      <c r="G129" s="14" t="e">
        <f>IF(VLOOKUP($B129,#REF!,G$1,FALSE)=0,0.0001,VLOOKUP($B129,#REF!,G$1,FALSE))</f>
        <v>#REF!</v>
      </c>
      <c r="H129" s="23">
        <v>14113.519</v>
      </c>
      <c r="I129" s="24">
        <v>999999999</v>
      </c>
      <c r="M129" s="24">
        <v>999999999</v>
      </c>
      <c r="O129" s="37" t="e">
        <f t="shared" si="10"/>
        <v>#REF!</v>
      </c>
      <c r="P129" s="37" t="e">
        <f t="shared" si="11"/>
        <v>#REF!</v>
      </c>
      <c r="Q129" s="14" t="e">
        <f t="shared" si="12"/>
        <v>#REF!</v>
      </c>
      <c r="R129" s="14" t="s">
        <v>186</v>
      </c>
      <c r="S129" s="15" t="str">
        <f>IF((H129&gt;0),IF((H129-I129)=0,"a",IF(H129/I129&lt;0.5,"b","c")),)</f>
        <v>b</v>
      </c>
      <c r="T129" s="4" t="e">
        <f>VLOOKUP(B129,#REF!,7,FALSE)</f>
        <v>#REF!</v>
      </c>
    </row>
    <row r="130" spans="1:20" x14ac:dyDescent="0.35">
      <c r="O130" s="37"/>
      <c r="P130" s="37"/>
      <c r="Q130" s="14"/>
    </row>
    <row r="131" spans="1:20" x14ac:dyDescent="0.35">
      <c r="A131" s="13"/>
      <c r="B131" s="13">
        <v>111</v>
      </c>
      <c r="C131" s="13" t="e">
        <f>VLOOKUP($B131,#REF!,C$1,FALSE)</f>
        <v>#REF!</v>
      </c>
      <c r="D131" s="25" t="e">
        <f>VLOOKUP($B131,#REF!,D$1,FALSE)</f>
        <v>#REF!</v>
      </c>
      <c r="E131" s="13" t="e">
        <f>VLOOKUP($B131,#REF!,E$1,FALSE)</f>
        <v>#REF!</v>
      </c>
      <c r="F131" s="25" t="e">
        <f>VLOOKUP($B131,#REF!,F$1,FALSE)</f>
        <v>#REF!</v>
      </c>
      <c r="G131" s="14" t="e">
        <f>IF(VLOOKUP($B131,#REF!,G$1,FALSE)=0,0.0001,VLOOKUP($B131,#REF!,G$1,FALSE))</f>
        <v>#REF!</v>
      </c>
      <c r="H131" s="23">
        <v>0</v>
      </c>
      <c r="I131" s="24">
        <v>999999999</v>
      </c>
      <c r="K131" s="24">
        <v>999999999</v>
      </c>
      <c r="L131" s="24"/>
      <c r="M131" s="24">
        <v>999999999</v>
      </c>
      <c r="N131" s="24">
        <v>999999999</v>
      </c>
      <c r="O131" s="37" t="e">
        <f t="shared" si="10"/>
        <v>#REF!</v>
      </c>
      <c r="P131" s="37" t="e">
        <f t="shared" si="11"/>
        <v>#REF!</v>
      </c>
      <c r="Q131" s="14" t="e">
        <f t="shared" si="12"/>
        <v>#REF!</v>
      </c>
      <c r="R131" s="14" t="s">
        <v>194</v>
      </c>
      <c r="S131" s="15">
        <f t="shared" ref="S131:S136" si="13">IF((H131&gt;0),IF((H131-I131)=0,"a",IF(H131/I131&lt;0.5,"b","c")),)</f>
        <v>0</v>
      </c>
      <c r="T131" s="4" t="e">
        <f>VLOOKUP(B131,#REF!,7,FALSE)</f>
        <v>#REF!</v>
      </c>
    </row>
    <row r="132" spans="1:20" x14ac:dyDescent="0.35">
      <c r="A132" s="13"/>
      <c r="B132" s="13">
        <v>112</v>
      </c>
      <c r="C132" s="13" t="e">
        <f>VLOOKUP($B132,#REF!,E$1,FALSE)</f>
        <v>#REF!</v>
      </c>
      <c r="D132" s="25" t="e">
        <f>VLOOKUP($B132,#REF!,F$1,FALSE)</f>
        <v>#REF!</v>
      </c>
      <c r="E132" s="13" t="e">
        <f>VLOOKUP($B132,#REF!,C$1,FALSE)</f>
        <v>#REF!</v>
      </c>
      <c r="F132" s="25" t="e">
        <f>VLOOKUP($B132,#REF!,D$1,FALSE)</f>
        <v>#REF!</v>
      </c>
      <c r="G132" s="14" t="e">
        <f>IF(VLOOKUP($B132,#REF!,G$1,FALSE)=0,0.0001,VLOOKUP($B132,#REF!,G$1,FALSE))</f>
        <v>#REF!</v>
      </c>
      <c r="H132" s="23">
        <v>0</v>
      </c>
      <c r="I132" s="24">
        <v>999999999</v>
      </c>
      <c r="M132" s="24">
        <v>999999999</v>
      </c>
      <c r="O132" s="37" t="e">
        <f t="shared" si="10"/>
        <v>#REF!</v>
      </c>
      <c r="P132" s="37" t="e">
        <f t="shared" si="11"/>
        <v>#REF!</v>
      </c>
      <c r="Q132" s="14" t="e">
        <f t="shared" si="12"/>
        <v>#REF!</v>
      </c>
      <c r="R132" s="14" t="s">
        <v>194</v>
      </c>
      <c r="S132" s="15">
        <f t="shared" si="13"/>
        <v>0</v>
      </c>
      <c r="T132" s="4" t="e">
        <f>VLOOKUP(B132,#REF!,7,FALSE)</f>
        <v>#REF!</v>
      </c>
    </row>
    <row r="133" spans="1:20" x14ac:dyDescent="0.35">
      <c r="A133" s="13"/>
      <c r="B133" s="13">
        <v>113</v>
      </c>
      <c r="C133" s="13" t="e">
        <f>VLOOKUP($B133,#REF!,C$1,FALSE)</f>
        <v>#REF!</v>
      </c>
      <c r="D133" s="25" t="e">
        <f>VLOOKUP($B133,#REF!,D$1,FALSE)</f>
        <v>#REF!</v>
      </c>
      <c r="E133" s="13" t="e">
        <f>VLOOKUP($B133,#REF!,E$1,FALSE)</f>
        <v>#REF!</v>
      </c>
      <c r="F133" s="25" t="e">
        <f>VLOOKUP($B133,#REF!,F$1,FALSE)</f>
        <v>#REF!</v>
      </c>
      <c r="G133" s="14" t="e">
        <f>IF(VLOOKUP($B133,#REF!,G$1,FALSE)=0,0.0001,VLOOKUP($B133,#REF!,G$1,FALSE))</f>
        <v>#REF!</v>
      </c>
      <c r="H133" s="23">
        <v>0</v>
      </c>
      <c r="I133" s="24">
        <v>999999999</v>
      </c>
      <c r="K133" s="24">
        <v>999999999</v>
      </c>
      <c r="L133" s="24"/>
      <c r="M133" s="24">
        <v>999999999</v>
      </c>
      <c r="N133" s="24">
        <v>999999999</v>
      </c>
      <c r="O133" s="37" t="e">
        <f t="shared" si="10"/>
        <v>#REF!</v>
      </c>
      <c r="P133" s="37" t="e">
        <f t="shared" si="11"/>
        <v>#REF!</v>
      </c>
      <c r="Q133" s="14" t="e">
        <f t="shared" si="12"/>
        <v>#REF!</v>
      </c>
      <c r="R133" s="14" t="s">
        <v>194</v>
      </c>
      <c r="S133" s="15">
        <f t="shared" si="13"/>
        <v>0</v>
      </c>
      <c r="T133" s="4" t="e">
        <f>VLOOKUP(B133,#REF!,7,FALSE)</f>
        <v>#REF!</v>
      </c>
    </row>
    <row r="134" spans="1:20" x14ac:dyDescent="0.35">
      <c r="A134" s="13"/>
      <c r="B134" s="13">
        <v>114</v>
      </c>
      <c r="C134" s="13" t="e">
        <f>VLOOKUP($B134,#REF!,C$1,FALSE)</f>
        <v>#REF!</v>
      </c>
      <c r="D134" s="25" t="e">
        <f>VLOOKUP($B134,#REF!,D$1,FALSE)</f>
        <v>#REF!</v>
      </c>
      <c r="E134" s="13" t="e">
        <f>VLOOKUP($B134,#REF!,E$1,FALSE)</f>
        <v>#REF!</v>
      </c>
      <c r="F134" s="25" t="e">
        <f>VLOOKUP($B134,#REF!,F$1,FALSE)</f>
        <v>#REF!</v>
      </c>
      <c r="G134" s="14" t="e">
        <f>IF(VLOOKUP($B134,#REF!,G$1,FALSE)=0,0.0001,VLOOKUP($B134,#REF!,G$1,FALSE))</f>
        <v>#REF!</v>
      </c>
      <c r="H134" s="23">
        <v>0</v>
      </c>
      <c r="I134" s="24">
        <v>999999999</v>
      </c>
      <c r="K134" s="24">
        <v>999999999</v>
      </c>
      <c r="L134" s="24"/>
      <c r="M134" s="24">
        <v>999999999</v>
      </c>
      <c r="N134" s="24">
        <v>999999999</v>
      </c>
      <c r="O134" s="37" t="e">
        <f t="shared" si="10"/>
        <v>#REF!</v>
      </c>
      <c r="P134" s="37" t="e">
        <f t="shared" si="11"/>
        <v>#REF!</v>
      </c>
      <c r="Q134" s="14" t="e">
        <f t="shared" si="12"/>
        <v>#REF!</v>
      </c>
      <c r="R134" s="14" t="s">
        <v>194</v>
      </c>
      <c r="S134" s="15">
        <f t="shared" si="13"/>
        <v>0</v>
      </c>
      <c r="T134" s="4" t="e">
        <f>VLOOKUP(B134,#REF!,7,FALSE)</f>
        <v>#REF!</v>
      </c>
    </row>
    <row r="135" spans="1:20" x14ac:dyDescent="0.35">
      <c r="A135" s="13"/>
      <c r="B135" s="13">
        <v>115</v>
      </c>
      <c r="C135" s="13" t="e">
        <f>VLOOKUP($B135,#REF!,C$1,FALSE)</f>
        <v>#REF!</v>
      </c>
      <c r="D135" s="25" t="e">
        <f>VLOOKUP($B135,#REF!,D$1,FALSE)</f>
        <v>#REF!</v>
      </c>
      <c r="E135" s="13" t="e">
        <f>VLOOKUP($B135,#REF!,E$1,FALSE)</f>
        <v>#REF!</v>
      </c>
      <c r="F135" s="25" t="e">
        <f>VLOOKUP($B135,#REF!,F$1,FALSE)</f>
        <v>#REF!</v>
      </c>
      <c r="G135" s="14" t="e">
        <f>IF(VLOOKUP($B135,#REF!,G$1,FALSE)=0,0.0001,VLOOKUP($B135,#REF!,G$1,FALSE))</f>
        <v>#REF!</v>
      </c>
      <c r="H135" s="23">
        <v>0</v>
      </c>
      <c r="I135" s="24">
        <v>999999999</v>
      </c>
      <c r="K135" s="24">
        <v>999999999</v>
      </c>
      <c r="L135" s="24"/>
      <c r="M135" s="433">
        <v>999999999</v>
      </c>
      <c r="N135" s="433">
        <v>999999999</v>
      </c>
      <c r="O135" s="438" t="e">
        <f>D135</f>
        <v>#REF!</v>
      </c>
      <c r="P135" s="438" t="e">
        <f>F136</f>
        <v>#REF!</v>
      </c>
      <c r="Q135" s="435" t="e">
        <f>SUM(G135:G136)</f>
        <v>#REF!</v>
      </c>
      <c r="R135" s="432" t="s">
        <v>194</v>
      </c>
      <c r="S135" s="15">
        <f t="shared" si="13"/>
        <v>0</v>
      </c>
      <c r="T135" s="4" t="e">
        <f>VLOOKUP(B135,#REF!,7,FALSE)</f>
        <v>#REF!</v>
      </c>
    </row>
    <row r="136" spans="1:20" x14ac:dyDescent="0.35">
      <c r="A136" s="13"/>
      <c r="B136" s="13">
        <v>116</v>
      </c>
      <c r="C136" s="13" t="e">
        <f>VLOOKUP($B136,#REF!,C$1,FALSE)</f>
        <v>#REF!</v>
      </c>
      <c r="D136" s="25" t="e">
        <f>VLOOKUP($B136,#REF!,D$1,FALSE)</f>
        <v>#REF!</v>
      </c>
      <c r="E136" s="13" t="e">
        <f>VLOOKUP($B136,#REF!,E$1,FALSE)</f>
        <v>#REF!</v>
      </c>
      <c r="F136" s="25" t="e">
        <f>VLOOKUP($B136,#REF!,F$1,FALSE)</f>
        <v>#REF!</v>
      </c>
      <c r="G136" s="14" t="e">
        <f>IF(VLOOKUP($B136,#REF!,G$1,FALSE)=0,0.0001,VLOOKUP($B136,#REF!,G$1,FALSE))</f>
        <v>#REF!</v>
      </c>
      <c r="H136" s="23">
        <v>0</v>
      </c>
      <c r="I136" s="24">
        <v>999999999</v>
      </c>
      <c r="K136" s="24">
        <v>999999999</v>
      </c>
      <c r="L136" s="24"/>
      <c r="M136" s="433"/>
      <c r="N136" s="433"/>
      <c r="O136" s="438"/>
      <c r="P136" s="438"/>
      <c r="Q136" s="435"/>
      <c r="R136" s="432"/>
      <c r="S136" s="15">
        <f t="shared" si="13"/>
        <v>0</v>
      </c>
      <c r="T136" s="4" t="e">
        <f>VLOOKUP(B136,#REF!,7,FALSE)</f>
        <v>#REF!</v>
      </c>
    </row>
    <row r="137" spans="1:20" x14ac:dyDescent="0.35">
      <c r="A137" s="13"/>
      <c r="O137" s="37"/>
      <c r="P137" s="37"/>
      <c r="Q137" s="14"/>
    </row>
    <row r="138" spans="1:20" x14ac:dyDescent="0.35">
      <c r="A138" s="13"/>
      <c r="B138" s="13">
        <v>117</v>
      </c>
      <c r="C138" s="13" t="e">
        <f>VLOOKUP($B138,#REF!,E$1,FALSE)</f>
        <v>#REF!</v>
      </c>
      <c r="D138" s="25" t="e">
        <f>VLOOKUP($B138,#REF!,F$1,FALSE)</f>
        <v>#REF!</v>
      </c>
      <c r="E138" s="13" t="e">
        <f>VLOOKUP($B138,#REF!,C$1,FALSE)</f>
        <v>#REF!</v>
      </c>
      <c r="F138" s="25" t="e">
        <f>VLOOKUP($B138,#REF!,D$1,FALSE)</f>
        <v>#REF!</v>
      </c>
      <c r="G138" s="14" t="e">
        <f>IF(VLOOKUP($B138,#REF!,G$1,FALSE)=0,0.0001,VLOOKUP($B138,#REF!,G$1,FALSE))</f>
        <v>#REF!</v>
      </c>
      <c r="H138" s="23">
        <v>524.11639000000002</v>
      </c>
      <c r="I138" s="24">
        <v>999999999</v>
      </c>
      <c r="K138" s="24">
        <v>999999999</v>
      </c>
      <c r="L138" s="24"/>
      <c r="M138" s="24">
        <v>999999999</v>
      </c>
      <c r="N138" s="24">
        <v>999999999</v>
      </c>
      <c r="O138" s="37" t="e">
        <f t="shared" ref="O138:O144" si="14">D138</f>
        <v>#REF!</v>
      </c>
      <c r="P138" s="37" t="e">
        <f t="shared" ref="P138:P144" si="15">F138</f>
        <v>#REF!</v>
      </c>
      <c r="Q138" s="14" t="e">
        <f t="shared" ref="Q138:Q144" si="16">G138</f>
        <v>#REF!</v>
      </c>
      <c r="R138" s="14" t="s">
        <v>186</v>
      </c>
      <c r="S138" s="15" t="str">
        <f t="shared" ref="S138:S144" si="17">IF((H138&gt;0),IF((H138-I138)=0,"a",IF(H138/I138&lt;0.5,"b","c")),)</f>
        <v>b</v>
      </c>
      <c r="T138" s="4" t="e">
        <f>VLOOKUP(B138,#REF!,7,FALSE)</f>
        <v>#REF!</v>
      </c>
    </row>
    <row r="139" spans="1:20" x14ac:dyDescent="0.35">
      <c r="A139" s="13"/>
      <c r="B139" s="13">
        <v>118</v>
      </c>
      <c r="C139" s="13" t="e">
        <f>VLOOKUP($B139,#REF!,E$1,FALSE)</f>
        <v>#REF!</v>
      </c>
      <c r="D139" s="25" t="e">
        <f>VLOOKUP($B139,#REF!,F$1,FALSE)</f>
        <v>#REF!</v>
      </c>
      <c r="E139" s="13" t="e">
        <f>VLOOKUP($B139,#REF!,C$1,FALSE)</f>
        <v>#REF!</v>
      </c>
      <c r="F139" s="25" t="e">
        <f>VLOOKUP($B139,#REF!,D$1,FALSE)</f>
        <v>#REF!</v>
      </c>
      <c r="G139" s="14" t="e">
        <f>IF(VLOOKUP($B139,#REF!,G$1,FALSE)=0,0.0001,VLOOKUP($B139,#REF!,G$1,FALSE))</f>
        <v>#REF!</v>
      </c>
      <c r="H139" s="23">
        <v>680.57005000000004</v>
      </c>
      <c r="I139" s="24">
        <v>999999999</v>
      </c>
      <c r="K139" s="24">
        <v>999999999</v>
      </c>
      <c r="L139" s="24"/>
      <c r="M139" s="24">
        <v>999999999</v>
      </c>
      <c r="N139" s="24">
        <v>999999999</v>
      </c>
      <c r="O139" s="37" t="e">
        <f t="shared" si="14"/>
        <v>#REF!</v>
      </c>
      <c r="P139" s="37" t="e">
        <f t="shared" si="15"/>
        <v>#REF!</v>
      </c>
      <c r="Q139" s="14" t="e">
        <f t="shared" si="16"/>
        <v>#REF!</v>
      </c>
      <c r="R139" s="14" t="s">
        <v>69</v>
      </c>
      <c r="S139" s="15" t="str">
        <f t="shared" si="17"/>
        <v>b</v>
      </c>
      <c r="T139" s="4" t="e">
        <f>VLOOKUP(B139,#REF!,7,FALSE)</f>
        <v>#REF!</v>
      </c>
    </row>
    <row r="140" spans="1:20" x14ac:dyDescent="0.35">
      <c r="A140" s="13"/>
      <c r="B140" s="13">
        <v>119</v>
      </c>
      <c r="C140" s="13" t="e">
        <f>VLOOKUP($B140,#REF!,E$1,FALSE)</f>
        <v>#REF!</v>
      </c>
      <c r="D140" s="25" t="e">
        <f>VLOOKUP($B140,#REF!,F$1,FALSE)</f>
        <v>#REF!</v>
      </c>
      <c r="E140" s="13" t="e">
        <f>VLOOKUP($B140,#REF!,C$1,FALSE)</f>
        <v>#REF!</v>
      </c>
      <c r="F140" s="25" t="e">
        <f>VLOOKUP($B140,#REF!,D$1,FALSE)</f>
        <v>#REF!</v>
      </c>
      <c r="G140" s="14" t="e">
        <f>IF(VLOOKUP($B140,#REF!,G$1,FALSE)=0,0.0001,VLOOKUP($B140,#REF!,G$1,FALSE))</f>
        <v>#REF!</v>
      </c>
      <c r="H140" s="23">
        <v>700.11265000000003</v>
      </c>
      <c r="I140" s="24">
        <v>999999999</v>
      </c>
      <c r="K140" s="24">
        <v>999999999</v>
      </c>
      <c r="L140" s="24"/>
      <c r="M140" s="24">
        <v>999999999</v>
      </c>
      <c r="N140" s="24">
        <v>999999999</v>
      </c>
      <c r="O140" s="37" t="e">
        <f t="shared" si="14"/>
        <v>#REF!</v>
      </c>
      <c r="P140" s="37" t="e">
        <f t="shared" si="15"/>
        <v>#REF!</v>
      </c>
      <c r="Q140" s="14" t="e">
        <f t="shared" si="16"/>
        <v>#REF!</v>
      </c>
      <c r="R140" s="14" t="s">
        <v>195</v>
      </c>
      <c r="S140" s="15" t="str">
        <f t="shared" si="17"/>
        <v>b</v>
      </c>
      <c r="T140" s="4" t="e">
        <f>VLOOKUP(B140,#REF!,7,FALSE)</f>
        <v>#REF!</v>
      </c>
    </row>
    <row r="141" spans="1:20" x14ac:dyDescent="0.35">
      <c r="A141" s="13"/>
      <c r="B141" s="13">
        <v>122</v>
      </c>
      <c r="C141" s="13" t="e">
        <f>VLOOKUP($B141,#REF!,E$1,FALSE)</f>
        <v>#REF!</v>
      </c>
      <c r="D141" s="25" t="e">
        <f>VLOOKUP($B141,#REF!,F$1,FALSE)</f>
        <v>#REF!</v>
      </c>
      <c r="E141" s="13" t="e">
        <f>VLOOKUP($B141,#REF!,C$1,FALSE)</f>
        <v>#REF!</v>
      </c>
      <c r="F141" s="25" t="e">
        <f>VLOOKUP($B141,#REF!,D$1,FALSE)</f>
        <v>#REF!</v>
      </c>
      <c r="G141" s="14" t="e">
        <f>IF(VLOOKUP($B141,#REF!,G$1,FALSE)=0,0.0001,VLOOKUP($B141,#REF!,G$1,FALSE))</f>
        <v>#REF!</v>
      </c>
      <c r="H141" s="23">
        <v>541.41224999999997</v>
      </c>
      <c r="I141" s="24">
        <v>999999999</v>
      </c>
      <c r="K141" s="24">
        <v>999999999</v>
      </c>
      <c r="L141" s="24"/>
      <c r="M141" s="24">
        <v>999999999</v>
      </c>
      <c r="N141" s="24">
        <v>999999999</v>
      </c>
      <c r="O141" s="37" t="e">
        <f t="shared" si="14"/>
        <v>#REF!</v>
      </c>
      <c r="P141" s="37" t="e">
        <f t="shared" si="15"/>
        <v>#REF!</v>
      </c>
      <c r="Q141" s="14" t="e">
        <f t="shared" si="16"/>
        <v>#REF!</v>
      </c>
      <c r="R141" s="14" t="s">
        <v>186</v>
      </c>
      <c r="S141" s="15" t="str">
        <f t="shared" si="17"/>
        <v>b</v>
      </c>
      <c r="T141" s="4" t="e">
        <f>VLOOKUP(B141,#REF!,7,FALSE)</f>
        <v>#REF!</v>
      </c>
    </row>
    <row r="142" spans="1:20" x14ac:dyDescent="0.35">
      <c r="A142" s="13"/>
      <c r="B142" s="13">
        <v>123</v>
      </c>
      <c r="C142" s="13" t="e">
        <f>VLOOKUP($B142,#REF!,E$1,FALSE)</f>
        <v>#REF!</v>
      </c>
      <c r="D142" s="25" t="e">
        <f>VLOOKUP($B142,#REF!,F$1,FALSE)</f>
        <v>#REF!</v>
      </c>
      <c r="E142" s="13" t="e">
        <f>VLOOKUP($B142,#REF!,C$1,FALSE)</f>
        <v>#REF!</v>
      </c>
      <c r="F142" s="25" t="e">
        <f>VLOOKUP($B142,#REF!,D$1,FALSE)</f>
        <v>#REF!</v>
      </c>
      <c r="G142" s="14" t="e">
        <f>IF(VLOOKUP($B142,#REF!,G$1,FALSE)=0,0.0001,VLOOKUP($B142,#REF!,G$1,FALSE))</f>
        <v>#REF!</v>
      </c>
      <c r="H142" s="23">
        <v>692.61434999999994</v>
      </c>
      <c r="I142" s="24">
        <v>999999999</v>
      </c>
      <c r="K142" s="24">
        <v>999999999</v>
      </c>
      <c r="L142" s="24"/>
      <c r="M142" s="24">
        <v>999999999</v>
      </c>
      <c r="N142" s="24">
        <v>999999999</v>
      </c>
      <c r="O142" s="37" t="e">
        <f t="shared" si="14"/>
        <v>#REF!</v>
      </c>
      <c r="P142" s="37" t="e">
        <f t="shared" si="15"/>
        <v>#REF!</v>
      </c>
      <c r="Q142" s="14" t="e">
        <f t="shared" si="16"/>
        <v>#REF!</v>
      </c>
      <c r="R142" s="14" t="s">
        <v>195</v>
      </c>
      <c r="S142" s="15" t="str">
        <f t="shared" si="17"/>
        <v>b</v>
      </c>
      <c r="T142" s="4" t="e">
        <f>VLOOKUP(B142,#REF!,7,FALSE)</f>
        <v>#REF!</v>
      </c>
    </row>
    <row r="143" spans="1:20" x14ac:dyDescent="0.35">
      <c r="A143" s="13"/>
      <c r="B143" s="13">
        <v>120</v>
      </c>
      <c r="C143" s="13" t="e">
        <f>VLOOKUP($B143,#REF!,E$1,FALSE)</f>
        <v>#REF!</v>
      </c>
      <c r="D143" s="25" t="e">
        <f>VLOOKUP($B143,#REF!,F$1,FALSE)</f>
        <v>#REF!</v>
      </c>
      <c r="E143" s="13" t="e">
        <f>VLOOKUP($B143,#REF!,C$1,FALSE)</f>
        <v>#REF!</v>
      </c>
      <c r="F143" s="25" t="e">
        <f>VLOOKUP($B143,#REF!,D$1,FALSE)</f>
        <v>#REF!</v>
      </c>
      <c r="G143" s="14" t="e">
        <f>IF(VLOOKUP($B143,#REF!,G$1,FALSE)=0,0.0001,VLOOKUP($B143,#REF!,G$1,FALSE))</f>
        <v>#REF!</v>
      </c>
      <c r="H143" s="23">
        <v>158.7004</v>
      </c>
      <c r="I143" s="24">
        <v>999999999</v>
      </c>
      <c r="K143" s="24">
        <v>999999999</v>
      </c>
      <c r="L143" s="24"/>
      <c r="M143" s="24">
        <v>999999999</v>
      </c>
      <c r="N143" s="24">
        <v>999999999</v>
      </c>
      <c r="O143" s="37" t="e">
        <f t="shared" si="14"/>
        <v>#REF!</v>
      </c>
      <c r="P143" s="37" t="e">
        <f t="shared" si="15"/>
        <v>#REF!</v>
      </c>
      <c r="Q143" s="14" t="e">
        <f t="shared" si="16"/>
        <v>#REF!</v>
      </c>
      <c r="R143" s="14" t="s">
        <v>186</v>
      </c>
      <c r="S143" s="15" t="str">
        <f t="shared" si="17"/>
        <v>b</v>
      </c>
      <c r="T143" s="4" t="e">
        <f>VLOOKUP(B143,#REF!,7,FALSE)</f>
        <v>#REF!</v>
      </c>
    </row>
    <row r="144" spans="1:20" x14ac:dyDescent="0.35">
      <c r="A144" s="13"/>
      <c r="B144" s="13">
        <v>121</v>
      </c>
      <c r="C144" s="13" t="e">
        <f>VLOOKUP($B144,#REF!,C$1,FALSE)</f>
        <v>#REF!</v>
      </c>
      <c r="D144" s="25" t="e">
        <f>VLOOKUP($B144,#REF!,D$1,FALSE)</f>
        <v>#REF!</v>
      </c>
      <c r="E144" s="13" t="e">
        <f>VLOOKUP($B144,#REF!,E$1,FALSE)</f>
        <v>#REF!</v>
      </c>
      <c r="F144" s="25" t="e">
        <f>VLOOKUP($B144,#REF!,F$1,FALSE)</f>
        <v>#REF!</v>
      </c>
      <c r="G144" s="14" t="e">
        <f>IF(VLOOKUP($B144,#REF!,G$1,FALSE)=0,0.0001,VLOOKUP($B144,#REF!,G$1,FALSE))</f>
        <v>#REF!</v>
      </c>
      <c r="H144" s="23">
        <v>197.94472999999999</v>
      </c>
      <c r="I144" s="24">
        <v>999999999</v>
      </c>
      <c r="M144" s="24">
        <v>999999999</v>
      </c>
      <c r="O144" s="37" t="e">
        <f t="shared" si="14"/>
        <v>#REF!</v>
      </c>
      <c r="P144" s="37" t="e">
        <f t="shared" si="15"/>
        <v>#REF!</v>
      </c>
      <c r="Q144" s="14" t="e">
        <f t="shared" si="16"/>
        <v>#REF!</v>
      </c>
      <c r="R144" s="14" t="s">
        <v>195</v>
      </c>
      <c r="S144" s="15" t="str">
        <f t="shared" si="17"/>
        <v>b</v>
      </c>
      <c r="T144" s="4" t="e">
        <f>VLOOKUP(B144,#REF!,7,FALSE)</f>
        <v>#REF!</v>
      </c>
    </row>
    <row r="145" spans="1:20" x14ac:dyDescent="0.35">
      <c r="A145" s="13"/>
      <c r="O145" s="37"/>
      <c r="P145" s="37"/>
      <c r="Q145" s="14"/>
    </row>
    <row r="146" spans="1:20" x14ac:dyDescent="0.35">
      <c r="A146" s="13"/>
      <c r="B146" s="13">
        <v>132</v>
      </c>
      <c r="C146" s="13" t="e">
        <f>VLOOKUP($B146,#REF!,C$1,FALSE)</f>
        <v>#REF!</v>
      </c>
      <c r="D146" s="25" t="e">
        <f>VLOOKUP($B146,#REF!,D$1,FALSE)</f>
        <v>#REF!</v>
      </c>
      <c r="E146" s="13" t="e">
        <f>VLOOKUP($B146,#REF!,E$1,FALSE)</f>
        <v>#REF!</v>
      </c>
      <c r="F146" s="25" t="e">
        <f>VLOOKUP($B146,#REF!,F$1,FALSE)</f>
        <v>#REF!</v>
      </c>
      <c r="G146" s="14" t="e">
        <f>IF(VLOOKUP($B146,#REF!,G$1,FALSE)=0,0.0001,VLOOKUP($B146,#REF!,G$1,FALSE))</f>
        <v>#REF!</v>
      </c>
      <c r="H146" s="23">
        <v>0</v>
      </c>
      <c r="I146" s="24">
        <v>999999999</v>
      </c>
      <c r="M146" s="433">
        <v>999999999</v>
      </c>
      <c r="N146" s="433"/>
      <c r="O146" s="434" t="e">
        <f>D148</f>
        <v>#REF!</v>
      </c>
      <c r="P146" s="434" t="e">
        <f>F146</f>
        <v>#REF!</v>
      </c>
      <c r="Q146" s="435" t="e">
        <f>SUM(G146:G148)</f>
        <v>#REF!</v>
      </c>
      <c r="R146" s="432" t="s">
        <v>196</v>
      </c>
      <c r="S146" s="15">
        <f>IF((H146&gt;0),IF((H146-I146)=0,"a",IF(H146/I146&lt;0.5,"b","c")),)</f>
        <v>0</v>
      </c>
      <c r="T146" s="4" t="e">
        <f>VLOOKUP(B146,#REF!,7,FALSE)</f>
        <v>#REF!</v>
      </c>
    </row>
    <row r="147" spans="1:20" x14ac:dyDescent="0.35">
      <c r="A147" s="13"/>
      <c r="B147" s="13">
        <v>131</v>
      </c>
      <c r="C147" s="13" t="e">
        <f>VLOOKUP($B147,#REF!,C$1,FALSE)</f>
        <v>#REF!</v>
      </c>
      <c r="D147" s="25" t="e">
        <f>VLOOKUP($B147,#REF!,D$1,FALSE)</f>
        <v>#REF!</v>
      </c>
      <c r="E147" s="13" t="e">
        <f>VLOOKUP($B147,#REF!,E$1,FALSE)</f>
        <v>#REF!</v>
      </c>
      <c r="F147" s="25" t="e">
        <f>VLOOKUP($B147,#REF!,F$1,FALSE)</f>
        <v>#REF!</v>
      </c>
      <c r="G147" s="14" t="e">
        <f>IF(VLOOKUP($B147,#REF!,G$1,FALSE)=0,0.0001,VLOOKUP($B147,#REF!,G$1,FALSE))</f>
        <v>#REF!</v>
      </c>
      <c r="H147" s="23">
        <v>0</v>
      </c>
      <c r="I147" s="24">
        <v>999999999</v>
      </c>
      <c r="M147" s="433"/>
      <c r="N147" s="433"/>
      <c r="O147" s="434"/>
      <c r="P147" s="434"/>
      <c r="Q147" s="435"/>
      <c r="R147" s="432"/>
      <c r="S147" s="15">
        <f>IF((H147&gt;0),IF((H147-I147)=0,"a",IF(H147/I147&lt;0.5,"b","c")),)</f>
        <v>0</v>
      </c>
      <c r="T147" s="4" t="e">
        <f>VLOOKUP(B147,#REF!,7,FALSE)</f>
        <v>#REF!</v>
      </c>
    </row>
    <row r="148" spans="1:20" x14ac:dyDescent="0.35">
      <c r="A148" s="13"/>
      <c r="B148" s="13">
        <v>130</v>
      </c>
      <c r="C148" s="13" t="e">
        <f>VLOOKUP($B148,#REF!,C$1,FALSE)</f>
        <v>#REF!</v>
      </c>
      <c r="D148" s="25" t="e">
        <f>VLOOKUP($B148,#REF!,D$1,FALSE)</f>
        <v>#REF!</v>
      </c>
      <c r="E148" s="13" t="e">
        <f>VLOOKUP($B148,#REF!,E$1,FALSE)</f>
        <v>#REF!</v>
      </c>
      <c r="F148" s="25" t="e">
        <f>VLOOKUP($B148,#REF!,F$1,FALSE)</f>
        <v>#REF!</v>
      </c>
      <c r="G148" s="14" t="e">
        <f>IF(VLOOKUP($B148,#REF!,G$1,FALSE)=0,0.0001,VLOOKUP($B148,#REF!,G$1,FALSE))</f>
        <v>#REF!</v>
      </c>
      <c r="H148" s="23">
        <v>0</v>
      </c>
      <c r="I148" s="24">
        <v>999999999</v>
      </c>
      <c r="M148" s="433"/>
      <c r="N148" s="433"/>
      <c r="O148" s="434"/>
      <c r="P148" s="434"/>
      <c r="Q148" s="435"/>
      <c r="R148" s="432"/>
      <c r="S148" s="15">
        <f>IF((H148&gt;0),IF((H148-I148)=0,"a",IF(H148/I148&lt;0.5,"b","c")),)</f>
        <v>0</v>
      </c>
      <c r="T148" s="4" t="e">
        <f>VLOOKUP(B148,#REF!,7,FALSE)</f>
        <v>#REF!</v>
      </c>
    </row>
    <row r="149" spans="1:20" x14ac:dyDescent="0.35">
      <c r="A149" s="13"/>
      <c r="O149" s="37"/>
      <c r="P149" s="37"/>
      <c r="Q149" s="14"/>
    </row>
    <row r="150" spans="1:20" x14ac:dyDescent="0.35">
      <c r="A150" s="13"/>
      <c r="B150" s="13">
        <v>125</v>
      </c>
      <c r="C150" s="13" t="e">
        <f>VLOOKUP($B150,#REF!,C$1,FALSE)</f>
        <v>#REF!</v>
      </c>
      <c r="D150" s="25" t="e">
        <f>VLOOKUP($B150,#REF!,D$1,FALSE)</f>
        <v>#REF!</v>
      </c>
      <c r="E150" s="13" t="e">
        <f>VLOOKUP($B150,#REF!,E$1,FALSE)</f>
        <v>#REF!</v>
      </c>
      <c r="F150" s="25" t="e">
        <f>VLOOKUP($B150,#REF!,F$1,FALSE)</f>
        <v>#REF!</v>
      </c>
      <c r="G150" s="14" t="e">
        <f>IF(VLOOKUP($B150,#REF!,G$1,FALSE)=0,0.0001,VLOOKUP($B150,#REF!,G$1,FALSE))</f>
        <v>#REF!</v>
      </c>
      <c r="H150" s="23">
        <v>410.48230000000001</v>
      </c>
      <c r="I150" s="24">
        <v>999999999</v>
      </c>
      <c r="M150" s="433">
        <v>999999999</v>
      </c>
      <c r="N150" s="433"/>
      <c r="O150" s="434" t="e">
        <f>D151</f>
        <v>#REF!</v>
      </c>
      <c r="P150" s="434" t="e">
        <f>F150</f>
        <v>#REF!</v>
      </c>
      <c r="Q150" s="435" t="e">
        <f>SUM(G150:G151)</f>
        <v>#REF!</v>
      </c>
      <c r="R150" s="432" t="s">
        <v>197</v>
      </c>
      <c r="S150" s="15" t="str">
        <f t="shared" ref="S150:S162" si="18">IF((H150&gt;0),IF((H150-I150)=0,"a",IF(H150/I150&lt;0.5,"b","c")),)</f>
        <v>b</v>
      </c>
      <c r="T150" s="4" t="e">
        <f>VLOOKUP(B150,#REF!,7,FALSE)</f>
        <v>#REF!</v>
      </c>
    </row>
    <row r="151" spans="1:20" x14ac:dyDescent="0.35">
      <c r="A151" s="13"/>
      <c r="B151" s="13">
        <v>124</v>
      </c>
      <c r="C151" s="13" t="e">
        <f>VLOOKUP($B151,#REF!,C$1,FALSE)</f>
        <v>#REF!</v>
      </c>
      <c r="D151" s="25" t="e">
        <f>VLOOKUP($B151,#REF!,D$1,FALSE)</f>
        <v>#REF!</v>
      </c>
      <c r="E151" s="13" t="e">
        <f>VLOOKUP($B151,#REF!,E$1,FALSE)</f>
        <v>#REF!</v>
      </c>
      <c r="F151" s="25" t="e">
        <f>VLOOKUP($B151,#REF!,F$1,FALSE)</f>
        <v>#REF!</v>
      </c>
      <c r="G151" s="14" t="e">
        <f>IF(VLOOKUP($B151,#REF!,G$1,FALSE)=0,0.0001,VLOOKUP($B151,#REF!,G$1,FALSE))</f>
        <v>#REF!</v>
      </c>
      <c r="H151" s="23">
        <v>905.03626999999994</v>
      </c>
      <c r="I151" s="24">
        <v>999999999</v>
      </c>
      <c r="M151" s="433"/>
      <c r="N151" s="433"/>
      <c r="O151" s="434"/>
      <c r="P151" s="434"/>
      <c r="Q151" s="435"/>
      <c r="R151" s="432"/>
      <c r="S151" s="15" t="str">
        <f t="shared" si="18"/>
        <v>b</v>
      </c>
      <c r="T151" s="4" t="e">
        <f>VLOOKUP(B151,#REF!,7,FALSE)</f>
        <v>#REF!</v>
      </c>
    </row>
    <row r="152" spans="1:20" x14ac:dyDescent="0.35">
      <c r="A152" s="13"/>
      <c r="B152" s="13">
        <v>126</v>
      </c>
      <c r="C152" s="13" t="e">
        <f>VLOOKUP($B152,#REF!,E$1,FALSE)</f>
        <v>#REF!</v>
      </c>
      <c r="D152" s="25" t="e">
        <f>VLOOKUP($B152,#REF!,F$1,FALSE)</f>
        <v>#REF!</v>
      </c>
      <c r="E152" s="13" t="e">
        <f>VLOOKUP($B152,#REF!,C$1,FALSE)</f>
        <v>#REF!</v>
      </c>
      <c r="F152" s="25" t="e">
        <f>VLOOKUP($B152,#REF!,D$1,FALSE)</f>
        <v>#REF!</v>
      </c>
      <c r="G152" s="14" t="e">
        <f>IF(VLOOKUP($B152,#REF!,G$1,FALSE)=0,0.0001,VLOOKUP($B152,#REF!,G$1,FALSE))</f>
        <v>#REF!</v>
      </c>
      <c r="H152" s="23">
        <v>1597.6505999999999</v>
      </c>
      <c r="I152" s="24">
        <v>999999999</v>
      </c>
      <c r="K152" s="24">
        <v>999999999</v>
      </c>
      <c r="L152" s="24"/>
      <c r="M152" s="24">
        <v>999999999</v>
      </c>
      <c r="N152" s="24">
        <v>999999999</v>
      </c>
      <c r="O152" s="37" t="e">
        <f>D152</f>
        <v>#REF!</v>
      </c>
      <c r="P152" s="37" t="e">
        <f>F152</f>
        <v>#REF!</v>
      </c>
      <c r="Q152" s="14" t="e">
        <f>G152</f>
        <v>#REF!</v>
      </c>
      <c r="R152" s="14" t="s">
        <v>186</v>
      </c>
      <c r="S152" s="15" t="str">
        <f t="shared" si="18"/>
        <v>b</v>
      </c>
      <c r="T152" s="4" t="e">
        <f>VLOOKUP(B152,#REF!,7,FALSE)</f>
        <v>#REF!</v>
      </c>
    </row>
    <row r="153" spans="1:20" x14ac:dyDescent="0.35">
      <c r="A153" s="13"/>
      <c r="B153" s="13">
        <v>127</v>
      </c>
      <c r="C153" s="13" t="e">
        <f>VLOOKUP($B153,#REF!,E$1,FALSE)</f>
        <v>#REF!</v>
      </c>
      <c r="D153" s="25" t="e">
        <f>VLOOKUP($B153,#REF!,F$1,FALSE)</f>
        <v>#REF!</v>
      </c>
      <c r="E153" s="13" t="e">
        <f>VLOOKUP($B153,#REF!,C$1,FALSE)</f>
        <v>#REF!</v>
      </c>
      <c r="F153" s="25" t="e">
        <f>VLOOKUP($B153,#REF!,D$1,FALSE)</f>
        <v>#REF!</v>
      </c>
      <c r="G153" s="14" t="e">
        <f>IF(VLOOKUP($B153,#REF!,G$1,FALSE)=0,0.0001,VLOOKUP($B153,#REF!,G$1,FALSE))</f>
        <v>#REF!</v>
      </c>
      <c r="H153" s="23">
        <v>1628.9494999999999</v>
      </c>
      <c r="I153" s="24">
        <v>999999999</v>
      </c>
      <c r="K153" s="24">
        <v>999999999</v>
      </c>
      <c r="L153" s="24"/>
      <c r="M153" s="433">
        <v>999999999</v>
      </c>
      <c r="N153" s="433">
        <v>999999999</v>
      </c>
      <c r="O153" s="434" t="e">
        <f>D155</f>
        <v>#REF!</v>
      </c>
      <c r="P153" s="434" t="e">
        <f>F153</f>
        <v>#REF!</v>
      </c>
      <c r="Q153" s="435" t="e">
        <f>SUM(G153:G155)</f>
        <v>#REF!</v>
      </c>
      <c r="R153" s="432" t="s">
        <v>195</v>
      </c>
      <c r="S153" s="15" t="str">
        <f t="shared" si="18"/>
        <v>b</v>
      </c>
      <c r="T153" s="4" t="e">
        <f>VLOOKUP(B153,#REF!,7,FALSE)</f>
        <v>#REF!</v>
      </c>
    </row>
    <row r="154" spans="1:20" x14ac:dyDescent="0.35">
      <c r="A154" s="13"/>
      <c r="B154" s="13">
        <v>128</v>
      </c>
      <c r="C154" s="13" t="e">
        <f>VLOOKUP($B154,#REF!,E$1,FALSE)</f>
        <v>#REF!</v>
      </c>
      <c r="D154" s="25" t="e">
        <f>VLOOKUP($B154,#REF!,F$1,FALSE)</f>
        <v>#REF!</v>
      </c>
      <c r="E154" s="13" t="e">
        <f>VLOOKUP($B154,#REF!,C$1,FALSE)</f>
        <v>#REF!</v>
      </c>
      <c r="F154" s="25" t="e">
        <f>VLOOKUP($B154,#REF!,D$1,FALSE)</f>
        <v>#REF!</v>
      </c>
      <c r="G154" s="14" t="e">
        <f>IF(VLOOKUP($B154,#REF!,G$1,FALSE)=0,0.0001,VLOOKUP($B154,#REF!,G$1,FALSE))</f>
        <v>#REF!</v>
      </c>
      <c r="H154" s="23">
        <v>1994.6889000000001</v>
      </c>
      <c r="I154" s="24">
        <v>999999999</v>
      </c>
      <c r="K154" s="24">
        <v>999999999</v>
      </c>
      <c r="L154" s="24"/>
      <c r="M154" s="433"/>
      <c r="N154" s="433"/>
      <c r="O154" s="434"/>
      <c r="P154" s="434"/>
      <c r="Q154" s="435"/>
      <c r="R154" s="432"/>
      <c r="S154" s="15" t="str">
        <f t="shared" si="18"/>
        <v>b</v>
      </c>
      <c r="T154" s="4" t="e">
        <f>VLOOKUP(B154,#REF!,7,FALSE)</f>
        <v>#REF!</v>
      </c>
    </row>
    <row r="155" spans="1:20" x14ac:dyDescent="0.35">
      <c r="A155" s="13"/>
      <c r="B155" s="13">
        <v>129</v>
      </c>
      <c r="C155" s="13" t="e">
        <f>VLOOKUP($B155,#REF!,E$1,FALSE)</f>
        <v>#REF!</v>
      </c>
      <c r="D155" s="25" t="e">
        <f>VLOOKUP($B155,#REF!,F$1,FALSE)</f>
        <v>#REF!</v>
      </c>
      <c r="E155" s="13" t="e">
        <f>VLOOKUP($B155,#REF!,C$1,FALSE)</f>
        <v>#REF!</v>
      </c>
      <c r="F155" s="25" t="e">
        <f>VLOOKUP($B155,#REF!,D$1,FALSE)</f>
        <v>#REF!</v>
      </c>
      <c r="G155" s="14" t="e">
        <f>IF(VLOOKUP($B155,#REF!,G$1,FALSE)=0,0.0001,VLOOKUP($B155,#REF!,G$1,FALSE))</f>
        <v>#REF!</v>
      </c>
      <c r="H155" s="23">
        <v>3115.5958000000001</v>
      </c>
      <c r="I155" s="24">
        <v>999999999</v>
      </c>
      <c r="K155" s="24">
        <v>999999999</v>
      </c>
      <c r="L155" s="24"/>
      <c r="M155" s="433"/>
      <c r="N155" s="433"/>
      <c r="O155" s="434"/>
      <c r="P155" s="434"/>
      <c r="Q155" s="435"/>
      <c r="R155" s="432"/>
      <c r="S155" s="15" t="str">
        <f t="shared" si="18"/>
        <v>b</v>
      </c>
      <c r="T155" s="4" t="e">
        <f>VLOOKUP(B155,#REF!,7,FALSE)</f>
        <v>#REF!</v>
      </c>
    </row>
    <row r="156" spans="1:20" x14ac:dyDescent="0.35">
      <c r="A156" s="13"/>
      <c r="B156" s="13">
        <v>133</v>
      </c>
      <c r="C156" s="13" t="e">
        <f>VLOOKUP($B156,#REF!,C$1,FALSE)</f>
        <v>#REF!</v>
      </c>
      <c r="D156" s="25" t="e">
        <f>VLOOKUP($B156,#REF!,D$1,FALSE)</f>
        <v>#REF!</v>
      </c>
      <c r="E156" s="13" t="e">
        <f>VLOOKUP($B156,#REF!,E$1,FALSE)</f>
        <v>#REF!</v>
      </c>
      <c r="F156" s="25" t="e">
        <f>VLOOKUP($B156,#REF!,F$1,FALSE)</f>
        <v>#REF!</v>
      </c>
      <c r="G156" s="14" t="e">
        <f>IF(VLOOKUP($B156,#REF!,G$1,FALSE)=0,0.0001,VLOOKUP($B156,#REF!,G$1,FALSE))</f>
        <v>#REF!</v>
      </c>
      <c r="H156" s="23">
        <v>0</v>
      </c>
      <c r="I156" s="24">
        <v>999999999</v>
      </c>
      <c r="K156" s="24">
        <v>999999999</v>
      </c>
      <c r="L156" s="24"/>
      <c r="M156" s="24">
        <v>999999999</v>
      </c>
      <c r="N156" s="24">
        <v>999999999</v>
      </c>
      <c r="O156" s="37" t="e">
        <f>D156</f>
        <v>#REF!</v>
      </c>
      <c r="P156" s="37" t="e">
        <f>F156</f>
        <v>#REF!</v>
      </c>
      <c r="Q156" s="14" t="e">
        <f>G156</f>
        <v>#REF!</v>
      </c>
      <c r="R156" s="31"/>
      <c r="S156" s="15">
        <f t="shared" si="18"/>
        <v>0</v>
      </c>
      <c r="T156" s="4" t="e">
        <f>VLOOKUP(B156,#REF!,7,FALSE)</f>
        <v>#REF!</v>
      </c>
    </row>
    <row r="157" spans="1:20" x14ac:dyDescent="0.35">
      <c r="A157" s="13"/>
      <c r="B157" s="13">
        <v>134</v>
      </c>
      <c r="C157" s="13" t="e">
        <f>VLOOKUP($B157,#REF!,C$1,FALSE)</f>
        <v>#REF!</v>
      </c>
      <c r="D157" s="25" t="e">
        <f>VLOOKUP($B157,#REF!,D$1,FALSE)</f>
        <v>#REF!</v>
      </c>
      <c r="E157" s="13" t="e">
        <f>VLOOKUP($B157,#REF!,E$1,FALSE)</f>
        <v>#REF!</v>
      </c>
      <c r="F157" s="25" t="e">
        <f>VLOOKUP($B157,#REF!,F$1,FALSE)</f>
        <v>#REF!</v>
      </c>
      <c r="G157" s="14" t="e">
        <f>IF(VLOOKUP($B157,#REF!,G$1,FALSE)=0,0.0001,VLOOKUP($B157,#REF!,G$1,FALSE))</f>
        <v>#REF!</v>
      </c>
      <c r="H157" s="23">
        <v>0</v>
      </c>
      <c r="I157" s="24">
        <v>999999999</v>
      </c>
      <c r="K157" s="24">
        <v>999999999</v>
      </c>
      <c r="L157" s="24"/>
      <c r="M157" s="433">
        <v>999999999</v>
      </c>
      <c r="N157" s="433">
        <v>999999999</v>
      </c>
      <c r="O157" s="434" t="e">
        <f>D157</f>
        <v>#REF!</v>
      </c>
      <c r="P157" s="434" t="e">
        <f>F160</f>
        <v>#REF!</v>
      </c>
      <c r="Q157" s="435" t="e">
        <f>SUM(G157:G160)</f>
        <v>#REF!</v>
      </c>
      <c r="R157" s="432" t="s">
        <v>198</v>
      </c>
      <c r="S157" s="15">
        <f t="shared" si="18"/>
        <v>0</v>
      </c>
      <c r="T157" s="4" t="e">
        <f>VLOOKUP(B157,#REF!,7,FALSE)</f>
        <v>#REF!</v>
      </c>
    </row>
    <row r="158" spans="1:20" x14ac:dyDescent="0.35">
      <c r="A158" s="13"/>
      <c r="B158" s="13">
        <v>135</v>
      </c>
      <c r="C158" s="13" t="e">
        <f>VLOOKUP($B158,#REF!,C$1,FALSE)</f>
        <v>#REF!</v>
      </c>
      <c r="D158" s="25" t="e">
        <f>VLOOKUP($B158,#REF!,D$1,FALSE)</f>
        <v>#REF!</v>
      </c>
      <c r="E158" s="13" t="e">
        <f>VLOOKUP($B158,#REF!,E$1,FALSE)</f>
        <v>#REF!</v>
      </c>
      <c r="F158" s="25" t="e">
        <f>VLOOKUP($B158,#REF!,F$1,FALSE)</f>
        <v>#REF!</v>
      </c>
      <c r="G158" s="14" t="e">
        <f>IF(VLOOKUP($B158,#REF!,G$1,FALSE)=0,0.0001,VLOOKUP($B158,#REF!,G$1,FALSE))</f>
        <v>#REF!</v>
      </c>
      <c r="H158" s="23">
        <v>0</v>
      </c>
      <c r="I158" s="24">
        <v>999999999</v>
      </c>
      <c r="K158" s="24">
        <v>999999999</v>
      </c>
      <c r="L158" s="24"/>
      <c r="M158" s="433"/>
      <c r="N158" s="433"/>
      <c r="O158" s="434"/>
      <c r="P158" s="434"/>
      <c r="Q158" s="435"/>
      <c r="R158" s="432"/>
      <c r="S158" s="15">
        <f t="shared" si="18"/>
        <v>0</v>
      </c>
      <c r="T158" s="4" t="e">
        <f>VLOOKUP(B158,#REF!,7,FALSE)</f>
        <v>#REF!</v>
      </c>
    </row>
    <row r="159" spans="1:20" x14ac:dyDescent="0.35">
      <c r="A159" s="13"/>
      <c r="B159" s="13">
        <v>136</v>
      </c>
      <c r="C159" s="13" t="e">
        <f>VLOOKUP($B159,#REF!,C$1,FALSE)</f>
        <v>#REF!</v>
      </c>
      <c r="D159" s="25" t="e">
        <f>VLOOKUP($B159,#REF!,D$1,FALSE)</f>
        <v>#REF!</v>
      </c>
      <c r="E159" s="13" t="e">
        <f>VLOOKUP($B159,#REF!,E$1,FALSE)</f>
        <v>#REF!</v>
      </c>
      <c r="F159" s="25" t="e">
        <f>VLOOKUP($B159,#REF!,F$1,FALSE)</f>
        <v>#REF!</v>
      </c>
      <c r="G159" s="14" t="e">
        <f>IF(VLOOKUP($B159,#REF!,G$1,FALSE)=0,0.0001,VLOOKUP($B159,#REF!,G$1,FALSE))</f>
        <v>#REF!</v>
      </c>
      <c r="H159" s="23">
        <v>0</v>
      </c>
      <c r="I159" s="24">
        <v>999999999</v>
      </c>
      <c r="K159" s="24">
        <v>999999999</v>
      </c>
      <c r="L159" s="24"/>
      <c r="M159" s="433"/>
      <c r="N159" s="433"/>
      <c r="O159" s="434"/>
      <c r="P159" s="434"/>
      <c r="Q159" s="435"/>
      <c r="R159" s="432"/>
      <c r="S159" s="15">
        <f t="shared" si="18"/>
        <v>0</v>
      </c>
      <c r="T159" s="4" t="e">
        <f>VLOOKUP(B159,#REF!,7,FALSE)</f>
        <v>#REF!</v>
      </c>
    </row>
    <row r="160" spans="1:20" x14ac:dyDescent="0.35">
      <c r="A160" s="13"/>
      <c r="B160" s="13">
        <v>137</v>
      </c>
      <c r="C160" s="13" t="e">
        <f>VLOOKUP($B160,#REF!,C$1,FALSE)</f>
        <v>#REF!</v>
      </c>
      <c r="D160" s="25" t="e">
        <f>VLOOKUP($B160,#REF!,D$1,FALSE)</f>
        <v>#REF!</v>
      </c>
      <c r="E160" s="13" t="e">
        <f>VLOOKUP($B160,#REF!,E$1,FALSE)</f>
        <v>#REF!</v>
      </c>
      <c r="F160" s="25" t="e">
        <f>VLOOKUP($B160,#REF!,F$1,FALSE)</f>
        <v>#REF!</v>
      </c>
      <c r="G160" s="14" t="e">
        <f>IF(VLOOKUP($B160,#REF!,G$1,FALSE)=0,0.0001,VLOOKUP($B160,#REF!,G$1,FALSE))</f>
        <v>#REF!</v>
      </c>
      <c r="H160" s="23">
        <v>0</v>
      </c>
      <c r="I160" s="24">
        <v>999999999</v>
      </c>
      <c r="K160" s="24">
        <v>999999999</v>
      </c>
      <c r="L160" s="24"/>
      <c r="M160" s="433"/>
      <c r="N160" s="433"/>
      <c r="O160" s="434"/>
      <c r="P160" s="434"/>
      <c r="Q160" s="435"/>
      <c r="R160" s="432"/>
      <c r="S160" s="15">
        <f t="shared" si="18"/>
        <v>0</v>
      </c>
      <c r="T160" s="4" t="e">
        <f>VLOOKUP(B160,#REF!,7,FALSE)</f>
        <v>#REF!</v>
      </c>
    </row>
    <row r="161" spans="1:20" x14ac:dyDescent="0.35">
      <c r="A161" s="13"/>
      <c r="B161" s="13">
        <v>138</v>
      </c>
      <c r="C161" s="13" t="e">
        <f>VLOOKUP($B161,#REF!,C$1,FALSE)</f>
        <v>#REF!</v>
      </c>
      <c r="D161" s="25" t="e">
        <f>VLOOKUP($B161,#REF!,D$1,FALSE)</f>
        <v>#REF!</v>
      </c>
      <c r="E161" s="13" t="e">
        <f>VLOOKUP($B161,#REF!,E$1,FALSE)</f>
        <v>#REF!</v>
      </c>
      <c r="F161" s="25" t="e">
        <f>VLOOKUP($B161,#REF!,F$1,FALSE)</f>
        <v>#REF!</v>
      </c>
      <c r="G161" s="14" t="e">
        <f>IF(VLOOKUP($B161,#REF!,G$1,FALSE)=0,0.0001,VLOOKUP($B161,#REF!,G$1,FALSE))</f>
        <v>#REF!</v>
      </c>
      <c r="H161" s="23">
        <v>0</v>
      </c>
      <c r="I161" s="24">
        <v>999999999</v>
      </c>
      <c r="K161" s="24">
        <v>999999999</v>
      </c>
      <c r="L161" s="24"/>
      <c r="M161" s="24">
        <v>999999999</v>
      </c>
      <c r="N161" s="24">
        <v>999999999</v>
      </c>
      <c r="O161" s="37" t="e">
        <f>D161</f>
        <v>#REF!</v>
      </c>
      <c r="P161" s="37" t="e">
        <f>F161</f>
        <v>#REF!</v>
      </c>
      <c r="Q161" s="14" t="e">
        <f>G161</f>
        <v>#REF!</v>
      </c>
      <c r="R161" s="14" t="s">
        <v>186</v>
      </c>
      <c r="S161" s="15">
        <f t="shared" si="18"/>
        <v>0</v>
      </c>
      <c r="T161" s="4" t="e">
        <f>VLOOKUP(B161,#REF!,7,FALSE)</f>
        <v>#REF!</v>
      </c>
    </row>
    <row r="162" spans="1:20" x14ac:dyDescent="0.35">
      <c r="A162" s="13"/>
      <c r="B162" s="13">
        <v>139</v>
      </c>
      <c r="C162" s="13" t="e">
        <f>VLOOKUP($B162,#REF!,C$1,FALSE)</f>
        <v>#REF!</v>
      </c>
      <c r="D162" s="25" t="e">
        <f>VLOOKUP($B162,#REF!,D$1,FALSE)</f>
        <v>#REF!</v>
      </c>
      <c r="E162" s="13" t="e">
        <f>VLOOKUP($B162,#REF!,E$1,FALSE)</f>
        <v>#REF!</v>
      </c>
      <c r="F162" s="25" t="e">
        <f>VLOOKUP($B162,#REF!,F$1,FALSE)</f>
        <v>#REF!</v>
      </c>
      <c r="G162" s="14" t="e">
        <f>IF(VLOOKUP($B162,#REF!,G$1,FALSE)=0,0.0001,VLOOKUP($B162,#REF!,G$1,FALSE))</f>
        <v>#REF!</v>
      </c>
      <c r="H162" s="23">
        <v>7759.3590999999997</v>
      </c>
      <c r="I162" s="24">
        <v>999999999</v>
      </c>
      <c r="K162" s="24">
        <v>999999999</v>
      </c>
      <c r="L162" s="24"/>
      <c r="M162" s="24">
        <v>999999999</v>
      </c>
      <c r="N162" s="24">
        <v>999999999</v>
      </c>
      <c r="O162" s="37" t="e">
        <f>D162</f>
        <v>#REF!</v>
      </c>
      <c r="P162" s="37" t="e">
        <f>F162</f>
        <v>#REF!</v>
      </c>
      <c r="Q162" s="14" t="e">
        <f>G162</f>
        <v>#REF!</v>
      </c>
      <c r="R162" s="14" t="s">
        <v>186</v>
      </c>
      <c r="S162" s="15" t="str">
        <f t="shared" si="18"/>
        <v>b</v>
      </c>
      <c r="T162" s="4" t="e">
        <f>VLOOKUP(B162,#REF!,7,FALSE)</f>
        <v>#REF!</v>
      </c>
    </row>
    <row r="163" spans="1:20" x14ac:dyDescent="0.35">
      <c r="A163" s="13"/>
      <c r="C163" s="4"/>
      <c r="E163" s="4"/>
      <c r="I163" s="4"/>
      <c r="K163" s="4"/>
      <c r="L163" s="4"/>
      <c r="M163" s="4"/>
      <c r="N163" s="4"/>
      <c r="O163" s="39"/>
      <c r="P163" s="39"/>
      <c r="Q163" s="14"/>
    </row>
    <row r="164" spans="1:20" x14ac:dyDescent="0.35">
      <c r="B164" s="13">
        <v>150</v>
      </c>
      <c r="C164" s="13" t="e">
        <f>VLOOKUP($B164,#REF!,E$1,FALSE)</f>
        <v>#REF!</v>
      </c>
      <c r="D164" s="25" t="e">
        <f>VLOOKUP($B164,#REF!,F$1,FALSE)</f>
        <v>#REF!</v>
      </c>
      <c r="E164" s="13" t="e">
        <f>VLOOKUP($B164,#REF!,C$1,FALSE)</f>
        <v>#REF!</v>
      </c>
      <c r="F164" s="25" t="e">
        <f>VLOOKUP($B164,#REF!,D$1,FALSE)</f>
        <v>#REF!</v>
      </c>
      <c r="G164" s="14" t="e">
        <f>IF(VLOOKUP($B164,#REF!,G$1,FALSE)=0,0.0001,VLOOKUP($B164,#REF!,G$1,FALSE))</f>
        <v>#REF!</v>
      </c>
      <c r="H164" s="23">
        <v>2988.6660000000002</v>
      </c>
      <c r="I164" s="24">
        <v>999999999</v>
      </c>
      <c r="K164" s="24">
        <v>999999999</v>
      </c>
      <c r="L164" s="24"/>
      <c r="M164" s="26">
        <v>999999999</v>
      </c>
      <c r="N164" s="26">
        <v>999999999</v>
      </c>
      <c r="O164" s="9" t="e">
        <f>D164</f>
        <v>#REF!</v>
      </c>
      <c r="P164" s="9" t="e">
        <f>F164</f>
        <v>#REF!</v>
      </c>
      <c r="Q164" s="36" t="e">
        <f>G164</f>
        <v>#REF!</v>
      </c>
      <c r="R164" s="35" t="s">
        <v>199</v>
      </c>
      <c r="S164" s="15" t="str">
        <f t="shared" ref="S164:S177" si="19">IF((H164&gt;0),IF((H164-I164)=0,"a",IF(H164/I164&lt;0.5,"b","c")),)</f>
        <v>b</v>
      </c>
      <c r="T164" s="4" t="e">
        <f>VLOOKUP(B164,#REF!,7,FALSE)</f>
        <v>#REF!</v>
      </c>
    </row>
    <row r="165" spans="1:20" x14ac:dyDescent="0.35">
      <c r="B165" s="13">
        <v>151</v>
      </c>
      <c r="C165" s="13" t="e">
        <f>VLOOKUP($B165,#REF!,C$1,FALSE)</f>
        <v>#REF!</v>
      </c>
      <c r="D165" s="25" t="e">
        <f>VLOOKUP($B165,#REF!,D$1,FALSE)</f>
        <v>#REF!</v>
      </c>
      <c r="E165" s="13" t="e">
        <f>VLOOKUP($B165,#REF!,E$1,FALSE)</f>
        <v>#REF!</v>
      </c>
      <c r="F165" s="25" t="e">
        <f>VLOOKUP($B165,#REF!,F$1,FALSE)</f>
        <v>#REF!</v>
      </c>
      <c r="G165" s="14" t="e">
        <f>IF(VLOOKUP($B165,#REF!,G$1,FALSE)=0,0.0001,VLOOKUP($B165,#REF!,G$1,FALSE))</f>
        <v>#REF!</v>
      </c>
      <c r="H165" s="23">
        <v>0</v>
      </c>
      <c r="I165" s="24">
        <v>999999999</v>
      </c>
      <c r="K165" s="24">
        <v>999999999</v>
      </c>
      <c r="L165" s="24"/>
      <c r="M165" s="26">
        <v>999999999</v>
      </c>
      <c r="N165" s="26">
        <v>999999999</v>
      </c>
      <c r="O165" s="9" t="e">
        <f>F165</f>
        <v>#REF!</v>
      </c>
      <c r="P165" s="9" t="e">
        <f>D165</f>
        <v>#REF!</v>
      </c>
      <c r="Q165" s="36" t="e">
        <f>G165</f>
        <v>#REF!</v>
      </c>
      <c r="R165" s="35" t="s">
        <v>199</v>
      </c>
      <c r="S165" s="15">
        <f t="shared" si="19"/>
        <v>0</v>
      </c>
      <c r="T165" s="4" t="e">
        <f>VLOOKUP(B165,#REF!,7,FALSE)</f>
        <v>#REF!</v>
      </c>
    </row>
    <row r="166" spans="1:20" x14ac:dyDescent="0.35">
      <c r="A166" s="13"/>
      <c r="B166" s="13">
        <v>152</v>
      </c>
      <c r="C166" s="13" t="e">
        <f>VLOOKUP($B166,#REF!,C$1,FALSE)</f>
        <v>#REF!</v>
      </c>
      <c r="D166" s="25" t="e">
        <f>VLOOKUP($B166,#REF!,D$1,FALSE)</f>
        <v>#REF!</v>
      </c>
      <c r="E166" s="13" t="e">
        <f>VLOOKUP($B166,#REF!,E$1,FALSE)</f>
        <v>#REF!</v>
      </c>
      <c r="F166" s="25" t="e">
        <f>VLOOKUP($B166,#REF!,F$1,FALSE)</f>
        <v>#REF!</v>
      </c>
      <c r="G166" s="14" t="e">
        <f>IF(VLOOKUP($B166,#REF!,G$1,FALSE)=0,0.0001,VLOOKUP($B166,#REF!,G$1,FALSE))</f>
        <v>#REF!</v>
      </c>
      <c r="H166" s="23">
        <v>0</v>
      </c>
      <c r="I166" s="24">
        <v>999999999</v>
      </c>
      <c r="M166" s="431">
        <v>999999999</v>
      </c>
      <c r="N166" s="430"/>
      <c r="O166" s="438" t="e">
        <f>D166</f>
        <v>#REF!</v>
      </c>
      <c r="P166" s="434" t="e">
        <f>F167</f>
        <v>#REF!</v>
      </c>
      <c r="Q166" s="435" t="e">
        <f>SUM(G166:G167)</f>
        <v>#REF!</v>
      </c>
      <c r="R166" s="432" t="s">
        <v>199</v>
      </c>
      <c r="S166" s="15">
        <f t="shared" si="19"/>
        <v>0</v>
      </c>
      <c r="T166" s="4" t="e">
        <f>VLOOKUP(B166,#REF!,7,FALSE)</f>
        <v>#REF!</v>
      </c>
    </row>
    <row r="167" spans="1:20" x14ac:dyDescent="0.35">
      <c r="A167" s="13"/>
      <c r="B167" s="13">
        <v>153</v>
      </c>
      <c r="C167" s="13" t="e">
        <f>VLOOKUP($B167,#REF!,C$1,FALSE)</f>
        <v>#REF!</v>
      </c>
      <c r="D167" s="25" t="e">
        <f>VLOOKUP($B167,#REF!,D$1,FALSE)</f>
        <v>#REF!</v>
      </c>
      <c r="E167" s="13" t="e">
        <f>VLOOKUP($B167,#REF!,E$1,FALSE)</f>
        <v>#REF!</v>
      </c>
      <c r="F167" s="25" t="e">
        <f>VLOOKUP($B167,#REF!,F$1,FALSE)</f>
        <v>#REF!</v>
      </c>
      <c r="G167" s="14" t="e">
        <f>IF(VLOOKUP($B167,#REF!,G$1,FALSE)=0,0.0001,VLOOKUP($B167,#REF!,G$1,FALSE))</f>
        <v>#REF!</v>
      </c>
      <c r="H167" s="23">
        <v>0</v>
      </c>
      <c r="I167" s="24">
        <v>999999999</v>
      </c>
      <c r="M167" s="431"/>
      <c r="N167" s="430"/>
      <c r="O167" s="438"/>
      <c r="P167" s="434"/>
      <c r="Q167" s="435"/>
      <c r="R167" s="432"/>
      <c r="S167" s="15">
        <f t="shared" si="19"/>
        <v>0</v>
      </c>
      <c r="T167" s="4" t="e">
        <f>VLOOKUP(B167,#REF!,7,FALSE)</f>
        <v>#REF!</v>
      </c>
    </row>
    <row r="168" spans="1:20" x14ac:dyDescent="0.35">
      <c r="A168" s="13"/>
      <c r="B168" s="13">
        <v>154</v>
      </c>
      <c r="C168" s="13" t="e">
        <f>VLOOKUP($B168,#REF!,C$1,FALSE)</f>
        <v>#REF!</v>
      </c>
      <c r="D168" s="25" t="e">
        <f>VLOOKUP($B168,#REF!,D$1,FALSE)</f>
        <v>#REF!</v>
      </c>
      <c r="E168" s="13" t="e">
        <f>VLOOKUP($B168,#REF!,E$1,FALSE)</f>
        <v>#REF!</v>
      </c>
      <c r="F168" s="25" t="e">
        <f>VLOOKUP($B168,#REF!,F$1,FALSE)</f>
        <v>#REF!</v>
      </c>
      <c r="G168" s="14" t="e">
        <f>IF(VLOOKUP($B168,#REF!,G$1,FALSE)=0,0.0001,VLOOKUP($B168,#REF!,G$1,FALSE))</f>
        <v>#REF!</v>
      </c>
      <c r="H168" s="23">
        <v>0</v>
      </c>
      <c r="I168" s="24">
        <v>999999999</v>
      </c>
      <c r="K168" s="24">
        <v>999999999</v>
      </c>
      <c r="L168" s="24"/>
      <c r="M168" s="24">
        <v>999999999</v>
      </c>
      <c r="N168" s="24">
        <v>999999999</v>
      </c>
      <c r="O168" s="37" t="e">
        <f>D168</f>
        <v>#REF!</v>
      </c>
      <c r="P168" s="37" t="e">
        <f>F168</f>
        <v>#REF!</v>
      </c>
      <c r="Q168" s="14" t="e">
        <f>G168</f>
        <v>#REF!</v>
      </c>
      <c r="R168" s="14" t="s">
        <v>186</v>
      </c>
      <c r="S168" s="15">
        <f t="shared" si="19"/>
        <v>0</v>
      </c>
      <c r="T168" s="4" t="e">
        <f>VLOOKUP(B168,#REF!,7,FALSE)</f>
        <v>#REF!</v>
      </c>
    </row>
    <row r="169" spans="1:20" x14ac:dyDescent="0.35">
      <c r="A169" s="13"/>
      <c r="B169" s="13">
        <v>146</v>
      </c>
      <c r="C169" s="13" t="e">
        <f>VLOOKUP($B169,#REF!,E$1,FALSE)</f>
        <v>#REF!</v>
      </c>
      <c r="D169" s="25" t="e">
        <f>VLOOKUP($B169,#REF!,F$1,FALSE)</f>
        <v>#REF!</v>
      </c>
      <c r="E169" s="13" t="e">
        <f>VLOOKUP($B169,#REF!,C$1,FALSE)</f>
        <v>#REF!</v>
      </c>
      <c r="F169" s="25" t="e">
        <f>VLOOKUP($B169,#REF!,D$1,FALSE)</f>
        <v>#REF!</v>
      </c>
      <c r="G169" s="14" t="e">
        <f>IF(VLOOKUP($B169,#REF!,G$1,FALSE)=0,0.0001,VLOOKUP($B169,#REF!,G$1,FALSE))</f>
        <v>#REF!</v>
      </c>
      <c r="H169" s="23">
        <v>2154.4312</v>
      </c>
      <c r="I169" s="24">
        <v>999999999</v>
      </c>
      <c r="M169" s="24">
        <v>999999999</v>
      </c>
      <c r="O169" s="37" t="e">
        <f>D169</f>
        <v>#REF!</v>
      </c>
      <c r="P169" s="37" t="e">
        <f>F169</f>
        <v>#REF!</v>
      </c>
      <c r="Q169" s="14" t="e">
        <f>G169</f>
        <v>#REF!</v>
      </c>
      <c r="R169" s="14" t="s">
        <v>186</v>
      </c>
      <c r="S169" s="15" t="str">
        <f t="shared" si="19"/>
        <v>b</v>
      </c>
      <c r="T169" s="4" t="e">
        <f>VLOOKUP(B169,#REF!,7,FALSE)</f>
        <v>#REF!</v>
      </c>
    </row>
    <row r="170" spans="1:20" x14ac:dyDescent="0.35">
      <c r="A170" s="13"/>
      <c r="B170" s="13">
        <v>147</v>
      </c>
      <c r="C170" s="13" t="e">
        <f>VLOOKUP($B170,#REF!,E$1,FALSE)</f>
        <v>#REF!</v>
      </c>
      <c r="D170" s="25" t="e">
        <f>VLOOKUP($B170,#REF!,F$1,FALSE)</f>
        <v>#REF!</v>
      </c>
      <c r="E170" s="13" t="e">
        <f>VLOOKUP($B170,#REF!,C$1,FALSE)</f>
        <v>#REF!</v>
      </c>
      <c r="F170" s="25" t="e">
        <f>VLOOKUP($B170,#REF!,D$1,FALSE)</f>
        <v>#REF!</v>
      </c>
      <c r="G170" s="14" t="e">
        <f>IF(VLOOKUP($B170,#REF!,G$1,FALSE)=0,0.0001,VLOOKUP($B170,#REF!,G$1,FALSE))</f>
        <v>#REF!</v>
      </c>
      <c r="H170" s="23">
        <v>3141.4515999999999</v>
      </c>
      <c r="I170" s="24">
        <v>999999999</v>
      </c>
      <c r="M170" s="433">
        <v>999999999</v>
      </c>
      <c r="N170" s="34"/>
      <c r="O170" s="438" t="e">
        <f>D170</f>
        <v>#REF!</v>
      </c>
      <c r="P170" s="438" t="e">
        <f>F171</f>
        <v>#REF!</v>
      </c>
      <c r="Q170" s="435" t="e">
        <f>G171</f>
        <v>#REF!</v>
      </c>
      <c r="R170" s="14" t="s">
        <v>186</v>
      </c>
      <c r="S170" s="15" t="str">
        <f t="shared" si="19"/>
        <v>b</v>
      </c>
      <c r="T170" s="4" t="e">
        <f>VLOOKUP(B170,#REF!,7,FALSE)</f>
        <v>#REF!</v>
      </c>
    </row>
    <row r="171" spans="1:20" x14ac:dyDescent="0.35">
      <c r="A171" s="13"/>
      <c r="B171" s="13">
        <v>148</v>
      </c>
      <c r="C171" s="13" t="e">
        <f>VLOOKUP($B171,#REF!,E$1,FALSE)</f>
        <v>#REF!</v>
      </c>
      <c r="D171" s="25" t="e">
        <f>VLOOKUP($B171,#REF!,F$1,FALSE)</f>
        <v>#REF!</v>
      </c>
      <c r="E171" s="13" t="e">
        <f>VLOOKUP($B171,#REF!,C$1,FALSE)</f>
        <v>#REF!</v>
      </c>
      <c r="F171" s="25" t="e">
        <f>VLOOKUP($B171,#REF!,D$1,FALSE)</f>
        <v>#REF!</v>
      </c>
      <c r="G171" s="14" t="e">
        <f>IF(VLOOKUP($B171,#REF!,G$1,FALSE)=0,0.0001,VLOOKUP($B171,#REF!,G$1,FALSE))</f>
        <v>#REF!</v>
      </c>
      <c r="H171" s="23">
        <v>0</v>
      </c>
      <c r="I171" s="24">
        <v>999999999</v>
      </c>
      <c r="M171" s="433"/>
      <c r="N171" s="34"/>
      <c r="O171" s="438"/>
      <c r="P171" s="438"/>
      <c r="Q171" s="435"/>
      <c r="R171" s="14" t="s">
        <v>186</v>
      </c>
      <c r="S171" s="15">
        <f t="shared" si="19"/>
        <v>0</v>
      </c>
      <c r="T171" s="4" t="e">
        <f>VLOOKUP(B171,#REF!,7,FALSE)</f>
        <v>#REF!</v>
      </c>
    </row>
    <row r="172" spans="1:20" x14ac:dyDescent="0.35">
      <c r="A172" s="13"/>
      <c r="B172" s="13">
        <v>140</v>
      </c>
      <c r="C172" s="13" t="e">
        <f>VLOOKUP($B172,#REF!,C$1,FALSE)</f>
        <v>#REF!</v>
      </c>
      <c r="D172" s="25" t="e">
        <f>VLOOKUP($B172,#REF!,D$1,FALSE)</f>
        <v>#REF!</v>
      </c>
      <c r="E172" s="13" t="e">
        <f>VLOOKUP($B172,#REF!,E$1,FALSE)</f>
        <v>#REF!</v>
      </c>
      <c r="F172" s="25" t="e">
        <f>VLOOKUP($B172,#REF!,F$1,FALSE)</f>
        <v>#REF!</v>
      </c>
      <c r="G172" s="14" t="e">
        <f>IF(VLOOKUP($B172,#REF!,G$1,FALSE)=0,0.0001,VLOOKUP($B172,#REF!,G$1,FALSE))</f>
        <v>#REF!</v>
      </c>
      <c r="H172" s="23">
        <v>1149.2601</v>
      </c>
      <c r="I172" s="24">
        <v>999999999</v>
      </c>
      <c r="M172" s="24">
        <v>999999999</v>
      </c>
      <c r="O172" s="9" t="e">
        <f>D177</f>
        <v>#REF!</v>
      </c>
      <c r="P172" s="9" t="e">
        <f>F172</f>
        <v>#REF!</v>
      </c>
      <c r="Q172" s="14" t="e">
        <f>G172</f>
        <v>#REF!</v>
      </c>
      <c r="R172" s="35" t="s">
        <v>200</v>
      </c>
      <c r="S172" s="15" t="str">
        <f t="shared" si="19"/>
        <v>b</v>
      </c>
      <c r="T172" s="4" t="e">
        <f>VLOOKUP(B172,#REF!,7,FALSE)</f>
        <v>#REF!</v>
      </c>
    </row>
    <row r="173" spans="1:20" x14ac:dyDescent="0.35">
      <c r="A173" s="13"/>
      <c r="B173" s="13">
        <v>141</v>
      </c>
      <c r="C173" s="13" t="e">
        <f>VLOOKUP($B173,#REF!,C$1,FALSE)</f>
        <v>#REF!</v>
      </c>
      <c r="D173" s="25" t="e">
        <f>VLOOKUP($B173,#REF!,D$1,FALSE)</f>
        <v>#REF!</v>
      </c>
      <c r="E173" s="13" t="e">
        <f>VLOOKUP($B173,#REF!,E$1,FALSE)</f>
        <v>#REF!</v>
      </c>
      <c r="F173" s="25" t="e">
        <f>VLOOKUP($B173,#REF!,F$1,FALSE)</f>
        <v>#REF!</v>
      </c>
      <c r="G173" s="14" t="e">
        <f>IF(VLOOKUP($B173,#REF!,G$1,FALSE)=0,0.0001,VLOOKUP($B173,#REF!,G$1,FALSE))</f>
        <v>#REF!</v>
      </c>
      <c r="H173" s="23">
        <v>930.17803000000004</v>
      </c>
      <c r="I173" s="24">
        <v>999999999</v>
      </c>
      <c r="M173" s="433">
        <v>999999999</v>
      </c>
      <c r="N173" s="430"/>
      <c r="O173" s="434" t="e">
        <f>D173</f>
        <v>#REF!</v>
      </c>
      <c r="P173" s="434" t="e">
        <f>F177</f>
        <v>#REF!</v>
      </c>
      <c r="Q173" s="435" t="e">
        <f>SUM(F173:F177)</f>
        <v>#REF!</v>
      </c>
      <c r="R173" s="432" t="s">
        <v>200</v>
      </c>
      <c r="S173" s="15" t="str">
        <f t="shared" si="19"/>
        <v>b</v>
      </c>
      <c r="T173" s="4" t="e">
        <f>VLOOKUP(B173,#REF!,7,FALSE)</f>
        <v>#REF!</v>
      </c>
    </row>
    <row r="174" spans="1:20" x14ac:dyDescent="0.35">
      <c r="A174" s="13"/>
      <c r="B174" s="13">
        <v>142</v>
      </c>
      <c r="C174" s="13" t="e">
        <f>VLOOKUP($B174,#REF!,C$1,FALSE)</f>
        <v>#REF!</v>
      </c>
      <c r="D174" s="25" t="e">
        <f>VLOOKUP($B174,#REF!,D$1,FALSE)</f>
        <v>#REF!</v>
      </c>
      <c r="E174" s="13" t="e">
        <f>VLOOKUP($B174,#REF!,E$1,FALSE)</f>
        <v>#REF!</v>
      </c>
      <c r="F174" s="25" t="e">
        <f>VLOOKUP($B174,#REF!,F$1,FALSE)</f>
        <v>#REF!</v>
      </c>
      <c r="G174" s="14" t="e">
        <f>IF(VLOOKUP($B174,#REF!,G$1,FALSE)=0,0.0001,VLOOKUP($B174,#REF!,G$1,FALSE))</f>
        <v>#REF!</v>
      </c>
      <c r="H174" s="23">
        <v>0</v>
      </c>
      <c r="I174" s="24">
        <v>999999999</v>
      </c>
      <c r="M174" s="433"/>
      <c r="N174" s="430"/>
      <c r="O174" s="434"/>
      <c r="P174" s="434"/>
      <c r="Q174" s="435"/>
      <c r="R174" s="432"/>
      <c r="S174" s="15">
        <f t="shared" si="19"/>
        <v>0</v>
      </c>
      <c r="T174" s="4" t="e">
        <f>VLOOKUP(B174,#REF!,7,FALSE)</f>
        <v>#REF!</v>
      </c>
    </row>
    <row r="175" spans="1:20" x14ac:dyDescent="0.35">
      <c r="A175" s="13"/>
      <c r="B175" s="13">
        <v>143</v>
      </c>
      <c r="C175" s="13" t="e">
        <f>VLOOKUP($B175,#REF!,C$1,FALSE)</f>
        <v>#REF!</v>
      </c>
      <c r="D175" s="25" t="e">
        <f>VLOOKUP($B175,#REF!,D$1,FALSE)</f>
        <v>#REF!</v>
      </c>
      <c r="E175" s="13" t="e">
        <f>VLOOKUP($B175,#REF!,E$1,FALSE)</f>
        <v>#REF!</v>
      </c>
      <c r="F175" s="25" t="e">
        <f>VLOOKUP($B175,#REF!,F$1,FALSE)</f>
        <v>#REF!</v>
      </c>
      <c r="G175" s="14" t="e">
        <f>IF(VLOOKUP($B175,#REF!,G$1,FALSE)=0,0.0001,VLOOKUP($B175,#REF!,G$1,FALSE))</f>
        <v>#REF!</v>
      </c>
      <c r="H175" s="23">
        <v>221.60902999999999</v>
      </c>
      <c r="I175" s="24">
        <v>999999999</v>
      </c>
      <c r="M175" s="433"/>
      <c r="N175" s="430"/>
      <c r="O175" s="434"/>
      <c r="P175" s="434"/>
      <c r="Q175" s="435"/>
      <c r="R175" s="432"/>
      <c r="S175" s="15" t="str">
        <f t="shared" si="19"/>
        <v>b</v>
      </c>
      <c r="T175" s="4" t="e">
        <f>VLOOKUP(B175,#REF!,7,FALSE)</f>
        <v>#REF!</v>
      </c>
    </row>
    <row r="176" spans="1:20" x14ac:dyDescent="0.35">
      <c r="A176" s="13"/>
      <c r="B176" s="13">
        <v>144</v>
      </c>
      <c r="C176" s="13" t="e">
        <f>VLOOKUP($B176,#REF!,C$1,FALSE)</f>
        <v>#REF!</v>
      </c>
      <c r="D176" s="25" t="e">
        <f>VLOOKUP($B176,#REF!,D$1,FALSE)</f>
        <v>#REF!</v>
      </c>
      <c r="E176" s="13" t="e">
        <f>VLOOKUP($B176,#REF!,E$1,FALSE)</f>
        <v>#REF!</v>
      </c>
      <c r="F176" s="25" t="e">
        <f>VLOOKUP($B176,#REF!,F$1,FALSE)</f>
        <v>#REF!</v>
      </c>
      <c r="G176" s="14" t="e">
        <f>IF(VLOOKUP($B176,#REF!,G$1,FALSE)=0,0.0001,VLOOKUP($B176,#REF!,G$1,FALSE))</f>
        <v>#REF!</v>
      </c>
      <c r="H176" s="23">
        <v>0</v>
      </c>
      <c r="I176" s="24">
        <v>999999999</v>
      </c>
      <c r="M176" s="433"/>
      <c r="N176" s="430"/>
      <c r="O176" s="434"/>
      <c r="P176" s="434"/>
      <c r="Q176" s="435"/>
      <c r="R176" s="432"/>
      <c r="S176" s="15">
        <f t="shared" si="19"/>
        <v>0</v>
      </c>
      <c r="T176" s="4" t="e">
        <f>VLOOKUP(B176,#REF!,7,FALSE)</f>
        <v>#REF!</v>
      </c>
    </row>
    <row r="177" spans="1:20" x14ac:dyDescent="0.35">
      <c r="A177" s="13"/>
      <c r="B177" s="13">
        <v>145</v>
      </c>
      <c r="C177" s="13" t="e">
        <f>VLOOKUP($B177,#REF!,C$1,FALSE)</f>
        <v>#REF!</v>
      </c>
      <c r="D177" s="25" t="e">
        <f>VLOOKUP($B177,#REF!,D$1,FALSE)</f>
        <v>#REF!</v>
      </c>
      <c r="E177" s="13" t="e">
        <f>VLOOKUP($B177,#REF!,E$1,FALSE)</f>
        <v>#REF!</v>
      </c>
      <c r="F177" s="25" t="e">
        <f>VLOOKUP($B177,#REF!,F$1,FALSE)</f>
        <v>#REF!</v>
      </c>
      <c r="G177" s="14" t="e">
        <f>IF(VLOOKUP($B177,#REF!,G$1,FALSE)=0,0.0001,VLOOKUP($B177,#REF!,G$1,FALSE))</f>
        <v>#REF!</v>
      </c>
      <c r="H177" s="23">
        <v>0</v>
      </c>
      <c r="I177" s="24">
        <v>999999999</v>
      </c>
      <c r="M177" s="433"/>
      <c r="N177" s="430"/>
      <c r="O177" s="434"/>
      <c r="P177" s="434"/>
      <c r="Q177" s="435"/>
      <c r="R177" s="432"/>
      <c r="S177" s="15">
        <f t="shared" si="19"/>
        <v>0</v>
      </c>
      <c r="T177" s="4" t="e">
        <f>VLOOKUP(B177,#REF!,7,FALSE)</f>
        <v>#REF!</v>
      </c>
    </row>
    <row r="178" spans="1:20" x14ac:dyDescent="0.35">
      <c r="A178" s="13"/>
      <c r="B178" s="13">
        <v>149</v>
      </c>
      <c r="C178" s="13" t="e">
        <f>VLOOKUP($B178,#REF!,C$1,FALSE)</f>
        <v>#REF!</v>
      </c>
      <c r="D178" s="25" t="e">
        <f>VLOOKUP($B178,#REF!,D$1,FALSE)</f>
        <v>#REF!</v>
      </c>
      <c r="E178" s="13" t="e">
        <f>VLOOKUP($B178,#REF!,E$1,FALSE)</f>
        <v>#REF!</v>
      </c>
      <c r="F178" s="25" t="e">
        <f>VLOOKUP($B178,#REF!,F$1,FALSE)</f>
        <v>#REF!</v>
      </c>
      <c r="G178" s="14" t="e">
        <f>IF(VLOOKUP($B178,#REF!,G$1,FALSE)=0,0.0001,VLOOKUP($B178,#REF!,G$1,FALSE))</f>
        <v>#REF!</v>
      </c>
      <c r="H178" s="23">
        <v>0</v>
      </c>
      <c r="I178" s="24">
        <v>999999999</v>
      </c>
      <c r="K178" s="24">
        <v>999999999</v>
      </c>
      <c r="L178" s="24"/>
      <c r="M178" s="24">
        <v>999999999</v>
      </c>
      <c r="N178" s="24">
        <v>999999999</v>
      </c>
      <c r="O178" s="37" t="e">
        <f>D178</f>
        <v>#REF!</v>
      </c>
      <c r="P178" s="37" t="e">
        <f>F178</f>
        <v>#REF!</v>
      </c>
      <c r="Q178" s="14" t="e">
        <f>G178</f>
        <v>#REF!</v>
      </c>
      <c r="R178" s="14" t="s">
        <v>186</v>
      </c>
      <c r="S178" s="15">
        <f>IF((H178&gt;0),IF((H178-K178)=0,"a",IF(H178/K178&lt;0.5,"b","c")),)</f>
        <v>0</v>
      </c>
      <c r="T178" s="4" t="e">
        <f>VLOOKUP(B178,#REF!,7,FALSE)</f>
        <v>#REF!</v>
      </c>
    </row>
    <row r="179" spans="1:20" x14ac:dyDescent="0.35">
      <c r="A179" s="13"/>
      <c r="B179" s="13">
        <v>155</v>
      </c>
      <c r="C179" s="13" t="e">
        <f>VLOOKUP($B179,#REF!,C$1,FALSE)</f>
        <v>#REF!</v>
      </c>
      <c r="D179" s="25" t="e">
        <f>VLOOKUP($B179,#REF!,D$1,FALSE)</f>
        <v>#REF!</v>
      </c>
      <c r="E179" s="13" t="e">
        <f>VLOOKUP($B179,#REF!,E$1,FALSE)</f>
        <v>#REF!</v>
      </c>
      <c r="F179" s="25" t="e">
        <f>VLOOKUP($B179,#REF!,F$1,FALSE)</f>
        <v>#REF!</v>
      </c>
      <c r="G179" s="14" t="e">
        <f>IF(VLOOKUP($B179,#REF!,G$1,FALSE)=0,0.0001,VLOOKUP($B179,#REF!,G$1,FALSE))</f>
        <v>#REF!</v>
      </c>
      <c r="H179" s="23">
        <v>0</v>
      </c>
      <c r="I179" s="24">
        <v>999999999</v>
      </c>
      <c r="K179" s="24">
        <v>999999999</v>
      </c>
      <c r="L179" s="24"/>
      <c r="M179" s="26">
        <v>999999999</v>
      </c>
      <c r="N179" s="26">
        <v>999999999</v>
      </c>
      <c r="O179" s="9" t="e">
        <f>D179</f>
        <v>#REF!</v>
      </c>
      <c r="P179" s="9" t="e">
        <f>F179</f>
        <v>#REF!</v>
      </c>
      <c r="Q179" s="36" t="e">
        <f>SUM(G179:G183)</f>
        <v>#REF!</v>
      </c>
      <c r="R179" s="35" t="s">
        <v>201</v>
      </c>
      <c r="S179" s="15">
        <f t="shared" ref="S179:S185" si="20">IF((H179&gt;0),IF((H179-I179)=0,"a",IF(H179/I179&lt;0.5,"b","c")),)</f>
        <v>0</v>
      </c>
      <c r="T179" s="4" t="e">
        <f>VLOOKUP(B179,#REF!,7,FALSE)</f>
        <v>#REF!</v>
      </c>
    </row>
    <row r="180" spans="1:20" x14ac:dyDescent="0.35">
      <c r="A180" s="13"/>
      <c r="B180" s="13">
        <v>156</v>
      </c>
      <c r="C180" s="13" t="e">
        <f>VLOOKUP($B180,#REF!,C$1,FALSE)</f>
        <v>#REF!</v>
      </c>
      <c r="D180" s="25" t="e">
        <f>VLOOKUP($B180,#REF!,D$1,FALSE)</f>
        <v>#REF!</v>
      </c>
      <c r="E180" s="13" t="e">
        <f>VLOOKUP($B180,#REF!,E$1,FALSE)</f>
        <v>#REF!</v>
      </c>
      <c r="F180" s="25" t="e">
        <f>VLOOKUP($B180,#REF!,F$1,FALSE)</f>
        <v>#REF!</v>
      </c>
      <c r="G180" s="14" t="e">
        <f>IF(VLOOKUP($B180,#REF!,G$1,FALSE)=0,0.0001,VLOOKUP($B180,#REF!,G$1,FALSE))</f>
        <v>#REF!</v>
      </c>
      <c r="H180" s="23">
        <v>891.43173000000002</v>
      </c>
      <c r="I180" s="24">
        <v>999999999</v>
      </c>
      <c r="M180" s="26">
        <v>999999999</v>
      </c>
      <c r="O180" s="9" t="e">
        <f>D180</f>
        <v>#REF!</v>
      </c>
      <c r="P180" s="9" t="e">
        <f>F180</f>
        <v>#REF!</v>
      </c>
      <c r="Q180" s="36" t="e">
        <f>G180</f>
        <v>#REF!</v>
      </c>
      <c r="R180" s="35" t="s">
        <v>201</v>
      </c>
      <c r="S180" s="15" t="str">
        <f t="shared" si="20"/>
        <v>b</v>
      </c>
      <c r="T180" s="4" t="e">
        <f>VLOOKUP(B180,#REF!,7,FALSE)</f>
        <v>#REF!</v>
      </c>
    </row>
    <row r="181" spans="1:20" x14ac:dyDescent="0.35">
      <c r="A181" s="13"/>
      <c r="B181" s="13">
        <v>157</v>
      </c>
      <c r="C181" s="13" t="e">
        <f>VLOOKUP($B181,#REF!,C$1,FALSE)</f>
        <v>#REF!</v>
      </c>
      <c r="D181" s="25" t="e">
        <f>VLOOKUP($B181,#REF!,D$1,FALSE)</f>
        <v>#REF!</v>
      </c>
      <c r="E181" s="13" t="e">
        <f>VLOOKUP($B181,#REF!,E$1,FALSE)</f>
        <v>#REF!</v>
      </c>
      <c r="F181" s="25" t="e">
        <f>VLOOKUP($B181,#REF!,F$1,FALSE)</f>
        <v>#REF!</v>
      </c>
      <c r="G181" s="14" t="e">
        <f>IF(VLOOKUP($B181,#REF!,G$1,FALSE)=0,0.0001,VLOOKUP($B181,#REF!,G$1,FALSE))</f>
        <v>#REF!</v>
      </c>
      <c r="H181" s="23">
        <v>1657.3178</v>
      </c>
      <c r="I181" s="24">
        <v>999999999</v>
      </c>
      <c r="M181" s="26">
        <v>999999999</v>
      </c>
      <c r="O181" s="9" t="e">
        <f>D181</f>
        <v>#REF!</v>
      </c>
      <c r="P181" s="9" t="e">
        <f>F181</f>
        <v>#REF!</v>
      </c>
      <c r="Q181" s="36" t="e">
        <f>G181</f>
        <v>#REF!</v>
      </c>
      <c r="R181" s="35" t="s">
        <v>201</v>
      </c>
      <c r="S181" s="15" t="str">
        <f t="shared" si="20"/>
        <v>b</v>
      </c>
      <c r="T181" s="4" t="e">
        <f>VLOOKUP(B181,#REF!,7,FALSE)</f>
        <v>#REF!</v>
      </c>
    </row>
    <row r="182" spans="1:20" x14ac:dyDescent="0.35">
      <c r="A182" s="13"/>
      <c r="B182" s="13">
        <v>158</v>
      </c>
      <c r="C182" s="13" t="e">
        <f>VLOOKUP($B182,#REF!,C$1,FALSE)</f>
        <v>#REF!</v>
      </c>
      <c r="D182" s="25" t="e">
        <f>VLOOKUP($B182,#REF!,D$1,FALSE)</f>
        <v>#REF!</v>
      </c>
      <c r="E182" s="13" t="e">
        <f>VLOOKUP($B182,#REF!,E$1,FALSE)</f>
        <v>#REF!</v>
      </c>
      <c r="F182" s="25" t="e">
        <f>VLOOKUP($B182,#REF!,F$1,FALSE)</f>
        <v>#REF!</v>
      </c>
      <c r="G182" s="14" t="e">
        <f>IF(VLOOKUP($B182,#REF!,G$1,FALSE)=0,0.0001,VLOOKUP($B182,#REF!,G$1,FALSE))</f>
        <v>#REF!</v>
      </c>
      <c r="H182" s="23">
        <v>0</v>
      </c>
      <c r="I182" s="24">
        <v>999999999</v>
      </c>
      <c r="M182" s="431">
        <v>999999999</v>
      </c>
      <c r="N182" s="430"/>
      <c r="O182" s="434" t="e">
        <f>D182</f>
        <v>#REF!</v>
      </c>
      <c r="P182" s="434" t="e">
        <f>F183</f>
        <v>#REF!</v>
      </c>
      <c r="Q182" s="435" t="e">
        <f>SUM(G182:G183)</f>
        <v>#REF!</v>
      </c>
      <c r="R182" s="432" t="s">
        <v>201</v>
      </c>
      <c r="S182" s="15">
        <f t="shared" si="20"/>
        <v>0</v>
      </c>
      <c r="T182" s="4" t="e">
        <f>VLOOKUP(B182,#REF!,7,FALSE)</f>
        <v>#REF!</v>
      </c>
    </row>
    <row r="183" spans="1:20" x14ac:dyDescent="0.35">
      <c r="A183" s="13"/>
      <c r="B183" s="13">
        <v>159</v>
      </c>
      <c r="C183" s="13" t="e">
        <f>VLOOKUP($B183,#REF!,C$1,FALSE)</f>
        <v>#REF!</v>
      </c>
      <c r="D183" s="25" t="e">
        <f>VLOOKUP($B183,#REF!,D$1,FALSE)</f>
        <v>#REF!</v>
      </c>
      <c r="E183" s="13" t="e">
        <f>VLOOKUP($B183,#REF!,E$1,FALSE)</f>
        <v>#REF!</v>
      </c>
      <c r="F183" s="25" t="e">
        <f>VLOOKUP($B183,#REF!,F$1,FALSE)</f>
        <v>#REF!</v>
      </c>
      <c r="G183" s="14" t="e">
        <f>IF(VLOOKUP($B183,#REF!,G$1,FALSE)=0,0.0001,VLOOKUP($B183,#REF!,G$1,FALSE))</f>
        <v>#REF!</v>
      </c>
      <c r="H183" s="23">
        <v>435.17462999999998</v>
      </c>
      <c r="I183" s="24">
        <v>999999999</v>
      </c>
      <c r="M183" s="431"/>
      <c r="N183" s="430"/>
      <c r="O183" s="434"/>
      <c r="P183" s="434"/>
      <c r="Q183" s="435"/>
      <c r="R183" s="432"/>
      <c r="S183" s="15" t="str">
        <f t="shared" si="20"/>
        <v>b</v>
      </c>
      <c r="T183" s="4" t="e">
        <f>VLOOKUP(B183,#REF!,7,FALSE)</f>
        <v>#REF!</v>
      </c>
    </row>
    <row r="184" spans="1:20" x14ac:dyDescent="0.35">
      <c r="A184" s="13"/>
      <c r="B184" s="13">
        <v>160</v>
      </c>
      <c r="C184" s="13" t="e">
        <f>VLOOKUP($B184,#REF!,C$1,FALSE)</f>
        <v>#REF!</v>
      </c>
      <c r="D184" s="25" t="e">
        <f>VLOOKUP($B184,#REF!,D$1,FALSE)</f>
        <v>#REF!</v>
      </c>
      <c r="E184" s="13" t="e">
        <f>VLOOKUP($B184,#REF!,E$1,FALSE)</f>
        <v>#REF!</v>
      </c>
      <c r="F184" s="25" t="e">
        <f>VLOOKUP($B184,#REF!,F$1,FALSE)</f>
        <v>#REF!</v>
      </c>
      <c r="G184" s="14" t="e">
        <f>IF(VLOOKUP($B184,#REF!,G$1,FALSE)=0,0.0001,VLOOKUP($B184,#REF!,G$1,FALSE))</f>
        <v>#REF!</v>
      </c>
      <c r="H184" s="23">
        <v>229.99340000000001</v>
      </c>
      <c r="I184" s="24">
        <v>999999999</v>
      </c>
      <c r="K184" s="24">
        <v>999999999</v>
      </c>
      <c r="L184" s="24"/>
      <c r="M184" s="24">
        <v>999999999</v>
      </c>
      <c r="N184" s="24">
        <v>999999999</v>
      </c>
      <c r="O184" s="37" t="e">
        <f>D184</f>
        <v>#REF!</v>
      </c>
      <c r="P184" s="37" t="e">
        <f>F184</f>
        <v>#REF!</v>
      </c>
      <c r="Q184" s="14" t="e">
        <f>G184</f>
        <v>#REF!</v>
      </c>
      <c r="R184" s="14" t="s">
        <v>186</v>
      </c>
      <c r="S184" s="15" t="str">
        <f t="shared" si="20"/>
        <v>b</v>
      </c>
      <c r="T184" s="4" t="e">
        <f>VLOOKUP(B184,#REF!,7,FALSE)</f>
        <v>#REF!</v>
      </c>
    </row>
    <row r="185" spans="1:20" x14ac:dyDescent="0.35">
      <c r="A185" s="13"/>
      <c r="B185" s="13">
        <v>161</v>
      </c>
      <c r="C185" s="13" t="e">
        <f>VLOOKUP($B185,#REF!,E$1,FALSE)</f>
        <v>#REF!</v>
      </c>
      <c r="D185" s="25" t="e">
        <f>VLOOKUP($B185,#REF!,F$1,FALSE)</f>
        <v>#REF!</v>
      </c>
      <c r="E185" s="13" t="e">
        <f>VLOOKUP($B185,#REF!,C$1,FALSE)</f>
        <v>#REF!</v>
      </c>
      <c r="F185" s="25" t="e">
        <f>VLOOKUP($B185,#REF!,D$1,FALSE)</f>
        <v>#REF!</v>
      </c>
      <c r="G185" s="14" t="e">
        <f>IF(VLOOKUP($B185,#REF!,G$1,FALSE)=0,0.0001,VLOOKUP($B185,#REF!,G$1,FALSE))</f>
        <v>#REF!</v>
      </c>
      <c r="H185" s="23">
        <v>8256.9714000000004</v>
      </c>
      <c r="I185" s="24">
        <v>999999999</v>
      </c>
      <c r="K185" s="24">
        <v>999999999</v>
      </c>
      <c r="L185" s="24"/>
      <c r="M185" s="24">
        <v>999999999</v>
      </c>
      <c r="N185" s="24">
        <v>999999999</v>
      </c>
      <c r="O185" s="37" t="e">
        <f>D185</f>
        <v>#REF!</v>
      </c>
      <c r="P185" s="37" t="e">
        <f>F185</f>
        <v>#REF!</v>
      </c>
      <c r="Q185" s="14" t="e">
        <f>G185</f>
        <v>#REF!</v>
      </c>
      <c r="R185" s="14"/>
      <c r="S185" s="15" t="str">
        <f t="shared" si="20"/>
        <v>b</v>
      </c>
      <c r="T185" s="4" t="e">
        <f>VLOOKUP(B185,#REF!,7,FALSE)</f>
        <v>#REF!</v>
      </c>
    </row>
    <row r="186" spans="1:20" x14ac:dyDescent="0.35">
      <c r="A186" s="13"/>
      <c r="O186" s="37"/>
      <c r="P186" s="37"/>
      <c r="Q186" s="14"/>
    </row>
    <row r="187" spans="1:20" x14ac:dyDescent="0.35">
      <c r="A187" s="13"/>
      <c r="B187" s="13">
        <v>162</v>
      </c>
      <c r="C187" s="13" t="e">
        <f>VLOOKUP($B187,#REF!,C$1,FALSE)</f>
        <v>#REF!</v>
      </c>
      <c r="D187" s="25" t="e">
        <f>VLOOKUP($B187,#REF!,D$1,FALSE)</f>
        <v>#REF!</v>
      </c>
      <c r="E187" s="13" t="e">
        <f>VLOOKUP($B187,#REF!,E$1,FALSE)</f>
        <v>#REF!</v>
      </c>
      <c r="F187" s="25" t="e">
        <f>VLOOKUP($B187,#REF!,F$1,FALSE)</f>
        <v>#REF!</v>
      </c>
      <c r="G187" s="14" t="e">
        <f>IF(VLOOKUP($B187,#REF!,G$1,FALSE)=0,0.0001,VLOOKUP($B187,#REF!,G$1,FALSE))</f>
        <v>#REF!</v>
      </c>
      <c r="H187" s="23">
        <v>727.60569999999996</v>
      </c>
      <c r="I187" s="24">
        <v>999999999</v>
      </c>
      <c r="K187" s="4"/>
      <c r="L187" s="4"/>
      <c r="M187" s="433">
        <v>999999999</v>
      </c>
      <c r="N187" s="435"/>
      <c r="O187" s="438" t="e">
        <f>D187</f>
        <v>#REF!</v>
      </c>
      <c r="P187" s="438" t="e">
        <f>F188</f>
        <v>#REF!</v>
      </c>
      <c r="Q187" s="435" t="e">
        <f>G188</f>
        <v>#REF!</v>
      </c>
      <c r="R187" s="432" t="s">
        <v>202</v>
      </c>
      <c r="S187" s="15" t="str">
        <f t="shared" ref="S187:S210" si="21">IF((H187&gt;0),IF((H187-I187)=0,"a",IF(H187/I187&lt;0.5,"b","c")),)</f>
        <v>b</v>
      </c>
      <c r="T187" s="4" t="e">
        <f>VLOOKUP(B187,#REF!,7,FALSE)</f>
        <v>#REF!</v>
      </c>
    </row>
    <row r="188" spans="1:20" x14ac:dyDescent="0.35">
      <c r="B188" s="13">
        <v>163</v>
      </c>
      <c r="C188" s="13" t="e">
        <f>VLOOKUP($B188,#REF!,C$1,FALSE)</f>
        <v>#REF!</v>
      </c>
      <c r="D188" s="25" t="e">
        <f>VLOOKUP($B188,#REF!,D$1,FALSE)</f>
        <v>#REF!</v>
      </c>
      <c r="E188" s="13" t="e">
        <f>VLOOKUP($B188,#REF!,E$1,FALSE)</f>
        <v>#REF!</v>
      </c>
      <c r="F188" s="25" t="e">
        <f>VLOOKUP($B188,#REF!,F$1,FALSE)</f>
        <v>#REF!</v>
      </c>
      <c r="G188" s="14" t="e">
        <f>IF(VLOOKUP($B188,#REF!,G$1,FALSE)=0,0.0001,VLOOKUP($B188,#REF!,G$1,FALSE))</f>
        <v>#REF!</v>
      </c>
      <c r="H188" s="23">
        <v>0</v>
      </c>
      <c r="I188" s="24">
        <v>999999999</v>
      </c>
      <c r="M188" s="433"/>
      <c r="N188" s="435"/>
      <c r="O188" s="438"/>
      <c r="P188" s="438"/>
      <c r="Q188" s="435"/>
      <c r="R188" s="432"/>
      <c r="S188" s="15">
        <f t="shared" si="21"/>
        <v>0</v>
      </c>
      <c r="T188" s="4" t="e">
        <f>VLOOKUP(B188,#REF!,7,FALSE)</f>
        <v>#REF!</v>
      </c>
    </row>
    <row r="189" spans="1:20" x14ac:dyDescent="0.35">
      <c r="A189" s="13"/>
      <c r="B189" s="13">
        <v>164</v>
      </c>
      <c r="C189" s="13" t="e">
        <f>VLOOKUP($B189,#REF!,E$1,FALSE)</f>
        <v>#REF!</v>
      </c>
      <c r="D189" s="25" t="e">
        <f>VLOOKUP($B189,#REF!,F$1,FALSE)</f>
        <v>#REF!</v>
      </c>
      <c r="E189" s="13" t="e">
        <f>VLOOKUP($B189,#REF!,C$1,FALSE)</f>
        <v>#REF!</v>
      </c>
      <c r="F189" s="25" t="e">
        <f>VLOOKUP($B189,#REF!,D$1,FALSE)</f>
        <v>#REF!</v>
      </c>
      <c r="G189" s="14" t="e">
        <f>IF(VLOOKUP($B189,#REF!,G$1,FALSE)=0,0.0001,VLOOKUP($B189,#REF!,G$1,FALSE))</f>
        <v>#REF!</v>
      </c>
      <c r="H189" s="23">
        <v>8211.2047000000002</v>
      </c>
      <c r="I189" s="24">
        <v>999999999</v>
      </c>
      <c r="K189" s="24">
        <v>999999999</v>
      </c>
      <c r="L189" s="24"/>
      <c r="M189" s="431">
        <v>999999999</v>
      </c>
      <c r="N189" s="431">
        <v>999999999</v>
      </c>
      <c r="O189" s="434" t="e">
        <f>D189</f>
        <v>#REF!</v>
      </c>
      <c r="P189" s="434" t="e">
        <f>F191</f>
        <v>#REF!</v>
      </c>
      <c r="Q189" s="435" t="e">
        <f>SUM(G189:G191)</f>
        <v>#REF!</v>
      </c>
      <c r="R189" s="432" t="s">
        <v>202</v>
      </c>
      <c r="S189" s="15" t="str">
        <f t="shared" si="21"/>
        <v>b</v>
      </c>
      <c r="T189" s="4" t="e">
        <f>VLOOKUP(B189,#REF!,7,FALSE)</f>
        <v>#REF!</v>
      </c>
    </row>
    <row r="190" spans="1:20" x14ac:dyDescent="0.35">
      <c r="A190" s="13"/>
      <c r="B190" s="13">
        <v>165</v>
      </c>
      <c r="C190" s="13" t="e">
        <f>VLOOKUP($B190,#REF!,E$1,FALSE)</f>
        <v>#REF!</v>
      </c>
      <c r="D190" s="25" t="e">
        <f>VLOOKUP($B190,#REF!,F$1,FALSE)</f>
        <v>#REF!</v>
      </c>
      <c r="E190" s="13" t="e">
        <f>VLOOKUP($B190,#REF!,C$1,FALSE)</f>
        <v>#REF!</v>
      </c>
      <c r="F190" s="25" t="e">
        <f>VLOOKUP($B190,#REF!,D$1,FALSE)</f>
        <v>#REF!</v>
      </c>
      <c r="G190" s="14" t="e">
        <f>IF(VLOOKUP($B190,#REF!,G$1,FALSE)=0,0.0001,VLOOKUP($B190,#REF!,G$1,FALSE))</f>
        <v>#REF!</v>
      </c>
      <c r="H190" s="23">
        <v>8211.2047000000002</v>
      </c>
      <c r="I190" s="24">
        <v>999999999</v>
      </c>
      <c r="K190" s="24">
        <v>999999999</v>
      </c>
      <c r="L190" s="24"/>
      <c r="M190" s="431"/>
      <c r="N190" s="431"/>
      <c r="O190" s="434"/>
      <c r="P190" s="434"/>
      <c r="Q190" s="435"/>
      <c r="R190" s="432"/>
      <c r="S190" s="15" t="str">
        <f t="shared" si="21"/>
        <v>b</v>
      </c>
      <c r="T190" s="4" t="e">
        <f>VLOOKUP(B190,#REF!,7,FALSE)</f>
        <v>#REF!</v>
      </c>
    </row>
    <row r="191" spans="1:20" x14ac:dyDescent="0.35">
      <c r="A191" s="13"/>
      <c r="B191" s="13">
        <v>166</v>
      </c>
      <c r="C191" s="13" t="e">
        <f>VLOOKUP($B191,#REF!,E$1,FALSE)</f>
        <v>#REF!</v>
      </c>
      <c r="D191" s="25" t="e">
        <f>VLOOKUP($B191,#REF!,F$1,FALSE)</f>
        <v>#REF!</v>
      </c>
      <c r="E191" s="13" t="e">
        <f>VLOOKUP($B191,#REF!,C$1,FALSE)</f>
        <v>#REF!</v>
      </c>
      <c r="F191" s="25" t="e">
        <f>VLOOKUP($B191,#REF!,D$1,FALSE)</f>
        <v>#REF!</v>
      </c>
      <c r="G191" s="14" t="e">
        <f>IF(VLOOKUP($B191,#REF!,G$1,FALSE)=0,0.0001,VLOOKUP($B191,#REF!,G$1,FALSE))</f>
        <v>#REF!</v>
      </c>
      <c r="H191" s="23">
        <v>8201.2649000000001</v>
      </c>
      <c r="I191" s="24">
        <v>999999999</v>
      </c>
      <c r="K191" s="24">
        <v>999999999</v>
      </c>
      <c r="L191" s="24"/>
      <c r="M191" s="431"/>
      <c r="N191" s="431"/>
      <c r="O191" s="434"/>
      <c r="P191" s="434"/>
      <c r="Q191" s="435"/>
      <c r="R191" s="432"/>
      <c r="S191" s="15" t="str">
        <f t="shared" si="21"/>
        <v>b</v>
      </c>
      <c r="T191" s="4" t="e">
        <f>VLOOKUP(B191,#REF!,7,FALSE)</f>
        <v>#REF!</v>
      </c>
    </row>
    <row r="192" spans="1:20" x14ac:dyDescent="0.35">
      <c r="B192" s="13">
        <v>167</v>
      </c>
      <c r="C192" s="13" t="e">
        <f>VLOOKUP($B192,#REF!,E$1,FALSE)</f>
        <v>#REF!</v>
      </c>
      <c r="D192" s="25" t="e">
        <f>VLOOKUP($B192,#REF!,F$1,FALSE)</f>
        <v>#REF!</v>
      </c>
      <c r="E192" s="13" t="e">
        <f>VLOOKUP($B192,#REF!,C$1,FALSE)</f>
        <v>#REF!</v>
      </c>
      <c r="F192" s="25" t="e">
        <f>VLOOKUP($B192,#REF!,D$1,FALSE)</f>
        <v>#REF!</v>
      </c>
      <c r="G192" s="14" t="e">
        <f>IF(VLOOKUP($B192,#REF!,G$1,FALSE)=0,0.0001,VLOOKUP($B192,#REF!,G$1,FALSE))</f>
        <v>#REF!</v>
      </c>
      <c r="H192" s="23">
        <v>8201.2317000000003</v>
      </c>
      <c r="I192" s="24">
        <v>999999999</v>
      </c>
      <c r="K192" s="24">
        <v>999999999</v>
      </c>
      <c r="L192" s="24"/>
      <c r="M192" s="431">
        <v>999999999</v>
      </c>
      <c r="N192" s="431">
        <v>999999999</v>
      </c>
      <c r="O192" s="434" t="e">
        <f>D192</f>
        <v>#REF!</v>
      </c>
      <c r="P192" s="434" t="e">
        <f>F194</f>
        <v>#REF!</v>
      </c>
      <c r="Q192" s="435" t="e">
        <f>SUM(G192:G194)</f>
        <v>#REF!</v>
      </c>
      <c r="R192" s="432" t="s">
        <v>105</v>
      </c>
      <c r="S192" s="15" t="str">
        <f t="shared" si="21"/>
        <v>b</v>
      </c>
      <c r="T192" s="4" t="e">
        <f>VLOOKUP(B192,#REF!,7,FALSE)</f>
        <v>#REF!</v>
      </c>
    </row>
    <row r="193" spans="2:20" x14ac:dyDescent="0.35">
      <c r="B193" s="13">
        <v>168</v>
      </c>
      <c r="C193" s="13" t="e">
        <f>VLOOKUP($B193,#REF!,E$1,FALSE)</f>
        <v>#REF!</v>
      </c>
      <c r="D193" s="25" t="e">
        <f>VLOOKUP($B193,#REF!,F$1,FALSE)</f>
        <v>#REF!</v>
      </c>
      <c r="E193" s="13" t="e">
        <f>VLOOKUP($B193,#REF!,C$1,FALSE)</f>
        <v>#REF!</v>
      </c>
      <c r="F193" s="25" t="e">
        <f>VLOOKUP($B193,#REF!,D$1,FALSE)</f>
        <v>#REF!</v>
      </c>
      <c r="G193" s="14" t="e">
        <f>IF(VLOOKUP($B193,#REF!,G$1,FALSE)=0,0.0001,VLOOKUP($B193,#REF!,G$1,FALSE))</f>
        <v>#REF!</v>
      </c>
      <c r="H193" s="23">
        <v>8126.8140000000003</v>
      </c>
      <c r="I193" s="24">
        <v>999999999</v>
      </c>
      <c r="K193" s="24">
        <v>999999999</v>
      </c>
      <c r="L193" s="24"/>
      <c r="M193" s="431"/>
      <c r="N193" s="431"/>
      <c r="O193" s="434"/>
      <c r="P193" s="434"/>
      <c r="Q193" s="435"/>
      <c r="R193" s="432"/>
      <c r="S193" s="15" t="str">
        <f t="shared" si="21"/>
        <v>b</v>
      </c>
      <c r="T193" s="4" t="e">
        <f>VLOOKUP(B193,#REF!,7,FALSE)</f>
        <v>#REF!</v>
      </c>
    </row>
    <row r="194" spans="2:20" x14ac:dyDescent="0.35">
      <c r="B194" s="13">
        <v>169</v>
      </c>
      <c r="C194" s="13" t="e">
        <f>VLOOKUP($B194,#REF!,E$1,FALSE)</f>
        <v>#REF!</v>
      </c>
      <c r="D194" s="25" t="e">
        <f>VLOOKUP($B194,#REF!,F$1,FALSE)</f>
        <v>#REF!</v>
      </c>
      <c r="E194" s="13" t="e">
        <f>VLOOKUP($B194,#REF!,C$1,FALSE)</f>
        <v>#REF!</v>
      </c>
      <c r="F194" s="25" t="e">
        <f>VLOOKUP($B194,#REF!,D$1,FALSE)</f>
        <v>#REF!</v>
      </c>
      <c r="G194" s="14" t="e">
        <f>IF(VLOOKUP($B194,#REF!,G$1,FALSE)=0,0.0001,VLOOKUP($B194,#REF!,G$1,FALSE))</f>
        <v>#REF!</v>
      </c>
      <c r="H194" s="23">
        <v>8104.7025000000003</v>
      </c>
      <c r="I194" s="24">
        <v>999999999</v>
      </c>
      <c r="K194" s="24">
        <v>999999999</v>
      </c>
      <c r="L194" s="24"/>
      <c r="M194" s="431"/>
      <c r="N194" s="431"/>
      <c r="O194" s="434"/>
      <c r="P194" s="434"/>
      <c r="Q194" s="435"/>
      <c r="R194" s="432"/>
      <c r="S194" s="15" t="str">
        <f t="shared" si="21"/>
        <v>b</v>
      </c>
      <c r="T194" s="4" t="e">
        <f>VLOOKUP(B194,#REF!,7,FALSE)</f>
        <v>#REF!</v>
      </c>
    </row>
    <row r="195" spans="2:20" x14ac:dyDescent="0.35">
      <c r="B195" s="13">
        <v>170</v>
      </c>
      <c r="C195" s="13" t="e">
        <f>VLOOKUP($B195,#REF!,C$1,FALSE)</f>
        <v>#REF!</v>
      </c>
      <c r="D195" s="25" t="e">
        <f>VLOOKUP($B195,#REF!,D$1,FALSE)</f>
        <v>#REF!</v>
      </c>
      <c r="E195" s="13" t="e">
        <f>VLOOKUP($B195,#REF!,E$1,FALSE)</f>
        <v>#REF!</v>
      </c>
      <c r="F195" s="25" t="e">
        <f>VLOOKUP($B195,#REF!,F$1,FALSE)</f>
        <v>#REF!</v>
      </c>
      <c r="G195" s="14" t="e">
        <f>IF(VLOOKUP($B195,#REF!,G$1,FALSE)=0,0.0001,VLOOKUP($B195,#REF!,G$1,FALSE))</f>
        <v>#REF!</v>
      </c>
      <c r="H195" s="23">
        <v>0</v>
      </c>
      <c r="I195" s="24">
        <v>999999999</v>
      </c>
      <c r="M195" s="433">
        <v>999999999</v>
      </c>
      <c r="N195" s="430"/>
      <c r="O195" s="434" t="e">
        <f>D195</f>
        <v>#REF!</v>
      </c>
      <c r="P195" s="434" t="e">
        <f>F196</f>
        <v>#REF!</v>
      </c>
      <c r="Q195" s="435" t="e">
        <f>G196</f>
        <v>#REF!</v>
      </c>
      <c r="R195" s="432" t="s">
        <v>105</v>
      </c>
      <c r="S195" s="15">
        <f t="shared" si="21"/>
        <v>0</v>
      </c>
      <c r="T195" s="4" t="e">
        <f>VLOOKUP(B195,#REF!,7,FALSE)</f>
        <v>#REF!</v>
      </c>
    </row>
    <row r="196" spans="2:20" x14ac:dyDescent="0.35">
      <c r="B196" s="13">
        <v>171</v>
      </c>
      <c r="C196" s="13" t="e">
        <f>VLOOKUP($B196,#REF!,C$1,FALSE)</f>
        <v>#REF!</v>
      </c>
      <c r="D196" s="25" t="e">
        <f>VLOOKUP($B196,#REF!,D$1,FALSE)</f>
        <v>#REF!</v>
      </c>
      <c r="E196" s="13" t="e">
        <f>VLOOKUP($B196,#REF!,E$1,FALSE)</f>
        <v>#REF!</v>
      </c>
      <c r="F196" s="25" t="e">
        <f>VLOOKUP($B196,#REF!,F$1,FALSE)</f>
        <v>#REF!</v>
      </c>
      <c r="G196" s="14" t="e">
        <f>IF(VLOOKUP($B196,#REF!,G$1,FALSE)=0,0.0001,VLOOKUP($B196,#REF!,G$1,FALSE))</f>
        <v>#REF!</v>
      </c>
      <c r="H196" s="23">
        <v>0</v>
      </c>
      <c r="I196" s="24">
        <v>999999999</v>
      </c>
      <c r="M196" s="433"/>
      <c r="N196" s="430"/>
      <c r="O196" s="434"/>
      <c r="P196" s="434"/>
      <c r="Q196" s="435"/>
      <c r="R196" s="432"/>
      <c r="S196" s="15">
        <f t="shared" si="21"/>
        <v>0</v>
      </c>
      <c r="T196" s="4" t="e">
        <f>VLOOKUP(B196,#REF!,7,FALSE)</f>
        <v>#REF!</v>
      </c>
    </row>
    <row r="197" spans="2:20" x14ac:dyDescent="0.35">
      <c r="B197" s="13">
        <v>172</v>
      </c>
      <c r="C197" s="13" t="e">
        <f>VLOOKUP($B197,#REF!,C$1,FALSE)</f>
        <v>#REF!</v>
      </c>
      <c r="D197" s="25" t="e">
        <f>VLOOKUP($B197,#REF!,D$1,FALSE)</f>
        <v>#REF!</v>
      </c>
      <c r="E197" s="13" t="e">
        <f>VLOOKUP($B197,#REF!,E$1,FALSE)</f>
        <v>#REF!</v>
      </c>
      <c r="F197" s="25" t="e">
        <f>VLOOKUP($B197,#REF!,F$1,FALSE)</f>
        <v>#REF!</v>
      </c>
      <c r="G197" s="14" t="e">
        <f>IF(VLOOKUP($B197,#REF!,G$1,FALSE)=0,0.0001,VLOOKUP($B197,#REF!,G$1,FALSE))</f>
        <v>#REF!</v>
      </c>
      <c r="H197" s="23">
        <v>68.874233000000004</v>
      </c>
      <c r="I197" s="24">
        <v>999999999</v>
      </c>
      <c r="K197" s="24">
        <v>999999999</v>
      </c>
      <c r="L197" s="24"/>
      <c r="M197" s="26">
        <v>999999999</v>
      </c>
      <c r="N197" s="26">
        <v>999999999</v>
      </c>
      <c r="O197" s="9" t="e">
        <f>D197</f>
        <v>#REF!</v>
      </c>
      <c r="P197" s="9" t="e">
        <f>F197</f>
        <v>#REF!</v>
      </c>
      <c r="Q197" s="14" t="e">
        <f>G197</f>
        <v>#REF!</v>
      </c>
      <c r="R197" s="35" t="s">
        <v>105</v>
      </c>
      <c r="S197" s="15" t="str">
        <f t="shared" si="21"/>
        <v>b</v>
      </c>
      <c r="T197" s="4" t="e">
        <f>VLOOKUP(B197,#REF!,7,FALSE)</f>
        <v>#REF!</v>
      </c>
    </row>
    <row r="198" spans="2:20" x14ac:dyDescent="0.35">
      <c r="B198" s="13">
        <v>173</v>
      </c>
      <c r="C198" s="13" t="e">
        <f>VLOOKUP($B198,#REF!,E$1,FALSE)</f>
        <v>#REF!</v>
      </c>
      <c r="D198" s="25" t="e">
        <f>VLOOKUP($B198,#REF!,F$1,FALSE)</f>
        <v>#REF!</v>
      </c>
      <c r="E198" s="13" t="e">
        <f>VLOOKUP($B198,#REF!,C$1,FALSE)</f>
        <v>#REF!</v>
      </c>
      <c r="F198" s="25" t="e">
        <f>VLOOKUP($B198,#REF!,D$1,FALSE)</f>
        <v>#REF!</v>
      </c>
      <c r="G198" s="14" t="e">
        <f>IF(VLOOKUP($B198,#REF!,G$1,FALSE)=0,0.0001,VLOOKUP($B198,#REF!,G$1,FALSE))</f>
        <v>#REF!</v>
      </c>
      <c r="H198" s="23">
        <v>8020.3770000000004</v>
      </c>
      <c r="I198" s="24">
        <v>999999999</v>
      </c>
      <c r="K198" s="24">
        <v>999999999</v>
      </c>
      <c r="L198" s="24"/>
      <c r="M198" s="24">
        <v>999999999</v>
      </c>
      <c r="N198" s="24">
        <v>999999999</v>
      </c>
      <c r="O198" s="37" t="e">
        <f>D198</f>
        <v>#REF!</v>
      </c>
      <c r="P198" s="37" t="e">
        <f>F198</f>
        <v>#REF!</v>
      </c>
      <c r="Q198" s="14" t="e">
        <f>G198</f>
        <v>#REF!</v>
      </c>
      <c r="R198" s="14" t="s">
        <v>105</v>
      </c>
      <c r="S198" s="15" t="str">
        <f t="shared" si="21"/>
        <v>b</v>
      </c>
      <c r="T198" s="4" t="e">
        <f>VLOOKUP(B198,#REF!,7,FALSE)</f>
        <v>#REF!</v>
      </c>
    </row>
    <row r="199" spans="2:20" x14ac:dyDescent="0.35">
      <c r="B199" s="13">
        <v>174</v>
      </c>
      <c r="C199" s="13" t="e">
        <f>VLOOKUP($B199,#REF!,C$1,FALSE)</f>
        <v>#REF!</v>
      </c>
      <c r="D199" s="25" t="e">
        <f>VLOOKUP($B199,#REF!,D$1,FALSE)</f>
        <v>#REF!</v>
      </c>
      <c r="E199" s="13" t="e">
        <f>VLOOKUP($B199,#REF!,E$1,FALSE)</f>
        <v>#REF!</v>
      </c>
      <c r="F199" s="25" t="e">
        <f>VLOOKUP($B199,#REF!,F$1,FALSE)</f>
        <v>#REF!</v>
      </c>
      <c r="G199" s="14" t="e">
        <f>IF(VLOOKUP($B199,#REF!,G$1,FALSE)=0,0.0001,VLOOKUP($B199,#REF!,G$1,FALSE))</f>
        <v>#REF!</v>
      </c>
      <c r="H199" s="23">
        <v>0</v>
      </c>
      <c r="I199" s="24">
        <v>999999999</v>
      </c>
      <c r="M199" s="431">
        <v>999999999</v>
      </c>
      <c r="N199" s="430"/>
      <c r="O199" s="434" t="e">
        <f>D200</f>
        <v>#REF!</v>
      </c>
      <c r="P199" s="434" t="e">
        <f>F199</f>
        <v>#REF!</v>
      </c>
      <c r="Q199" s="435" t="e">
        <f>SUM(G199:G200)</f>
        <v>#REF!</v>
      </c>
      <c r="R199" s="432" t="s">
        <v>105</v>
      </c>
      <c r="S199" s="15">
        <f t="shared" si="21"/>
        <v>0</v>
      </c>
      <c r="T199" s="4" t="e">
        <f>VLOOKUP(B199,#REF!,7,FALSE)</f>
        <v>#REF!</v>
      </c>
    </row>
    <row r="200" spans="2:20" x14ac:dyDescent="0.35">
      <c r="B200" s="13">
        <v>175</v>
      </c>
      <c r="C200" s="13" t="e">
        <f>VLOOKUP($B200,#REF!,C$1,FALSE)</f>
        <v>#REF!</v>
      </c>
      <c r="D200" s="25" t="e">
        <f>VLOOKUP($B200,#REF!,D$1,FALSE)</f>
        <v>#REF!</v>
      </c>
      <c r="E200" s="13" t="e">
        <f>VLOOKUP($B200,#REF!,E$1,FALSE)</f>
        <v>#REF!</v>
      </c>
      <c r="F200" s="25" t="e">
        <f>VLOOKUP($B200,#REF!,F$1,FALSE)</f>
        <v>#REF!</v>
      </c>
      <c r="G200" s="14" t="e">
        <f>IF(VLOOKUP($B200,#REF!,G$1,FALSE)=0,0.0001,VLOOKUP($B200,#REF!,G$1,FALSE))</f>
        <v>#REF!</v>
      </c>
      <c r="H200" s="23">
        <v>0</v>
      </c>
      <c r="I200" s="24">
        <v>999999999</v>
      </c>
      <c r="M200" s="431"/>
      <c r="N200" s="430"/>
      <c r="O200" s="434"/>
      <c r="P200" s="434"/>
      <c r="Q200" s="435"/>
      <c r="R200" s="432"/>
      <c r="S200" s="15">
        <f t="shared" si="21"/>
        <v>0</v>
      </c>
      <c r="T200" s="4" t="e">
        <f>VLOOKUP(B200,#REF!,7,FALSE)</f>
        <v>#REF!</v>
      </c>
    </row>
    <row r="201" spans="2:20" x14ac:dyDescent="0.35">
      <c r="B201" s="13">
        <v>176</v>
      </c>
      <c r="C201" s="13" t="e">
        <f>VLOOKUP($B201,#REF!,C$1,FALSE)</f>
        <v>#REF!</v>
      </c>
      <c r="D201" s="25" t="e">
        <f>VLOOKUP($B201,#REF!,D$1,FALSE)</f>
        <v>#REF!</v>
      </c>
      <c r="E201" s="13" t="e">
        <f>VLOOKUP($B201,#REF!,E$1,FALSE)</f>
        <v>#REF!</v>
      </c>
      <c r="F201" s="25" t="e">
        <f>VLOOKUP($B201,#REF!,F$1,FALSE)</f>
        <v>#REF!</v>
      </c>
      <c r="G201" s="14" t="e">
        <f>IF(VLOOKUP($B201,#REF!,G$1,FALSE)=0,0.0001,VLOOKUP($B201,#REF!,G$1,FALSE))</f>
        <v>#REF!</v>
      </c>
      <c r="H201" s="23">
        <v>68.699233000000007</v>
      </c>
      <c r="I201" s="24">
        <v>999999999</v>
      </c>
      <c r="M201" s="431">
        <v>999999999</v>
      </c>
      <c r="N201" s="431"/>
      <c r="O201" s="434" t="e">
        <f>D202</f>
        <v>#REF!</v>
      </c>
      <c r="P201" s="434" t="e">
        <f>F201</f>
        <v>#REF!</v>
      </c>
      <c r="Q201" s="435" t="e">
        <f>SUM(G201:G202)</f>
        <v>#REF!</v>
      </c>
      <c r="R201" s="432" t="s">
        <v>105</v>
      </c>
      <c r="S201" s="15" t="str">
        <f t="shared" si="21"/>
        <v>b</v>
      </c>
      <c r="T201" s="4" t="e">
        <f>VLOOKUP(B201,#REF!,7,FALSE)</f>
        <v>#REF!</v>
      </c>
    </row>
    <row r="202" spans="2:20" x14ac:dyDescent="0.35">
      <c r="B202" s="13">
        <v>177</v>
      </c>
      <c r="C202" s="13" t="e">
        <f>VLOOKUP($B202,#REF!,C$1,FALSE)</f>
        <v>#REF!</v>
      </c>
      <c r="D202" s="25" t="e">
        <f>VLOOKUP($B202,#REF!,D$1,FALSE)</f>
        <v>#REF!</v>
      </c>
      <c r="E202" s="13" t="e">
        <f>VLOOKUP($B202,#REF!,E$1,FALSE)</f>
        <v>#REF!</v>
      </c>
      <c r="F202" s="25" t="e">
        <f>VLOOKUP($B202,#REF!,F$1,FALSE)</f>
        <v>#REF!</v>
      </c>
      <c r="G202" s="14" t="e">
        <f>IF(VLOOKUP($B202,#REF!,G$1,FALSE)=0,0.0001,VLOOKUP($B202,#REF!,G$1,FALSE))</f>
        <v>#REF!</v>
      </c>
      <c r="H202" s="23">
        <v>1055.0554</v>
      </c>
      <c r="I202" s="24">
        <v>999999999</v>
      </c>
      <c r="M202" s="431"/>
      <c r="N202" s="431"/>
      <c r="O202" s="434"/>
      <c r="P202" s="434"/>
      <c r="Q202" s="435"/>
      <c r="R202" s="432"/>
      <c r="S202" s="15" t="str">
        <f t="shared" si="21"/>
        <v>b</v>
      </c>
      <c r="T202" s="4" t="e">
        <f>VLOOKUP(B202,#REF!,7,FALSE)</f>
        <v>#REF!</v>
      </c>
    </row>
    <row r="203" spans="2:20" x14ac:dyDescent="0.35">
      <c r="B203" s="13">
        <v>178</v>
      </c>
      <c r="C203" s="13" t="e">
        <f>VLOOKUP($B203,#REF!,E$1,FALSE)</f>
        <v>#REF!</v>
      </c>
      <c r="D203" s="25" t="e">
        <f>VLOOKUP($B203,#REF!,F$1,FALSE)</f>
        <v>#REF!</v>
      </c>
      <c r="E203" s="13" t="e">
        <f>VLOOKUP($B203,#REF!,C$1,FALSE)</f>
        <v>#REF!</v>
      </c>
      <c r="F203" s="25" t="e">
        <f>VLOOKUP($B203,#REF!,D$1,FALSE)</f>
        <v>#REF!</v>
      </c>
      <c r="G203" s="14" t="e">
        <f>IF(VLOOKUP($B203,#REF!,G$1,FALSE)=0,0.0001,VLOOKUP($B203,#REF!,G$1,FALSE))</f>
        <v>#REF!</v>
      </c>
      <c r="H203" s="23">
        <v>6965.3216000000002</v>
      </c>
      <c r="I203" s="24">
        <v>999999999</v>
      </c>
      <c r="K203" s="24">
        <v>999999999</v>
      </c>
      <c r="L203" s="24"/>
      <c r="M203" s="431">
        <v>999999999</v>
      </c>
      <c r="N203" s="431">
        <v>999999999</v>
      </c>
      <c r="O203" s="434" t="e">
        <f>D203</f>
        <v>#REF!</v>
      </c>
      <c r="P203" s="434" t="e">
        <f>F204</f>
        <v>#REF!</v>
      </c>
      <c r="Q203" s="435" t="e">
        <f>SUM(G203:G204)</f>
        <v>#REF!</v>
      </c>
      <c r="R203" s="432" t="s">
        <v>105</v>
      </c>
      <c r="S203" s="15" t="str">
        <f t="shared" si="21"/>
        <v>b</v>
      </c>
      <c r="T203" s="4" t="e">
        <f>VLOOKUP(B203,#REF!,7,FALSE)</f>
        <v>#REF!</v>
      </c>
    </row>
    <row r="204" spans="2:20" x14ac:dyDescent="0.35">
      <c r="B204" s="13">
        <v>179</v>
      </c>
      <c r="C204" s="13" t="e">
        <f>VLOOKUP($B204,#REF!,E$1,FALSE)</f>
        <v>#REF!</v>
      </c>
      <c r="D204" s="25" t="e">
        <f>VLOOKUP($B204,#REF!,F$1,FALSE)</f>
        <v>#REF!</v>
      </c>
      <c r="E204" s="13" t="e">
        <f>VLOOKUP($B204,#REF!,C$1,FALSE)</f>
        <v>#REF!</v>
      </c>
      <c r="F204" s="25" t="e">
        <f>VLOOKUP($B204,#REF!,D$1,FALSE)</f>
        <v>#REF!</v>
      </c>
      <c r="G204" s="14" t="e">
        <f>IF(VLOOKUP($B204,#REF!,G$1,FALSE)=0,0.0001,VLOOKUP($B204,#REF!,G$1,FALSE))</f>
        <v>#REF!</v>
      </c>
      <c r="H204" s="23">
        <v>6950.7431999999999</v>
      </c>
      <c r="I204" s="24">
        <v>999999999</v>
      </c>
      <c r="K204" s="24">
        <v>999999999</v>
      </c>
      <c r="L204" s="24"/>
      <c r="M204" s="431"/>
      <c r="N204" s="431"/>
      <c r="O204" s="434"/>
      <c r="P204" s="434"/>
      <c r="Q204" s="435"/>
      <c r="R204" s="432"/>
      <c r="S204" s="15" t="str">
        <f t="shared" si="21"/>
        <v>b</v>
      </c>
      <c r="T204" s="4" t="e">
        <f>VLOOKUP(B204,#REF!,7,FALSE)</f>
        <v>#REF!</v>
      </c>
    </row>
    <row r="205" spans="2:20" x14ac:dyDescent="0.35">
      <c r="B205" s="13">
        <v>180</v>
      </c>
      <c r="C205" s="13" t="e">
        <f>VLOOKUP($B205,#REF!,E$1,FALSE)</f>
        <v>#REF!</v>
      </c>
      <c r="D205" s="25" t="e">
        <f>VLOOKUP($B205,#REF!,F$1,FALSE)</f>
        <v>#REF!</v>
      </c>
      <c r="E205" s="13" t="e">
        <f>VLOOKUP($B205,#REF!,C$1,FALSE)</f>
        <v>#REF!</v>
      </c>
      <c r="F205" s="25" t="e">
        <f>VLOOKUP($B205,#REF!,D$1,FALSE)</f>
        <v>#REF!</v>
      </c>
      <c r="G205" s="14" t="e">
        <f>IF(VLOOKUP($B205,#REF!,G$1,FALSE)=0,0.0001,VLOOKUP($B205,#REF!,G$1,FALSE))</f>
        <v>#REF!</v>
      </c>
      <c r="H205" s="23">
        <v>6950.7431999999999</v>
      </c>
      <c r="I205" s="24">
        <v>999999999</v>
      </c>
      <c r="K205" s="24">
        <v>999999999</v>
      </c>
      <c r="L205" s="24"/>
      <c r="M205" s="431">
        <v>999999999</v>
      </c>
      <c r="N205" s="431">
        <v>999999999</v>
      </c>
      <c r="O205" s="434" t="e">
        <f>D205</f>
        <v>#REF!</v>
      </c>
      <c r="P205" s="434" t="e">
        <f>F206</f>
        <v>#REF!</v>
      </c>
      <c r="Q205" s="435" t="e">
        <f>SUM(G205:G206)</f>
        <v>#REF!</v>
      </c>
      <c r="R205" s="432" t="s">
        <v>106</v>
      </c>
      <c r="S205" s="15" t="str">
        <f t="shared" si="21"/>
        <v>b</v>
      </c>
      <c r="T205" s="4" t="e">
        <f>VLOOKUP(B205,#REF!,7,FALSE)</f>
        <v>#REF!</v>
      </c>
    </row>
    <row r="206" spans="2:20" x14ac:dyDescent="0.35">
      <c r="B206" s="13">
        <v>181</v>
      </c>
      <c r="C206" s="13" t="e">
        <f>VLOOKUP($B206,#REF!,E$1,FALSE)</f>
        <v>#REF!</v>
      </c>
      <c r="D206" s="25" t="e">
        <f>VLOOKUP($B206,#REF!,F$1,FALSE)</f>
        <v>#REF!</v>
      </c>
      <c r="E206" s="13" t="e">
        <f>VLOOKUP($B206,#REF!,C$1,FALSE)</f>
        <v>#REF!</v>
      </c>
      <c r="F206" s="25" t="e">
        <f>VLOOKUP($B206,#REF!,D$1,FALSE)</f>
        <v>#REF!</v>
      </c>
      <c r="G206" s="14" t="e">
        <f>IF(VLOOKUP($B206,#REF!,G$1,FALSE)=0,0.0001,VLOOKUP($B206,#REF!,G$1,FALSE))</f>
        <v>#REF!</v>
      </c>
      <c r="H206" s="23">
        <v>6944.4165999999996</v>
      </c>
      <c r="I206" s="24">
        <v>999999999</v>
      </c>
      <c r="K206" s="24">
        <v>999999999</v>
      </c>
      <c r="L206" s="24"/>
      <c r="M206" s="431"/>
      <c r="N206" s="431"/>
      <c r="O206" s="434"/>
      <c r="P206" s="434"/>
      <c r="Q206" s="435"/>
      <c r="R206" s="432"/>
      <c r="S206" s="15" t="str">
        <f t="shared" si="21"/>
        <v>b</v>
      </c>
      <c r="T206" s="4" t="e">
        <f>VLOOKUP(B206,#REF!,7,FALSE)</f>
        <v>#REF!</v>
      </c>
    </row>
    <row r="207" spans="2:20" x14ac:dyDescent="0.35">
      <c r="B207" s="13">
        <v>182</v>
      </c>
      <c r="C207" s="13" t="e">
        <f>VLOOKUP($B207,#REF!,C$1,FALSE)</f>
        <v>#REF!</v>
      </c>
      <c r="D207" s="25" t="e">
        <f>VLOOKUP($B207,#REF!,D$1,FALSE)</f>
        <v>#REF!</v>
      </c>
      <c r="E207" s="13" t="e">
        <f>VLOOKUP($B207,#REF!,E$1,FALSE)</f>
        <v>#REF!</v>
      </c>
      <c r="F207" s="25" t="e">
        <f>VLOOKUP($B207,#REF!,F$1,FALSE)</f>
        <v>#REF!</v>
      </c>
      <c r="G207" s="14" t="e">
        <f>IF(VLOOKUP($B207,#REF!,G$1,FALSE)=0,0.0001,VLOOKUP($B207,#REF!,G$1,FALSE))</f>
        <v>#REF!</v>
      </c>
      <c r="H207" s="23">
        <v>64.776332999999994</v>
      </c>
      <c r="I207" s="24">
        <v>999999999</v>
      </c>
      <c r="M207" s="24">
        <v>999999999</v>
      </c>
      <c r="N207" s="24"/>
      <c r="O207" s="37" t="e">
        <f>D207</f>
        <v>#REF!</v>
      </c>
      <c r="P207" s="37" t="e">
        <f>F207</f>
        <v>#REF!</v>
      </c>
      <c r="Q207" s="14" t="e">
        <f>G207</f>
        <v>#REF!</v>
      </c>
      <c r="R207" s="14" t="s">
        <v>106</v>
      </c>
      <c r="S207" s="15" t="str">
        <f t="shared" si="21"/>
        <v>b</v>
      </c>
      <c r="T207" s="4" t="e">
        <f>VLOOKUP(B207,#REF!,7,FALSE)</f>
        <v>#REF!</v>
      </c>
    </row>
    <row r="208" spans="2:20" x14ac:dyDescent="0.35">
      <c r="B208" s="13">
        <v>183</v>
      </c>
      <c r="C208" s="13" t="e">
        <f>VLOOKUP($B208,#REF!,E$1,FALSE)</f>
        <v>#REF!</v>
      </c>
      <c r="D208" s="25" t="e">
        <f>VLOOKUP($B208,#REF!,F$1,FALSE)</f>
        <v>#REF!</v>
      </c>
      <c r="E208" s="13" t="e">
        <f>VLOOKUP($B208,#REF!,C$1,FALSE)</f>
        <v>#REF!</v>
      </c>
      <c r="F208" s="25" t="e">
        <f>VLOOKUP($B208,#REF!,D$1,FALSE)</f>
        <v>#REF!</v>
      </c>
      <c r="G208" s="14" t="e">
        <f>IF(VLOOKUP($B208,#REF!,G$1,FALSE)=0,0.0001,VLOOKUP($B208,#REF!,G$1,FALSE))</f>
        <v>#REF!</v>
      </c>
      <c r="H208" s="23">
        <v>6944.4165999999996</v>
      </c>
      <c r="I208" s="24">
        <v>999999999</v>
      </c>
      <c r="K208" s="24">
        <v>999999999</v>
      </c>
      <c r="L208" s="24"/>
      <c r="M208" s="433">
        <v>999999999</v>
      </c>
      <c r="N208" s="433">
        <v>999999999</v>
      </c>
      <c r="O208" s="438" t="e">
        <f>D208</f>
        <v>#REF!</v>
      </c>
      <c r="P208" s="438" t="e">
        <f>F209</f>
        <v>#REF!</v>
      </c>
      <c r="Q208" s="435" t="e">
        <f>SUM(G208:G209)</f>
        <v>#REF!</v>
      </c>
      <c r="R208" s="432" t="s">
        <v>106</v>
      </c>
      <c r="S208" s="15" t="str">
        <f t="shared" si="21"/>
        <v>b</v>
      </c>
      <c r="T208" s="4" t="e">
        <f>VLOOKUP(B208,#REF!,7,FALSE)</f>
        <v>#REF!</v>
      </c>
    </row>
    <row r="209" spans="2:20" x14ac:dyDescent="0.35">
      <c r="B209" s="13">
        <v>184</v>
      </c>
      <c r="C209" s="13" t="e">
        <f>VLOOKUP($B209,#REF!,E$1,FALSE)</f>
        <v>#REF!</v>
      </c>
      <c r="D209" s="25" t="e">
        <f>VLOOKUP($B209,#REF!,F$1,FALSE)</f>
        <v>#REF!</v>
      </c>
      <c r="E209" s="13" t="e">
        <f>VLOOKUP($B209,#REF!,C$1,FALSE)</f>
        <v>#REF!</v>
      </c>
      <c r="F209" s="25" t="e">
        <f>VLOOKUP($B209,#REF!,D$1,FALSE)</f>
        <v>#REF!</v>
      </c>
      <c r="G209" s="14" t="e">
        <f>IF(VLOOKUP($B209,#REF!,G$1,FALSE)=0,0.0001,VLOOKUP($B209,#REF!,G$1,FALSE))</f>
        <v>#REF!</v>
      </c>
      <c r="H209" s="23">
        <v>382.57447000000002</v>
      </c>
      <c r="I209" s="24">
        <v>999999999</v>
      </c>
      <c r="K209" s="24">
        <v>999999999</v>
      </c>
      <c r="L209" s="24"/>
      <c r="M209" s="433"/>
      <c r="N209" s="433"/>
      <c r="O209" s="438"/>
      <c r="P209" s="438"/>
      <c r="Q209" s="435"/>
      <c r="R209" s="432"/>
      <c r="S209" s="15" t="str">
        <f t="shared" si="21"/>
        <v>b</v>
      </c>
      <c r="T209" s="4" t="e">
        <f>VLOOKUP(B209,#REF!,7,FALSE)</f>
        <v>#REF!</v>
      </c>
    </row>
    <row r="210" spans="2:20" x14ac:dyDescent="0.35">
      <c r="B210" s="13">
        <v>185</v>
      </c>
      <c r="C210" s="13" t="e">
        <f>VLOOKUP($B210,#REF!,E$1,FALSE)</f>
        <v>#REF!</v>
      </c>
      <c r="D210" s="25" t="e">
        <f>VLOOKUP($B210,#REF!,F$1,FALSE)</f>
        <v>#REF!</v>
      </c>
      <c r="E210" s="13" t="e">
        <f>VLOOKUP($B210,#REF!,C$1,FALSE)</f>
        <v>#REF!</v>
      </c>
      <c r="F210" s="25" t="e">
        <f>VLOOKUP($B210,#REF!,D$1,FALSE)</f>
        <v>#REF!</v>
      </c>
      <c r="G210" s="14" t="e">
        <f>IF(VLOOKUP($B210,#REF!,G$1,FALSE)=0,0.0001,VLOOKUP($B210,#REF!,G$1,FALSE))</f>
        <v>#REF!</v>
      </c>
      <c r="H210" s="23">
        <v>0</v>
      </c>
      <c r="I210" s="24">
        <v>999999999</v>
      </c>
      <c r="K210" s="24">
        <v>999999999</v>
      </c>
      <c r="L210" s="24"/>
      <c r="M210" s="24">
        <v>999999999</v>
      </c>
      <c r="N210" s="24">
        <v>999999999</v>
      </c>
      <c r="O210" s="37" t="e">
        <f>D210</f>
        <v>#REF!</v>
      </c>
      <c r="P210" s="37" t="e">
        <f>F210</f>
        <v>#REF!</v>
      </c>
      <c r="Q210" s="14" t="e">
        <f>G210</f>
        <v>#REF!</v>
      </c>
      <c r="R210" s="14" t="s">
        <v>203</v>
      </c>
      <c r="S210" s="15">
        <f t="shared" si="21"/>
        <v>0</v>
      </c>
      <c r="T210" s="4" t="e">
        <f>VLOOKUP(B210,#REF!,7,FALSE)</f>
        <v>#REF!</v>
      </c>
    </row>
    <row r="211" spans="2:20" x14ac:dyDescent="0.35">
      <c r="O211" s="37"/>
      <c r="P211" s="37"/>
      <c r="Q211" s="14"/>
    </row>
    <row r="212" spans="2:20" x14ac:dyDescent="0.35">
      <c r="B212" s="13">
        <v>189</v>
      </c>
      <c r="C212" s="13" t="e">
        <f>VLOOKUP($B212,#REF!,C$1,FALSE)</f>
        <v>#REF!</v>
      </c>
      <c r="D212" s="25" t="e">
        <f>VLOOKUP($B212,#REF!,D$1,FALSE)</f>
        <v>#REF!</v>
      </c>
      <c r="E212" s="13" t="e">
        <f>VLOOKUP($B212,#REF!,E$1,FALSE)</f>
        <v>#REF!</v>
      </c>
      <c r="F212" s="25" t="e">
        <f>VLOOKUP($B212,#REF!,F$1,FALSE)</f>
        <v>#REF!</v>
      </c>
      <c r="G212" s="14" t="e">
        <f>IF(VLOOKUP($B212,#REF!,G$1,FALSE)=0,0.0001,VLOOKUP($B212,#REF!,G$1,FALSE))</f>
        <v>#REF!</v>
      </c>
      <c r="H212" s="23">
        <v>0</v>
      </c>
      <c r="I212" s="24">
        <v>999999999</v>
      </c>
      <c r="K212" s="24">
        <v>999999999</v>
      </c>
      <c r="L212" s="24"/>
      <c r="M212" s="24">
        <v>999999999</v>
      </c>
      <c r="N212" s="24">
        <v>999999999</v>
      </c>
      <c r="O212" s="37" t="e">
        <f>D212</f>
        <v>#REF!</v>
      </c>
      <c r="P212" s="37" t="e">
        <f t="shared" ref="P212:Q215" si="22">F212</f>
        <v>#REF!</v>
      </c>
      <c r="Q212" s="14" t="e">
        <f t="shared" si="22"/>
        <v>#REF!</v>
      </c>
      <c r="R212" s="14" t="s">
        <v>203</v>
      </c>
      <c r="S212" s="15">
        <f>IF((H212&gt;0),IF((H212-I212)=0,"a",IF(H212/I212&lt;0.5,"b","c")),)</f>
        <v>0</v>
      </c>
      <c r="T212" s="4" t="e">
        <f>VLOOKUP(B212,#REF!,7,FALSE)</f>
        <v>#REF!</v>
      </c>
    </row>
    <row r="213" spans="2:20" x14ac:dyDescent="0.35">
      <c r="B213" s="13">
        <v>187</v>
      </c>
      <c r="C213" s="13" t="e">
        <f>VLOOKUP($B213,#REF!,C$1,FALSE)</f>
        <v>#REF!</v>
      </c>
      <c r="D213" s="25" t="e">
        <f>VLOOKUP($B213,#REF!,D$1,FALSE)</f>
        <v>#REF!</v>
      </c>
      <c r="E213" s="13" t="e">
        <f>VLOOKUP($B213,#REF!,E$1,FALSE)</f>
        <v>#REF!</v>
      </c>
      <c r="F213" s="25" t="e">
        <f>VLOOKUP($B213,#REF!,F$1,FALSE)</f>
        <v>#REF!</v>
      </c>
      <c r="G213" s="14" t="e">
        <f>IF(VLOOKUP($B213,#REF!,G$1,FALSE)=0,0.0001,VLOOKUP($B213,#REF!,G$1,FALSE))</f>
        <v>#REF!</v>
      </c>
      <c r="H213" s="23">
        <v>2051.2599</v>
      </c>
      <c r="I213" s="24">
        <v>999999999</v>
      </c>
      <c r="M213" s="24">
        <v>999999999</v>
      </c>
      <c r="O213" s="37" t="e">
        <f>D213</f>
        <v>#REF!</v>
      </c>
      <c r="P213" s="37" t="e">
        <f t="shared" si="22"/>
        <v>#REF!</v>
      </c>
      <c r="Q213" s="14" t="e">
        <f t="shared" si="22"/>
        <v>#REF!</v>
      </c>
      <c r="R213" s="35" t="s">
        <v>203</v>
      </c>
      <c r="S213" s="15" t="str">
        <f>IF((H213&gt;0),IF((H213-I213)=0,"a",IF(H213/I213&lt;0.5,"b","c")),)</f>
        <v>b</v>
      </c>
      <c r="T213" s="4" t="e">
        <f>VLOOKUP(B213,#REF!,7,FALSE)</f>
        <v>#REF!</v>
      </c>
    </row>
    <row r="214" spans="2:20" x14ac:dyDescent="0.35">
      <c r="B214" s="13">
        <v>188</v>
      </c>
      <c r="C214" s="13" t="e">
        <f>VLOOKUP($B214,#REF!,C$1,FALSE)</f>
        <v>#REF!</v>
      </c>
      <c r="D214" s="25" t="e">
        <f>VLOOKUP($B214,#REF!,D$1,FALSE)</f>
        <v>#REF!</v>
      </c>
      <c r="E214" s="13" t="e">
        <f>VLOOKUP($B214,#REF!,E$1,FALSE)</f>
        <v>#REF!</v>
      </c>
      <c r="F214" s="25" t="e">
        <f>VLOOKUP($B214,#REF!,F$1,FALSE)</f>
        <v>#REF!</v>
      </c>
      <c r="G214" s="14" t="e">
        <f>IF(VLOOKUP($B214,#REF!,G$1,FALSE)=0,0.0001,VLOOKUP($B214,#REF!,G$1,FALSE))</f>
        <v>#REF!</v>
      </c>
      <c r="H214" s="23">
        <v>3691.5162999999998</v>
      </c>
      <c r="I214" s="24">
        <v>999999999</v>
      </c>
      <c r="M214" s="24">
        <v>999999999</v>
      </c>
      <c r="O214" s="37" t="e">
        <f>D214</f>
        <v>#REF!</v>
      </c>
      <c r="P214" s="37" t="e">
        <f t="shared" si="22"/>
        <v>#REF!</v>
      </c>
      <c r="Q214" s="14" t="e">
        <f t="shared" si="22"/>
        <v>#REF!</v>
      </c>
      <c r="R214" s="35" t="s">
        <v>203</v>
      </c>
      <c r="S214" s="15" t="str">
        <f>IF((H214&gt;0),IF((H214-I214)=0,"a",IF(H214/I214&lt;0.5,"b","c")),)</f>
        <v>b</v>
      </c>
      <c r="T214" s="4" t="e">
        <f>VLOOKUP(B214,#REF!,7,FALSE)</f>
        <v>#REF!</v>
      </c>
    </row>
    <row r="215" spans="2:20" x14ac:dyDescent="0.35">
      <c r="B215" s="13">
        <v>186</v>
      </c>
      <c r="C215" s="13" t="e">
        <f>VLOOKUP($B215,#REF!,E$1,FALSE)</f>
        <v>#REF!</v>
      </c>
      <c r="D215" s="25" t="e">
        <f>VLOOKUP($B215,#REF!,F$1,FALSE)</f>
        <v>#REF!</v>
      </c>
      <c r="E215" s="13" t="e">
        <f>VLOOKUP($B215,#REF!,C$1,FALSE)</f>
        <v>#REF!</v>
      </c>
      <c r="F215" s="25" t="e">
        <f>VLOOKUP($B215,#REF!,D$1,FALSE)</f>
        <v>#REF!</v>
      </c>
      <c r="G215" s="14" t="e">
        <f>IF(VLOOKUP($B215,#REF!,G$1,FALSE)=0,0.0001,VLOOKUP($B215,#REF!,G$1,FALSE))</f>
        <v>#REF!</v>
      </c>
      <c r="H215" s="23">
        <v>6519.3225000000002</v>
      </c>
      <c r="I215" s="24">
        <v>999999999</v>
      </c>
      <c r="K215" s="24">
        <v>999999999</v>
      </c>
      <c r="L215" s="24"/>
      <c r="M215" s="24">
        <v>999999999</v>
      </c>
      <c r="N215" s="24">
        <v>999999999</v>
      </c>
      <c r="O215" s="37" t="e">
        <f>D215</f>
        <v>#REF!</v>
      </c>
      <c r="P215" s="37" t="e">
        <f t="shared" si="22"/>
        <v>#REF!</v>
      </c>
      <c r="Q215" s="14" t="e">
        <f t="shared" si="22"/>
        <v>#REF!</v>
      </c>
      <c r="R215" s="14" t="s">
        <v>203</v>
      </c>
      <c r="S215" s="15" t="str">
        <f>IF((H215&gt;0),IF((H215-I215)=0,"a",IF(H215/I215&lt;0.5,"b","c")),)</f>
        <v>b</v>
      </c>
      <c r="T215" s="4" t="e">
        <f>VLOOKUP(B215,#REF!,7,FALSE)</f>
        <v>#REF!</v>
      </c>
    </row>
    <row r="216" spans="2:20" x14ac:dyDescent="0.35">
      <c r="O216" s="37"/>
      <c r="P216" s="37"/>
      <c r="Q216" s="14"/>
    </row>
    <row r="217" spans="2:20" x14ac:dyDescent="0.35">
      <c r="B217" s="13">
        <v>190</v>
      </c>
      <c r="C217" s="13" t="e">
        <f>VLOOKUP($B217,#REF!,C$1,FALSE)</f>
        <v>#REF!</v>
      </c>
      <c r="D217" s="25" t="e">
        <f>VLOOKUP($B217,#REF!,D$1,FALSE)</f>
        <v>#REF!</v>
      </c>
      <c r="E217" s="13" t="e">
        <f>VLOOKUP($B217,#REF!,E$1,FALSE)</f>
        <v>#REF!</v>
      </c>
      <c r="F217" s="25" t="e">
        <f>VLOOKUP($B217,#REF!,F$1,FALSE)</f>
        <v>#REF!</v>
      </c>
      <c r="G217" s="14" t="e">
        <f>IF(VLOOKUP($B217,#REF!,G$1,FALSE)=0,0.0001,VLOOKUP($B217,#REF!,G$1,FALSE))</f>
        <v>#REF!</v>
      </c>
      <c r="H217" s="23">
        <v>0</v>
      </c>
      <c r="I217" s="24">
        <v>999999999</v>
      </c>
      <c r="J217" s="22"/>
      <c r="K217" s="24">
        <v>999999999</v>
      </c>
      <c r="L217" s="24"/>
      <c r="M217" s="24">
        <v>999999999</v>
      </c>
      <c r="N217" s="24">
        <v>999999999</v>
      </c>
      <c r="O217" s="37" t="e">
        <f>D217</f>
        <v>#REF!</v>
      </c>
      <c r="P217" s="37" t="e">
        <f>F217</f>
        <v>#REF!</v>
      </c>
      <c r="Q217" s="14" t="e">
        <f>G217</f>
        <v>#REF!</v>
      </c>
      <c r="R217" s="14" t="s">
        <v>203</v>
      </c>
      <c r="S217" s="15">
        <f t="shared" ref="S217:S232" si="23">IF((H217&gt;0),IF((H217-I217)=0,"a",IF(H217/I217&lt;0.5,"b","c")),)</f>
        <v>0</v>
      </c>
      <c r="T217" s="4" t="e">
        <f>VLOOKUP(B217,#REF!,7,FALSE)</f>
        <v>#REF!</v>
      </c>
    </row>
    <row r="218" spans="2:20" x14ac:dyDescent="0.35">
      <c r="B218" s="13">
        <v>191</v>
      </c>
      <c r="C218" s="13" t="e">
        <f>VLOOKUP($B218,#REF!,C$1,FALSE)</f>
        <v>#REF!</v>
      </c>
      <c r="D218" s="25" t="e">
        <f>VLOOKUP($B218,#REF!,D$1,FALSE)</f>
        <v>#REF!</v>
      </c>
      <c r="E218" s="13" t="e">
        <f>VLOOKUP($B218,#REF!,E$1,FALSE)</f>
        <v>#REF!</v>
      </c>
      <c r="F218" s="25" t="e">
        <f>VLOOKUP($B218,#REF!,F$1,FALSE)</f>
        <v>#REF!</v>
      </c>
      <c r="G218" s="14" t="e">
        <f>IF(VLOOKUP($B218,#REF!,G$1,FALSE)=0,0.0001,VLOOKUP($B218,#REF!,G$1,FALSE))</f>
        <v>#REF!</v>
      </c>
      <c r="H218" s="23">
        <v>163.16426999999999</v>
      </c>
      <c r="I218" s="24">
        <v>999999999</v>
      </c>
      <c r="J218" s="22"/>
      <c r="K218" s="24">
        <v>999999999</v>
      </c>
      <c r="L218" s="24"/>
      <c r="M218" s="433">
        <v>999999999</v>
      </c>
      <c r="N218" s="433">
        <v>999999999</v>
      </c>
      <c r="O218" s="438" t="e">
        <f>D219</f>
        <v>#REF!</v>
      </c>
      <c r="P218" s="438" t="e">
        <f>F218</f>
        <v>#REF!</v>
      </c>
      <c r="Q218" s="435" t="e">
        <f>SUM(G218:G219)</f>
        <v>#REF!</v>
      </c>
      <c r="R218" s="432" t="s">
        <v>204</v>
      </c>
      <c r="S218" s="15" t="str">
        <f t="shared" si="23"/>
        <v>b</v>
      </c>
      <c r="T218" s="4" t="e">
        <f>VLOOKUP(B218,#REF!,7,FALSE)</f>
        <v>#REF!</v>
      </c>
    </row>
    <row r="219" spans="2:20" x14ac:dyDescent="0.35">
      <c r="B219" s="13">
        <v>192</v>
      </c>
      <c r="C219" s="13" t="e">
        <f>VLOOKUP($B219,#REF!,C$1,FALSE)</f>
        <v>#REF!</v>
      </c>
      <c r="D219" s="25" t="e">
        <f>VLOOKUP($B219,#REF!,D$1,FALSE)</f>
        <v>#REF!</v>
      </c>
      <c r="E219" s="13" t="e">
        <f>VLOOKUP($B219,#REF!,E$1,FALSE)</f>
        <v>#REF!</v>
      </c>
      <c r="F219" s="25" t="e">
        <f>VLOOKUP($B219,#REF!,F$1,FALSE)</f>
        <v>#REF!</v>
      </c>
      <c r="G219" s="14" t="e">
        <f>IF(VLOOKUP($B219,#REF!,G$1,FALSE)=0,0.0001,VLOOKUP($B219,#REF!,G$1,FALSE))</f>
        <v>#REF!</v>
      </c>
      <c r="H219" s="23">
        <v>413.53320000000002</v>
      </c>
      <c r="I219" s="24">
        <v>999999999</v>
      </c>
      <c r="J219" s="22"/>
      <c r="K219" s="24">
        <v>999999999</v>
      </c>
      <c r="L219" s="24"/>
      <c r="M219" s="433"/>
      <c r="N219" s="433"/>
      <c r="O219" s="438"/>
      <c r="P219" s="438"/>
      <c r="Q219" s="435"/>
      <c r="R219" s="432"/>
      <c r="S219" s="15" t="str">
        <f t="shared" si="23"/>
        <v>b</v>
      </c>
      <c r="T219" s="4" t="e">
        <f>VLOOKUP(B219,#REF!,7,FALSE)</f>
        <v>#REF!</v>
      </c>
    </row>
    <row r="220" spans="2:20" x14ac:dyDescent="0.35">
      <c r="B220" s="13">
        <v>193</v>
      </c>
      <c r="C220" s="13" t="e">
        <f>VLOOKUP($B220,#REF!,C$1,FALSE)</f>
        <v>#REF!</v>
      </c>
      <c r="D220" s="25" t="e">
        <f>VLOOKUP($B220,#REF!,D$1,FALSE)</f>
        <v>#REF!</v>
      </c>
      <c r="E220" s="13" t="e">
        <f>VLOOKUP($B220,#REF!,E$1,FALSE)</f>
        <v>#REF!</v>
      </c>
      <c r="F220" s="25" t="e">
        <f>VLOOKUP($B220,#REF!,F$1,FALSE)</f>
        <v>#REF!</v>
      </c>
      <c r="G220" s="14" t="e">
        <f>IF(VLOOKUP($B220,#REF!,G$1,FALSE)=0,0.0001,VLOOKUP($B220,#REF!,G$1,FALSE))</f>
        <v>#REF!</v>
      </c>
      <c r="H220" s="23">
        <v>0</v>
      </c>
      <c r="I220" s="24">
        <v>999999999</v>
      </c>
      <c r="J220" s="22"/>
      <c r="K220" s="24">
        <v>999999999</v>
      </c>
      <c r="L220" s="24"/>
      <c r="M220" s="24">
        <v>999999999</v>
      </c>
      <c r="N220" s="24">
        <v>999999999</v>
      </c>
      <c r="O220" s="37" t="e">
        <f>D220</f>
        <v>#REF!</v>
      </c>
      <c r="P220" s="37" t="e">
        <f>F220</f>
        <v>#REF!</v>
      </c>
      <c r="Q220" s="14" t="e">
        <f>G220</f>
        <v>#REF!</v>
      </c>
      <c r="R220" s="14" t="s">
        <v>186</v>
      </c>
      <c r="S220" s="15">
        <f t="shared" si="23"/>
        <v>0</v>
      </c>
      <c r="T220" s="4" t="e">
        <f>VLOOKUP(B220,#REF!,7,FALSE)</f>
        <v>#REF!</v>
      </c>
    </row>
    <row r="221" spans="2:20" x14ac:dyDescent="0.35">
      <c r="B221" s="13">
        <v>194</v>
      </c>
      <c r="C221" s="13" t="e">
        <f>VLOOKUP($B221,#REF!,C$1,FALSE)</f>
        <v>#REF!</v>
      </c>
      <c r="D221" s="25" t="e">
        <f>VLOOKUP($B221,#REF!,D$1,FALSE)</f>
        <v>#REF!</v>
      </c>
      <c r="E221" s="13" t="e">
        <f>VLOOKUP($B221,#REF!,E$1,FALSE)</f>
        <v>#REF!</v>
      </c>
      <c r="F221" s="25" t="e">
        <f>VLOOKUP($B221,#REF!,F$1,FALSE)</f>
        <v>#REF!</v>
      </c>
      <c r="G221" s="14" t="e">
        <f>IF(VLOOKUP($B221,#REF!,G$1,FALSE)=0,0.0001,VLOOKUP($B221,#REF!,G$1,FALSE))</f>
        <v>#REF!</v>
      </c>
      <c r="H221" s="23">
        <v>0</v>
      </c>
      <c r="I221" s="24">
        <v>999999999</v>
      </c>
      <c r="J221" s="22"/>
      <c r="K221" s="24">
        <v>999999999</v>
      </c>
      <c r="L221" s="24"/>
      <c r="M221" s="433">
        <v>999999999</v>
      </c>
      <c r="N221" s="433">
        <v>999999999</v>
      </c>
      <c r="O221" s="434" t="e">
        <f>D224</f>
        <v>#REF!</v>
      </c>
      <c r="P221" s="434" t="e">
        <f>F221</f>
        <v>#REF!</v>
      </c>
      <c r="Q221" s="435" t="e">
        <f>SUM(G221:G224)</f>
        <v>#REF!</v>
      </c>
      <c r="R221" s="432" t="s">
        <v>204</v>
      </c>
      <c r="S221" s="15">
        <f t="shared" si="23"/>
        <v>0</v>
      </c>
      <c r="T221" s="4" t="e">
        <f>VLOOKUP(B221,#REF!,7,FALSE)</f>
        <v>#REF!</v>
      </c>
    </row>
    <row r="222" spans="2:20" x14ac:dyDescent="0.35">
      <c r="B222" s="13">
        <v>195</v>
      </c>
      <c r="C222" s="13" t="e">
        <f>VLOOKUP($B222,#REF!,C$1,FALSE)</f>
        <v>#REF!</v>
      </c>
      <c r="D222" s="25" t="e">
        <f>VLOOKUP($B222,#REF!,D$1,FALSE)</f>
        <v>#REF!</v>
      </c>
      <c r="E222" s="13" t="e">
        <f>VLOOKUP($B222,#REF!,E$1,FALSE)</f>
        <v>#REF!</v>
      </c>
      <c r="F222" s="25" t="e">
        <f>VLOOKUP($B222,#REF!,F$1,FALSE)</f>
        <v>#REF!</v>
      </c>
      <c r="G222" s="14" t="e">
        <f>IF(VLOOKUP($B222,#REF!,G$1,FALSE)=0,0.0001,VLOOKUP($B222,#REF!,G$1,FALSE))</f>
        <v>#REF!</v>
      </c>
      <c r="H222" s="23">
        <v>0</v>
      </c>
      <c r="I222" s="24">
        <v>999999999</v>
      </c>
      <c r="J222" s="22"/>
      <c r="K222" s="24">
        <v>999999999</v>
      </c>
      <c r="L222" s="24"/>
      <c r="M222" s="433"/>
      <c r="N222" s="433"/>
      <c r="O222" s="434"/>
      <c r="P222" s="434"/>
      <c r="Q222" s="435"/>
      <c r="R222" s="432"/>
      <c r="S222" s="15">
        <f t="shared" si="23"/>
        <v>0</v>
      </c>
      <c r="T222" s="4" t="e">
        <f>VLOOKUP(B222,#REF!,7,FALSE)</f>
        <v>#REF!</v>
      </c>
    </row>
    <row r="223" spans="2:20" x14ac:dyDescent="0.35">
      <c r="B223" s="13">
        <v>196</v>
      </c>
      <c r="C223" s="13" t="e">
        <f>VLOOKUP($B223,#REF!,C$1,FALSE)</f>
        <v>#REF!</v>
      </c>
      <c r="D223" s="25" t="e">
        <f>VLOOKUP($B223,#REF!,D$1,FALSE)</f>
        <v>#REF!</v>
      </c>
      <c r="E223" s="13" t="e">
        <f>VLOOKUP($B223,#REF!,E$1,FALSE)</f>
        <v>#REF!</v>
      </c>
      <c r="F223" s="25" t="e">
        <f>VLOOKUP($B223,#REF!,F$1,FALSE)</f>
        <v>#REF!</v>
      </c>
      <c r="G223" s="14" t="e">
        <f>IF(VLOOKUP($B223,#REF!,G$1,FALSE)=0,0.0001,VLOOKUP($B223,#REF!,G$1,FALSE))</f>
        <v>#REF!</v>
      </c>
      <c r="H223" s="23">
        <v>0</v>
      </c>
      <c r="I223" s="24">
        <v>999999999</v>
      </c>
      <c r="J223" s="22"/>
      <c r="K223" s="24">
        <v>999999999</v>
      </c>
      <c r="L223" s="24"/>
      <c r="M223" s="433"/>
      <c r="N223" s="433"/>
      <c r="O223" s="434"/>
      <c r="P223" s="434"/>
      <c r="Q223" s="435"/>
      <c r="R223" s="432"/>
      <c r="S223" s="15">
        <f t="shared" si="23"/>
        <v>0</v>
      </c>
      <c r="T223" s="4" t="e">
        <f>VLOOKUP(B223,#REF!,7,FALSE)</f>
        <v>#REF!</v>
      </c>
    </row>
    <row r="224" spans="2:20" x14ac:dyDescent="0.35">
      <c r="B224" s="13">
        <v>197</v>
      </c>
      <c r="C224" s="13" t="e">
        <f>VLOOKUP($B224,#REF!,C$1,FALSE)</f>
        <v>#REF!</v>
      </c>
      <c r="D224" s="25" t="e">
        <f>VLOOKUP($B224,#REF!,D$1,FALSE)</f>
        <v>#REF!</v>
      </c>
      <c r="E224" s="13" t="e">
        <f>VLOOKUP($B224,#REF!,E$1,FALSE)</f>
        <v>#REF!</v>
      </c>
      <c r="F224" s="25" t="e">
        <f>VLOOKUP($B224,#REF!,F$1,FALSE)</f>
        <v>#REF!</v>
      </c>
      <c r="G224" s="14" t="e">
        <f>IF(VLOOKUP($B224,#REF!,G$1,FALSE)=0,0.0001,VLOOKUP($B224,#REF!,G$1,FALSE))</f>
        <v>#REF!</v>
      </c>
      <c r="H224" s="23">
        <v>0</v>
      </c>
      <c r="I224" s="24">
        <v>999999999</v>
      </c>
      <c r="J224" s="22"/>
      <c r="K224" s="24">
        <v>999999999</v>
      </c>
      <c r="L224" s="24"/>
      <c r="M224" s="433"/>
      <c r="N224" s="433"/>
      <c r="O224" s="434"/>
      <c r="P224" s="434"/>
      <c r="Q224" s="435"/>
      <c r="R224" s="432"/>
      <c r="S224" s="15">
        <f t="shared" si="23"/>
        <v>0</v>
      </c>
      <c r="T224" s="4" t="e">
        <f>VLOOKUP(B224,#REF!,7,FALSE)</f>
        <v>#REF!</v>
      </c>
    </row>
    <row r="225" spans="2:20" x14ac:dyDescent="0.35">
      <c r="B225" s="13">
        <v>198</v>
      </c>
      <c r="C225" s="13" t="e">
        <f>VLOOKUP($B225,#REF!,C$1,FALSE)</f>
        <v>#REF!</v>
      </c>
      <c r="D225" s="25" t="e">
        <f>VLOOKUP($B225,#REF!,D$1,FALSE)</f>
        <v>#REF!</v>
      </c>
      <c r="E225" s="13" t="e">
        <f>VLOOKUP($B225,#REF!,E$1,FALSE)</f>
        <v>#REF!</v>
      </c>
      <c r="F225" s="25" t="e">
        <f>VLOOKUP($B225,#REF!,F$1,FALSE)</f>
        <v>#REF!</v>
      </c>
      <c r="G225" s="14" t="e">
        <f>IF(VLOOKUP($B225,#REF!,G$1,FALSE)=0,0.0001,VLOOKUP($B225,#REF!,G$1,FALSE))</f>
        <v>#REF!</v>
      </c>
      <c r="H225" s="23">
        <v>0</v>
      </c>
      <c r="I225" s="24">
        <v>999999999</v>
      </c>
      <c r="J225" s="22"/>
      <c r="K225" s="24">
        <v>999999999</v>
      </c>
      <c r="L225" s="24"/>
      <c r="M225" s="433">
        <v>999999999</v>
      </c>
      <c r="N225" s="433">
        <v>999999999</v>
      </c>
      <c r="O225" s="434" t="e">
        <f>D228</f>
        <v>#REF!</v>
      </c>
      <c r="P225" s="434" t="e">
        <f>F225</f>
        <v>#REF!</v>
      </c>
      <c r="Q225" s="435" t="e">
        <f>SUM(G225:G228)</f>
        <v>#REF!</v>
      </c>
      <c r="R225" s="432" t="s">
        <v>107</v>
      </c>
      <c r="S225" s="15">
        <f t="shared" si="23"/>
        <v>0</v>
      </c>
      <c r="T225" s="4" t="e">
        <f>VLOOKUP(B225,#REF!,7,FALSE)</f>
        <v>#REF!</v>
      </c>
    </row>
    <row r="226" spans="2:20" x14ac:dyDescent="0.35">
      <c r="B226" s="13">
        <v>199</v>
      </c>
      <c r="C226" s="13" t="e">
        <f>VLOOKUP($B226,#REF!,C$1,FALSE)</f>
        <v>#REF!</v>
      </c>
      <c r="D226" s="25" t="e">
        <f>VLOOKUP($B226,#REF!,D$1,FALSE)</f>
        <v>#REF!</v>
      </c>
      <c r="E226" s="13" t="e">
        <f>VLOOKUP($B226,#REF!,E$1,FALSE)</f>
        <v>#REF!</v>
      </c>
      <c r="F226" s="25" t="e">
        <f>VLOOKUP($B226,#REF!,F$1,FALSE)</f>
        <v>#REF!</v>
      </c>
      <c r="G226" s="14" t="e">
        <f>IF(VLOOKUP($B226,#REF!,G$1,FALSE)=0,0.0001,VLOOKUP($B226,#REF!,G$1,FALSE))</f>
        <v>#REF!</v>
      </c>
      <c r="H226" s="23">
        <v>0</v>
      </c>
      <c r="I226" s="24">
        <v>999999999</v>
      </c>
      <c r="J226" s="22"/>
      <c r="K226" s="24">
        <v>999999999</v>
      </c>
      <c r="L226" s="24"/>
      <c r="M226" s="433"/>
      <c r="N226" s="433"/>
      <c r="O226" s="434"/>
      <c r="P226" s="434"/>
      <c r="Q226" s="435"/>
      <c r="R226" s="432"/>
      <c r="S226" s="15">
        <f t="shared" si="23"/>
        <v>0</v>
      </c>
      <c r="T226" s="4" t="e">
        <f>VLOOKUP(B226,#REF!,7,FALSE)</f>
        <v>#REF!</v>
      </c>
    </row>
    <row r="227" spans="2:20" x14ac:dyDescent="0.35">
      <c r="B227" s="13">
        <v>200</v>
      </c>
      <c r="C227" s="13" t="e">
        <f>VLOOKUP($B227,#REF!,C$1,FALSE)</f>
        <v>#REF!</v>
      </c>
      <c r="D227" s="25" t="e">
        <f>VLOOKUP($B227,#REF!,D$1,FALSE)</f>
        <v>#REF!</v>
      </c>
      <c r="E227" s="13" t="e">
        <f>VLOOKUP($B227,#REF!,E$1,FALSE)</f>
        <v>#REF!</v>
      </c>
      <c r="F227" s="25" t="e">
        <f>VLOOKUP($B227,#REF!,F$1,FALSE)</f>
        <v>#REF!</v>
      </c>
      <c r="G227" s="14" t="e">
        <f>IF(VLOOKUP($B227,#REF!,G$1,FALSE)=0,0.0001,VLOOKUP($B227,#REF!,G$1,FALSE))</f>
        <v>#REF!</v>
      </c>
      <c r="H227" s="23">
        <v>0</v>
      </c>
      <c r="I227" s="24">
        <v>999999999</v>
      </c>
      <c r="J227" s="22"/>
      <c r="K227" s="24">
        <v>999999999</v>
      </c>
      <c r="L227" s="24"/>
      <c r="M227" s="433"/>
      <c r="N227" s="433"/>
      <c r="O227" s="434"/>
      <c r="P227" s="434"/>
      <c r="Q227" s="435"/>
      <c r="R227" s="432"/>
      <c r="S227" s="15">
        <f t="shared" si="23"/>
        <v>0</v>
      </c>
      <c r="T227" s="4" t="e">
        <f>VLOOKUP(B227,#REF!,7,FALSE)</f>
        <v>#REF!</v>
      </c>
    </row>
    <row r="228" spans="2:20" x14ac:dyDescent="0.35">
      <c r="B228" s="13">
        <v>201</v>
      </c>
      <c r="C228" s="13" t="e">
        <f>VLOOKUP($B228,#REF!,C$1,FALSE)</f>
        <v>#REF!</v>
      </c>
      <c r="D228" s="25" t="e">
        <f>VLOOKUP($B228,#REF!,D$1,FALSE)</f>
        <v>#REF!</v>
      </c>
      <c r="E228" s="13" t="e">
        <f>VLOOKUP($B228,#REF!,E$1,FALSE)</f>
        <v>#REF!</v>
      </c>
      <c r="F228" s="25" t="e">
        <f>VLOOKUP($B228,#REF!,F$1,FALSE)</f>
        <v>#REF!</v>
      </c>
      <c r="G228" s="14" t="e">
        <f>IF(VLOOKUP($B228,#REF!,G$1,FALSE)=0,0.0001,VLOOKUP($B228,#REF!,G$1,FALSE))</f>
        <v>#REF!</v>
      </c>
      <c r="H228" s="23">
        <v>0</v>
      </c>
      <c r="I228" s="24">
        <v>999999999</v>
      </c>
      <c r="J228" s="22"/>
      <c r="K228" s="24">
        <v>999999999</v>
      </c>
      <c r="L228" s="24"/>
      <c r="M228" s="433"/>
      <c r="N228" s="433"/>
      <c r="O228" s="434"/>
      <c r="P228" s="434"/>
      <c r="Q228" s="435"/>
      <c r="R228" s="432"/>
      <c r="S228" s="15">
        <f t="shared" si="23"/>
        <v>0</v>
      </c>
      <c r="T228" s="4" t="e">
        <f>VLOOKUP(B228,#REF!,7,FALSE)</f>
        <v>#REF!</v>
      </c>
    </row>
    <row r="229" spans="2:20" x14ac:dyDescent="0.35">
      <c r="B229" s="13">
        <v>202</v>
      </c>
      <c r="C229" s="13" t="e">
        <f>VLOOKUP($B229,#REF!,C$1,FALSE)</f>
        <v>#REF!</v>
      </c>
      <c r="D229" s="25" t="e">
        <f>VLOOKUP($B229,#REF!,D$1,FALSE)</f>
        <v>#REF!</v>
      </c>
      <c r="E229" s="13" t="e">
        <f>VLOOKUP($B229,#REF!,E$1,FALSE)</f>
        <v>#REF!</v>
      </c>
      <c r="F229" s="25" t="e">
        <f>VLOOKUP($B229,#REF!,F$1,FALSE)</f>
        <v>#REF!</v>
      </c>
      <c r="G229" s="14" t="e">
        <f>IF(VLOOKUP($B229,#REF!,G$1,FALSE)=0,0.0001,VLOOKUP($B229,#REF!,G$1,FALSE))</f>
        <v>#REF!</v>
      </c>
      <c r="H229" s="23">
        <v>0</v>
      </c>
      <c r="I229" s="24">
        <v>999999999</v>
      </c>
      <c r="J229" s="22"/>
      <c r="K229" s="24">
        <v>999999999</v>
      </c>
      <c r="L229" s="24"/>
      <c r="M229" s="433">
        <v>999999999</v>
      </c>
      <c r="N229" s="433">
        <v>999999999</v>
      </c>
      <c r="O229" s="438" t="e">
        <f>D232</f>
        <v>#REF!</v>
      </c>
      <c r="P229" s="434" t="e">
        <f>F229</f>
        <v>#REF!</v>
      </c>
      <c r="Q229" s="435" t="e">
        <f>SUM(G229:G232)</f>
        <v>#REF!</v>
      </c>
      <c r="R229" s="432" t="s">
        <v>205</v>
      </c>
      <c r="S229" s="15">
        <f t="shared" si="23"/>
        <v>0</v>
      </c>
      <c r="T229" s="4" t="e">
        <f>VLOOKUP(B229,#REF!,7,FALSE)</f>
        <v>#REF!</v>
      </c>
    </row>
    <row r="230" spans="2:20" x14ac:dyDescent="0.35">
      <c r="B230" s="13">
        <v>203</v>
      </c>
      <c r="C230" s="13" t="e">
        <f>VLOOKUP($B230,#REF!,C$1,FALSE)</f>
        <v>#REF!</v>
      </c>
      <c r="D230" s="25" t="e">
        <f>VLOOKUP($B230,#REF!,D$1,FALSE)</f>
        <v>#REF!</v>
      </c>
      <c r="E230" s="13" t="e">
        <f>VLOOKUP($B230,#REF!,E$1,FALSE)</f>
        <v>#REF!</v>
      </c>
      <c r="F230" s="25" t="e">
        <f>VLOOKUP($B230,#REF!,F$1,FALSE)</f>
        <v>#REF!</v>
      </c>
      <c r="G230" s="14" t="e">
        <f>IF(VLOOKUP($B230,#REF!,G$1,FALSE)=0,0.0001,VLOOKUP($B230,#REF!,G$1,FALSE))</f>
        <v>#REF!</v>
      </c>
      <c r="H230" s="23">
        <v>0</v>
      </c>
      <c r="I230" s="24">
        <v>999999999</v>
      </c>
      <c r="J230" s="22"/>
      <c r="K230" s="24">
        <v>999999999</v>
      </c>
      <c r="L230" s="24"/>
      <c r="M230" s="433"/>
      <c r="N230" s="433"/>
      <c r="O230" s="438"/>
      <c r="P230" s="434"/>
      <c r="Q230" s="435"/>
      <c r="R230" s="432"/>
      <c r="S230" s="15">
        <f t="shared" si="23"/>
        <v>0</v>
      </c>
      <c r="T230" s="4" t="e">
        <f>VLOOKUP(B230,#REF!,7,FALSE)</f>
        <v>#REF!</v>
      </c>
    </row>
    <row r="231" spans="2:20" x14ac:dyDescent="0.35">
      <c r="B231" s="13">
        <v>204</v>
      </c>
      <c r="C231" s="13" t="e">
        <f>VLOOKUP($B231,#REF!,C$1,FALSE)</f>
        <v>#REF!</v>
      </c>
      <c r="D231" s="25" t="e">
        <f>VLOOKUP($B231,#REF!,D$1,FALSE)</f>
        <v>#REF!</v>
      </c>
      <c r="E231" s="13" t="e">
        <f>VLOOKUP($B231,#REF!,E$1,FALSE)</f>
        <v>#REF!</v>
      </c>
      <c r="F231" s="25" t="e">
        <f>VLOOKUP($B231,#REF!,F$1,FALSE)</f>
        <v>#REF!</v>
      </c>
      <c r="G231" s="14" t="e">
        <f>IF(VLOOKUP($B231,#REF!,G$1,FALSE)=0,0.0001,VLOOKUP($B231,#REF!,G$1,FALSE))</f>
        <v>#REF!</v>
      </c>
      <c r="H231" s="23">
        <v>0</v>
      </c>
      <c r="I231" s="24">
        <v>999999999</v>
      </c>
      <c r="J231" s="22"/>
      <c r="K231" s="24">
        <v>999999999</v>
      </c>
      <c r="L231" s="24"/>
      <c r="M231" s="433"/>
      <c r="N231" s="433"/>
      <c r="O231" s="438"/>
      <c r="P231" s="434"/>
      <c r="Q231" s="435"/>
      <c r="R231" s="432"/>
      <c r="S231" s="15">
        <f t="shared" si="23"/>
        <v>0</v>
      </c>
      <c r="T231" s="4" t="e">
        <f>VLOOKUP(B231,#REF!,7,FALSE)</f>
        <v>#REF!</v>
      </c>
    </row>
    <row r="232" spans="2:20" x14ac:dyDescent="0.35">
      <c r="B232" s="13">
        <v>205</v>
      </c>
      <c r="C232" s="13" t="e">
        <f>VLOOKUP($B232,#REF!,C$1,FALSE)</f>
        <v>#REF!</v>
      </c>
      <c r="D232" s="25" t="e">
        <f>VLOOKUP($B232,#REF!,D$1,FALSE)</f>
        <v>#REF!</v>
      </c>
      <c r="E232" s="13" t="e">
        <f>VLOOKUP($B232,#REF!,E$1,FALSE)</f>
        <v>#REF!</v>
      </c>
      <c r="F232" s="25" t="e">
        <f>VLOOKUP($B232,#REF!,F$1,FALSE)</f>
        <v>#REF!</v>
      </c>
      <c r="G232" s="14" t="e">
        <f>IF(VLOOKUP($B232,#REF!,G$1,FALSE)=0,0.0001,VLOOKUP($B232,#REF!,G$1,FALSE))</f>
        <v>#REF!</v>
      </c>
      <c r="H232" s="23">
        <v>0</v>
      </c>
      <c r="I232" s="24">
        <v>999999999</v>
      </c>
      <c r="J232" s="22"/>
      <c r="K232" s="24">
        <v>999999999</v>
      </c>
      <c r="L232" s="24"/>
      <c r="M232" s="433"/>
      <c r="N232" s="433"/>
      <c r="O232" s="438"/>
      <c r="P232" s="434"/>
      <c r="Q232" s="435"/>
      <c r="R232" s="432"/>
      <c r="S232" s="15">
        <f t="shared" si="23"/>
        <v>0</v>
      </c>
      <c r="T232" s="4" t="e">
        <f>VLOOKUP(B232,#REF!,7,FALSE)</f>
        <v>#REF!</v>
      </c>
    </row>
    <row r="233" spans="2:20" x14ac:dyDescent="0.35">
      <c r="K233" s="4"/>
      <c r="L233" s="4"/>
      <c r="N233" s="4"/>
      <c r="O233" s="39"/>
      <c r="P233" s="39"/>
      <c r="Q233" s="14"/>
    </row>
    <row r="234" spans="2:20" x14ac:dyDescent="0.35">
      <c r="B234" s="13">
        <v>206</v>
      </c>
      <c r="C234" s="13" t="e">
        <f>VLOOKUP($B234,#REF!,E$1,FALSE)</f>
        <v>#REF!</v>
      </c>
      <c r="D234" s="25" t="e">
        <f>VLOOKUP($B234,#REF!,F$1,FALSE)</f>
        <v>#REF!</v>
      </c>
      <c r="E234" s="13" t="e">
        <f>VLOOKUP($B234,#REF!,C$1,FALSE)</f>
        <v>#REF!</v>
      </c>
      <c r="F234" s="25" t="e">
        <f>VLOOKUP($B234,#REF!,D$1,FALSE)</f>
        <v>#REF!</v>
      </c>
      <c r="G234" s="14" t="e">
        <f>IF(VLOOKUP($B234,#REF!,G$1,FALSE)=0,0.0001,VLOOKUP($B234,#REF!,G$1,FALSE))</f>
        <v>#REF!</v>
      </c>
      <c r="H234" s="23">
        <v>1473.0314000000001</v>
      </c>
      <c r="I234" s="24">
        <v>999999999</v>
      </c>
      <c r="J234" s="22"/>
      <c r="K234" s="24">
        <v>999999999</v>
      </c>
      <c r="L234" s="24"/>
      <c r="M234" s="24">
        <v>999999999</v>
      </c>
      <c r="N234" s="24">
        <v>999999999</v>
      </c>
      <c r="O234" s="37" t="e">
        <f>D234</f>
        <v>#REF!</v>
      </c>
      <c r="P234" s="37" t="e">
        <f t="shared" ref="P234:Q236" si="24">F234</f>
        <v>#REF!</v>
      </c>
      <c r="Q234" s="14" t="e">
        <f t="shared" si="24"/>
        <v>#REF!</v>
      </c>
      <c r="R234" s="14" t="s">
        <v>186</v>
      </c>
      <c r="S234" s="15" t="str">
        <f t="shared" ref="S234:S247" si="25">IF((H234&gt;0),IF((H234-I234)=0,"a",IF(H234/I234&lt;0.5,"b","c")),)</f>
        <v>b</v>
      </c>
      <c r="T234" s="4" t="e">
        <f>VLOOKUP(B234,#REF!,7,FALSE)</f>
        <v>#REF!</v>
      </c>
    </row>
    <row r="235" spans="2:20" x14ac:dyDescent="0.35">
      <c r="B235" s="13">
        <v>207</v>
      </c>
      <c r="C235" s="13" t="e">
        <f>VLOOKUP($B235,#REF!,C$1,FALSE)</f>
        <v>#REF!</v>
      </c>
      <c r="D235" s="25" t="e">
        <f>VLOOKUP($B235,#REF!,D$1,FALSE)</f>
        <v>#REF!</v>
      </c>
      <c r="E235" s="13" t="e">
        <f>VLOOKUP($B235,#REF!,E$1,FALSE)</f>
        <v>#REF!</v>
      </c>
      <c r="F235" s="25" t="e">
        <f>VLOOKUP($B235,#REF!,F$1,FALSE)</f>
        <v>#REF!</v>
      </c>
      <c r="G235" s="14" t="e">
        <f>IF(VLOOKUP($B235,#REF!,G$1,FALSE)=0,0.0001,VLOOKUP($B235,#REF!,G$1,FALSE))</f>
        <v>#REF!</v>
      </c>
      <c r="H235" s="23">
        <v>843.33950000000004</v>
      </c>
      <c r="I235" s="24">
        <v>999999999</v>
      </c>
      <c r="J235" s="22"/>
      <c r="K235" s="24"/>
      <c r="L235" s="24"/>
      <c r="M235" s="24">
        <v>999999999</v>
      </c>
      <c r="N235" s="24"/>
      <c r="O235" s="37" t="e">
        <f>D235</f>
        <v>#REF!</v>
      </c>
      <c r="P235" s="37" t="e">
        <f t="shared" si="24"/>
        <v>#REF!</v>
      </c>
      <c r="Q235" s="14" t="e">
        <f t="shared" si="24"/>
        <v>#REF!</v>
      </c>
      <c r="R235" s="14" t="s">
        <v>206</v>
      </c>
      <c r="S235" s="15" t="str">
        <f t="shared" si="25"/>
        <v>b</v>
      </c>
      <c r="T235" s="4" t="e">
        <f>VLOOKUP(B235,#REF!,7,FALSE)</f>
        <v>#REF!</v>
      </c>
    </row>
    <row r="236" spans="2:20" x14ac:dyDescent="0.35">
      <c r="B236" s="13">
        <v>208</v>
      </c>
      <c r="C236" s="13" t="e">
        <f>VLOOKUP($B236,#REF!,E$1,FALSE)</f>
        <v>#REF!</v>
      </c>
      <c r="D236" s="25" t="e">
        <f>VLOOKUP($B236,#REF!,F$1,FALSE)</f>
        <v>#REF!</v>
      </c>
      <c r="E236" s="13" t="e">
        <f>VLOOKUP($B236,#REF!,C$1,FALSE)</f>
        <v>#REF!</v>
      </c>
      <c r="F236" s="25" t="e">
        <f>VLOOKUP($B236,#REF!,D$1,FALSE)</f>
        <v>#REF!</v>
      </c>
      <c r="G236" s="14" t="e">
        <f>IF(VLOOKUP($B236,#REF!,G$1,FALSE)=0,0.0001,VLOOKUP($B236,#REF!,G$1,FALSE))</f>
        <v>#REF!</v>
      </c>
      <c r="H236" s="23">
        <v>629.69195000000002</v>
      </c>
      <c r="I236" s="24">
        <v>999999999</v>
      </c>
      <c r="J236" s="22"/>
      <c r="K236" s="24">
        <v>999999999</v>
      </c>
      <c r="L236" s="24"/>
      <c r="M236" s="24">
        <v>999999999</v>
      </c>
      <c r="N236" s="24">
        <v>999999999</v>
      </c>
      <c r="O236" s="37" t="e">
        <f>D236</f>
        <v>#REF!</v>
      </c>
      <c r="P236" s="37" t="e">
        <f t="shared" si="24"/>
        <v>#REF!</v>
      </c>
      <c r="Q236" s="14" t="e">
        <f t="shared" si="24"/>
        <v>#REF!</v>
      </c>
      <c r="R236" s="14" t="s">
        <v>207</v>
      </c>
      <c r="S236" s="15" t="str">
        <f t="shared" si="25"/>
        <v>b</v>
      </c>
      <c r="T236" s="4" t="e">
        <f>VLOOKUP(B236,#REF!,7,FALSE)</f>
        <v>#REF!</v>
      </c>
    </row>
    <row r="237" spans="2:20" x14ac:dyDescent="0.35">
      <c r="B237" s="13">
        <v>209</v>
      </c>
      <c r="C237" s="13" t="e">
        <f>VLOOKUP($B237,#REF!,E$1,FALSE)</f>
        <v>#REF!</v>
      </c>
      <c r="D237" s="25" t="e">
        <f>VLOOKUP($B237,#REF!,F$1,FALSE)</f>
        <v>#REF!</v>
      </c>
      <c r="E237" s="13" t="e">
        <f>VLOOKUP($B237,#REF!,C$1,FALSE)</f>
        <v>#REF!</v>
      </c>
      <c r="F237" s="25" t="e">
        <f>VLOOKUP($B237,#REF!,D$1,FALSE)</f>
        <v>#REF!</v>
      </c>
      <c r="G237" s="14" t="e">
        <f>IF(VLOOKUP($B237,#REF!,G$1,FALSE)=0,0.0001,VLOOKUP($B237,#REF!,G$1,FALSE))</f>
        <v>#REF!</v>
      </c>
      <c r="H237" s="23">
        <v>604.37025000000006</v>
      </c>
      <c r="I237" s="24">
        <v>999999999</v>
      </c>
      <c r="J237" s="22"/>
      <c r="K237" s="24">
        <v>999999999</v>
      </c>
      <c r="L237" s="24"/>
      <c r="M237" s="433">
        <v>999999999</v>
      </c>
      <c r="N237" s="433">
        <v>999999999</v>
      </c>
      <c r="O237" s="434" t="e">
        <f>D237</f>
        <v>#REF!</v>
      </c>
      <c r="P237" s="434" t="e">
        <f>F242</f>
        <v>#REF!</v>
      </c>
      <c r="Q237" s="435" t="e">
        <f>SUM(G237:G242)</f>
        <v>#REF!</v>
      </c>
      <c r="R237" s="432" t="s">
        <v>208</v>
      </c>
      <c r="S237" s="15" t="str">
        <f t="shared" si="25"/>
        <v>b</v>
      </c>
      <c r="T237" s="4" t="e">
        <f>VLOOKUP(B237,#REF!,7,FALSE)</f>
        <v>#REF!</v>
      </c>
    </row>
    <row r="238" spans="2:20" x14ac:dyDescent="0.35">
      <c r="B238" s="13">
        <v>210</v>
      </c>
      <c r="C238" s="13" t="e">
        <f>VLOOKUP($B238,#REF!,E$1,FALSE)</f>
        <v>#REF!</v>
      </c>
      <c r="D238" s="25" t="e">
        <f>VLOOKUP($B238,#REF!,F$1,FALSE)</f>
        <v>#REF!</v>
      </c>
      <c r="E238" s="13" t="e">
        <f>VLOOKUP($B238,#REF!,C$1,FALSE)</f>
        <v>#REF!</v>
      </c>
      <c r="F238" s="25" t="e">
        <f>VLOOKUP($B238,#REF!,D$1,FALSE)</f>
        <v>#REF!</v>
      </c>
      <c r="G238" s="14" t="e">
        <f>IF(VLOOKUP($B238,#REF!,G$1,FALSE)=0,0.0001,VLOOKUP($B238,#REF!,G$1,FALSE))</f>
        <v>#REF!</v>
      </c>
      <c r="H238" s="23">
        <v>568.38331000000005</v>
      </c>
      <c r="I238" s="24">
        <v>999999999</v>
      </c>
      <c r="J238" s="22"/>
      <c r="K238" s="24">
        <v>999999999</v>
      </c>
      <c r="L238" s="24"/>
      <c r="M238" s="433"/>
      <c r="N238" s="433"/>
      <c r="O238" s="434"/>
      <c r="P238" s="434"/>
      <c r="Q238" s="435"/>
      <c r="R238" s="432"/>
      <c r="S238" s="15" t="str">
        <f t="shared" si="25"/>
        <v>b</v>
      </c>
      <c r="T238" s="4" t="e">
        <f>VLOOKUP(B238,#REF!,7,FALSE)</f>
        <v>#REF!</v>
      </c>
    </row>
    <row r="239" spans="2:20" x14ac:dyDescent="0.35">
      <c r="B239" s="13">
        <v>211</v>
      </c>
      <c r="C239" s="13" t="e">
        <f>VLOOKUP($B239,#REF!,E$1,FALSE)</f>
        <v>#REF!</v>
      </c>
      <c r="D239" s="25" t="e">
        <f>VLOOKUP($B239,#REF!,F$1,FALSE)</f>
        <v>#REF!</v>
      </c>
      <c r="E239" s="13" t="e">
        <f>VLOOKUP($B239,#REF!,C$1,FALSE)</f>
        <v>#REF!</v>
      </c>
      <c r="F239" s="25" t="e">
        <f>VLOOKUP($B239,#REF!,D$1,FALSE)</f>
        <v>#REF!</v>
      </c>
      <c r="G239" s="14" t="e">
        <f>IF(VLOOKUP($B239,#REF!,G$1,FALSE)=0,0.0001,VLOOKUP($B239,#REF!,G$1,FALSE))</f>
        <v>#REF!</v>
      </c>
      <c r="H239" s="23">
        <v>554.65867000000003</v>
      </c>
      <c r="I239" s="24">
        <v>999999999</v>
      </c>
      <c r="J239" s="22"/>
      <c r="K239" s="24">
        <v>999999999</v>
      </c>
      <c r="L239" s="24"/>
      <c r="M239" s="433"/>
      <c r="N239" s="433"/>
      <c r="O239" s="434"/>
      <c r="P239" s="434"/>
      <c r="Q239" s="435"/>
      <c r="R239" s="432"/>
      <c r="S239" s="15" t="str">
        <f t="shared" si="25"/>
        <v>b</v>
      </c>
      <c r="T239" s="4" t="e">
        <f>VLOOKUP(B239,#REF!,7,FALSE)</f>
        <v>#REF!</v>
      </c>
    </row>
    <row r="240" spans="2:20" x14ac:dyDescent="0.35">
      <c r="B240" s="13">
        <v>212</v>
      </c>
      <c r="C240" s="13" t="e">
        <f>VLOOKUP($B240,#REF!,E$1,FALSE)</f>
        <v>#REF!</v>
      </c>
      <c r="D240" s="25" t="e">
        <f>VLOOKUP($B240,#REF!,F$1,FALSE)</f>
        <v>#REF!</v>
      </c>
      <c r="E240" s="13" t="e">
        <f>VLOOKUP($B240,#REF!,C$1,FALSE)</f>
        <v>#REF!</v>
      </c>
      <c r="F240" s="25" t="e">
        <f>VLOOKUP($B240,#REF!,D$1,FALSE)</f>
        <v>#REF!</v>
      </c>
      <c r="G240" s="14" t="e">
        <f>IF(VLOOKUP($B240,#REF!,G$1,FALSE)=0,0.0001,VLOOKUP($B240,#REF!,G$1,FALSE))</f>
        <v>#REF!</v>
      </c>
      <c r="H240" s="23">
        <v>518.11429999999996</v>
      </c>
      <c r="I240" s="24">
        <v>999999999</v>
      </c>
      <c r="J240" s="22"/>
      <c r="K240" s="24">
        <v>999999999</v>
      </c>
      <c r="L240" s="24"/>
      <c r="M240" s="433"/>
      <c r="N240" s="433"/>
      <c r="O240" s="434"/>
      <c r="P240" s="434"/>
      <c r="Q240" s="435"/>
      <c r="R240" s="432"/>
      <c r="S240" s="15" t="str">
        <f t="shared" si="25"/>
        <v>b</v>
      </c>
      <c r="T240" s="4" t="e">
        <f>VLOOKUP(B240,#REF!,7,FALSE)</f>
        <v>#REF!</v>
      </c>
    </row>
    <row r="241" spans="2:20" x14ac:dyDescent="0.35">
      <c r="B241" s="13">
        <v>213</v>
      </c>
      <c r="C241" s="13" t="e">
        <f>VLOOKUP($B241,#REF!,E$1,FALSE)</f>
        <v>#REF!</v>
      </c>
      <c r="D241" s="25" t="e">
        <f>VLOOKUP($B241,#REF!,F$1,FALSE)</f>
        <v>#REF!</v>
      </c>
      <c r="E241" s="13" t="e">
        <f>VLOOKUP($B241,#REF!,C$1,FALSE)</f>
        <v>#REF!</v>
      </c>
      <c r="F241" s="25" t="e">
        <f>VLOOKUP($B241,#REF!,D$1,FALSE)</f>
        <v>#REF!</v>
      </c>
      <c r="G241" s="14" t="e">
        <f>IF(VLOOKUP($B241,#REF!,G$1,FALSE)=0,0.0001,VLOOKUP($B241,#REF!,G$1,FALSE))</f>
        <v>#REF!</v>
      </c>
      <c r="H241" s="23">
        <v>300.39263</v>
      </c>
      <c r="I241" s="24">
        <v>999999999</v>
      </c>
      <c r="J241" s="22"/>
      <c r="K241" s="24">
        <v>999999999</v>
      </c>
      <c r="L241" s="24"/>
      <c r="M241" s="433"/>
      <c r="N241" s="433"/>
      <c r="O241" s="434"/>
      <c r="P241" s="434"/>
      <c r="Q241" s="435"/>
      <c r="R241" s="432"/>
      <c r="S241" s="15" t="str">
        <f t="shared" si="25"/>
        <v>b</v>
      </c>
      <c r="T241" s="4" t="e">
        <f>VLOOKUP(B241,#REF!,7,FALSE)</f>
        <v>#REF!</v>
      </c>
    </row>
    <row r="242" spans="2:20" x14ac:dyDescent="0.35">
      <c r="B242" s="13">
        <v>214</v>
      </c>
      <c r="C242" s="13" t="e">
        <f>VLOOKUP($B242,#REF!,E$1,FALSE)</f>
        <v>#REF!</v>
      </c>
      <c r="D242" s="25" t="e">
        <f>VLOOKUP($B242,#REF!,F$1,FALSE)</f>
        <v>#REF!</v>
      </c>
      <c r="E242" s="13" t="e">
        <f>VLOOKUP($B242,#REF!,C$1,FALSE)</f>
        <v>#REF!</v>
      </c>
      <c r="F242" s="25" t="e">
        <f>VLOOKUP($B242,#REF!,D$1,FALSE)</f>
        <v>#REF!</v>
      </c>
      <c r="G242" s="14" t="e">
        <f>IF(VLOOKUP($B242,#REF!,G$1,FALSE)=0,0.0001,VLOOKUP($B242,#REF!,G$1,FALSE))</f>
        <v>#REF!</v>
      </c>
      <c r="H242" s="23">
        <v>65.528833000000006</v>
      </c>
      <c r="I242" s="24">
        <v>999999999</v>
      </c>
      <c r="J242" s="22"/>
      <c r="K242" s="24">
        <v>999999999</v>
      </c>
      <c r="L242" s="24"/>
      <c r="M242" s="433"/>
      <c r="N242" s="433"/>
      <c r="O242" s="434"/>
      <c r="P242" s="434"/>
      <c r="Q242" s="435"/>
      <c r="R242" s="432"/>
      <c r="S242" s="15" t="str">
        <f t="shared" si="25"/>
        <v>b</v>
      </c>
      <c r="T242" s="4" t="e">
        <f>VLOOKUP(B242,#REF!,7,FALSE)</f>
        <v>#REF!</v>
      </c>
    </row>
    <row r="243" spans="2:20" x14ac:dyDescent="0.35">
      <c r="B243" s="13">
        <v>215</v>
      </c>
      <c r="C243" s="13" t="e">
        <f>VLOOKUP($B243,#REF!,E$1,FALSE)</f>
        <v>#REF!</v>
      </c>
      <c r="D243" s="25" t="e">
        <f>VLOOKUP($B243,#REF!,F$1,FALSE)</f>
        <v>#REF!</v>
      </c>
      <c r="E243" s="13" t="e">
        <f>VLOOKUP($B243,#REF!,C$1,FALSE)</f>
        <v>#REF!</v>
      </c>
      <c r="F243" s="25" t="e">
        <f>VLOOKUP($B243,#REF!,D$1,FALSE)</f>
        <v>#REF!</v>
      </c>
      <c r="G243" s="14" t="e">
        <f>IF(VLOOKUP($B243,#REF!,G$1,FALSE)=0,0.0001,VLOOKUP($B243,#REF!,G$1,FALSE))</f>
        <v>#REF!</v>
      </c>
      <c r="H243" s="23">
        <v>57.420166999999999</v>
      </c>
      <c r="I243" s="24">
        <v>999999999</v>
      </c>
      <c r="J243" s="22"/>
      <c r="K243" s="24">
        <v>999999999</v>
      </c>
      <c r="L243" s="24"/>
      <c r="M243" s="24">
        <v>999999999</v>
      </c>
      <c r="N243" s="24">
        <v>999999999</v>
      </c>
      <c r="O243" s="9" t="e">
        <f>D243</f>
        <v>#REF!</v>
      </c>
      <c r="P243" s="9" t="e">
        <f t="shared" ref="P243:Q245" si="26">F243</f>
        <v>#REF!</v>
      </c>
      <c r="Q243" s="14" t="e">
        <f t="shared" si="26"/>
        <v>#REF!</v>
      </c>
      <c r="R243" s="432" t="s">
        <v>209</v>
      </c>
      <c r="S243" s="15" t="str">
        <f t="shared" si="25"/>
        <v>b</v>
      </c>
      <c r="T243" s="4" t="e">
        <f>VLOOKUP(B243,#REF!,7,FALSE)</f>
        <v>#REF!</v>
      </c>
    </row>
    <row r="244" spans="2:20" x14ac:dyDescent="0.35">
      <c r="B244" s="13">
        <v>216</v>
      </c>
      <c r="C244" s="13" t="e">
        <f>VLOOKUP($B244,#REF!,C$1,FALSE)</f>
        <v>#REF!</v>
      </c>
      <c r="D244" s="25" t="e">
        <f>VLOOKUP($B244,#REF!,D$1,FALSE)</f>
        <v>#REF!</v>
      </c>
      <c r="E244" s="13" t="e">
        <f>VLOOKUP($B244,#REF!,E$1,FALSE)</f>
        <v>#REF!</v>
      </c>
      <c r="F244" s="25" t="e">
        <f>VLOOKUP($B244,#REF!,F$1,FALSE)</f>
        <v>#REF!</v>
      </c>
      <c r="G244" s="14" t="e">
        <f>IF(VLOOKUP($B244,#REF!,G$1,FALSE)=0,0.0001,VLOOKUP($B244,#REF!,G$1,FALSE))</f>
        <v>#REF!</v>
      </c>
      <c r="H244" s="23">
        <v>0</v>
      </c>
      <c r="I244" s="24">
        <v>999999999</v>
      </c>
      <c r="J244" s="22"/>
      <c r="K244" s="24">
        <v>999999999</v>
      </c>
      <c r="L244" s="24"/>
      <c r="M244" s="24">
        <v>999999999</v>
      </c>
      <c r="N244" s="24"/>
      <c r="O244" s="9" t="e">
        <f>D244</f>
        <v>#REF!</v>
      </c>
      <c r="P244" s="9" t="e">
        <f t="shared" si="26"/>
        <v>#REF!</v>
      </c>
      <c r="Q244" s="14" t="e">
        <f t="shared" si="26"/>
        <v>#REF!</v>
      </c>
      <c r="R244" s="432"/>
      <c r="S244" s="15">
        <f t="shared" si="25"/>
        <v>0</v>
      </c>
      <c r="T244" s="4" t="e">
        <f>VLOOKUP(B244,#REF!,7,FALSE)</f>
        <v>#REF!</v>
      </c>
    </row>
    <row r="245" spans="2:20" x14ac:dyDescent="0.35">
      <c r="B245" s="13">
        <v>217</v>
      </c>
      <c r="C245" s="13" t="e">
        <f>VLOOKUP($B245,#REF!,C$1,FALSE)</f>
        <v>#REF!</v>
      </c>
      <c r="D245" s="25" t="e">
        <f>VLOOKUP($B245,#REF!,D$1,FALSE)</f>
        <v>#REF!</v>
      </c>
      <c r="E245" s="13" t="e">
        <f>VLOOKUP($B245,#REF!,E$1,FALSE)</f>
        <v>#REF!</v>
      </c>
      <c r="F245" s="25" t="e">
        <f>VLOOKUP($B245,#REF!,F$1,FALSE)</f>
        <v>#REF!</v>
      </c>
      <c r="G245" s="14" t="e">
        <f>IF(VLOOKUP($B245,#REF!,G$1,FALSE)=0,0.0001,VLOOKUP($B245,#REF!,G$1,FALSE))</f>
        <v>#REF!</v>
      </c>
      <c r="H245" s="23">
        <v>0</v>
      </c>
      <c r="I245" s="24">
        <v>999999999</v>
      </c>
      <c r="J245" s="22"/>
      <c r="K245" s="24"/>
      <c r="L245" s="24"/>
      <c r="M245" s="24">
        <v>999999999</v>
      </c>
      <c r="N245" s="24"/>
      <c r="O245" s="9" t="e">
        <f>D245</f>
        <v>#REF!</v>
      </c>
      <c r="P245" s="9" t="e">
        <f t="shared" si="26"/>
        <v>#REF!</v>
      </c>
      <c r="Q245" s="14" t="e">
        <f t="shared" si="26"/>
        <v>#REF!</v>
      </c>
      <c r="R245" s="432"/>
      <c r="S245" s="15">
        <f t="shared" si="25"/>
        <v>0</v>
      </c>
      <c r="T245" s="4" t="e">
        <f>VLOOKUP(B245,#REF!,7,FALSE)</f>
        <v>#REF!</v>
      </c>
    </row>
    <row r="246" spans="2:20" x14ac:dyDescent="0.35">
      <c r="B246" s="13">
        <v>218</v>
      </c>
      <c r="C246" s="13" t="e">
        <f>VLOOKUP($B246,#REF!,E$1,FALSE)</f>
        <v>#REF!</v>
      </c>
      <c r="D246" s="25" t="e">
        <f>VLOOKUP($B246,#REF!,F$1,FALSE)</f>
        <v>#REF!</v>
      </c>
      <c r="E246" s="13" t="e">
        <f>VLOOKUP($B246,#REF!,C$1,FALSE)</f>
        <v>#REF!</v>
      </c>
      <c r="F246" s="25" t="e">
        <f>VLOOKUP($B246,#REF!,D$1,FALSE)</f>
        <v>#REF!</v>
      </c>
      <c r="G246" s="14" t="e">
        <f>IF(VLOOKUP($B246,#REF!,G$1,FALSE)=0,0.0001,VLOOKUP($B246,#REF!,G$1,FALSE))</f>
        <v>#REF!</v>
      </c>
      <c r="H246" s="23">
        <v>57.420166999999999</v>
      </c>
      <c r="I246" s="24">
        <v>999999999</v>
      </c>
      <c r="J246" s="22"/>
      <c r="K246" s="24"/>
      <c r="L246" s="24"/>
      <c r="M246" s="433">
        <v>999999999</v>
      </c>
      <c r="N246" s="439"/>
      <c r="O246" s="434" t="e">
        <f>D246</f>
        <v>#REF!</v>
      </c>
      <c r="P246" s="434" t="e">
        <f>F247</f>
        <v>#REF!</v>
      </c>
      <c r="Q246" s="435" t="e">
        <f>SUM(G246:G247)</f>
        <v>#REF!</v>
      </c>
      <c r="R246" s="432"/>
      <c r="S246" s="15" t="str">
        <f t="shared" si="25"/>
        <v>b</v>
      </c>
      <c r="T246" s="4" t="e">
        <f>VLOOKUP(B246,#REF!,7,FALSE)</f>
        <v>#REF!</v>
      </c>
    </row>
    <row r="247" spans="2:20" x14ac:dyDescent="0.35">
      <c r="B247" s="13">
        <v>219</v>
      </c>
      <c r="C247" s="13" t="e">
        <f>VLOOKUP($B247,#REF!,E$1,FALSE)</f>
        <v>#REF!</v>
      </c>
      <c r="D247" s="25" t="e">
        <f>VLOOKUP($B247,#REF!,F$1,FALSE)</f>
        <v>#REF!</v>
      </c>
      <c r="E247" s="13" t="e">
        <f>VLOOKUP($B247,#REF!,C$1,FALSE)</f>
        <v>#REF!</v>
      </c>
      <c r="F247" s="25" t="e">
        <f>VLOOKUP($B247,#REF!,D$1,FALSE)</f>
        <v>#REF!</v>
      </c>
      <c r="G247" s="14" t="e">
        <f>IF(VLOOKUP($B247,#REF!,G$1,FALSE)=0,0.0001,VLOOKUP($B247,#REF!,G$1,FALSE))</f>
        <v>#REF!</v>
      </c>
      <c r="H247" s="23">
        <v>57.420166999999999</v>
      </c>
      <c r="I247" s="24">
        <v>999999999</v>
      </c>
      <c r="J247" s="22"/>
      <c r="K247" s="24"/>
      <c r="L247" s="24"/>
      <c r="M247" s="433"/>
      <c r="N247" s="439"/>
      <c r="O247" s="434"/>
      <c r="P247" s="434"/>
      <c r="Q247" s="435"/>
      <c r="R247" s="432"/>
      <c r="S247" s="15" t="str">
        <f t="shared" si="25"/>
        <v>b</v>
      </c>
      <c r="T247" s="4" t="e">
        <f>VLOOKUP(B247,#REF!,7,FALSE)</f>
        <v>#REF!</v>
      </c>
    </row>
  </sheetData>
  <mergeCells count="254">
    <mergeCell ref="R187:R188"/>
    <mergeCell ref="Q187:Q188"/>
    <mergeCell ref="P187:P188"/>
    <mergeCell ref="O187:O188"/>
    <mergeCell ref="M187:M188"/>
    <mergeCell ref="N187:N188"/>
    <mergeCell ref="M170:M171"/>
    <mergeCell ref="O170:O171"/>
    <mergeCell ref="P170:P171"/>
    <mergeCell ref="Q170:Q171"/>
    <mergeCell ref="M182:M183"/>
    <mergeCell ref="N182:N183"/>
    <mergeCell ref="R182:R183"/>
    <mergeCell ref="M246:M247"/>
    <mergeCell ref="N246:N247"/>
    <mergeCell ref="O246:O247"/>
    <mergeCell ref="P246:P247"/>
    <mergeCell ref="Q246:Q247"/>
    <mergeCell ref="M195:M196"/>
    <mergeCell ref="N195:N196"/>
    <mergeCell ref="O195:O196"/>
    <mergeCell ref="P195:P196"/>
    <mergeCell ref="Q195:Q196"/>
    <mergeCell ref="M237:M242"/>
    <mergeCell ref="N237:N242"/>
    <mergeCell ref="M203:M204"/>
    <mergeCell ref="N203:N204"/>
    <mergeCell ref="Q203:Q204"/>
    <mergeCell ref="O237:O242"/>
    <mergeCell ref="P237:P242"/>
    <mergeCell ref="R208:R209"/>
    <mergeCell ref="M218:M219"/>
    <mergeCell ref="N218:N219"/>
    <mergeCell ref="R229:R232"/>
    <mergeCell ref="Q229:Q232"/>
    <mergeCell ref="O229:O232"/>
    <mergeCell ref="P229:P232"/>
    <mergeCell ref="M229:M232"/>
    <mergeCell ref="N229:N232"/>
    <mergeCell ref="M225:M228"/>
    <mergeCell ref="N225:N228"/>
    <mergeCell ref="M221:M224"/>
    <mergeCell ref="N221:N224"/>
    <mergeCell ref="M208:M209"/>
    <mergeCell ref="N208:N209"/>
    <mergeCell ref="O208:O209"/>
    <mergeCell ref="O218:O219"/>
    <mergeCell ref="P218:P219"/>
    <mergeCell ref="R203:R204"/>
    <mergeCell ref="O205:O206"/>
    <mergeCell ref="P205:P206"/>
    <mergeCell ref="M205:M206"/>
    <mergeCell ref="N205:N206"/>
    <mergeCell ref="Q205:Q206"/>
    <mergeCell ref="R205:R206"/>
    <mergeCell ref="R189:R191"/>
    <mergeCell ref="O199:O200"/>
    <mergeCell ref="P199:P200"/>
    <mergeCell ref="M199:M200"/>
    <mergeCell ref="N199:N200"/>
    <mergeCell ref="Q199:Q200"/>
    <mergeCell ref="R199:R200"/>
    <mergeCell ref="M201:M202"/>
    <mergeCell ref="N201:N202"/>
    <mergeCell ref="O201:O202"/>
    <mergeCell ref="P201:P202"/>
    <mergeCell ref="Q201:Q202"/>
    <mergeCell ref="R201:R202"/>
    <mergeCell ref="R195:R196"/>
    <mergeCell ref="O203:O204"/>
    <mergeCell ref="M105:M106"/>
    <mergeCell ref="O78:O80"/>
    <mergeCell ref="P78:P80"/>
    <mergeCell ref="O88:O90"/>
    <mergeCell ref="P88:P90"/>
    <mergeCell ref="M81:M83"/>
    <mergeCell ref="N81:N83"/>
    <mergeCell ref="M192:M194"/>
    <mergeCell ref="N192:N194"/>
    <mergeCell ref="O192:O194"/>
    <mergeCell ref="P192:P194"/>
    <mergeCell ref="O189:O191"/>
    <mergeCell ref="P189:P191"/>
    <mergeCell ref="M189:M191"/>
    <mergeCell ref="N189:N191"/>
    <mergeCell ref="O146:O148"/>
    <mergeCell ref="P146:P148"/>
    <mergeCell ref="O150:O151"/>
    <mergeCell ref="P150:P151"/>
    <mergeCell ref="N119:N120"/>
    <mergeCell ref="N113:N114"/>
    <mergeCell ref="N135:N136"/>
    <mergeCell ref="M153:M155"/>
    <mergeCell ref="N153:N155"/>
    <mergeCell ref="M60:M63"/>
    <mergeCell ref="N60:N63"/>
    <mergeCell ref="R60:R63"/>
    <mergeCell ref="R72:R73"/>
    <mergeCell ref="M72:M73"/>
    <mergeCell ref="N72:N73"/>
    <mergeCell ref="Q72:Q73"/>
    <mergeCell ref="O72:O73"/>
    <mergeCell ref="P72:P73"/>
    <mergeCell ref="R243:R247"/>
    <mergeCell ref="R237:R242"/>
    <mergeCell ref="R225:R228"/>
    <mergeCell ref="R221:R224"/>
    <mergeCell ref="R218:R219"/>
    <mergeCell ref="Q60:Q63"/>
    <mergeCell ref="R81:R83"/>
    <mergeCell ref="R105:R106"/>
    <mergeCell ref="R119:R120"/>
    <mergeCell ref="R113:R114"/>
    <mergeCell ref="R157:R160"/>
    <mergeCell ref="R153:R155"/>
    <mergeCell ref="R150:R151"/>
    <mergeCell ref="R146:R148"/>
    <mergeCell ref="Q135:Q136"/>
    <mergeCell ref="R135:R136"/>
    <mergeCell ref="Q192:Q194"/>
    <mergeCell ref="R192:R194"/>
    <mergeCell ref="Q237:Q242"/>
    <mergeCell ref="Q146:Q148"/>
    <mergeCell ref="Q150:Q151"/>
    <mergeCell ref="Q218:Q219"/>
    <mergeCell ref="Q225:Q228"/>
    <mergeCell ref="Q189:Q191"/>
    <mergeCell ref="R41:R45"/>
    <mergeCell ref="R46:R49"/>
    <mergeCell ref="Q25:Q27"/>
    <mergeCell ref="R39:R40"/>
    <mergeCell ref="R88:R90"/>
    <mergeCell ref="R78:R80"/>
    <mergeCell ref="R12:R18"/>
    <mergeCell ref="R19:R23"/>
    <mergeCell ref="R25:R27"/>
    <mergeCell ref="R29:R32"/>
    <mergeCell ref="Q12:Q18"/>
    <mergeCell ref="Q78:Q80"/>
    <mergeCell ref="Q88:Q90"/>
    <mergeCell ref="O12:O18"/>
    <mergeCell ref="P12:P18"/>
    <mergeCell ref="Q19:Q23"/>
    <mergeCell ref="O19:O23"/>
    <mergeCell ref="P19:P23"/>
    <mergeCell ref="M19:M23"/>
    <mergeCell ref="N19:N23"/>
    <mergeCell ref="R33:R36"/>
    <mergeCell ref="O46:O49"/>
    <mergeCell ref="P46:P49"/>
    <mergeCell ref="M37:M38"/>
    <mergeCell ref="N37:N38"/>
    <mergeCell ref="O25:O27"/>
    <mergeCell ref="P25:P27"/>
    <mergeCell ref="Q29:Q32"/>
    <mergeCell ref="O29:O32"/>
    <mergeCell ref="P29:P32"/>
    <mergeCell ref="Q33:Q36"/>
    <mergeCell ref="O33:O36"/>
    <mergeCell ref="P33:P36"/>
    <mergeCell ref="M12:M18"/>
    <mergeCell ref="N12:N18"/>
    <mergeCell ref="R37:R38"/>
    <mergeCell ref="O37:O38"/>
    <mergeCell ref="Q157:Q160"/>
    <mergeCell ref="O157:O160"/>
    <mergeCell ref="P157:P160"/>
    <mergeCell ref="Q166:Q167"/>
    <mergeCell ref="O225:O228"/>
    <mergeCell ref="P225:P228"/>
    <mergeCell ref="Q221:Q224"/>
    <mergeCell ref="O221:O224"/>
    <mergeCell ref="P221:P224"/>
    <mergeCell ref="P203:P204"/>
    <mergeCell ref="P208:P209"/>
    <mergeCell ref="Q208:Q209"/>
    <mergeCell ref="O166:O167"/>
    <mergeCell ref="P166:P167"/>
    <mergeCell ref="O182:O183"/>
    <mergeCell ref="P182:P183"/>
    <mergeCell ref="Q182:Q183"/>
    <mergeCell ref="Q153:Q155"/>
    <mergeCell ref="O153:O155"/>
    <mergeCell ref="P153:P155"/>
    <mergeCell ref="Q119:Q120"/>
    <mergeCell ref="O119:O120"/>
    <mergeCell ref="P119:P120"/>
    <mergeCell ref="Q113:Q114"/>
    <mergeCell ref="O113:O114"/>
    <mergeCell ref="P113:P114"/>
    <mergeCell ref="O135:O136"/>
    <mergeCell ref="P135:P136"/>
    <mergeCell ref="Q105:Q106"/>
    <mergeCell ref="Q50:Q54"/>
    <mergeCell ref="R50:R54"/>
    <mergeCell ref="Q101:Q102"/>
    <mergeCell ref="O101:O102"/>
    <mergeCell ref="P101:P102"/>
    <mergeCell ref="O103:O104"/>
    <mergeCell ref="P103:P104"/>
    <mergeCell ref="Q103:Q104"/>
    <mergeCell ref="O81:O83"/>
    <mergeCell ref="P81:P83"/>
    <mergeCell ref="P60:P63"/>
    <mergeCell ref="O60:O63"/>
    <mergeCell ref="O105:O106"/>
    <mergeCell ref="P105:P106"/>
    <mergeCell ref="P37:P38"/>
    <mergeCell ref="Q37:Q38"/>
    <mergeCell ref="O50:O54"/>
    <mergeCell ref="P50:P54"/>
    <mergeCell ref="Q41:Q45"/>
    <mergeCell ref="O41:O45"/>
    <mergeCell ref="P41:P45"/>
    <mergeCell ref="Q46:Q49"/>
    <mergeCell ref="M41:M45"/>
    <mergeCell ref="N41:N45"/>
    <mergeCell ref="M46:M49"/>
    <mergeCell ref="N46:N49"/>
    <mergeCell ref="M50:M54"/>
    <mergeCell ref="N50:N54"/>
    <mergeCell ref="M25:M27"/>
    <mergeCell ref="N25:N27"/>
    <mergeCell ref="M29:M32"/>
    <mergeCell ref="N29:N32"/>
    <mergeCell ref="M33:M36"/>
    <mergeCell ref="N33:N36"/>
    <mergeCell ref="M157:M160"/>
    <mergeCell ref="M119:M120"/>
    <mergeCell ref="M146:M148"/>
    <mergeCell ref="M150:M151"/>
    <mergeCell ref="M88:M90"/>
    <mergeCell ref="M101:M102"/>
    <mergeCell ref="M103:M104"/>
    <mergeCell ref="M78:M80"/>
    <mergeCell ref="M113:M114"/>
    <mergeCell ref="M135:M136"/>
    <mergeCell ref="N146:N148"/>
    <mergeCell ref="N150:N151"/>
    <mergeCell ref="N157:N160"/>
    <mergeCell ref="N78:N80"/>
    <mergeCell ref="N88:N90"/>
    <mergeCell ref="N101:N102"/>
    <mergeCell ref="N103:N104"/>
    <mergeCell ref="N105:N106"/>
    <mergeCell ref="N166:N167"/>
    <mergeCell ref="M166:M167"/>
    <mergeCell ref="R166:R167"/>
    <mergeCell ref="M173:M177"/>
    <mergeCell ref="N173:N177"/>
    <mergeCell ref="O173:O177"/>
    <mergeCell ref="P173:P177"/>
    <mergeCell ref="Q173:Q177"/>
    <mergeCell ref="R173:R177"/>
  </mergeCells>
  <phoneticPr fontId="14" type="noConversion"/>
  <conditionalFormatting sqref="S8:S56 S58 S60:S68 S70:S84 S86 S88:S92 S94:S95 S97:S98 S100:S110 S112:S117 S119:S122 S124:S129 S131:S136 S138:S144 S146:S148 S150:S162 S164:S185 S187:S210 S212:S215 S217:S232 S234:S247">
    <cfRule type="cellIs" dxfId="3" priority="1" operator="equal">
      <formula>"b"</formula>
    </cfRule>
    <cfRule type="cellIs" dxfId="2" priority="2" operator="equal">
      <formula>"c"</formula>
    </cfRule>
    <cfRule type="cellIs" dxfId="1" priority="3" operator="equal">
      <formula>"a"</formula>
    </cfRule>
    <cfRule type="cellIs" dxfId="0" priority="4" operator="equal">
      <formula>"a"</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CCCC-DAAB-490A-B5D1-C21F1E189C87}">
  <sheetPr codeName="Planilha14">
    <tabColor theme="1" tint="0.499984740745262"/>
  </sheetPr>
  <dimension ref="A1:D26"/>
  <sheetViews>
    <sheetView showGridLines="0" topLeftCell="A9" zoomScale="85" zoomScaleNormal="85" workbookViewId="0">
      <selection activeCell="A26" sqref="A26"/>
    </sheetView>
  </sheetViews>
  <sheetFormatPr defaultRowHeight="14.5" x14ac:dyDescent="0.35"/>
  <cols>
    <col min="1" max="1" width="8.81640625" customWidth="1"/>
    <col min="2" max="2" width="12.54296875" customWidth="1"/>
    <col min="3" max="3" width="10.453125" customWidth="1"/>
    <col min="4" max="4" width="10.54296875" customWidth="1"/>
    <col min="5" max="5" width="9.81640625" bestFit="1" customWidth="1"/>
  </cols>
  <sheetData>
    <row r="1" spans="1:4" x14ac:dyDescent="0.35">
      <c r="A1" t="s">
        <v>497</v>
      </c>
    </row>
    <row r="2" spans="1:4" x14ac:dyDescent="0.35">
      <c r="A2" t="s">
        <v>498</v>
      </c>
      <c r="B2" t="s">
        <v>499</v>
      </c>
    </row>
    <row r="4" spans="1:4" ht="29" x14ac:dyDescent="0.35">
      <c r="A4" s="338" t="s">
        <v>496</v>
      </c>
      <c r="B4" s="339" t="s">
        <v>500</v>
      </c>
      <c r="C4" s="406" t="s">
        <v>501</v>
      </c>
      <c r="D4" s="339" t="s">
        <v>508</v>
      </c>
    </row>
    <row r="5" spans="1:4" x14ac:dyDescent="0.35">
      <c r="A5" s="336">
        <v>44927</v>
      </c>
      <c r="B5" s="334">
        <v>1.1200000000000001</v>
      </c>
      <c r="C5" s="335">
        <f>B5%+1</f>
        <v>1.0112000000000001</v>
      </c>
      <c r="D5" s="407">
        <f>PRODUCT(C5:$C$26)</f>
        <v>1.2320668069513758</v>
      </c>
    </row>
    <row r="6" spans="1:4" x14ac:dyDescent="0.35">
      <c r="A6" s="333">
        <v>44958</v>
      </c>
      <c r="B6" s="334">
        <v>0.92</v>
      </c>
      <c r="C6" s="335">
        <f t="shared" ref="C6:C16" si="0">B6%+1</f>
        <v>1.0092000000000001</v>
      </c>
      <c r="D6" s="407">
        <f>PRODUCT(C6:$C$26)</f>
        <v>1.218420497380712</v>
      </c>
    </row>
    <row r="7" spans="1:4" x14ac:dyDescent="0.35">
      <c r="A7" s="333">
        <v>44986</v>
      </c>
      <c r="B7" s="334">
        <v>1.17</v>
      </c>
      <c r="C7" s="335">
        <f t="shared" si="0"/>
        <v>1.0117</v>
      </c>
      <c r="D7" s="407">
        <f>PRODUCT(C7:$C$26)</f>
        <v>1.2073132157953945</v>
      </c>
    </row>
    <row r="8" spans="1:4" x14ac:dyDescent="0.35">
      <c r="A8" s="333">
        <v>45017</v>
      </c>
      <c r="B8" s="334">
        <v>0.92</v>
      </c>
      <c r="C8" s="335">
        <f t="shared" si="0"/>
        <v>1.0092000000000001</v>
      </c>
      <c r="D8" s="407">
        <f>PRODUCT(C8:$C$26)</f>
        <v>1.1933510089902091</v>
      </c>
    </row>
    <row r="9" spans="1:4" x14ac:dyDescent="0.35">
      <c r="A9" s="333">
        <v>45047</v>
      </c>
      <c r="B9" s="334">
        <v>1.1200000000000001</v>
      </c>
      <c r="C9" s="335">
        <f t="shared" si="0"/>
        <v>1.0112000000000001</v>
      </c>
      <c r="D9" s="407">
        <f>PRODUCT(C9:$C$26)</f>
        <v>1.1824722641599374</v>
      </c>
    </row>
    <row r="10" spans="1:4" x14ac:dyDescent="0.35">
      <c r="A10" s="333">
        <v>45078</v>
      </c>
      <c r="B10" s="334">
        <v>1.07</v>
      </c>
      <c r="C10" s="335">
        <f t="shared" si="0"/>
        <v>1.0106999999999999</v>
      </c>
      <c r="D10" s="407">
        <f>PRODUCT(C10:$C$26)</f>
        <v>1.1693752612341155</v>
      </c>
    </row>
    <row r="11" spans="1:4" x14ac:dyDescent="0.35">
      <c r="A11" s="333">
        <v>45108</v>
      </c>
      <c r="B11" s="334">
        <v>1.07</v>
      </c>
      <c r="C11" s="335">
        <f t="shared" si="0"/>
        <v>1.0106999999999999</v>
      </c>
      <c r="D11" s="407">
        <f>PRODUCT(C11:$C$26)</f>
        <v>1.1569954103434406</v>
      </c>
    </row>
    <row r="12" spans="1:4" x14ac:dyDescent="0.35">
      <c r="A12" s="333">
        <v>45139</v>
      </c>
      <c r="B12" s="334">
        <v>1.1399999999999999</v>
      </c>
      <c r="C12" s="335">
        <f t="shared" si="0"/>
        <v>1.0114000000000001</v>
      </c>
      <c r="D12" s="407">
        <f>PRODUCT(C12:$C$26)</f>
        <v>1.1447466214934603</v>
      </c>
    </row>
    <row r="13" spans="1:4" x14ac:dyDescent="0.35">
      <c r="A13" s="333">
        <v>45170</v>
      </c>
      <c r="B13" s="334">
        <v>0.97</v>
      </c>
      <c r="C13" s="335">
        <f t="shared" si="0"/>
        <v>1.0097</v>
      </c>
      <c r="D13" s="407">
        <f>PRODUCT(C13:$C$26)</f>
        <v>1.1318436044032631</v>
      </c>
    </row>
    <row r="14" spans="1:4" x14ac:dyDescent="0.35">
      <c r="A14" s="333">
        <v>45200</v>
      </c>
      <c r="B14" s="334">
        <v>1</v>
      </c>
      <c r="C14" s="335">
        <f t="shared" si="0"/>
        <v>1.01</v>
      </c>
      <c r="D14" s="407">
        <f>PRODUCT(C14:$C$26)</f>
        <v>1.1209701935260601</v>
      </c>
    </row>
    <row r="15" spans="1:4" x14ac:dyDescent="0.35">
      <c r="A15" s="333">
        <v>45231</v>
      </c>
      <c r="B15" s="334">
        <v>0.92</v>
      </c>
      <c r="C15" s="335">
        <f t="shared" si="0"/>
        <v>1.0092000000000001</v>
      </c>
      <c r="D15" s="407">
        <f>PRODUCT(C15:$C$26)</f>
        <v>1.1098714787386736</v>
      </c>
    </row>
    <row r="16" spans="1:4" x14ac:dyDescent="0.35">
      <c r="A16" s="333">
        <v>45261</v>
      </c>
      <c r="B16" s="334">
        <v>0.89</v>
      </c>
      <c r="C16" s="335">
        <f t="shared" si="0"/>
        <v>1.0088999999999999</v>
      </c>
      <c r="D16" s="407">
        <f>PRODUCT(C16:$C$26)</f>
        <v>1.0997537442911944</v>
      </c>
    </row>
    <row r="17" spans="1:4" x14ac:dyDescent="0.35">
      <c r="A17" s="333">
        <v>45292</v>
      </c>
      <c r="B17" s="334">
        <v>0.97</v>
      </c>
      <c r="C17" s="335">
        <f t="shared" ref="C17:C26" si="1">B17%+1</f>
        <v>1.0097</v>
      </c>
      <c r="D17" s="407">
        <f>PRODUCT(C17:$C$26)</f>
        <v>1.0900522790080234</v>
      </c>
    </row>
    <row r="18" spans="1:4" x14ac:dyDescent="0.35">
      <c r="A18" s="333">
        <v>45323</v>
      </c>
      <c r="B18" s="334">
        <v>0.8</v>
      </c>
      <c r="C18" s="335">
        <f t="shared" si="1"/>
        <v>1.008</v>
      </c>
      <c r="D18" s="407">
        <f>PRODUCT(C18:$C$26)</f>
        <v>1.0795803496167404</v>
      </c>
    </row>
    <row r="19" spans="1:4" x14ac:dyDescent="0.35">
      <c r="A19" s="333">
        <v>45352</v>
      </c>
      <c r="B19" s="334">
        <v>0.83</v>
      </c>
      <c r="C19" s="335">
        <f t="shared" si="1"/>
        <v>1.0083</v>
      </c>
      <c r="D19" s="407">
        <f>PRODUCT(C19:$C$26)</f>
        <v>1.0710122516039096</v>
      </c>
    </row>
    <row r="20" spans="1:4" x14ac:dyDescent="0.35">
      <c r="A20" s="333">
        <v>45383</v>
      </c>
      <c r="B20" s="334">
        <v>0.89</v>
      </c>
      <c r="C20" s="335">
        <f t="shared" si="1"/>
        <v>1.0088999999999999</v>
      </c>
      <c r="D20" s="407">
        <f>PRODUCT(C20:$C$26)</f>
        <v>1.0621960245997317</v>
      </c>
    </row>
    <row r="21" spans="1:4" x14ac:dyDescent="0.35">
      <c r="A21" s="333">
        <v>45413</v>
      </c>
      <c r="B21" s="334">
        <v>0.83</v>
      </c>
      <c r="C21" s="335">
        <f t="shared" si="1"/>
        <v>1.0083</v>
      </c>
      <c r="D21" s="407">
        <f>PRODUCT(C21:$C$26)</f>
        <v>1.052825874318299</v>
      </c>
    </row>
    <row r="22" spans="1:4" x14ac:dyDescent="0.35">
      <c r="A22" s="333">
        <v>45444</v>
      </c>
      <c r="B22" s="334">
        <v>0.79</v>
      </c>
      <c r="C22" s="335">
        <f t="shared" si="1"/>
        <v>1.0079</v>
      </c>
      <c r="D22" s="407">
        <f>PRODUCT(C22:$C$26)</f>
        <v>1.0441593516991956</v>
      </c>
    </row>
    <row r="23" spans="1:4" x14ac:dyDescent="0.35">
      <c r="A23" s="333">
        <v>45474</v>
      </c>
      <c r="B23" s="334">
        <v>0.91</v>
      </c>
      <c r="C23" s="335">
        <f t="shared" si="1"/>
        <v>1.0091000000000001</v>
      </c>
      <c r="D23" s="407">
        <f>PRODUCT(C23:$C$26)</f>
        <v>1.0359751480297603</v>
      </c>
    </row>
    <row r="24" spans="1:4" x14ac:dyDescent="0.35">
      <c r="A24" s="333">
        <v>45505</v>
      </c>
      <c r="B24" s="334">
        <v>0.87</v>
      </c>
      <c r="C24" s="335">
        <f t="shared" si="1"/>
        <v>1.0086999999999999</v>
      </c>
      <c r="D24" s="407">
        <f>PRODUCT(C24:$C$26)</f>
        <v>1.026632789644</v>
      </c>
    </row>
    <row r="25" spans="1:4" x14ac:dyDescent="0.35">
      <c r="A25" s="333">
        <v>45536</v>
      </c>
      <c r="B25" s="334">
        <v>0.84</v>
      </c>
      <c r="C25" s="335">
        <f t="shared" si="1"/>
        <v>1.0084</v>
      </c>
      <c r="D25" s="407">
        <f>PRODUCT(C25:$C$26)</f>
        <v>1.01777812</v>
      </c>
    </row>
    <row r="26" spans="1:4" x14ac:dyDescent="0.35">
      <c r="A26" s="333">
        <v>45566</v>
      </c>
      <c r="B26" s="334">
        <v>0.93</v>
      </c>
      <c r="C26" s="335">
        <f t="shared" si="1"/>
        <v>1.0093000000000001</v>
      </c>
      <c r="D26" s="407">
        <f>PRODUCT(C26:$C$26)</f>
        <v>1.0093000000000001</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55E5-5986-4B06-9CF5-7895ACB36627}">
  <sheetPr codeName="Planilha2">
    <tabColor theme="1" tint="0.499984740745262"/>
  </sheetPr>
  <dimension ref="A1:F58"/>
  <sheetViews>
    <sheetView showGridLines="0" zoomScale="85" zoomScaleNormal="85" workbookViewId="0">
      <selection activeCell="H56" sqref="H56"/>
    </sheetView>
  </sheetViews>
  <sheetFormatPr defaultRowHeight="14.5" x14ac:dyDescent="0.35"/>
  <cols>
    <col min="1" max="1" width="16.1796875" customWidth="1"/>
    <col min="2" max="2" width="18.26953125" customWidth="1"/>
    <col min="3" max="3" width="20.36328125" customWidth="1"/>
    <col min="4" max="4" width="16.81640625" bestFit="1" customWidth="1"/>
    <col min="5" max="5" width="19.54296875" bestFit="1" customWidth="1"/>
    <col min="6" max="6" width="18.90625" bestFit="1" customWidth="1"/>
    <col min="7" max="7" width="9.1796875" bestFit="1" customWidth="1"/>
    <col min="8" max="8" width="32.7265625" bestFit="1" customWidth="1"/>
    <col min="9" max="9" width="16.81640625" bestFit="1" customWidth="1"/>
  </cols>
  <sheetData>
    <row r="1" spans="1:6" x14ac:dyDescent="0.35">
      <c r="A1" s="1" t="s">
        <v>512</v>
      </c>
    </row>
    <row r="3" spans="1:6" ht="29" x14ac:dyDescent="0.35">
      <c r="A3" s="355" t="s">
        <v>511</v>
      </c>
      <c r="B3" s="355" t="s">
        <v>507</v>
      </c>
      <c r="C3" s="355" t="s">
        <v>510</v>
      </c>
      <c r="D3" s="356" t="s">
        <v>469</v>
      </c>
      <c r="E3" s="356" t="s">
        <v>513</v>
      </c>
    </row>
    <row r="4" spans="1:6" x14ac:dyDescent="0.35">
      <c r="A4" s="239">
        <v>2025</v>
      </c>
      <c r="B4" s="346">
        <f>E25</f>
        <v>15722249.437487764</v>
      </c>
      <c r="C4" s="346">
        <f>E42</f>
        <v>14695324.043418534</v>
      </c>
      <c r="D4" s="346">
        <f>E58</f>
        <v>1192375.990680624</v>
      </c>
      <c r="E4" s="346">
        <f>SUM(B4:D4)*(1/$C$8)</f>
        <v>158161100.42676353</v>
      </c>
      <c r="F4" s="370"/>
    </row>
    <row r="6" spans="1:6" x14ac:dyDescent="0.35">
      <c r="A6" s="362" t="s">
        <v>529</v>
      </c>
      <c r="B6" s="361"/>
      <c r="C6" s="360">
        <f>4037951.1960135*10^3</f>
        <v>4037951196.0135002</v>
      </c>
    </row>
    <row r="7" spans="1:6" x14ac:dyDescent="0.35">
      <c r="A7" s="362" t="s">
        <v>528</v>
      </c>
      <c r="B7" s="361"/>
      <c r="C7" s="360">
        <f>807021.65659137*10^3</f>
        <v>807021656.59136999</v>
      </c>
    </row>
    <row r="8" spans="1:6" x14ac:dyDescent="0.35">
      <c r="A8" s="343" t="s">
        <v>514</v>
      </c>
      <c r="B8" s="343"/>
      <c r="C8" s="373">
        <f>C7/C6</f>
        <v>0.19985919032109864</v>
      </c>
      <c r="D8" s="372"/>
      <c r="E8" s="235"/>
      <c r="F8" s="235"/>
    </row>
    <row r="9" spans="1:6" x14ac:dyDescent="0.35">
      <c r="D9" s="357"/>
    </row>
    <row r="10" spans="1:6" x14ac:dyDescent="0.35">
      <c r="A10" s="414" t="s">
        <v>507</v>
      </c>
      <c r="B10" s="414"/>
      <c r="C10" s="414"/>
      <c r="D10" s="414"/>
      <c r="E10" s="414"/>
    </row>
    <row r="11" spans="1:6" ht="33.75" customHeight="1" x14ac:dyDescent="0.35">
      <c r="A11" s="340" t="s">
        <v>502</v>
      </c>
      <c r="B11" s="340" t="s">
        <v>503</v>
      </c>
      <c r="C11" s="341" t="s">
        <v>504</v>
      </c>
      <c r="D11" s="340" t="s">
        <v>505</v>
      </c>
      <c r="E11" s="341" t="s">
        <v>506</v>
      </c>
    </row>
    <row r="12" spans="1:6" x14ac:dyDescent="0.35">
      <c r="A12" s="347" t="s">
        <v>515</v>
      </c>
      <c r="B12" s="336">
        <v>45108</v>
      </c>
      <c r="C12" s="348">
        <v>1407651.32</v>
      </c>
      <c r="D12" s="337">
        <f>VLOOKUP(B12,SELIC!$A$5:$D$19,4,FALSE)</f>
        <v>1.1569954103434406</v>
      </c>
      <c r="E12" s="349">
        <f>C12*D12</f>
        <v>1628646.1166038858</v>
      </c>
    </row>
    <row r="13" spans="1:6" x14ac:dyDescent="0.35">
      <c r="A13" s="358">
        <v>44927</v>
      </c>
      <c r="B13" s="333">
        <v>45017</v>
      </c>
      <c r="C13" s="351">
        <v>499980.5829488025</v>
      </c>
      <c r="D13" s="335">
        <f>VLOOKUP(B13,SELIC!$A$5:$D$19,4,FALSE)</f>
        <v>1.1933510089902091</v>
      </c>
      <c r="E13" s="346">
        <f t="shared" ref="E13:E24" si="0">C13*D13</f>
        <v>596652.33313746634</v>
      </c>
    </row>
    <row r="14" spans="1:6" x14ac:dyDescent="0.35">
      <c r="A14" s="352">
        <v>44958</v>
      </c>
      <c r="B14" s="333">
        <v>45047</v>
      </c>
      <c r="C14" s="351">
        <v>377873.99496323476</v>
      </c>
      <c r="D14" s="335">
        <f>VLOOKUP(B14,SELIC!$A$5:$D$19,4,FALSE)</f>
        <v>1.1824722641599374</v>
      </c>
      <c r="E14" s="346">
        <f t="shared" si="0"/>
        <v>446825.51839133701</v>
      </c>
    </row>
    <row r="15" spans="1:6" x14ac:dyDescent="0.35">
      <c r="A15" s="352">
        <v>44986</v>
      </c>
      <c r="B15" s="333">
        <v>45078</v>
      </c>
      <c r="C15" s="351">
        <v>440446.605438728</v>
      </c>
      <c r="D15" s="335">
        <f>VLOOKUP(B15,SELIC!$A$5:$D$19,4,FALSE)</f>
        <v>1.1693752612341155</v>
      </c>
      <c r="E15" s="346">
        <f t="shared" si="0"/>
        <v>515047.36429459194</v>
      </c>
    </row>
    <row r="16" spans="1:6" x14ac:dyDescent="0.35">
      <c r="A16" s="352">
        <v>45017</v>
      </c>
      <c r="B16" s="333">
        <v>45108</v>
      </c>
      <c r="C16" s="351">
        <v>309040.35129192477</v>
      </c>
      <c r="D16" s="335">
        <f>VLOOKUP(B16,SELIC!$A$5:$D$19,4,FALSE)</f>
        <v>1.1569954103434406</v>
      </c>
      <c r="E16" s="346">
        <f t="shared" si="0"/>
        <v>357558.26805568155</v>
      </c>
    </row>
    <row r="17" spans="1:5" x14ac:dyDescent="0.35">
      <c r="A17" s="352">
        <v>45047</v>
      </c>
      <c r="B17" s="333">
        <v>45139</v>
      </c>
      <c r="C17" s="351">
        <v>897904.23878404533</v>
      </c>
      <c r="D17" s="335">
        <f>VLOOKUP(B17,SELIC!$A$5:$D$19,4,FALSE)</f>
        <v>1.1447466214934603</v>
      </c>
      <c r="E17" s="346">
        <f t="shared" si="0"/>
        <v>1027872.8437726931</v>
      </c>
    </row>
    <row r="18" spans="1:5" x14ac:dyDescent="0.35">
      <c r="A18" s="352">
        <v>45078</v>
      </c>
      <c r="B18" s="333">
        <v>45170</v>
      </c>
      <c r="C18" s="351">
        <v>917596.4446554766</v>
      </c>
      <c r="D18" s="335">
        <f>VLOOKUP(B18,SELIC!$A$5:$D$19,4,FALSE)</f>
        <v>1.1318436044032631</v>
      </c>
      <c r="E18" s="346">
        <f t="shared" si="0"/>
        <v>1038575.6673064741</v>
      </c>
    </row>
    <row r="19" spans="1:5" x14ac:dyDescent="0.35">
      <c r="A19" s="352">
        <v>45108</v>
      </c>
      <c r="B19" s="333">
        <v>45200</v>
      </c>
      <c r="C19" s="351">
        <v>479119.66445444501</v>
      </c>
      <c r="D19" s="335">
        <f>VLOOKUP(B19,SELIC!$A$5:$D$19,4,FALSE)</f>
        <v>1.1209701935260601</v>
      </c>
      <c r="E19" s="346">
        <f t="shared" si="0"/>
        <v>537078.86298564018</v>
      </c>
    </row>
    <row r="20" spans="1:5" x14ac:dyDescent="0.35">
      <c r="A20" s="352">
        <v>45139</v>
      </c>
      <c r="B20" s="333">
        <v>45231</v>
      </c>
      <c r="C20" s="351">
        <v>2933281.01</v>
      </c>
      <c r="D20" s="335">
        <f>VLOOKUP(B20,SELIC!$A$5:$D$19,4,FALSE)</f>
        <v>1.1098714787386736</v>
      </c>
      <c r="E20" s="346">
        <f t="shared" si="0"/>
        <v>3255564.9321247698</v>
      </c>
    </row>
    <row r="21" spans="1:5" x14ac:dyDescent="0.35">
      <c r="A21" s="352">
        <v>45170</v>
      </c>
      <c r="B21" s="333">
        <v>45261</v>
      </c>
      <c r="C21" s="351">
        <v>3686551.33</v>
      </c>
      <c r="D21" s="335">
        <f>VLOOKUP(B21,SELIC!$A$5:$D$19,4,FALSE)</f>
        <v>1.0997537442911944</v>
      </c>
      <c r="E21" s="346">
        <f t="shared" si="0"/>
        <v>4054298.6286891829</v>
      </c>
    </row>
    <row r="22" spans="1:5" x14ac:dyDescent="0.35">
      <c r="A22" s="352">
        <v>45200</v>
      </c>
      <c r="B22" s="333">
        <v>45292</v>
      </c>
      <c r="C22" s="351">
        <v>544460.0431726618</v>
      </c>
      <c r="D22" s="335">
        <f>VLOOKUP(B22,SELIC!$A$5:$D$19,4,FALSE)</f>
        <v>1.0900522790080234</v>
      </c>
      <c r="E22" s="346">
        <f t="shared" si="0"/>
        <v>593489.91088916676</v>
      </c>
    </row>
    <row r="23" spans="1:5" x14ac:dyDescent="0.35">
      <c r="A23" s="352">
        <v>45231</v>
      </c>
      <c r="B23" s="333">
        <v>45323</v>
      </c>
      <c r="C23" s="351">
        <v>989048.65169461234</v>
      </c>
      <c r="D23" s="335">
        <f>VLOOKUP(B23,SELIC!$A$5:$D$19,4,FALSE)</f>
        <v>1.0795803496167404</v>
      </c>
      <c r="E23" s="346">
        <f t="shared" si="0"/>
        <v>1067757.4891844352</v>
      </c>
    </row>
    <row r="24" spans="1:5" x14ac:dyDescent="0.35">
      <c r="A24" s="352">
        <v>45261</v>
      </c>
      <c r="B24" s="333">
        <v>45352</v>
      </c>
      <c r="C24" s="351">
        <v>562908.12840804248</v>
      </c>
      <c r="D24" s="335">
        <f>VLOOKUP(B24,SELIC!$A$5:$D$19,4,FALSE)</f>
        <v>1.0710122516039096</v>
      </c>
      <c r="E24" s="346">
        <f t="shared" si="0"/>
        <v>602881.50205244019</v>
      </c>
    </row>
    <row r="25" spans="1:5" x14ac:dyDescent="0.35">
      <c r="A25" s="415" t="s">
        <v>234</v>
      </c>
      <c r="B25" s="416"/>
      <c r="C25" s="353">
        <f>SUM(C12:C24)</f>
        <v>14045862.365811974</v>
      </c>
      <c r="D25" s="344"/>
      <c r="E25" s="354">
        <f>SUM(E12:E24)</f>
        <v>15722249.437487764</v>
      </c>
    </row>
    <row r="26" spans="1:5" x14ac:dyDescent="0.35">
      <c r="A26" t="s">
        <v>517</v>
      </c>
    </row>
    <row r="28" spans="1:5" x14ac:dyDescent="0.35">
      <c r="A28" s="414" t="s">
        <v>510</v>
      </c>
      <c r="B28" s="414"/>
      <c r="C28" s="414"/>
      <c r="D28" s="414"/>
      <c r="E28" s="414"/>
    </row>
    <row r="29" spans="1:5" ht="29" x14ac:dyDescent="0.35">
      <c r="A29" s="340" t="s">
        <v>502</v>
      </c>
      <c r="B29" s="340" t="s">
        <v>503</v>
      </c>
      <c r="C29" s="341" t="s">
        <v>504</v>
      </c>
      <c r="D29" s="340" t="s">
        <v>505</v>
      </c>
      <c r="E29" s="341" t="s">
        <v>506</v>
      </c>
    </row>
    <row r="30" spans="1:5" x14ac:dyDescent="0.35">
      <c r="A30" s="358">
        <v>44927</v>
      </c>
      <c r="B30" s="333">
        <v>44958</v>
      </c>
      <c r="C30" s="351">
        <v>708427.04528931563</v>
      </c>
      <c r="D30" s="335">
        <f>VLOOKUP(B30,SELIC!$A$5:$D$19,4,FALSE)</f>
        <v>1.218420497380712</v>
      </c>
      <c r="E30" s="346">
        <f t="shared" ref="E30:E41" si="1">C30*D30</f>
        <v>863162.03287935618</v>
      </c>
    </row>
    <row r="31" spans="1:5" x14ac:dyDescent="0.35">
      <c r="A31" s="352">
        <v>44958</v>
      </c>
      <c r="B31" s="352">
        <v>44986</v>
      </c>
      <c r="C31" s="351">
        <v>2982357.3919138834</v>
      </c>
      <c r="D31" s="335">
        <f>VLOOKUP(B31,SELIC!$A$5:$D$19,4,FALSE)</f>
        <v>1.2073132157953945</v>
      </c>
      <c r="E31" s="346">
        <f t="shared" si="1"/>
        <v>3600639.4934827164</v>
      </c>
    </row>
    <row r="32" spans="1:5" x14ac:dyDescent="0.35">
      <c r="A32" s="352">
        <v>44986</v>
      </c>
      <c r="B32" s="352">
        <v>45017</v>
      </c>
      <c r="C32" s="351">
        <v>1391760.0927686566</v>
      </c>
      <c r="D32" s="335">
        <f>VLOOKUP(B32,SELIC!$A$5:$D$19,4,FALSE)</f>
        <v>1.1933510089902091</v>
      </c>
      <c r="E32" s="346">
        <f t="shared" si="1"/>
        <v>1660858.3109777833</v>
      </c>
    </row>
    <row r="33" spans="1:5" x14ac:dyDescent="0.35">
      <c r="A33" s="352">
        <v>45017</v>
      </c>
      <c r="B33" s="352">
        <v>45047</v>
      </c>
      <c r="C33" s="351">
        <v>775623.51297708007</v>
      </c>
      <c r="D33" s="335">
        <f>VLOOKUP(B33,SELIC!$A$5:$D$19,4,FALSE)</f>
        <v>1.1824722641599374</v>
      </c>
      <c r="E33" s="346">
        <f t="shared" si="1"/>
        <v>917153.29152569245</v>
      </c>
    </row>
    <row r="34" spans="1:5" x14ac:dyDescent="0.35">
      <c r="A34" s="352">
        <v>45047</v>
      </c>
      <c r="B34" s="352">
        <v>45078</v>
      </c>
      <c r="C34" s="351">
        <v>1124672.0315566224</v>
      </c>
      <c r="D34" s="335">
        <f>VLOOKUP(B34,SELIC!$A$5:$D$19,4,FALSE)</f>
        <v>1.1693752612341155</v>
      </c>
      <c r="E34" s="346">
        <f t="shared" si="1"/>
        <v>1315163.6507042286</v>
      </c>
    </row>
    <row r="35" spans="1:5" x14ac:dyDescent="0.35">
      <c r="A35" s="352">
        <v>45078</v>
      </c>
      <c r="B35" s="352">
        <v>45108</v>
      </c>
      <c r="C35" s="351">
        <v>1152190.6729584835</v>
      </c>
      <c r="D35" s="335">
        <f>VLOOKUP(B35,SELIC!$A$5:$D$19,4,FALSE)</f>
        <v>1.1569954103434406</v>
      </c>
      <c r="E35" s="346">
        <f t="shared" si="1"/>
        <v>1333079.3204534855</v>
      </c>
    </row>
    <row r="36" spans="1:5" x14ac:dyDescent="0.35">
      <c r="A36" s="352">
        <v>45108</v>
      </c>
      <c r="B36" s="352">
        <v>45139</v>
      </c>
      <c r="C36" s="351">
        <v>349573.96046489442</v>
      </c>
      <c r="D36" s="335">
        <f>VLOOKUP(B36,SELIC!$A$5:$D$19,4,FALSE)</f>
        <v>1.1447466214934603</v>
      </c>
      <c r="E36" s="346">
        <f t="shared" si="1"/>
        <v>400173.61020427634</v>
      </c>
    </row>
    <row r="37" spans="1:5" x14ac:dyDescent="0.35">
      <c r="A37" s="352">
        <v>45139</v>
      </c>
      <c r="B37" s="352">
        <v>45170</v>
      </c>
      <c r="C37" s="351">
        <v>2063887.2984541047</v>
      </c>
      <c r="D37" s="335">
        <f>VLOOKUP(B37,SELIC!$A$5:$D$19,4,FALSE)</f>
        <v>1.1318436044032631</v>
      </c>
      <c r="E37" s="346">
        <f t="shared" si="1"/>
        <v>2335997.6389644071</v>
      </c>
    </row>
    <row r="38" spans="1:5" x14ac:dyDescent="0.35">
      <c r="A38" s="352">
        <v>45170</v>
      </c>
      <c r="B38" s="352">
        <v>45200</v>
      </c>
      <c r="C38" s="351">
        <v>948978.89850948798</v>
      </c>
      <c r="D38" s="335">
        <f>VLOOKUP(B38,SELIC!$A$5:$D$19,4,FALSE)</f>
        <v>1.1209701935260601</v>
      </c>
      <c r="E38" s="346">
        <f t="shared" si="1"/>
        <v>1063777.0595143281</v>
      </c>
    </row>
    <row r="39" spans="1:5" x14ac:dyDescent="0.35">
      <c r="A39" s="352">
        <v>45200</v>
      </c>
      <c r="B39" s="352">
        <v>45231</v>
      </c>
      <c r="C39" s="351">
        <v>510467.49558250757</v>
      </c>
      <c r="D39" s="335">
        <f>VLOOKUP(B39,SELIC!$A$5:$D$19,4,FALSE)</f>
        <v>1.1098714787386736</v>
      </c>
      <c r="E39" s="346">
        <f t="shared" si="1"/>
        <v>566553.31417018501</v>
      </c>
    </row>
    <row r="40" spans="1:5" x14ac:dyDescent="0.35">
      <c r="A40" s="352">
        <v>45231</v>
      </c>
      <c r="B40" s="352">
        <v>45261</v>
      </c>
      <c r="C40" s="351">
        <v>231544.10171301017</v>
      </c>
      <c r="D40" s="335">
        <f>VLOOKUP(B40,SELIC!$A$5:$D$19,4,FALSE)</f>
        <v>1.0997537442911944</v>
      </c>
      <c r="E40" s="346">
        <f t="shared" si="1"/>
        <v>254641.49282742411</v>
      </c>
    </row>
    <row r="41" spans="1:5" x14ac:dyDescent="0.35">
      <c r="A41" s="352">
        <v>45261</v>
      </c>
      <c r="B41" s="333">
        <v>45292</v>
      </c>
      <c r="C41" s="351">
        <v>352391.19729579682</v>
      </c>
      <c r="D41" s="335">
        <f>VLOOKUP(B41,SELIC!$A$5:$D$19,4,FALSE)</f>
        <v>1.0900522790080234</v>
      </c>
      <c r="E41" s="346">
        <f t="shared" si="1"/>
        <v>384124.82771464932</v>
      </c>
    </row>
    <row r="42" spans="1:5" x14ac:dyDescent="0.35">
      <c r="A42" s="415" t="s">
        <v>234</v>
      </c>
      <c r="B42" s="416"/>
      <c r="C42" s="353">
        <f>SUM(C30:C41)</f>
        <v>12591873.699483844</v>
      </c>
      <c r="D42" s="344"/>
      <c r="E42" s="354">
        <f>SUM(E30:E41)</f>
        <v>14695324.043418534</v>
      </c>
    </row>
    <row r="44" spans="1:5" x14ac:dyDescent="0.35">
      <c r="A44" s="414" t="s">
        <v>509</v>
      </c>
      <c r="B44" s="414"/>
      <c r="C44" s="414"/>
      <c r="D44" s="414"/>
      <c r="E44" s="414"/>
    </row>
    <row r="45" spans="1:5" ht="29" x14ac:dyDescent="0.35">
      <c r="A45" s="340" t="s">
        <v>502</v>
      </c>
      <c r="B45" s="340" t="s">
        <v>503</v>
      </c>
      <c r="C45" s="341" t="s">
        <v>504</v>
      </c>
      <c r="D45" s="340" t="s">
        <v>505</v>
      </c>
      <c r="E45" s="341" t="s">
        <v>506</v>
      </c>
    </row>
    <row r="46" spans="1:5" x14ac:dyDescent="0.35">
      <c r="A46" s="350">
        <v>44927</v>
      </c>
      <c r="B46" s="333">
        <v>44958</v>
      </c>
      <c r="C46" s="351">
        <v>0</v>
      </c>
      <c r="D46" s="335">
        <f>VLOOKUP(B46,SELIC!$A$5:$D$19,4,FALSE)</f>
        <v>1.218420497380712</v>
      </c>
      <c r="E46" s="346">
        <f t="shared" ref="E46:E57" si="2">C46*D46</f>
        <v>0</v>
      </c>
    </row>
    <row r="47" spans="1:5" x14ac:dyDescent="0.35">
      <c r="A47" s="352">
        <v>44958</v>
      </c>
      <c r="B47" s="352">
        <v>44986</v>
      </c>
      <c r="C47" s="351">
        <v>42889.67</v>
      </c>
      <c r="D47" s="335">
        <f>VLOOKUP(B47,SELIC!$A$5:$D$19,4,FALSE)</f>
        <v>1.2073132157953945</v>
      </c>
      <c r="E47" s="346">
        <f t="shared" si="2"/>
        <v>51781.265412103254</v>
      </c>
    </row>
    <row r="48" spans="1:5" x14ac:dyDescent="0.35">
      <c r="A48" s="352">
        <v>44986</v>
      </c>
      <c r="B48" s="352">
        <v>45017</v>
      </c>
      <c r="C48" s="351">
        <v>11829.25</v>
      </c>
      <c r="D48" s="335">
        <f>VLOOKUP(B48,SELIC!$A$5:$D$19,4,FALSE)</f>
        <v>1.1933510089902091</v>
      </c>
      <c r="E48" s="346">
        <f t="shared" si="2"/>
        <v>14116.44742309743</v>
      </c>
    </row>
    <row r="49" spans="1:5" x14ac:dyDescent="0.35">
      <c r="A49" s="352">
        <v>45017</v>
      </c>
      <c r="B49" s="352">
        <v>45047</v>
      </c>
      <c r="C49" s="351">
        <v>595708.9</v>
      </c>
      <c r="D49" s="335">
        <f>VLOOKUP(B49,SELIC!$A$5:$D$19,4,FALSE)</f>
        <v>1.1824722641599374</v>
      </c>
      <c r="E49" s="346">
        <f t="shared" si="2"/>
        <v>704409.25176322577</v>
      </c>
    </row>
    <row r="50" spans="1:5" x14ac:dyDescent="0.35">
      <c r="A50" s="352">
        <v>45047</v>
      </c>
      <c r="B50" s="352">
        <v>45078</v>
      </c>
      <c r="C50" s="351">
        <v>35153.57</v>
      </c>
      <c r="D50" s="335">
        <f>VLOOKUP(B50,SELIC!$A$5:$D$19,4,FALSE)</f>
        <v>1.1693752612341155</v>
      </c>
      <c r="E50" s="346">
        <f t="shared" si="2"/>
        <v>41107.715102061768</v>
      </c>
    </row>
    <row r="51" spans="1:5" x14ac:dyDescent="0.35">
      <c r="A51" s="352">
        <v>45078</v>
      </c>
      <c r="B51" s="352">
        <v>45108</v>
      </c>
      <c r="C51" s="351">
        <v>0</v>
      </c>
      <c r="D51" s="335">
        <f>VLOOKUP(B51,SELIC!$A$5:$D$19,4,FALSE)</f>
        <v>1.1569954103434406</v>
      </c>
      <c r="E51" s="346">
        <f t="shared" si="2"/>
        <v>0</v>
      </c>
    </row>
    <row r="52" spans="1:5" x14ac:dyDescent="0.35">
      <c r="A52" s="352">
        <v>45108</v>
      </c>
      <c r="B52" s="352">
        <v>45139</v>
      </c>
      <c r="C52" s="351">
        <v>0</v>
      </c>
      <c r="D52" s="335">
        <f>VLOOKUP(B52,SELIC!$A$5:$D$19,4,FALSE)</f>
        <v>1.1447466214934603</v>
      </c>
      <c r="E52" s="346">
        <f t="shared" si="2"/>
        <v>0</v>
      </c>
    </row>
    <row r="53" spans="1:5" x14ac:dyDescent="0.35">
      <c r="A53" s="352">
        <v>45139</v>
      </c>
      <c r="B53" s="352">
        <v>45170</v>
      </c>
      <c r="C53" s="351">
        <v>5123.29</v>
      </c>
      <c r="D53" s="335">
        <f>VLOOKUP(B53,SELIC!$A$5:$D$19,4,FALSE)</f>
        <v>1.1318436044032631</v>
      </c>
      <c r="E53" s="346">
        <f t="shared" si="2"/>
        <v>5798.7630200031936</v>
      </c>
    </row>
    <row r="54" spans="1:5" x14ac:dyDescent="0.35">
      <c r="A54" s="352">
        <v>45170</v>
      </c>
      <c r="B54" s="352">
        <v>45200</v>
      </c>
      <c r="C54" s="351">
        <v>0</v>
      </c>
      <c r="D54" s="335">
        <f>VLOOKUP(B54,SELIC!$A$5:$D$19,4,FALSE)</f>
        <v>1.1209701935260601</v>
      </c>
      <c r="E54" s="346">
        <f t="shared" si="2"/>
        <v>0</v>
      </c>
    </row>
    <row r="55" spans="1:5" x14ac:dyDescent="0.35">
      <c r="A55" s="352">
        <v>45200</v>
      </c>
      <c r="B55" s="352">
        <v>45231</v>
      </c>
      <c r="C55" s="351">
        <v>12813.15</v>
      </c>
      <c r="D55" s="335">
        <f>VLOOKUP(B55,SELIC!$A$5:$D$19,4,FALSE)</f>
        <v>1.1098714787386736</v>
      </c>
      <c r="E55" s="346">
        <f t="shared" si="2"/>
        <v>14220.949737800436</v>
      </c>
    </row>
    <row r="56" spans="1:5" x14ac:dyDescent="0.35">
      <c r="A56" s="352">
        <v>45231</v>
      </c>
      <c r="B56" s="352">
        <v>45261</v>
      </c>
      <c r="C56" s="351">
        <v>181508.93</v>
      </c>
      <c r="D56" s="335">
        <f>VLOOKUP(B56,SELIC!$A$5:$D$19,4,FALSE)</f>
        <v>1.0997537442911944</v>
      </c>
      <c r="E56" s="346">
        <f t="shared" si="2"/>
        <v>199615.1253897883</v>
      </c>
    </row>
    <row r="57" spans="1:5" x14ac:dyDescent="0.35">
      <c r="A57" s="352">
        <v>45261</v>
      </c>
      <c r="B57" s="333">
        <v>45292</v>
      </c>
      <c r="C57" s="351">
        <v>147998.84</v>
      </c>
      <c r="D57" s="335">
        <f>VLOOKUP(B57,SELIC!$A$5:$D$19,4,FALSE)</f>
        <v>1.0900522790080234</v>
      </c>
      <c r="E57" s="346">
        <f t="shared" si="2"/>
        <v>161326.4728325438</v>
      </c>
    </row>
    <row r="58" spans="1:5" x14ac:dyDescent="0.35">
      <c r="A58" s="415" t="s">
        <v>234</v>
      </c>
      <c r="B58" s="416"/>
      <c r="C58" s="345">
        <f>SUM(C46:C57)</f>
        <v>1033025.6</v>
      </c>
      <c r="D58" s="343"/>
      <c r="E58" s="342">
        <f>SUM(E46:E57)</f>
        <v>1192375.990680624</v>
      </c>
    </row>
  </sheetData>
  <mergeCells count="6">
    <mergeCell ref="A44:E44"/>
    <mergeCell ref="A58:B58"/>
    <mergeCell ref="A10:E10"/>
    <mergeCell ref="A25:B25"/>
    <mergeCell ref="A28:E28"/>
    <mergeCell ref="A42:B42"/>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857F-4A80-4798-8BD0-55AFBD76BB27}">
  <sheetPr>
    <tabColor theme="5"/>
  </sheetPr>
  <dimension ref="A1:J15"/>
  <sheetViews>
    <sheetView showGridLines="0" zoomScaleNormal="100" workbookViewId="0">
      <selection activeCell="G42" sqref="G42"/>
    </sheetView>
  </sheetViews>
  <sheetFormatPr defaultColWidth="9.1796875" defaultRowHeight="13" x14ac:dyDescent="0.3"/>
  <cols>
    <col min="1" max="1" width="31" style="143" bestFit="1" customWidth="1"/>
    <col min="2" max="2" width="18" style="143" customWidth="1"/>
    <col min="3" max="3" width="12.54296875" style="143" customWidth="1"/>
    <col min="4" max="4" width="10.1796875" style="143" bestFit="1" customWidth="1"/>
    <col min="5" max="5" width="10.453125" style="143" bestFit="1" customWidth="1"/>
    <col min="6" max="6" width="10.81640625" style="143" bestFit="1" customWidth="1"/>
    <col min="7" max="7" width="10.1796875" style="143" customWidth="1"/>
    <col min="8" max="8" width="10.54296875" style="143" customWidth="1"/>
    <col min="9" max="9" width="10.453125" style="143" bestFit="1" customWidth="1"/>
    <col min="10" max="10" width="10.1796875" style="143" bestFit="1" customWidth="1"/>
    <col min="11" max="16384" width="9.1796875" style="143"/>
  </cols>
  <sheetData>
    <row r="1" spans="1:10" ht="18" customHeight="1" x14ac:dyDescent="0.3">
      <c r="A1" s="417" t="s">
        <v>523</v>
      </c>
      <c r="B1" s="417"/>
      <c r="C1" s="417"/>
      <c r="D1" s="417"/>
      <c r="E1" s="417"/>
      <c r="F1" s="417"/>
      <c r="G1" s="417"/>
      <c r="H1" s="417"/>
      <c r="I1" s="417"/>
      <c r="J1" s="417"/>
    </row>
    <row r="2" spans="1:10" ht="29" x14ac:dyDescent="0.3">
      <c r="A2" s="289" t="s">
        <v>484</v>
      </c>
      <c r="B2" s="289" t="s">
        <v>23</v>
      </c>
      <c r="C2" s="289" t="s">
        <v>516</v>
      </c>
      <c r="D2" s="289">
        <v>2023</v>
      </c>
      <c r="E2" s="289">
        <v>2024</v>
      </c>
      <c r="F2" s="289">
        <v>2025</v>
      </c>
      <c r="G2" s="289">
        <f>F2+1</f>
        <v>2026</v>
      </c>
      <c r="H2" s="289">
        <f>G2+1</f>
        <v>2027</v>
      </c>
      <c r="I2" s="289">
        <f>H2+1</f>
        <v>2028</v>
      </c>
      <c r="J2" s="289">
        <f>I2+1</f>
        <v>2029</v>
      </c>
    </row>
    <row r="3" spans="1:10" ht="14.5" x14ac:dyDescent="0.3">
      <c r="A3" s="365" t="s">
        <v>28</v>
      </c>
      <c r="B3" s="365" t="s">
        <v>21</v>
      </c>
      <c r="C3" s="366">
        <v>20000</v>
      </c>
      <c r="D3" s="366">
        <v>15000</v>
      </c>
      <c r="E3" s="366">
        <v>7602</v>
      </c>
      <c r="F3" s="176">
        <v>9427</v>
      </c>
      <c r="G3" s="364">
        <f>F3</f>
        <v>9427</v>
      </c>
      <c r="H3" s="364">
        <f t="shared" ref="H3:J3" si="0">G3</f>
        <v>9427</v>
      </c>
      <c r="I3" s="364">
        <f t="shared" si="0"/>
        <v>9427</v>
      </c>
      <c r="J3" s="364">
        <f t="shared" si="0"/>
        <v>9427</v>
      </c>
    </row>
    <row r="4" spans="1:10" ht="14.5" x14ac:dyDescent="0.3">
      <c r="A4" s="365" t="s">
        <v>26</v>
      </c>
      <c r="B4" s="365" t="s">
        <v>233</v>
      </c>
      <c r="C4" s="366">
        <v>20000</v>
      </c>
      <c r="D4" s="366">
        <v>20000</v>
      </c>
      <c r="E4" s="366">
        <v>20000</v>
      </c>
      <c r="F4" s="176">
        <v>20000</v>
      </c>
      <c r="G4" s="364">
        <f t="shared" ref="G4:J12" si="1">F4</f>
        <v>20000</v>
      </c>
      <c r="H4" s="364">
        <f t="shared" si="1"/>
        <v>20000</v>
      </c>
      <c r="I4" s="364">
        <f t="shared" si="1"/>
        <v>20000</v>
      </c>
      <c r="J4" s="364">
        <f t="shared" si="1"/>
        <v>20000</v>
      </c>
    </row>
    <row r="5" spans="1:10" ht="14.5" x14ac:dyDescent="0.3">
      <c r="A5" s="365" t="s">
        <v>488</v>
      </c>
      <c r="B5" s="365" t="s">
        <v>20</v>
      </c>
      <c r="C5" s="366">
        <v>18200</v>
      </c>
      <c r="D5" s="366">
        <v>7322</v>
      </c>
      <c r="E5" s="366">
        <v>14114</v>
      </c>
      <c r="F5" s="176">
        <v>13564</v>
      </c>
      <c r="G5" s="364">
        <v>13439</v>
      </c>
      <c r="H5" s="364">
        <v>13432</v>
      </c>
      <c r="I5" s="364">
        <v>13448</v>
      </c>
      <c r="J5" s="364">
        <f t="shared" si="1"/>
        <v>13448</v>
      </c>
    </row>
    <row r="6" spans="1:10" ht="14.5" x14ac:dyDescent="0.3">
      <c r="A6" s="365" t="s">
        <v>463</v>
      </c>
      <c r="B6" s="365" t="s">
        <v>214</v>
      </c>
      <c r="C6" s="366">
        <v>1250</v>
      </c>
      <c r="D6" s="366">
        <v>1250</v>
      </c>
      <c r="E6" s="366">
        <v>305</v>
      </c>
      <c r="F6" s="176">
        <v>305</v>
      </c>
      <c r="G6" s="364">
        <f t="shared" si="1"/>
        <v>305</v>
      </c>
      <c r="H6" s="364">
        <f t="shared" si="1"/>
        <v>305</v>
      </c>
      <c r="I6" s="364">
        <f t="shared" si="1"/>
        <v>305</v>
      </c>
      <c r="J6" s="364">
        <f t="shared" si="1"/>
        <v>305</v>
      </c>
    </row>
    <row r="7" spans="1:10" ht="14.5" x14ac:dyDescent="0.3">
      <c r="A7" s="365" t="s">
        <v>27</v>
      </c>
      <c r="B7" s="365" t="s">
        <v>229</v>
      </c>
      <c r="C7" s="366">
        <v>5000</v>
      </c>
      <c r="D7" s="366">
        <v>0</v>
      </c>
      <c r="E7" s="366">
        <v>0</v>
      </c>
      <c r="F7" s="176">
        <v>0</v>
      </c>
      <c r="G7" s="364">
        <f t="shared" si="1"/>
        <v>0</v>
      </c>
      <c r="H7" s="364">
        <f t="shared" si="1"/>
        <v>0</v>
      </c>
      <c r="I7" s="364">
        <f t="shared" si="1"/>
        <v>0</v>
      </c>
      <c r="J7" s="364">
        <f t="shared" si="1"/>
        <v>0</v>
      </c>
    </row>
    <row r="8" spans="1:10" ht="14.5" x14ac:dyDescent="0.3">
      <c r="A8" s="365" t="s">
        <v>29</v>
      </c>
      <c r="B8" s="365" t="s">
        <v>230</v>
      </c>
      <c r="C8" s="366">
        <v>2200</v>
      </c>
      <c r="D8" s="366">
        <v>0</v>
      </c>
      <c r="E8" s="366">
        <v>0</v>
      </c>
      <c r="F8" s="176">
        <v>0</v>
      </c>
      <c r="G8" s="364">
        <f t="shared" si="1"/>
        <v>0</v>
      </c>
      <c r="H8" s="364">
        <f t="shared" si="1"/>
        <v>0</v>
      </c>
      <c r="I8" s="364">
        <f t="shared" si="1"/>
        <v>0</v>
      </c>
      <c r="J8" s="364">
        <f t="shared" si="1"/>
        <v>0</v>
      </c>
    </row>
    <row r="9" spans="1:10" ht="14.5" x14ac:dyDescent="0.3">
      <c r="A9" s="365" t="s">
        <v>24</v>
      </c>
      <c r="B9" s="365" t="s">
        <v>25</v>
      </c>
      <c r="C9" s="366">
        <v>25160</v>
      </c>
      <c r="D9" s="366">
        <v>11650</v>
      </c>
      <c r="E9" s="366">
        <v>7201</v>
      </c>
      <c r="F9" s="176">
        <v>6266</v>
      </c>
      <c r="G9" s="364">
        <f t="shared" si="1"/>
        <v>6266</v>
      </c>
      <c r="H9" s="364">
        <f t="shared" si="1"/>
        <v>6266</v>
      </c>
      <c r="I9" s="364">
        <f t="shared" si="1"/>
        <v>6266</v>
      </c>
      <c r="J9" s="364">
        <f t="shared" si="1"/>
        <v>6266</v>
      </c>
    </row>
    <row r="10" spans="1:10" ht="14.5" x14ac:dyDescent="0.3">
      <c r="A10" s="365" t="s">
        <v>264</v>
      </c>
      <c r="B10" s="365" t="s">
        <v>232</v>
      </c>
      <c r="C10" s="366">
        <v>0</v>
      </c>
      <c r="D10" s="366">
        <v>7000</v>
      </c>
      <c r="E10" s="366">
        <v>6000</v>
      </c>
      <c r="F10" s="176">
        <v>6000</v>
      </c>
      <c r="G10" s="364">
        <f t="shared" si="1"/>
        <v>6000</v>
      </c>
      <c r="H10" s="364">
        <f t="shared" si="1"/>
        <v>6000</v>
      </c>
      <c r="I10" s="364">
        <f t="shared" si="1"/>
        <v>6000</v>
      </c>
      <c r="J10" s="364">
        <f t="shared" si="1"/>
        <v>6000</v>
      </c>
    </row>
    <row r="11" spans="1:10" ht="14.5" x14ac:dyDescent="0.3">
      <c r="A11" s="365" t="s">
        <v>266</v>
      </c>
      <c r="B11" s="365" t="s">
        <v>231</v>
      </c>
      <c r="C11" s="366">
        <v>0</v>
      </c>
      <c r="D11" s="366">
        <v>8400</v>
      </c>
      <c r="E11" s="366">
        <v>205</v>
      </c>
      <c r="F11" s="176">
        <v>205</v>
      </c>
      <c r="G11" s="364">
        <f t="shared" si="1"/>
        <v>205</v>
      </c>
      <c r="H11" s="364">
        <f t="shared" si="1"/>
        <v>205</v>
      </c>
      <c r="I11" s="364">
        <f t="shared" si="1"/>
        <v>205</v>
      </c>
      <c r="J11" s="364">
        <f t="shared" si="1"/>
        <v>205</v>
      </c>
    </row>
    <row r="12" spans="1:10" ht="14.5" x14ac:dyDescent="0.3">
      <c r="A12" s="365" t="s">
        <v>265</v>
      </c>
      <c r="B12" s="365" t="s">
        <v>25</v>
      </c>
      <c r="C12" s="366">
        <v>0</v>
      </c>
      <c r="D12" s="366">
        <v>8000</v>
      </c>
      <c r="E12" s="366">
        <v>1E-3</v>
      </c>
      <c r="F12" s="176">
        <v>200</v>
      </c>
      <c r="G12" s="364">
        <f t="shared" si="1"/>
        <v>200</v>
      </c>
      <c r="H12" s="364">
        <f t="shared" si="1"/>
        <v>200</v>
      </c>
      <c r="I12" s="364">
        <f t="shared" si="1"/>
        <v>200</v>
      </c>
      <c r="J12" s="364">
        <f t="shared" si="1"/>
        <v>200</v>
      </c>
    </row>
    <row r="13" spans="1:10" ht="14.5" x14ac:dyDescent="0.3">
      <c r="A13" s="285" t="s">
        <v>234</v>
      </c>
      <c r="B13" s="286"/>
      <c r="C13" s="287">
        <f>SUM(C3:C12)</f>
        <v>91810</v>
      </c>
      <c r="D13" s="287">
        <f>SUM(D3:D12)</f>
        <v>78622</v>
      </c>
      <c r="E13" s="287">
        <f>SUM(E3:E12)</f>
        <v>55427.000999999997</v>
      </c>
      <c r="F13" s="287">
        <f t="shared" ref="F13:J13" si="2">SUM(F3:F12)</f>
        <v>55967</v>
      </c>
      <c r="G13" s="287">
        <f t="shared" si="2"/>
        <v>55842</v>
      </c>
      <c r="H13" s="287">
        <f t="shared" si="2"/>
        <v>55835</v>
      </c>
      <c r="I13" s="287">
        <f t="shared" si="2"/>
        <v>55851</v>
      </c>
      <c r="J13" s="287">
        <f t="shared" si="2"/>
        <v>55851</v>
      </c>
    </row>
    <row r="14" spans="1:10" x14ac:dyDescent="0.3">
      <c r="E14" s="41"/>
      <c r="F14" s="41"/>
      <c r="G14" s="41"/>
      <c r="H14" s="41"/>
    </row>
    <row r="15" spans="1:10" x14ac:dyDescent="0.3">
      <c r="E15" s="41"/>
      <c r="F15" s="41"/>
      <c r="G15" s="41"/>
      <c r="H15" s="41"/>
    </row>
  </sheetData>
  <mergeCells count="1">
    <mergeCell ref="A1:J1"/>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3D50-E124-4EA0-A850-EA88E3F9D1A7}">
  <sheetPr>
    <tabColor theme="5"/>
  </sheetPr>
  <dimension ref="A1:GH20"/>
  <sheetViews>
    <sheetView showGridLines="0" zoomScaleNormal="100" workbookViewId="0">
      <selection activeCell="AG61" sqref="AG61"/>
    </sheetView>
  </sheetViews>
  <sheetFormatPr defaultColWidth="9.1796875" defaultRowHeight="14.5" x14ac:dyDescent="0.35"/>
  <cols>
    <col min="1" max="1" width="28.81640625" style="49" bestFit="1" customWidth="1"/>
    <col min="2" max="2" width="15" style="57" customWidth="1"/>
    <col min="3" max="3" width="16" style="49" customWidth="1"/>
    <col min="4" max="4" width="10.453125" style="49" customWidth="1"/>
    <col min="5" max="5" width="10.453125" style="49" bestFit="1" customWidth="1"/>
    <col min="6" max="8" width="10.453125" style="49" customWidth="1"/>
    <col min="9" max="9" width="10.453125" style="49" bestFit="1" customWidth="1"/>
    <col min="10" max="10" width="10.1796875" style="49" bestFit="1" customWidth="1"/>
    <col min="11" max="16384" width="9.1796875" style="49"/>
  </cols>
  <sheetData>
    <row r="1" spans="1:190" x14ac:dyDescent="0.35">
      <c r="A1" s="418" t="s">
        <v>524</v>
      </c>
      <c r="B1" s="419"/>
      <c r="C1" s="419"/>
      <c r="D1" s="419"/>
      <c r="E1" s="419"/>
      <c r="F1" s="419"/>
      <c r="G1" s="419"/>
      <c r="H1" s="419"/>
      <c r="I1" s="419"/>
      <c r="J1" s="419"/>
    </row>
    <row r="2" spans="1:190" s="50" customFormat="1" ht="29" x14ac:dyDescent="0.35">
      <c r="A2" s="288" t="s">
        <v>485</v>
      </c>
      <c r="B2" s="288" t="s">
        <v>31</v>
      </c>
      <c r="C2" s="288" t="s">
        <v>215</v>
      </c>
      <c r="D2" s="288">
        <v>2023</v>
      </c>
      <c r="E2" s="288">
        <v>2024</v>
      </c>
      <c r="F2" s="288">
        <v>2025</v>
      </c>
      <c r="G2" s="288">
        <f>F2+1</f>
        <v>2026</v>
      </c>
      <c r="H2" s="288">
        <f t="shared" ref="H2:J2" si="0">G2+1</f>
        <v>2027</v>
      </c>
      <c r="I2" s="288">
        <f t="shared" si="0"/>
        <v>2028</v>
      </c>
      <c r="J2" s="288">
        <f t="shared" si="0"/>
        <v>2029</v>
      </c>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row>
    <row r="3" spans="1:190" s="53" customFormat="1" x14ac:dyDescent="0.35">
      <c r="A3" s="51" t="s">
        <v>216</v>
      </c>
      <c r="B3" s="52" t="s">
        <v>33</v>
      </c>
      <c r="C3" s="133">
        <v>864.5</v>
      </c>
      <c r="D3" s="58">
        <v>622</v>
      </c>
      <c r="E3" s="58">
        <v>633</v>
      </c>
      <c r="F3" s="176">
        <v>633</v>
      </c>
      <c r="G3" s="364">
        <f>F3</f>
        <v>633</v>
      </c>
      <c r="H3" s="364">
        <f t="shared" ref="H3:J3" si="1">G3</f>
        <v>633</v>
      </c>
      <c r="I3" s="364">
        <f t="shared" si="1"/>
        <v>633</v>
      </c>
      <c r="J3" s="364">
        <f t="shared" si="1"/>
        <v>633</v>
      </c>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row>
    <row r="4" spans="1:190" s="54" customFormat="1" x14ac:dyDescent="0.35">
      <c r="A4" s="51" t="s">
        <v>217</v>
      </c>
      <c r="B4" s="52" t="s">
        <v>33</v>
      </c>
      <c r="C4" s="133">
        <v>1825.9</v>
      </c>
      <c r="D4" s="58">
        <v>1364</v>
      </c>
      <c r="E4" s="58">
        <v>1580</v>
      </c>
      <c r="F4" s="176">
        <v>1098</v>
      </c>
      <c r="G4" s="364">
        <f t="shared" ref="G4:J18" si="2">F4</f>
        <v>1098</v>
      </c>
      <c r="H4" s="364">
        <f t="shared" si="2"/>
        <v>1098</v>
      </c>
      <c r="I4" s="364">
        <f t="shared" si="2"/>
        <v>1098</v>
      </c>
      <c r="J4" s="364">
        <f t="shared" si="2"/>
        <v>1098</v>
      </c>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row>
    <row r="5" spans="1:190" s="53" customFormat="1" x14ac:dyDescent="0.35">
      <c r="A5" s="51" t="s">
        <v>218</v>
      </c>
      <c r="B5" s="52" t="s">
        <v>33</v>
      </c>
      <c r="C5" s="133">
        <v>3040.95</v>
      </c>
      <c r="D5" s="58">
        <v>2920</v>
      </c>
      <c r="E5" s="58">
        <v>2852</v>
      </c>
      <c r="F5" s="176">
        <v>2852</v>
      </c>
      <c r="G5" s="364">
        <f t="shared" si="2"/>
        <v>2852</v>
      </c>
      <c r="H5" s="364">
        <f t="shared" si="2"/>
        <v>2852</v>
      </c>
      <c r="I5" s="364">
        <f t="shared" si="2"/>
        <v>2852</v>
      </c>
      <c r="J5" s="364">
        <f t="shared" si="2"/>
        <v>2852</v>
      </c>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row>
    <row r="6" spans="1:190" s="54" customFormat="1" x14ac:dyDescent="0.35">
      <c r="A6" s="51" t="s">
        <v>219</v>
      </c>
      <c r="B6" s="52" t="s">
        <v>33</v>
      </c>
      <c r="C6" s="133">
        <v>1187.5</v>
      </c>
      <c r="D6" s="58">
        <v>1250</v>
      </c>
      <c r="E6" s="58">
        <v>300</v>
      </c>
      <c r="F6" s="176">
        <v>305</v>
      </c>
      <c r="G6" s="364">
        <f t="shared" si="2"/>
        <v>305</v>
      </c>
      <c r="H6" s="364">
        <f t="shared" si="2"/>
        <v>305</v>
      </c>
      <c r="I6" s="364">
        <f t="shared" si="2"/>
        <v>305</v>
      </c>
      <c r="J6" s="364">
        <f t="shared" si="2"/>
        <v>305</v>
      </c>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row>
    <row r="7" spans="1:190" s="53" customFormat="1" x14ac:dyDescent="0.35">
      <c r="A7" s="51" t="s">
        <v>220</v>
      </c>
      <c r="B7" s="52" t="s">
        <v>34</v>
      </c>
      <c r="C7" s="133">
        <v>21185</v>
      </c>
      <c r="D7" s="58">
        <v>17531</v>
      </c>
      <c r="E7" s="58">
        <v>17374</v>
      </c>
      <c r="F7" s="176">
        <v>13624</v>
      </c>
      <c r="G7" s="364">
        <f t="shared" si="2"/>
        <v>13624</v>
      </c>
      <c r="H7" s="364">
        <f t="shared" si="2"/>
        <v>13624</v>
      </c>
      <c r="I7" s="364">
        <f t="shared" si="2"/>
        <v>13624</v>
      </c>
      <c r="J7" s="364">
        <f t="shared" si="2"/>
        <v>13624</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row>
    <row r="8" spans="1:190" s="54" customFormat="1" x14ac:dyDescent="0.35">
      <c r="A8" s="51" t="s">
        <v>221</v>
      </c>
      <c r="B8" s="52" t="s">
        <v>34</v>
      </c>
      <c r="C8" s="133">
        <v>11271.75</v>
      </c>
      <c r="D8" s="58">
        <v>8470</v>
      </c>
      <c r="E8" s="58">
        <v>8403</v>
      </c>
      <c r="F8" s="176">
        <v>8403</v>
      </c>
      <c r="G8" s="364">
        <f t="shared" si="2"/>
        <v>8403</v>
      </c>
      <c r="H8" s="364">
        <f t="shared" si="2"/>
        <v>8403</v>
      </c>
      <c r="I8" s="364">
        <f t="shared" si="2"/>
        <v>8403</v>
      </c>
      <c r="J8" s="364">
        <f t="shared" si="2"/>
        <v>8403</v>
      </c>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row>
    <row r="9" spans="1:190" s="53" customFormat="1" x14ac:dyDescent="0.35">
      <c r="A9" s="51" t="s">
        <v>222</v>
      </c>
      <c r="B9" s="52" t="s">
        <v>34</v>
      </c>
      <c r="C9" s="133">
        <v>3249</v>
      </c>
      <c r="D9" s="58">
        <v>1524</v>
      </c>
      <c r="E9" s="58">
        <v>2173</v>
      </c>
      <c r="F9" s="176">
        <v>2173</v>
      </c>
      <c r="G9" s="364">
        <f t="shared" si="2"/>
        <v>2173</v>
      </c>
      <c r="H9" s="364">
        <f t="shared" si="2"/>
        <v>2173</v>
      </c>
      <c r="I9" s="364">
        <f t="shared" si="2"/>
        <v>2173</v>
      </c>
      <c r="J9" s="364">
        <f t="shared" si="2"/>
        <v>2173</v>
      </c>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row>
    <row r="10" spans="1:190" s="54" customFormat="1" x14ac:dyDescent="0.35">
      <c r="A10" s="51" t="s">
        <v>223</v>
      </c>
      <c r="B10" s="52" t="s">
        <v>34</v>
      </c>
      <c r="C10" s="133">
        <v>498.75</v>
      </c>
      <c r="D10" s="58">
        <v>314</v>
      </c>
      <c r="E10" s="58">
        <v>283</v>
      </c>
      <c r="F10" s="176">
        <v>283</v>
      </c>
      <c r="G10" s="364">
        <f t="shared" si="2"/>
        <v>283</v>
      </c>
      <c r="H10" s="364">
        <f t="shared" si="2"/>
        <v>283</v>
      </c>
      <c r="I10" s="364">
        <f t="shared" si="2"/>
        <v>283</v>
      </c>
      <c r="J10" s="364">
        <f t="shared" si="2"/>
        <v>283</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row>
    <row r="11" spans="1:190" s="53" customFormat="1" x14ac:dyDescent="0.35">
      <c r="A11" s="51" t="s">
        <v>224</v>
      </c>
      <c r="B11" s="52" t="s">
        <v>34</v>
      </c>
      <c r="C11" s="133">
        <v>3321.2</v>
      </c>
      <c r="D11" s="58">
        <v>2315</v>
      </c>
      <c r="E11" s="58">
        <v>2116</v>
      </c>
      <c r="F11" s="176">
        <v>2116</v>
      </c>
      <c r="G11" s="364">
        <f t="shared" si="2"/>
        <v>2116</v>
      </c>
      <c r="H11" s="364">
        <f t="shared" si="2"/>
        <v>2116</v>
      </c>
      <c r="I11" s="364">
        <f t="shared" si="2"/>
        <v>2116</v>
      </c>
      <c r="J11" s="364">
        <f t="shared" si="2"/>
        <v>2116</v>
      </c>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row>
    <row r="12" spans="1:190" s="54" customFormat="1" x14ac:dyDescent="0.35">
      <c r="A12" s="51" t="s">
        <v>225</v>
      </c>
      <c r="B12" s="52" t="s">
        <v>32</v>
      </c>
      <c r="C12" s="133">
        <v>14292.75</v>
      </c>
      <c r="D12" s="58">
        <v>1312</v>
      </c>
      <c r="E12" s="58">
        <v>1130</v>
      </c>
      <c r="F12" s="176">
        <v>1050</v>
      </c>
      <c r="G12" s="364">
        <f t="shared" si="2"/>
        <v>1050</v>
      </c>
      <c r="H12" s="364">
        <f t="shared" si="2"/>
        <v>1050</v>
      </c>
      <c r="I12" s="364">
        <f t="shared" si="2"/>
        <v>1050</v>
      </c>
      <c r="J12" s="364">
        <f t="shared" si="2"/>
        <v>1050</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row>
    <row r="13" spans="1:190" s="53" customFormat="1" x14ac:dyDescent="0.35">
      <c r="A13" s="51" t="s">
        <v>226</v>
      </c>
      <c r="B13" s="52" t="s">
        <v>32</v>
      </c>
      <c r="C13" s="133">
        <v>3971</v>
      </c>
      <c r="D13" s="58">
        <v>2985</v>
      </c>
      <c r="E13" s="58">
        <v>3043</v>
      </c>
      <c r="F13" s="176">
        <v>3003</v>
      </c>
      <c r="G13" s="364">
        <f t="shared" si="2"/>
        <v>3003</v>
      </c>
      <c r="H13" s="364">
        <f t="shared" si="2"/>
        <v>3003</v>
      </c>
      <c r="I13" s="364">
        <f t="shared" si="2"/>
        <v>3003</v>
      </c>
      <c r="J13" s="364">
        <f t="shared" si="2"/>
        <v>3003</v>
      </c>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row>
    <row r="14" spans="1:190" s="54" customFormat="1" x14ac:dyDescent="0.35">
      <c r="A14" s="51" t="s">
        <v>227</v>
      </c>
      <c r="B14" s="52" t="s">
        <v>32</v>
      </c>
      <c r="C14" s="133">
        <v>9941.75</v>
      </c>
      <c r="D14" s="58">
        <v>7903</v>
      </c>
      <c r="E14" s="58">
        <v>5834</v>
      </c>
      <c r="F14" s="176">
        <v>5584</v>
      </c>
      <c r="G14" s="364">
        <f t="shared" si="2"/>
        <v>5584</v>
      </c>
      <c r="H14" s="364">
        <f t="shared" si="2"/>
        <v>5584</v>
      </c>
      <c r="I14" s="364">
        <f t="shared" si="2"/>
        <v>5584</v>
      </c>
      <c r="J14" s="364">
        <f t="shared" si="2"/>
        <v>5584</v>
      </c>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row>
    <row r="15" spans="1:190" s="53" customFormat="1" x14ac:dyDescent="0.35">
      <c r="A15" s="51" t="s">
        <v>228</v>
      </c>
      <c r="B15" s="52" t="s">
        <v>32</v>
      </c>
      <c r="C15" s="133">
        <v>3809.5</v>
      </c>
      <c r="D15" s="58">
        <v>3684</v>
      </c>
      <c r="E15" s="58">
        <v>2513</v>
      </c>
      <c r="F15" s="176">
        <v>2483</v>
      </c>
      <c r="G15" s="364">
        <f t="shared" si="2"/>
        <v>2483</v>
      </c>
      <c r="H15" s="364">
        <f t="shared" si="2"/>
        <v>2483</v>
      </c>
      <c r="I15" s="364">
        <f t="shared" si="2"/>
        <v>2483</v>
      </c>
      <c r="J15" s="364">
        <f t="shared" si="2"/>
        <v>2483</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row>
    <row r="16" spans="1:190" s="54" customFormat="1" x14ac:dyDescent="0.35">
      <c r="A16" s="51" t="s">
        <v>269</v>
      </c>
      <c r="B16" s="52"/>
      <c r="C16" s="133">
        <v>0</v>
      </c>
      <c r="D16" s="58">
        <v>0</v>
      </c>
      <c r="E16" s="58">
        <v>0</v>
      </c>
      <c r="F16" s="176">
        <v>0</v>
      </c>
      <c r="G16" s="364">
        <f t="shared" si="2"/>
        <v>0</v>
      </c>
      <c r="H16" s="364">
        <f t="shared" si="2"/>
        <v>0</v>
      </c>
      <c r="I16" s="364">
        <f t="shared" si="2"/>
        <v>0</v>
      </c>
      <c r="J16" s="364">
        <f t="shared" si="2"/>
        <v>0</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row>
    <row r="17" spans="1:190" s="53" customFormat="1" x14ac:dyDescent="0.35">
      <c r="A17" s="51" t="s">
        <v>268</v>
      </c>
      <c r="B17" s="52"/>
      <c r="C17" s="133">
        <v>0</v>
      </c>
      <c r="D17" s="58">
        <v>7800</v>
      </c>
      <c r="E17" s="58">
        <v>6824</v>
      </c>
      <c r="F17" s="176">
        <v>6824</v>
      </c>
      <c r="G17" s="364">
        <f t="shared" si="2"/>
        <v>6824</v>
      </c>
      <c r="H17" s="364">
        <f t="shared" si="2"/>
        <v>6824</v>
      </c>
      <c r="I17" s="364">
        <f t="shared" si="2"/>
        <v>6824</v>
      </c>
      <c r="J17" s="364">
        <f t="shared" si="2"/>
        <v>6824</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row>
    <row r="18" spans="1:190" s="54" customFormat="1" x14ac:dyDescent="0.35">
      <c r="A18" s="51" t="s">
        <v>267</v>
      </c>
      <c r="B18" s="52"/>
      <c r="C18" s="133">
        <v>0</v>
      </c>
      <c r="D18" s="58">
        <v>200</v>
      </c>
      <c r="E18" s="58">
        <v>1E-3</v>
      </c>
      <c r="F18" s="176">
        <v>200</v>
      </c>
      <c r="G18" s="364">
        <f t="shared" si="2"/>
        <v>200</v>
      </c>
      <c r="H18" s="364">
        <f t="shared" si="2"/>
        <v>200</v>
      </c>
      <c r="I18" s="364">
        <f t="shared" si="2"/>
        <v>200</v>
      </c>
      <c r="J18" s="364">
        <f t="shared" si="2"/>
        <v>200</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row>
    <row r="19" spans="1:190" s="53" customFormat="1" x14ac:dyDescent="0.35">
      <c r="A19" s="55" t="s">
        <v>234</v>
      </c>
      <c r="B19" s="56"/>
      <c r="C19" s="134">
        <f t="shared" ref="C19:J19" si="3">SUM(C3:C18)</f>
        <v>78459.549999999988</v>
      </c>
      <c r="D19" s="134">
        <f t="shared" si="3"/>
        <v>60194</v>
      </c>
      <c r="E19" s="134">
        <f>SUM(E3:E18)</f>
        <v>55058.000999999997</v>
      </c>
      <c r="F19" s="134">
        <f t="shared" si="3"/>
        <v>50631</v>
      </c>
      <c r="G19" s="134">
        <f t="shared" si="3"/>
        <v>50631</v>
      </c>
      <c r="H19" s="134">
        <f t="shared" si="3"/>
        <v>50631</v>
      </c>
      <c r="I19" s="134">
        <f t="shared" si="3"/>
        <v>50631</v>
      </c>
      <c r="J19" s="134">
        <f t="shared" si="3"/>
        <v>50631</v>
      </c>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row>
    <row r="20" spans="1:190" s="53" customFormat="1" x14ac:dyDescent="0.35">
      <c r="A20" s="49"/>
      <c r="B20" s="57"/>
      <c r="C20" s="135"/>
      <c r="D20" s="135"/>
      <c r="E20" s="135"/>
      <c r="F20" s="135"/>
      <c r="G20" s="135"/>
      <c r="H20" s="135"/>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row>
  </sheetData>
  <mergeCells count="1">
    <mergeCell ref="A1:J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8D52-D13D-48EC-BFA2-E4C534EAED8C}">
  <sheetPr>
    <tabColor theme="5"/>
  </sheetPr>
  <dimension ref="A1:Z75"/>
  <sheetViews>
    <sheetView showGridLines="0" zoomScaleNormal="100" workbookViewId="0">
      <selection activeCell="D2" sqref="D2"/>
    </sheetView>
  </sheetViews>
  <sheetFormatPr defaultColWidth="9.1796875" defaultRowHeight="13" x14ac:dyDescent="0.3"/>
  <cols>
    <col min="1" max="1" width="30" style="143" bestFit="1" customWidth="1"/>
    <col min="2" max="2" width="8.7265625" style="143" bestFit="1" customWidth="1"/>
    <col min="3" max="3" width="8.81640625" style="143" bestFit="1" customWidth="1"/>
    <col min="4" max="6" width="8.7265625" style="143" bestFit="1" customWidth="1"/>
    <col min="7" max="8" width="8.7265625" style="143" customWidth="1"/>
    <col min="9" max="9" width="8.81640625" style="143" customWidth="1"/>
    <col min="10" max="10" width="30" style="143" bestFit="1" customWidth="1"/>
    <col min="11" max="11" width="11.453125" style="143" customWidth="1"/>
    <col min="12" max="13" width="11.54296875" style="143" bestFit="1" customWidth="1"/>
    <col min="14" max="17" width="11" style="143" bestFit="1" customWidth="1"/>
    <col min="18" max="18" width="8.81640625" style="143" customWidth="1"/>
    <col min="19" max="19" width="30.81640625" style="143" bestFit="1" customWidth="1"/>
    <col min="20" max="20" width="14.54296875" style="143" bestFit="1" customWidth="1"/>
    <col min="21" max="21" width="16.81640625" style="143" bestFit="1" customWidth="1"/>
    <col min="22" max="26" width="14.54296875" style="143" bestFit="1" customWidth="1"/>
    <col min="27" max="16384" width="9.1796875" style="143"/>
  </cols>
  <sheetData>
    <row r="1" spans="1:26" ht="17.5" x14ac:dyDescent="0.35">
      <c r="A1" s="173" t="s">
        <v>445</v>
      </c>
      <c r="B1" s="173">
        <f>'Oferta (GASIG)'!D2</f>
        <v>2023</v>
      </c>
      <c r="C1" s="173">
        <f>'Oferta (GASIG)'!E2</f>
        <v>2024</v>
      </c>
      <c r="D1" s="173">
        <f>'Oferta (GASIG)'!F2</f>
        <v>2025</v>
      </c>
      <c r="E1" s="173">
        <f>'Oferta (GASIG)'!G2</f>
        <v>2026</v>
      </c>
      <c r="F1" s="173">
        <f>'Oferta (GASIG)'!H2</f>
        <v>2027</v>
      </c>
      <c r="G1" s="173">
        <f>'Oferta (GASIG)'!I2</f>
        <v>2028</v>
      </c>
      <c r="H1" s="173">
        <f>'Oferta (GASIG)'!J2</f>
        <v>2029</v>
      </c>
      <c r="J1" s="173" t="s">
        <v>446</v>
      </c>
      <c r="K1" s="173">
        <f t="shared" ref="K1:Q1" si="0">B16</f>
        <v>2023</v>
      </c>
      <c r="L1" s="173">
        <f t="shared" si="0"/>
        <v>2024</v>
      </c>
      <c r="M1" s="173">
        <f t="shared" si="0"/>
        <v>2025</v>
      </c>
      <c r="N1" s="173">
        <f t="shared" si="0"/>
        <v>2026</v>
      </c>
      <c r="O1" s="173">
        <f t="shared" si="0"/>
        <v>2027</v>
      </c>
      <c r="P1" s="173">
        <f t="shared" si="0"/>
        <v>2028</v>
      </c>
      <c r="Q1" s="173">
        <f t="shared" si="0"/>
        <v>2029</v>
      </c>
      <c r="S1" s="173" t="s">
        <v>36</v>
      </c>
      <c r="T1" s="173">
        <f>K1</f>
        <v>2023</v>
      </c>
      <c r="U1" s="173">
        <f>L1</f>
        <v>2024</v>
      </c>
      <c r="V1" s="173">
        <f>M1</f>
        <v>2025</v>
      </c>
      <c r="W1" s="173">
        <f>N1</f>
        <v>2026</v>
      </c>
      <c r="X1" s="173">
        <f>O1</f>
        <v>2027</v>
      </c>
      <c r="Y1" s="173">
        <f t="shared" ref="Y1:Z1" si="1">P1</f>
        <v>2028</v>
      </c>
      <c r="Z1" s="173">
        <f t="shared" si="1"/>
        <v>2029</v>
      </c>
    </row>
    <row r="2" spans="1:26" ht="14.5" x14ac:dyDescent="0.3">
      <c r="A2" s="174" t="str">
        <f>'Oferta (GASIG)'!A3</f>
        <v>PR-CARAGUATATUBA</v>
      </c>
      <c r="B2" s="175">
        <f>'Oferta (GASIG)'!D3</f>
        <v>15000</v>
      </c>
      <c r="C2" s="175">
        <f>'Oferta (GASIG)'!E3</f>
        <v>7602</v>
      </c>
      <c r="D2" s="176">
        <f>'Oferta (GASIG)'!F3</f>
        <v>9427</v>
      </c>
      <c r="E2" s="175">
        <f>'Oferta (GASIG)'!G3</f>
        <v>9427</v>
      </c>
      <c r="F2" s="175">
        <f>'Oferta (GASIG)'!H3</f>
        <v>9427</v>
      </c>
      <c r="G2" s="175">
        <f>'Oferta (GASIG)'!I3</f>
        <v>9427</v>
      </c>
      <c r="H2" s="175">
        <f>'Oferta (GASIG)'!J3</f>
        <v>9427</v>
      </c>
      <c r="I2" s="177"/>
      <c r="J2" s="174" t="str">
        <f t="shared" ref="J2:J11" si="2">A2</f>
        <v>PR-CARAGUATATUBA</v>
      </c>
      <c r="K2" s="178">
        <f>'Oferta x Demanda (GASIG)'!B2*'Premissas (GASIG)'!D$20</f>
        <v>5475000</v>
      </c>
      <c r="L2" s="175">
        <f>'Oferta x Demanda (GASIG)'!C2*'Premissas (GASIG)'!E$20</f>
        <v>2782332</v>
      </c>
      <c r="M2" s="176">
        <f>'Oferta x Demanda (GASIG)'!D2*'Premissas (GASIG)'!F$20</f>
        <v>3440855</v>
      </c>
      <c r="N2" s="178">
        <f>'Oferta x Demanda (GASIG)'!E2*'Premissas (GASIG)'!E$20</f>
        <v>3450282</v>
      </c>
      <c r="O2" s="178">
        <f>'Oferta x Demanda (GASIG)'!F2*'Premissas (GASIG)'!F$20</f>
        <v>3440855</v>
      </c>
      <c r="P2" s="178">
        <f>'Oferta x Demanda (GASIG)'!G2*'Premissas (GASIG)'!G$20</f>
        <v>3440855</v>
      </c>
      <c r="Q2" s="178">
        <f>'Oferta x Demanda (GASIG)'!H2*'Premissas (GASIG)'!H$20</f>
        <v>3440855</v>
      </c>
      <c r="S2" s="174" t="str">
        <f>J2</f>
        <v>PR-CARAGUATATUBA</v>
      </c>
      <c r="T2" s="178">
        <f>K2*'Premissas (GASIG)'!$B$19</f>
        <v>204229430.02500001</v>
      </c>
      <c r="U2" s="175">
        <f>L2*'Premissas (GASIG)'!$B$19</f>
        <v>103787046.30142801</v>
      </c>
      <c r="V2" s="176">
        <f>M2*'Premissas (GASIG)'!$B$19</f>
        <v>128351389.12304501</v>
      </c>
      <c r="W2" s="178">
        <f>N2*'Premissas (GASIG)'!$B$19</f>
        <v>128703036.76447801</v>
      </c>
      <c r="X2" s="178">
        <f>O2*'Premissas (GASIG)'!$B$19</f>
        <v>128351389.12304501</v>
      </c>
      <c r="Y2" s="178">
        <f>P2*'Premissas (GASIG)'!$B$19</f>
        <v>128351389.12304501</v>
      </c>
      <c r="Z2" s="178">
        <f>Q2*'Premissas (GASIG)'!$B$19</f>
        <v>128351389.12304501</v>
      </c>
    </row>
    <row r="3" spans="1:26" ht="14.5" x14ac:dyDescent="0.3">
      <c r="A3" s="174" t="str">
        <f>'Oferta (GASIG)'!A4</f>
        <v>PR-GNLBGB</v>
      </c>
      <c r="B3" s="175">
        <f>'Oferta (GASIG)'!D4</f>
        <v>20000</v>
      </c>
      <c r="C3" s="175">
        <f>'Oferta (GASIG)'!E4</f>
        <v>20000</v>
      </c>
      <c r="D3" s="176">
        <f>'Oferta (GASIG)'!F4</f>
        <v>20000</v>
      </c>
      <c r="E3" s="175">
        <f>'Oferta (GASIG)'!G4</f>
        <v>20000</v>
      </c>
      <c r="F3" s="175">
        <f>'Oferta (GASIG)'!H4</f>
        <v>20000</v>
      </c>
      <c r="G3" s="175">
        <f>'Oferta (GASIG)'!I4</f>
        <v>20000</v>
      </c>
      <c r="H3" s="175">
        <f>'Oferta (GASIG)'!J4</f>
        <v>20000</v>
      </c>
      <c r="I3" s="177"/>
      <c r="J3" s="174" t="str">
        <f t="shared" si="2"/>
        <v>PR-GNLBGB</v>
      </c>
      <c r="K3" s="178">
        <f>'Oferta x Demanda (GASIG)'!B3*'Premissas (GASIG)'!D$20</f>
        <v>7300000</v>
      </c>
      <c r="L3" s="175">
        <f>'Oferta x Demanda (GASIG)'!C3*'Premissas (GASIG)'!E$20</f>
        <v>7320000</v>
      </c>
      <c r="M3" s="176">
        <f>'Oferta x Demanda (GASIG)'!D3*'Premissas (GASIG)'!F$20</f>
        <v>7300000</v>
      </c>
      <c r="N3" s="178">
        <f>'Oferta x Demanda (GASIG)'!E3*'Premissas (GASIG)'!E$20</f>
        <v>7320000</v>
      </c>
      <c r="O3" s="178">
        <f>'Oferta x Demanda (GASIG)'!F3*'Premissas (GASIG)'!F$20</f>
        <v>7300000</v>
      </c>
      <c r="P3" s="178">
        <f>'Oferta x Demanda (GASIG)'!G3*'Premissas (GASIG)'!G$20</f>
        <v>7300000</v>
      </c>
      <c r="Q3" s="178">
        <f>'Oferta x Demanda (GASIG)'!H3*'Premissas (GASIG)'!H$20</f>
        <v>7300000</v>
      </c>
      <c r="S3" s="174" t="str">
        <f t="shared" ref="S3:S11" si="3">J3</f>
        <v>PR-GNLBGB</v>
      </c>
      <c r="T3" s="178">
        <f>K3*'Premissas (GASIG)'!$B$19</f>
        <v>272305906.69999999</v>
      </c>
      <c r="U3" s="175">
        <f>L3*'Premissas (GASIG)'!$B$19</f>
        <v>273051950.28000003</v>
      </c>
      <c r="V3" s="176">
        <f>M3*'Premissas (GASIG)'!$B$19</f>
        <v>272305906.69999999</v>
      </c>
      <c r="W3" s="178">
        <f>N3*'Premissas (GASIG)'!$B$19</f>
        <v>273051950.28000003</v>
      </c>
      <c r="X3" s="178">
        <f>O3*'Premissas (GASIG)'!$B$19</f>
        <v>272305906.69999999</v>
      </c>
      <c r="Y3" s="178">
        <f>P3*'Premissas (GASIG)'!$B$19</f>
        <v>272305906.69999999</v>
      </c>
      <c r="Z3" s="178">
        <f>Q3*'Premissas (GASIG)'!$B$19</f>
        <v>272305906.69999999</v>
      </c>
    </row>
    <row r="4" spans="1:26" ht="14.5" x14ac:dyDescent="0.3">
      <c r="A4" s="174" t="str">
        <f>'Oferta (GASIG)'!A5</f>
        <v>PR-ITABORAÍ</v>
      </c>
      <c r="B4" s="175">
        <f>'Oferta (GASIG)'!D5</f>
        <v>7322</v>
      </c>
      <c r="C4" s="175">
        <f>'Oferta (GASIG)'!E5</f>
        <v>14114</v>
      </c>
      <c r="D4" s="176">
        <f>'Oferta (GASIG)'!F5</f>
        <v>13564</v>
      </c>
      <c r="E4" s="175">
        <f>'Oferta (GASIG)'!G5</f>
        <v>13439</v>
      </c>
      <c r="F4" s="175">
        <f>'Oferta (GASIG)'!H5</f>
        <v>13432</v>
      </c>
      <c r="G4" s="175">
        <f>'Oferta (GASIG)'!I5</f>
        <v>13448</v>
      </c>
      <c r="H4" s="175">
        <f>'Oferta (GASIG)'!J5</f>
        <v>13448</v>
      </c>
      <c r="I4" s="177"/>
      <c r="J4" s="174" t="str">
        <f t="shared" si="2"/>
        <v>PR-ITABORAÍ</v>
      </c>
      <c r="K4" s="178">
        <f>'Oferta x Demanda (GASIG)'!B4*'Premissas (GASIG)'!D$20</f>
        <v>2672530</v>
      </c>
      <c r="L4" s="175">
        <f>'Oferta x Demanda (GASIG)'!C4*'Premissas (GASIG)'!E$20</f>
        <v>5165724</v>
      </c>
      <c r="M4" s="176">
        <f>'Oferta x Demanda (GASIG)'!D4*'Premissas (GASIG)'!F$20</f>
        <v>4950860</v>
      </c>
      <c r="N4" s="178">
        <f>'Oferta x Demanda (GASIG)'!E4*'Premissas (GASIG)'!E$20</f>
        <v>4918674</v>
      </c>
      <c r="O4" s="178">
        <f>'Oferta x Demanda (GASIG)'!F4*'Premissas (GASIG)'!F$20</f>
        <v>4902680</v>
      </c>
      <c r="P4" s="178">
        <f>'Oferta x Demanda (GASIG)'!G4*'Premissas (GASIG)'!G$20</f>
        <v>4908520</v>
      </c>
      <c r="Q4" s="178">
        <f>'Oferta x Demanda (GASIG)'!H4*'Premissas (GASIG)'!H$20</f>
        <v>4908520</v>
      </c>
      <c r="S4" s="174" t="str">
        <f t="shared" si="3"/>
        <v>PR-ITABORAÍ</v>
      </c>
      <c r="T4" s="178">
        <f>K4*'Premissas (GASIG)'!$B$19</f>
        <v>99691192.442870006</v>
      </c>
      <c r="U4" s="175">
        <f>L4*'Premissas (GASIG)'!$B$19</f>
        <v>192692761.31259602</v>
      </c>
      <c r="V4" s="176">
        <f>M4*'Premissas (GASIG)'!$B$19</f>
        <v>184677865.92394</v>
      </c>
      <c r="W4" s="178">
        <f>N4*'Premissas (GASIG)'!$B$19</f>
        <v>183477257.990646</v>
      </c>
      <c r="X4" s="178">
        <f>O4*'Premissas (GASIG)'!$B$19</f>
        <v>182880646.93972</v>
      </c>
      <c r="Y4" s="178">
        <f>P4*'Premissas (GASIG)'!$B$19</f>
        <v>183098491.66508001</v>
      </c>
      <c r="Z4" s="178">
        <f>Q4*'Premissas (GASIG)'!$B$19</f>
        <v>183098491.66508001</v>
      </c>
    </row>
    <row r="5" spans="1:26" ht="14.5" x14ac:dyDescent="0.3">
      <c r="A5" s="174" t="str">
        <f>'Oferta (GASIG)'!A6</f>
        <v>PR-GASPAJ (INTERCONEXÃO)</v>
      </c>
      <c r="B5" s="175">
        <f>'Oferta (GASIG)'!D6</f>
        <v>1250</v>
      </c>
      <c r="C5" s="175">
        <f>'Oferta (GASIG)'!E6</f>
        <v>305</v>
      </c>
      <c r="D5" s="176">
        <f>'Oferta (GASIG)'!F6</f>
        <v>305</v>
      </c>
      <c r="E5" s="175">
        <f>'Oferta (GASIG)'!G6</f>
        <v>305</v>
      </c>
      <c r="F5" s="175">
        <f>'Oferta (GASIG)'!H6</f>
        <v>305</v>
      </c>
      <c r="G5" s="175">
        <f>'Oferta (GASIG)'!I6</f>
        <v>305</v>
      </c>
      <c r="H5" s="175">
        <f>'Oferta (GASIG)'!J6</f>
        <v>305</v>
      </c>
      <c r="I5" s="177"/>
      <c r="J5" s="174" t="str">
        <f t="shared" si="2"/>
        <v>PR-GASPAJ (INTERCONEXÃO)</v>
      </c>
      <c r="K5" s="178">
        <f>'Oferta x Demanda (GASIG)'!B5*'Premissas (GASIG)'!D$20</f>
        <v>456250</v>
      </c>
      <c r="L5" s="175">
        <f>'Oferta x Demanda (GASIG)'!C5*'Premissas (GASIG)'!E$20</f>
        <v>111630</v>
      </c>
      <c r="M5" s="176">
        <f>'Oferta x Demanda (GASIG)'!D5*'Premissas (GASIG)'!F$20</f>
        <v>111325</v>
      </c>
      <c r="N5" s="178">
        <f>'Oferta x Demanda (GASIG)'!E5*'Premissas (GASIG)'!E$20</f>
        <v>111630</v>
      </c>
      <c r="O5" s="178">
        <f>'Oferta x Demanda (GASIG)'!F5*'Premissas (GASIG)'!F$20</f>
        <v>111325</v>
      </c>
      <c r="P5" s="178">
        <f>'Oferta x Demanda (GASIG)'!G5*'Premissas (GASIG)'!G$20</f>
        <v>111325</v>
      </c>
      <c r="Q5" s="178">
        <f>'Oferta x Demanda (GASIG)'!H5*'Premissas (GASIG)'!H$20</f>
        <v>111325</v>
      </c>
      <c r="S5" s="174" t="str">
        <f t="shared" si="3"/>
        <v>PR-GASPAJ (INTERCONEXÃO)</v>
      </c>
      <c r="T5" s="178">
        <f>K5*'Premissas (GASIG)'!$B$19</f>
        <v>17019119.168749999</v>
      </c>
      <c r="U5" s="175">
        <f>L5*'Premissas (GASIG)'!$B$19</f>
        <v>4164042.2417700002</v>
      </c>
      <c r="V5" s="176">
        <f>M5*'Premissas (GASIG)'!$B$19</f>
        <v>4152665.0771750002</v>
      </c>
      <c r="W5" s="178">
        <f>N5*'Premissas (GASIG)'!$B$19</f>
        <v>4164042.2417700002</v>
      </c>
      <c r="X5" s="178">
        <f>O5*'Premissas (GASIG)'!$B$19</f>
        <v>4152665.0771750002</v>
      </c>
      <c r="Y5" s="178">
        <f>P5*'Premissas (GASIG)'!$B$19</f>
        <v>4152665.0771750002</v>
      </c>
      <c r="Z5" s="178">
        <f>Q5*'Premissas (GASIG)'!$B$19</f>
        <v>4152665.0771750002</v>
      </c>
    </row>
    <row r="6" spans="1:26" ht="14.5" x14ac:dyDescent="0.3">
      <c r="A6" s="174" t="str">
        <f>'Oferta (GASIG)'!A7</f>
        <v>PR-REDUC</v>
      </c>
      <c r="B6" s="175">
        <f>'Oferta (GASIG)'!D7</f>
        <v>0</v>
      </c>
      <c r="C6" s="175">
        <f>'Oferta (GASIG)'!E7</f>
        <v>0</v>
      </c>
      <c r="D6" s="176">
        <f>'Oferta (GASIG)'!F7</f>
        <v>0</v>
      </c>
      <c r="E6" s="175">
        <f>'Oferta (GASIG)'!G7</f>
        <v>0</v>
      </c>
      <c r="F6" s="175">
        <f>'Oferta (GASIG)'!H7</f>
        <v>0</v>
      </c>
      <c r="G6" s="175">
        <f>'Oferta (GASIG)'!I7</f>
        <v>0</v>
      </c>
      <c r="H6" s="175">
        <f>'Oferta (GASIG)'!J7</f>
        <v>0</v>
      </c>
      <c r="I6" s="177"/>
      <c r="J6" s="174" t="str">
        <f t="shared" si="2"/>
        <v>PR-REDUC</v>
      </c>
      <c r="K6" s="178">
        <f>'Oferta x Demanda (GASIG)'!B6*'Premissas (GASIG)'!D$20</f>
        <v>0</v>
      </c>
      <c r="L6" s="175">
        <f>'Oferta x Demanda (GASIG)'!C6*'Premissas (GASIG)'!E$20</f>
        <v>0</v>
      </c>
      <c r="M6" s="176">
        <f>'Oferta x Demanda (GASIG)'!D6*'Premissas (GASIG)'!F$20</f>
        <v>0</v>
      </c>
      <c r="N6" s="178">
        <f>'Oferta x Demanda (GASIG)'!E6*'Premissas (GASIG)'!E$20</f>
        <v>0</v>
      </c>
      <c r="O6" s="178">
        <f>'Oferta x Demanda (GASIG)'!F6*'Premissas (GASIG)'!F$20</f>
        <v>0</v>
      </c>
      <c r="P6" s="178">
        <f>'Oferta x Demanda (GASIG)'!G6*'Premissas (GASIG)'!G$20</f>
        <v>0</v>
      </c>
      <c r="Q6" s="178">
        <f>'Oferta x Demanda (GASIG)'!H6*'Premissas (GASIG)'!H$20</f>
        <v>0</v>
      </c>
      <c r="S6" s="174" t="str">
        <f t="shared" si="3"/>
        <v>PR-REDUC</v>
      </c>
      <c r="T6" s="178">
        <f>K6*'Premissas (GASIG)'!$B$19</f>
        <v>0</v>
      </c>
      <c r="U6" s="175">
        <f>L6*'Premissas (GASIG)'!$B$19</f>
        <v>0</v>
      </c>
      <c r="V6" s="176">
        <f>M6*'Premissas (GASIG)'!$B$19</f>
        <v>0</v>
      </c>
      <c r="W6" s="178">
        <f>N6*'Premissas (GASIG)'!$B$19</f>
        <v>0</v>
      </c>
      <c r="X6" s="178">
        <f>O6*'Premissas (GASIG)'!$B$19</f>
        <v>0</v>
      </c>
      <c r="Y6" s="178">
        <f>P6*'Premissas (GASIG)'!$B$19</f>
        <v>0</v>
      </c>
      <c r="Z6" s="178">
        <f>Q6*'Premissas (GASIG)'!$B$19</f>
        <v>0</v>
      </c>
    </row>
    <row r="7" spans="1:26" ht="14.5" x14ac:dyDescent="0.3">
      <c r="A7" s="174" t="str">
        <f>'Oferta (GASIG)'!A8</f>
        <v>PR-RPBC</v>
      </c>
      <c r="B7" s="175">
        <f>'Oferta (GASIG)'!D8</f>
        <v>0</v>
      </c>
      <c r="C7" s="175">
        <f>'Oferta (GASIG)'!E8</f>
        <v>0</v>
      </c>
      <c r="D7" s="176">
        <f>'Oferta (GASIG)'!F8</f>
        <v>0</v>
      </c>
      <c r="E7" s="175">
        <f>'Oferta (GASIG)'!G8</f>
        <v>0</v>
      </c>
      <c r="F7" s="175">
        <f>'Oferta (GASIG)'!H8</f>
        <v>0</v>
      </c>
      <c r="G7" s="175">
        <f>'Oferta (GASIG)'!I8</f>
        <v>0</v>
      </c>
      <c r="H7" s="175">
        <f>'Oferta (GASIG)'!J8</f>
        <v>0</v>
      </c>
      <c r="I7" s="177"/>
      <c r="J7" s="174" t="str">
        <f t="shared" si="2"/>
        <v>PR-RPBC</v>
      </c>
      <c r="K7" s="178">
        <f>'Oferta x Demanda (GASIG)'!B7*'Premissas (GASIG)'!D$20</f>
        <v>0</v>
      </c>
      <c r="L7" s="175">
        <f>'Oferta x Demanda (GASIG)'!C7*'Premissas (GASIG)'!E$20</f>
        <v>0</v>
      </c>
      <c r="M7" s="176">
        <f>'Oferta x Demanda (GASIG)'!D7*'Premissas (GASIG)'!F$20</f>
        <v>0</v>
      </c>
      <c r="N7" s="178">
        <f>'Oferta x Demanda (GASIG)'!E7*'Premissas (GASIG)'!E$20</f>
        <v>0</v>
      </c>
      <c r="O7" s="178">
        <f>'Oferta x Demanda (GASIG)'!F7*'Premissas (GASIG)'!F$20</f>
        <v>0</v>
      </c>
      <c r="P7" s="178">
        <f>'Oferta x Demanda (GASIG)'!G7*'Premissas (GASIG)'!G$20</f>
        <v>0</v>
      </c>
      <c r="Q7" s="178">
        <f>'Oferta x Demanda (GASIG)'!H7*'Premissas (GASIG)'!H$20</f>
        <v>0</v>
      </c>
      <c r="S7" s="174" t="str">
        <f t="shared" si="3"/>
        <v>PR-RPBC</v>
      </c>
      <c r="T7" s="178">
        <f>K7*'Premissas (GASIG)'!$B$19</f>
        <v>0</v>
      </c>
      <c r="U7" s="175">
        <f>L7*'Premissas (GASIG)'!$B$19</f>
        <v>0</v>
      </c>
      <c r="V7" s="176">
        <f>M7*'Premissas (GASIG)'!$B$19</f>
        <v>0</v>
      </c>
      <c r="W7" s="178">
        <f>N7*'Premissas (GASIG)'!$B$19</f>
        <v>0</v>
      </c>
      <c r="X7" s="178">
        <f>O7*'Premissas (GASIG)'!$B$19</f>
        <v>0</v>
      </c>
      <c r="Y7" s="178">
        <f>P7*'Premissas (GASIG)'!$B$19</f>
        <v>0</v>
      </c>
      <c r="Z7" s="178">
        <f>Q7*'Premissas (GASIG)'!$B$19</f>
        <v>0</v>
      </c>
    </row>
    <row r="8" spans="1:26" ht="14.5" x14ac:dyDescent="0.3">
      <c r="A8" s="174" t="str">
        <f>'Oferta (GASIG)'!A9</f>
        <v>PR-TECAB</v>
      </c>
      <c r="B8" s="175">
        <f>'Oferta (GASIG)'!D9</f>
        <v>11650</v>
      </c>
      <c r="C8" s="175">
        <f>'Oferta (GASIG)'!E9</f>
        <v>7201</v>
      </c>
      <c r="D8" s="176">
        <f>'Oferta (GASIG)'!F9</f>
        <v>6266</v>
      </c>
      <c r="E8" s="175">
        <f>'Oferta (GASIG)'!G9</f>
        <v>6266</v>
      </c>
      <c r="F8" s="175">
        <f>'Oferta (GASIG)'!H9</f>
        <v>6266</v>
      </c>
      <c r="G8" s="175">
        <f>'Oferta (GASIG)'!I9</f>
        <v>6266</v>
      </c>
      <c r="H8" s="175">
        <f>'Oferta (GASIG)'!J9</f>
        <v>6266</v>
      </c>
      <c r="I8" s="177"/>
      <c r="J8" s="174" t="str">
        <f t="shared" si="2"/>
        <v>PR-TECAB</v>
      </c>
      <c r="K8" s="178">
        <f>'Oferta x Demanda (GASIG)'!B8*'Premissas (GASIG)'!D$20</f>
        <v>4252250</v>
      </c>
      <c r="L8" s="175">
        <f>'Oferta x Demanda (GASIG)'!C8*'Premissas (GASIG)'!E$20</f>
        <v>2635566</v>
      </c>
      <c r="M8" s="176">
        <f>'Oferta x Demanda (GASIG)'!D8*'Premissas (GASIG)'!F$20</f>
        <v>2287090</v>
      </c>
      <c r="N8" s="178">
        <f>'Oferta x Demanda (GASIG)'!E8*'Premissas (GASIG)'!E$20</f>
        <v>2293356</v>
      </c>
      <c r="O8" s="178">
        <f>'Oferta x Demanda (GASIG)'!F8*'Premissas (GASIG)'!F$20</f>
        <v>2287090</v>
      </c>
      <c r="P8" s="178">
        <f>'Oferta x Demanda (GASIG)'!G8*'Premissas (GASIG)'!G$20</f>
        <v>2287090</v>
      </c>
      <c r="Q8" s="178">
        <f>'Oferta x Demanda (GASIG)'!H8*'Premissas (GASIG)'!H$20</f>
        <v>2287090</v>
      </c>
      <c r="S8" s="174" t="str">
        <f t="shared" si="3"/>
        <v>PR-TECAB</v>
      </c>
      <c r="T8" s="178">
        <f>K8*'Premissas (GASIG)'!$B$19</f>
        <v>158618190.65275002</v>
      </c>
      <c r="U8" s="175">
        <f>L8*'Premissas (GASIG)'!$B$19</f>
        <v>98312354.698314011</v>
      </c>
      <c r="V8" s="176">
        <f>M8*'Premissas (GASIG)'!$B$19</f>
        <v>85313440.569110006</v>
      </c>
      <c r="W8" s="178">
        <f>N8*'Premissas (GASIG)'!$B$19</f>
        <v>85547176.022724003</v>
      </c>
      <c r="X8" s="178">
        <f>O8*'Premissas (GASIG)'!$B$19</f>
        <v>85313440.569110006</v>
      </c>
      <c r="Y8" s="178">
        <f>P8*'Premissas (GASIG)'!$B$19</f>
        <v>85313440.569110006</v>
      </c>
      <c r="Z8" s="178">
        <f>Q8*'Premissas (GASIG)'!$B$19</f>
        <v>85313440.569110006</v>
      </c>
    </row>
    <row r="9" spans="1:26" ht="14.5" x14ac:dyDescent="0.3">
      <c r="A9" s="174" t="str">
        <f>'Oferta (GASIG)'!A10</f>
        <v>PR-GUARAREMA (INTERCONEXÃO)</v>
      </c>
      <c r="B9" s="175">
        <f>'Oferta (GASIG)'!D10</f>
        <v>7000</v>
      </c>
      <c r="C9" s="175">
        <f>'Oferta (GASIG)'!E10</f>
        <v>6000</v>
      </c>
      <c r="D9" s="176">
        <f>'Oferta (GASIG)'!F10</f>
        <v>6000</v>
      </c>
      <c r="E9" s="175">
        <f>'Oferta (GASIG)'!G10</f>
        <v>6000</v>
      </c>
      <c r="F9" s="175">
        <f>'Oferta (GASIG)'!H10</f>
        <v>6000</v>
      </c>
      <c r="G9" s="175">
        <f>'Oferta (GASIG)'!I10</f>
        <v>6000</v>
      </c>
      <c r="H9" s="175">
        <f>'Oferta (GASIG)'!J10</f>
        <v>6000</v>
      </c>
      <c r="I9" s="177"/>
      <c r="J9" s="174" t="str">
        <f t="shared" si="2"/>
        <v>PR-GUARAREMA (INTERCONEXÃO)</v>
      </c>
      <c r="K9" s="178">
        <f>'Oferta x Demanda (GASIG)'!B9*'Premissas (GASIG)'!D$20</f>
        <v>2555000</v>
      </c>
      <c r="L9" s="175">
        <f>'Oferta x Demanda (GASIG)'!C9*'Premissas (GASIG)'!E$20</f>
        <v>2196000</v>
      </c>
      <c r="M9" s="176">
        <f>'Oferta x Demanda (GASIG)'!D9*'Premissas (GASIG)'!F$20</f>
        <v>2190000</v>
      </c>
      <c r="N9" s="178">
        <f>'Oferta x Demanda (GASIG)'!E9*'Premissas (GASIG)'!E$20</f>
        <v>2196000</v>
      </c>
      <c r="O9" s="178">
        <f>'Oferta x Demanda (GASIG)'!F9*'Premissas (GASIG)'!F$20</f>
        <v>2190000</v>
      </c>
      <c r="P9" s="178">
        <f>'Oferta x Demanda (GASIG)'!G9*'Premissas (GASIG)'!G$20</f>
        <v>2190000</v>
      </c>
      <c r="Q9" s="178">
        <f>'Oferta x Demanda (GASIG)'!H9*'Premissas (GASIG)'!H$20</f>
        <v>2190000</v>
      </c>
      <c r="S9" s="174" t="str">
        <f t="shared" si="3"/>
        <v>PR-GUARAREMA (INTERCONEXÃO)</v>
      </c>
      <c r="T9" s="178">
        <f>K9*'Premissas (GASIG)'!$B$19</f>
        <v>95307067.344999999</v>
      </c>
      <c r="U9" s="175">
        <f>L9*'Premissas (GASIG)'!$B$19</f>
        <v>81915585.084000006</v>
      </c>
      <c r="V9" s="176">
        <f>M9*'Premissas (GASIG)'!$B$19</f>
        <v>81691772.010000005</v>
      </c>
      <c r="W9" s="178">
        <f>N9*'Premissas (GASIG)'!$B$19</f>
        <v>81915585.084000006</v>
      </c>
      <c r="X9" s="178">
        <f>O9*'Premissas (GASIG)'!$B$19</f>
        <v>81691772.010000005</v>
      </c>
      <c r="Y9" s="178">
        <f>P9*'Premissas (GASIG)'!$B$19</f>
        <v>81691772.010000005</v>
      </c>
      <c r="Z9" s="178">
        <f>Q9*'Premissas (GASIG)'!$B$19</f>
        <v>81691772.010000005</v>
      </c>
    </row>
    <row r="10" spans="1:26" ht="14.5" x14ac:dyDescent="0.3">
      <c r="A10" s="174" t="str">
        <f>'Oferta (GASIG)'!A11</f>
        <v>PR-REPLAN (INTERCONEXÃO)</v>
      </c>
      <c r="B10" s="175">
        <f>'Oferta (GASIG)'!D11</f>
        <v>8400</v>
      </c>
      <c r="C10" s="175">
        <f>'Oferta (GASIG)'!E11</f>
        <v>205</v>
      </c>
      <c r="D10" s="176">
        <f>'Oferta (GASIG)'!F11</f>
        <v>205</v>
      </c>
      <c r="E10" s="175">
        <f>'Oferta (GASIG)'!G11</f>
        <v>205</v>
      </c>
      <c r="F10" s="175">
        <f>'Oferta (GASIG)'!H11</f>
        <v>205</v>
      </c>
      <c r="G10" s="175">
        <f>'Oferta (GASIG)'!I11</f>
        <v>205</v>
      </c>
      <c r="H10" s="175">
        <f>'Oferta (GASIG)'!J11</f>
        <v>205</v>
      </c>
      <c r="I10" s="177"/>
      <c r="J10" s="174" t="str">
        <f t="shared" si="2"/>
        <v>PR-REPLAN (INTERCONEXÃO)</v>
      </c>
      <c r="K10" s="178">
        <f>'Oferta x Demanda (GASIG)'!B10*'Premissas (GASIG)'!D$20</f>
        <v>3066000</v>
      </c>
      <c r="L10" s="175">
        <f>'Oferta x Demanda (GASIG)'!C10*'Premissas (GASIG)'!E$20</f>
        <v>75030</v>
      </c>
      <c r="M10" s="176">
        <f>'Oferta x Demanda (GASIG)'!D10*'Premissas (GASIG)'!F$20</f>
        <v>74825</v>
      </c>
      <c r="N10" s="178">
        <f>'Oferta x Demanda (GASIG)'!E10*'Premissas (GASIG)'!E$20</f>
        <v>75030</v>
      </c>
      <c r="O10" s="178">
        <f>'Oferta x Demanda (GASIG)'!F10*'Premissas (GASIG)'!F$20</f>
        <v>74825</v>
      </c>
      <c r="P10" s="178">
        <f>'Oferta x Demanda (GASIG)'!G10*'Premissas (GASIG)'!G$20</f>
        <v>74825</v>
      </c>
      <c r="Q10" s="178">
        <f>'Oferta x Demanda (GASIG)'!H10*'Premissas (GASIG)'!H$20</f>
        <v>74825</v>
      </c>
      <c r="S10" s="174" t="str">
        <f t="shared" si="3"/>
        <v>PR-REPLAN (INTERCONEXÃO)</v>
      </c>
      <c r="T10" s="178">
        <f>K10*'Premissas (GASIG)'!$B$19</f>
        <v>114368480.81400001</v>
      </c>
      <c r="U10" s="175">
        <f>L10*'Premissas (GASIG)'!$B$19</f>
        <v>2798782.4903700002</v>
      </c>
      <c r="V10" s="176">
        <f>M10*'Premissas (GASIG)'!$B$19</f>
        <v>2791135.5436750003</v>
      </c>
      <c r="W10" s="178">
        <f>N10*'Premissas (GASIG)'!$B$19</f>
        <v>2798782.4903700002</v>
      </c>
      <c r="X10" s="178">
        <f>O10*'Premissas (GASIG)'!$B$19</f>
        <v>2791135.5436750003</v>
      </c>
      <c r="Y10" s="178">
        <f>P10*'Premissas (GASIG)'!$B$19</f>
        <v>2791135.5436750003</v>
      </c>
      <c r="Z10" s="178">
        <f>Q10*'Premissas (GASIG)'!$B$19</f>
        <v>2791135.5436750003</v>
      </c>
    </row>
    <row r="11" spans="1:26" ht="14.5" x14ac:dyDescent="0.3">
      <c r="A11" s="174" t="str">
        <f>'Oferta (GASIG)'!A12</f>
        <v>PR-TECAB (INTERCONEXÃO)</v>
      </c>
      <c r="B11" s="175">
        <f>'Oferta (GASIG)'!D12</f>
        <v>8000</v>
      </c>
      <c r="C11" s="175">
        <f>'Oferta (GASIG)'!E12</f>
        <v>1E-3</v>
      </c>
      <c r="D11" s="176">
        <f>'Oferta (GASIG)'!F12</f>
        <v>200</v>
      </c>
      <c r="E11" s="175">
        <f>'Oferta (GASIG)'!G12</f>
        <v>200</v>
      </c>
      <c r="F11" s="175">
        <f>'Oferta (GASIG)'!H12</f>
        <v>200</v>
      </c>
      <c r="G11" s="175">
        <f>'Oferta (GASIG)'!I12</f>
        <v>200</v>
      </c>
      <c r="H11" s="175">
        <f>'Oferta (GASIG)'!J12</f>
        <v>200</v>
      </c>
      <c r="I11" s="177"/>
      <c r="J11" s="174" t="str">
        <f t="shared" si="2"/>
        <v>PR-TECAB (INTERCONEXÃO)</v>
      </c>
      <c r="K11" s="178">
        <f>'Oferta x Demanda (GASIG)'!B11*'Premissas (GASIG)'!D$20</f>
        <v>2920000</v>
      </c>
      <c r="L11" s="175">
        <f>'Oferta x Demanda (GASIG)'!C11*'Premissas (GASIG)'!E$20</f>
        <v>0.36599999999999999</v>
      </c>
      <c r="M11" s="176">
        <f>'Oferta x Demanda (GASIG)'!D11*'Premissas (GASIG)'!F$20</f>
        <v>73000</v>
      </c>
      <c r="N11" s="178">
        <f>'Oferta x Demanda (GASIG)'!E11*'Premissas (GASIG)'!E$20</f>
        <v>73200</v>
      </c>
      <c r="O11" s="178">
        <f>'Oferta x Demanda (GASIG)'!F11*'Premissas (GASIG)'!F$20</f>
        <v>73000</v>
      </c>
      <c r="P11" s="178">
        <f>'Oferta x Demanda (GASIG)'!G11*'Premissas (GASIG)'!G$20</f>
        <v>73000</v>
      </c>
      <c r="Q11" s="178">
        <f>'Oferta x Demanda (GASIG)'!H11*'Premissas (GASIG)'!H$20</f>
        <v>73000</v>
      </c>
      <c r="S11" s="174" t="str">
        <f t="shared" si="3"/>
        <v>PR-TECAB (INTERCONEXÃO)</v>
      </c>
      <c r="T11" s="178">
        <f>K11*'Premissas (GASIG)'!$B$19</f>
        <v>108922362.68000001</v>
      </c>
      <c r="U11" s="175">
        <f>L11*'Premissas (GASIG)'!$B$19</f>
        <v>13.652597514</v>
      </c>
      <c r="V11" s="176">
        <f>M11*'Premissas (GASIG)'!$B$19</f>
        <v>2723059.0670000003</v>
      </c>
      <c r="W11" s="178">
        <f>N11*'Premissas (GASIG)'!$B$19</f>
        <v>2730519.5028000004</v>
      </c>
      <c r="X11" s="178">
        <f>O11*'Premissas (GASIG)'!$B$19</f>
        <v>2723059.0670000003</v>
      </c>
      <c r="Y11" s="178">
        <f>P11*'Premissas (GASIG)'!$B$19</f>
        <v>2723059.0670000003</v>
      </c>
      <c r="Z11" s="178">
        <f>Q11*'Premissas (GASIG)'!$B$19</f>
        <v>2723059.0670000003</v>
      </c>
    </row>
    <row r="12" spans="1:26" ht="14.5" x14ac:dyDescent="0.3">
      <c r="A12" s="285" t="s">
        <v>234</v>
      </c>
      <c r="B12" s="41">
        <f>SUM(B2:B11)</f>
        <v>78622</v>
      </c>
      <c r="C12" s="41">
        <f>SUM(C2:C11)</f>
        <v>55427.000999999997</v>
      </c>
      <c r="D12" s="41">
        <f t="shared" ref="D12:H12" si="4">SUM(D2:D11)</f>
        <v>55967</v>
      </c>
      <c r="E12" s="41">
        <f t="shared" si="4"/>
        <v>55842</v>
      </c>
      <c r="F12" s="41">
        <f t="shared" si="4"/>
        <v>55835</v>
      </c>
      <c r="G12" s="41">
        <f t="shared" si="4"/>
        <v>55851</v>
      </c>
      <c r="H12" s="41">
        <f t="shared" si="4"/>
        <v>55851</v>
      </c>
      <c r="I12" s="41"/>
      <c r="J12" s="285" t="s">
        <v>234</v>
      </c>
      <c r="K12" s="41">
        <f>SUM(K2:K11)</f>
        <v>28697030</v>
      </c>
      <c r="L12" s="41">
        <f>SUM(L2:L11)</f>
        <v>20286282.366</v>
      </c>
      <c r="M12" s="41">
        <f>SUM(M2:M11)</f>
        <v>20427955</v>
      </c>
      <c r="N12" s="41">
        <f>SUM(N2:N11)</f>
        <v>20438172</v>
      </c>
      <c r="O12" s="41">
        <f>SUM(O2:O11)</f>
        <v>20379775</v>
      </c>
      <c r="P12" s="41">
        <f t="shared" ref="P12:Q12" si="5">SUM(P2:P11)</f>
        <v>20385615</v>
      </c>
      <c r="Q12" s="41">
        <f t="shared" si="5"/>
        <v>20385615</v>
      </c>
      <c r="R12" s="41"/>
      <c r="S12" s="285" t="s">
        <v>234</v>
      </c>
      <c r="T12" s="41">
        <f>SUM(T2:T11)</f>
        <v>1070461749.8283701</v>
      </c>
      <c r="U12" s="41">
        <f>SUM(U2:U11)</f>
        <v>756722536.06107569</v>
      </c>
      <c r="V12" s="41">
        <f>SUM(V2:V11)</f>
        <v>762007234.01394498</v>
      </c>
      <c r="W12" s="41">
        <f>SUM(W2:W11)</f>
        <v>762388350.37678814</v>
      </c>
      <c r="X12" s="41">
        <f>SUM(X2:X11)</f>
        <v>760210015.02972507</v>
      </c>
      <c r="Y12" s="41">
        <f t="shared" ref="Y12:Z12" si="6">SUM(Y2:Y11)</f>
        <v>760427859.75508511</v>
      </c>
      <c r="Z12" s="41">
        <f t="shared" si="6"/>
        <v>760427859.75508511</v>
      </c>
    </row>
    <row r="13" spans="1:26" hidden="1" x14ac:dyDescent="0.3">
      <c r="B13" s="41">
        <f>'Oferta (GASIG)'!D13</f>
        <v>78622</v>
      </c>
      <c r="C13" s="41">
        <f>'Oferta (GASIG)'!E13</f>
        <v>55427.000999999997</v>
      </c>
      <c r="D13" s="41">
        <f>'Oferta (GASIG)'!F13</f>
        <v>55967</v>
      </c>
      <c r="E13" s="41">
        <f>'Oferta (GASIG)'!G13</f>
        <v>55842</v>
      </c>
      <c r="F13" s="41">
        <f>'Oferta (GASIG)'!H13</f>
        <v>55835</v>
      </c>
      <c r="G13" s="41">
        <f>'Oferta (GASIG)'!I13</f>
        <v>55851</v>
      </c>
      <c r="H13" s="41">
        <f>'Oferta (GASIG)'!J13</f>
        <v>55851</v>
      </c>
      <c r="K13" s="41">
        <f>B13*'Premissas (GASIG)'!D20</f>
        <v>28697030</v>
      </c>
      <c r="L13" s="41">
        <f>C13*'Premissas (GASIG)'!E20</f>
        <v>20286282.366</v>
      </c>
      <c r="M13" s="41">
        <f>D13*'Premissas (GASIG)'!F20</f>
        <v>20427955</v>
      </c>
      <c r="N13" s="41">
        <f>E13*'Premissas (GASIG)'!E20</f>
        <v>20438172</v>
      </c>
      <c r="O13" s="41">
        <f>F13*'Premissas (GASIG)'!F20</f>
        <v>20379775</v>
      </c>
      <c r="P13" s="41">
        <f>G13*'Premissas (GASIG)'!G20</f>
        <v>20385615</v>
      </c>
      <c r="Q13" s="41">
        <f>H13*'Premissas (GASIG)'!H20</f>
        <v>20385615</v>
      </c>
      <c r="R13" s="41"/>
      <c r="S13" s="41"/>
      <c r="T13" s="41">
        <f>K13*'Premissas (GASIG)'!$B$19</f>
        <v>1070461749.8283701</v>
      </c>
      <c r="U13" s="41">
        <f>L13*'Premissas (GASIG)'!$B$19</f>
        <v>756722536.06107557</v>
      </c>
      <c r="V13" s="41">
        <f>M13*'Premissas (GASIG)'!$B$19</f>
        <v>762007234.0139451</v>
      </c>
      <c r="W13" s="41">
        <f>N13*'Premissas (GASIG)'!$B$19</f>
        <v>762388350.37678802</v>
      </c>
      <c r="X13" s="41">
        <f>O13*'Premissas (GASIG)'!$B$19</f>
        <v>760210015.02972507</v>
      </c>
      <c r="Y13" s="41">
        <f>P13*'Premissas (GASIG)'!$B$19</f>
        <v>760427859.75508499</v>
      </c>
      <c r="Z13" s="41">
        <f>Q13*'Premissas (GASIG)'!$B$19</f>
        <v>760427859.75508499</v>
      </c>
    </row>
    <row r="14" spans="1:26" hidden="1" x14ac:dyDescent="0.3">
      <c r="B14" s="41">
        <f>B12-B13</f>
        <v>0</v>
      </c>
      <c r="C14" s="41">
        <f>C12-C13</f>
        <v>0</v>
      </c>
      <c r="D14" s="41">
        <f>D12-D13</f>
        <v>0</v>
      </c>
      <c r="E14" s="41">
        <f>E12-E13</f>
        <v>0</v>
      </c>
      <c r="F14" s="41">
        <f>F12-F13</f>
        <v>0</v>
      </c>
      <c r="G14" s="41">
        <f t="shared" ref="G14:H14" si="7">G12-G13</f>
        <v>0</v>
      </c>
      <c r="H14" s="41">
        <f t="shared" si="7"/>
        <v>0</v>
      </c>
      <c r="I14" s="41"/>
      <c r="J14" s="41"/>
      <c r="K14" s="41">
        <f>K12-K13</f>
        <v>0</v>
      </c>
      <c r="L14" s="41">
        <f>L12-L13</f>
        <v>0</v>
      </c>
      <c r="M14" s="41">
        <f>M12-M13</f>
        <v>0</v>
      </c>
      <c r="N14" s="41">
        <f>N12-N13</f>
        <v>0</v>
      </c>
      <c r="O14" s="41">
        <f>O12-O13</f>
        <v>0</v>
      </c>
      <c r="P14" s="41">
        <f t="shared" ref="P14:Q14" si="8">P12-P13</f>
        <v>0</v>
      </c>
      <c r="Q14" s="41">
        <f t="shared" si="8"/>
        <v>0</v>
      </c>
      <c r="R14" s="41"/>
      <c r="S14" s="41"/>
      <c r="T14" s="41">
        <f>T12-T13</f>
        <v>0</v>
      </c>
      <c r="U14" s="41">
        <f>U12-U13</f>
        <v>0</v>
      </c>
      <c r="V14" s="41">
        <f>V12-V13</f>
        <v>0</v>
      </c>
      <c r="W14" s="41">
        <f>W12-W13</f>
        <v>0</v>
      </c>
      <c r="X14" s="41">
        <f>X12-X13</f>
        <v>0</v>
      </c>
      <c r="Y14" s="41">
        <f t="shared" ref="Y14:Z14" si="9">Y12-Y13</f>
        <v>0</v>
      </c>
      <c r="Z14" s="41">
        <f t="shared" si="9"/>
        <v>0</v>
      </c>
    </row>
    <row r="16" spans="1:26" ht="17.5" x14ac:dyDescent="0.35">
      <c r="A16" s="173" t="s">
        <v>35</v>
      </c>
      <c r="B16" s="173">
        <f>B1</f>
        <v>2023</v>
      </c>
      <c r="C16" s="173">
        <f t="shared" ref="C16:H16" si="10">C1</f>
        <v>2024</v>
      </c>
      <c r="D16" s="173">
        <f t="shared" si="10"/>
        <v>2025</v>
      </c>
      <c r="E16" s="173">
        <f t="shared" si="10"/>
        <v>2026</v>
      </c>
      <c r="F16" s="173">
        <f t="shared" si="10"/>
        <v>2027</v>
      </c>
      <c r="G16" s="173">
        <f t="shared" si="10"/>
        <v>2028</v>
      </c>
      <c r="H16" s="173">
        <f t="shared" si="10"/>
        <v>2029</v>
      </c>
      <c r="J16" s="173" t="s">
        <v>447</v>
      </c>
      <c r="K16" s="173">
        <f>B16</f>
        <v>2023</v>
      </c>
      <c r="L16" s="173">
        <f>C16</f>
        <v>2024</v>
      </c>
      <c r="M16" s="173">
        <f>D16</f>
        <v>2025</v>
      </c>
      <c r="N16" s="173">
        <f>E16</f>
        <v>2026</v>
      </c>
      <c r="O16" s="173">
        <f>F16</f>
        <v>2027</v>
      </c>
      <c r="P16" s="173">
        <f t="shared" ref="P16:Q16" si="11">G16</f>
        <v>2028</v>
      </c>
      <c r="Q16" s="173">
        <f t="shared" si="11"/>
        <v>2029</v>
      </c>
      <c r="S16" s="173" t="s">
        <v>37</v>
      </c>
      <c r="T16" s="173">
        <f>T1</f>
        <v>2023</v>
      </c>
      <c r="U16" s="173">
        <f>U1</f>
        <v>2024</v>
      </c>
      <c r="V16" s="173">
        <f>V1</f>
        <v>2025</v>
      </c>
      <c r="W16" s="173">
        <f>W1</f>
        <v>2026</v>
      </c>
      <c r="X16" s="173">
        <f>X1</f>
        <v>2027</v>
      </c>
      <c r="Y16" s="173">
        <f t="shared" ref="Y16:Z16" si="12">Y1</f>
        <v>2028</v>
      </c>
      <c r="Z16" s="173">
        <f t="shared" si="12"/>
        <v>2029</v>
      </c>
    </row>
    <row r="17" spans="1:26" ht="14.5" x14ac:dyDescent="0.3">
      <c r="A17" s="174" t="str">
        <f>'Demanda (GASIG)'!A3</f>
        <v>NTS MG 1</v>
      </c>
      <c r="B17" s="179">
        <f>'Demanda (GASIG)'!D3</f>
        <v>622</v>
      </c>
      <c r="C17" s="179">
        <f>'Demanda (GASIG)'!E3</f>
        <v>633</v>
      </c>
      <c r="D17" s="176">
        <f>'Demanda (GASIG)'!F3</f>
        <v>633</v>
      </c>
      <c r="E17" s="179">
        <f>'Demanda (GASIG)'!G3</f>
        <v>633</v>
      </c>
      <c r="F17" s="179">
        <f>'Demanda (GASIG)'!H3</f>
        <v>633</v>
      </c>
      <c r="G17" s="179">
        <f>'Demanda (GASIG)'!I3</f>
        <v>633</v>
      </c>
      <c r="H17" s="179">
        <f>'Demanda (GASIG)'!J3</f>
        <v>633</v>
      </c>
      <c r="J17" s="174" t="str">
        <f>'Demanda (GASIG)'!A3</f>
        <v>NTS MG 1</v>
      </c>
      <c r="K17" s="179">
        <f>B17*'Premissas (GASIG)'!D$20</f>
        <v>227030</v>
      </c>
      <c r="L17" s="179">
        <f>C17*'Premissas (GASIG)'!E$20</f>
        <v>231678</v>
      </c>
      <c r="M17" s="176">
        <f>D17*'Premissas (GASIG)'!F$20</f>
        <v>231045</v>
      </c>
      <c r="N17" s="179">
        <f>E17*'Premissas (GASIG)'!E$20</f>
        <v>231678</v>
      </c>
      <c r="O17" s="179">
        <f>F17*'Premissas (GASIG)'!F$20</f>
        <v>231045</v>
      </c>
      <c r="P17" s="179">
        <f>G17*'Premissas (GASIG)'!G$20</f>
        <v>231045</v>
      </c>
      <c r="Q17" s="179">
        <f>H17*'Premissas (GASIG)'!H$20</f>
        <v>231045</v>
      </c>
      <c r="S17" s="174" t="str">
        <f>J17</f>
        <v>NTS MG 1</v>
      </c>
      <c r="T17" s="180">
        <f>K17*'Premissas (GASIG)'!$B$19</f>
        <v>8468713.6983700003</v>
      </c>
      <c r="U17" s="179">
        <f>L17*'Premissas (GASIG)'!$B$19</f>
        <v>8642094.2263620012</v>
      </c>
      <c r="V17" s="176">
        <f>M17*'Premissas (GASIG)'!$B$19</f>
        <v>8618481.9470550008</v>
      </c>
      <c r="W17" s="180">
        <f>N17*'Premissas (GASIG)'!$B$19</f>
        <v>8642094.2263620012</v>
      </c>
      <c r="X17" s="180">
        <f>O17*'Premissas (GASIG)'!$B$19</f>
        <v>8618481.9470550008</v>
      </c>
      <c r="Y17" s="180">
        <f>P17*'Premissas (GASIG)'!$B$19</f>
        <v>8618481.9470550008</v>
      </c>
      <c r="Z17" s="180">
        <f>Q17*'Premissas (GASIG)'!$B$19</f>
        <v>8618481.9470550008</v>
      </c>
    </row>
    <row r="18" spans="1:26" ht="14.5" x14ac:dyDescent="0.3">
      <c r="A18" s="174" t="str">
        <f>'Demanda (GASIG)'!A4</f>
        <v>NTS MG 2</v>
      </c>
      <c r="B18" s="179">
        <f>'Demanda (GASIG)'!D4</f>
        <v>1364</v>
      </c>
      <c r="C18" s="179">
        <f>'Demanda (GASIG)'!E4</f>
        <v>1580</v>
      </c>
      <c r="D18" s="176">
        <f>'Demanda (GASIG)'!F4</f>
        <v>1098</v>
      </c>
      <c r="E18" s="179">
        <f>'Demanda (GASIG)'!G4</f>
        <v>1098</v>
      </c>
      <c r="F18" s="179">
        <f>'Demanda (GASIG)'!H4</f>
        <v>1098</v>
      </c>
      <c r="G18" s="179">
        <f>'Demanda (GASIG)'!I4</f>
        <v>1098</v>
      </c>
      <c r="H18" s="179">
        <f>'Demanda (GASIG)'!J4</f>
        <v>1098</v>
      </c>
      <c r="J18" s="174" t="str">
        <f>'Demanda (GASIG)'!A4</f>
        <v>NTS MG 2</v>
      </c>
      <c r="K18" s="179">
        <f>B18*'Premissas (GASIG)'!D$20</f>
        <v>497860</v>
      </c>
      <c r="L18" s="179">
        <f>C18*'Premissas (GASIG)'!E$20</f>
        <v>578280</v>
      </c>
      <c r="M18" s="176">
        <f>D18*'Premissas (GASIG)'!F$20</f>
        <v>400770</v>
      </c>
      <c r="N18" s="179">
        <f>E18*'Premissas (GASIG)'!E$20</f>
        <v>401868</v>
      </c>
      <c r="O18" s="179">
        <f>F18*'Premissas (GASIG)'!F$20</f>
        <v>400770</v>
      </c>
      <c r="P18" s="179">
        <f>G18*'Premissas (GASIG)'!G$20</f>
        <v>400770</v>
      </c>
      <c r="Q18" s="179">
        <f>H18*'Premissas (GASIG)'!H$20</f>
        <v>400770</v>
      </c>
      <c r="S18" s="174" t="str">
        <f t="shared" ref="S18:S32" si="13">J18</f>
        <v>NTS MG 2</v>
      </c>
      <c r="T18" s="180">
        <f>K18*'Premissas (GASIG)'!$B$19</f>
        <v>18571262.836940002</v>
      </c>
      <c r="U18" s="179">
        <f>L18*'Premissas (GASIG)'!$B$19</f>
        <v>21571104.07212</v>
      </c>
      <c r="V18" s="176">
        <f>M18*'Premissas (GASIG)'!$B$19</f>
        <v>14949594.277830001</v>
      </c>
      <c r="W18" s="180">
        <f>N18*'Premissas (GASIG)'!$B$19</f>
        <v>14990552.070372</v>
      </c>
      <c r="X18" s="180">
        <f>O18*'Premissas (GASIG)'!$B$19</f>
        <v>14949594.277830001</v>
      </c>
      <c r="Y18" s="180">
        <f>P18*'Premissas (GASIG)'!$B$19</f>
        <v>14949594.277830001</v>
      </c>
      <c r="Z18" s="180">
        <f>Q18*'Premissas (GASIG)'!$B$19</f>
        <v>14949594.277830001</v>
      </c>
    </row>
    <row r="19" spans="1:26" ht="14.5" x14ac:dyDescent="0.3">
      <c r="A19" s="174" t="str">
        <f>'Demanda (GASIG)'!A5</f>
        <v>NTS MG 3</v>
      </c>
      <c r="B19" s="179">
        <f>'Demanda (GASIG)'!D5</f>
        <v>2920</v>
      </c>
      <c r="C19" s="179">
        <f>'Demanda (GASIG)'!E5</f>
        <v>2852</v>
      </c>
      <c r="D19" s="176">
        <f>'Demanda (GASIG)'!F5</f>
        <v>2852</v>
      </c>
      <c r="E19" s="179">
        <f>'Demanda (GASIG)'!G5</f>
        <v>2852</v>
      </c>
      <c r="F19" s="179">
        <f>'Demanda (GASIG)'!H5</f>
        <v>2852</v>
      </c>
      <c r="G19" s="179">
        <f>'Demanda (GASIG)'!I5</f>
        <v>2852</v>
      </c>
      <c r="H19" s="179">
        <f>'Demanda (GASIG)'!J5</f>
        <v>2852</v>
      </c>
      <c r="J19" s="174" t="str">
        <f>'Demanda (GASIG)'!A5</f>
        <v>NTS MG 3</v>
      </c>
      <c r="K19" s="179">
        <f>B19*'Premissas (GASIG)'!D$20</f>
        <v>1065800</v>
      </c>
      <c r="L19" s="179">
        <f>C19*'Premissas (GASIG)'!E$20</f>
        <v>1043832</v>
      </c>
      <c r="M19" s="176">
        <f>D19*'Premissas (GASIG)'!F$20</f>
        <v>1040980</v>
      </c>
      <c r="N19" s="179">
        <f>E19*'Premissas (GASIG)'!E$20</f>
        <v>1043832</v>
      </c>
      <c r="O19" s="179">
        <f>F19*'Premissas (GASIG)'!F$20</f>
        <v>1040980</v>
      </c>
      <c r="P19" s="179">
        <f>G19*'Premissas (GASIG)'!G$20</f>
        <v>1040980</v>
      </c>
      <c r="Q19" s="179">
        <f>H19*'Premissas (GASIG)'!H$20</f>
        <v>1040980</v>
      </c>
      <c r="S19" s="174" t="str">
        <f t="shared" si="13"/>
        <v>NTS MG 3</v>
      </c>
      <c r="T19" s="180">
        <f>K19*'Premissas (GASIG)'!$B$19</f>
        <v>39756662.378200002</v>
      </c>
      <c r="U19" s="179">
        <f>L19*'Premissas (GASIG)'!$B$19</f>
        <v>38937208.109928004</v>
      </c>
      <c r="V19" s="176">
        <f>M19*'Premissas (GASIG)'!$B$19</f>
        <v>38830822.295420006</v>
      </c>
      <c r="W19" s="180">
        <f>N19*'Premissas (GASIG)'!$B$19</f>
        <v>38937208.109928004</v>
      </c>
      <c r="X19" s="180">
        <f>O19*'Premissas (GASIG)'!$B$19</f>
        <v>38830822.295420006</v>
      </c>
      <c r="Y19" s="180">
        <f>P19*'Premissas (GASIG)'!$B$19</f>
        <v>38830822.295420006</v>
      </c>
      <c r="Z19" s="180">
        <f>Q19*'Premissas (GASIG)'!$B$19</f>
        <v>38830822.295420006</v>
      </c>
    </row>
    <row r="20" spans="1:26" ht="14.5" x14ac:dyDescent="0.3">
      <c r="A20" s="174" t="str">
        <f>'Demanda (GASIG)'!A6</f>
        <v>NTS MG 4</v>
      </c>
      <c r="B20" s="179">
        <f>'Demanda (GASIG)'!D6</f>
        <v>1250</v>
      </c>
      <c r="C20" s="179">
        <f>'Demanda (GASIG)'!E6</f>
        <v>300</v>
      </c>
      <c r="D20" s="176">
        <f>'Demanda (GASIG)'!F6</f>
        <v>305</v>
      </c>
      <c r="E20" s="179">
        <f>'Demanda (GASIG)'!G6</f>
        <v>305</v>
      </c>
      <c r="F20" s="179">
        <f>'Demanda (GASIG)'!H6</f>
        <v>305</v>
      </c>
      <c r="G20" s="179">
        <f>'Demanda (GASIG)'!I6</f>
        <v>305</v>
      </c>
      <c r="H20" s="179">
        <f>'Demanda (GASIG)'!J6</f>
        <v>305</v>
      </c>
      <c r="J20" s="174" t="str">
        <f>'Demanda (GASIG)'!A6</f>
        <v>NTS MG 4</v>
      </c>
      <c r="K20" s="179">
        <f>B20*'Premissas (GASIG)'!D$20</f>
        <v>456250</v>
      </c>
      <c r="L20" s="179">
        <f>C20*'Premissas (GASIG)'!E$20</f>
        <v>109800</v>
      </c>
      <c r="M20" s="176">
        <f>D20*'Premissas (GASIG)'!F$20</f>
        <v>111325</v>
      </c>
      <c r="N20" s="179">
        <f>E20*'Premissas (GASIG)'!E$20</f>
        <v>111630</v>
      </c>
      <c r="O20" s="179">
        <f>F20*'Premissas (GASIG)'!F$20</f>
        <v>111325</v>
      </c>
      <c r="P20" s="179">
        <f>G20*'Premissas (GASIG)'!G$20</f>
        <v>111325</v>
      </c>
      <c r="Q20" s="179">
        <f>H20*'Premissas (GASIG)'!H$20</f>
        <v>111325</v>
      </c>
      <c r="S20" s="174" t="str">
        <f t="shared" si="13"/>
        <v>NTS MG 4</v>
      </c>
      <c r="T20" s="180">
        <f>K20*'Premissas (GASIG)'!$B$19</f>
        <v>17019119.168749999</v>
      </c>
      <c r="U20" s="179">
        <f>L20*'Premissas (GASIG)'!$B$19</f>
        <v>4095779.2542000003</v>
      </c>
      <c r="V20" s="176">
        <f>M20*'Premissas (GASIG)'!$B$19</f>
        <v>4152665.0771750002</v>
      </c>
      <c r="W20" s="180">
        <f>N20*'Premissas (GASIG)'!$B$19</f>
        <v>4164042.2417700002</v>
      </c>
      <c r="X20" s="180">
        <f>O20*'Premissas (GASIG)'!$B$19</f>
        <v>4152665.0771750002</v>
      </c>
      <c r="Y20" s="180">
        <f>P20*'Premissas (GASIG)'!$B$19</f>
        <v>4152665.0771750002</v>
      </c>
      <c r="Z20" s="180">
        <f>Q20*'Premissas (GASIG)'!$B$19</f>
        <v>4152665.0771750002</v>
      </c>
    </row>
    <row r="21" spans="1:26" ht="14.5" x14ac:dyDescent="0.3">
      <c r="A21" s="174" t="str">
        <f>'Demanda (GASIG)'!A7</f>
        <v>NTS RJ 1</v>
      </c>
      <c r="B21" s="179">
        <f>'Demanda (GASIG)'!D7</f>
        <v>17531</v>
      </c>
      <c r="C21" s="179">
        <f>'Demanda (GASIG)'!E7</f>
        <v>17374</v>
      </c>
      <c r="D21" s="176">
        <f>'Demanda (GASIG)'!F7</f>
        <v>13624</v>
      </c>
      <c r="E21" s="179">
        <f>'Demanda (GASIG)'!G7</f>
        <v>13624</v>
      </c>
      <c r="F21" s="179">
        <f>'Demanda (GASIG)'!H7</f>
        <v>13624</v>
      </c>
      <c r="G21" s="179">
        <f>'Demanda (GASIG)'!I7</f>
        <v>13624</v>
      </c>
      <c r="H21" s="179">
        <f>'Demanda (GASIG)'!J7</f>
        <v>13624</v>
      </c>
      <c r="J21" s="174" t="str">
        <f>'Demanda (GASIG)'!A7</f>
        <v>NTS RJ 1</v>
      </c>
      <c r="K21" s="179">
        <f>B21*'Premissas (GASIG)'!D$20</f>
        <v>6398815</v>
      </c>
      <c r="L21" s="179">
        <f>C21*'Premissas (GASIG)'!E$20</f>
        <v>6358884</v>
      </c>
      <c r="M21" s="176">
        <f>D21*'Premissas (GASIG)'!F$20</f>
        <v>4972760</v>
      </c>
      <c r="N21" s="179">
        <f>E21*'Premissas (GASIG)'!E$20</f>
        <v>4986384</v>
      </c>
      <c r="O21" s="179">
        <f>F21*'Premissas (GASIG)'!F$20</f>
        <v>4972760</v>
      </c>
      <c r="P21" s="179">
        <f>G21*'Premissas (GASIG)'!G$20</f>
        <v>4972760</v>
      </c>
      <c r="Q21" s="179">
        <f>H21*'Premissas (GASIG)'!H$20</f>
        <v>4972760</v>
      </c>
      <c r="S21" s="174" t="str">
        <f t="shared" si="13"/>
        <v>NTS RJ 1</v>
      </c>
      <c r="T21" s="180">
        <f>K21*'Premissas (GASIG)'!$B$19</f>
        <v>238689742.51788503</v>
      </c>
      <c r="U21" s="179">
        <f>L21*'Premissas (GASIG)'!$B$19</f>
        <v>237200229.20823601</v>
      </c>
      <c r="V21" s="176">
        <f>M21*'Premissas (GASIG)'!$B$19</f>
        <v>185494783.64404002</v>
      </c>
      <c r="W21" s="180">
        <f>N21*'Premissas (GASIG)'!$B$19</f>
        <v>186002988.530736</v>
      </c>
      <c r="X21" s="180">
        <f>O21*'Premissas (GASIG)'!$B$19</f>
        <v>185494783.64404002</v>
      </c>
      <c r="Y21" s="180">
        <f>P21*'Premissas (GASIG)'!$B$19</f>
        <v>185494783.64404002</v>
      </c>
      <c r="Z21" s="180">
        <f>Q21*'Premissas (GASIG)'!$B$19</f>
        <v>185494783.64404002</v>
      </c>
    </row>
    <row r="22" spans="1:26" ht="14.5" x14ac:dyDescent="0.3">
      <c r="A22" s="174" t="str">
        <f>'Demanda (GASIG)'!A8</f>
        <v>NTS RJ 2</v>
      </c>
      <c r="B22" s="179">
        <f>'Demanda (GASIG)'!D8</f>
        <v>8470</v>
      </c>
      <c r="C22" s="179">
        <f>'Demanda (GASIG)'!E8</f>
        <v>8403</v>
      </c>
      <c r="D22" s="176">
        <f>'Demanda (GASIG)'!F8</f>
        <v>8403</v>
      </c>
      <c r="E22" s="179">
        <f>'Demanda (GASIG)'!G8</f>
        <v>8403</v>
      </c>
      <c r="F22" s="179">
        <f>'Demanda (GASIG)'!H8</f>
        <v>8403</v>
      </c>
      <c r="G22" s="179">
        <f>'Demanda (GASIG)'!I8</f>
        <v>8403</v>
      </c>
      <c r="H22" s="179">
        <f>'Demanda (GASIG)'!J8</f>
        <v>8403</v>
      </c>
      <c r="J22" s="174" t="str">
        <f>'Demanda (GASIG)'!A8</f>
        <v>NTS RJ 2</v>
      </c>
      <c r="K22" s="179">
        <f>B22*'Premissas (GASIG)'!D$20</f>
        <v>3091550</v>
      </c>
      <c r="L22" s="179">
        <f>C22*'Premissas (GASIG)'!E$20</f>
        <v>3075498</v>
      </c>
      <c r="M22" s="176">
        <f>D22*'Premissas (GASIG)'!F$20</f>
        <v>3067095</v>
      </c>
      <c r="N22" s="179">
        <f>E22*'Premissas (GASIG)'!E$20</f>
        <v>3075498</v>
      </c>
      <c r="O22" s="179">
        <f>F22*'Premissas (GASIG)'!F$20</f>
        <v>3067095</v>
      </c>
      <c r="P22" s="179">
        <f>G22*'Premissas (GASIG)'!G$20</f>
        <v>3067095</v>
      </c>
      <c r="Q22" s="179">
        <f>H22*'Premissas (GASIG)'!H$20</f>
        <v>3067095</v>
      </c>
      <c r="S22" s="174" t="str">
        <f t="shared" si="13"/>
        <v>NTS RJ 2</v>
      </c>
      <c r="T22" s="180">
        <f>K22*'Premissas (GASIG)'!$B$19</f>
        <v>115321551.48745</v>
      </c>
      <c r="U22" s="179">
        <f>L22*'Premissas (GASIG)'!$B$19</f>
        <v>114722776.910142</v>
      </c>
      <c r="V22" s="176">
        <f>M22*'Premissas (GASIG)'!$B$19</f>
        <v>114409326.70000501</v>
      </c>
      <c r="W22" s="180">
        <f>N22*'Premissas (GASIG)'!$B$19</f>
        <v>114722776.910142</v>
      </c>
      <c r="X22" s="180">
        <f>O22*'Premissas (GASIG)'!$B$19</f>
        <v>114409326.70000501</v>
      </c>
      <c r="Y22" s="180">
        <f>P22*'Premissas (GASIG)'!$B$19</f>
        <v>114409326.70000501</v>
      </c>
      <c r="Z22" s="180">
        <f>Q22*'Premissas (GASIG)'!$B$19</f>
        <v>114409326.70000501</v>
      </c>
    </row>
    <row r="23" spans="1:26" ht="14.5" x14ac:dyDescent="0.3">
      <c r="A23" s="174" t="str">
        <f>'Demanda (GASIG)'!A9</f>
        <v>NTS RJ 3</v>
      </c>
      <c r="B23" s="179">
        <f>'Demanda (GASIG)'!D9</f>
        <v>1524</v>
      </c>
      <c r="C23" s="179">
        <f>'Demanda (GASIG)'!E9</f>
        <v>2173</v>
      </c>
      <c r="D23" s="176">
        <f>'Demanda (GASIG)'!F9</f>
        <v>2173</v>
      </c>
      <c r="E23" s="179">
        <f>'Demanda (GASIG)'!G9</f>
        <v>2173</v>
      </c>
      <c r="F23" s="179">
        <f>'Demanda (GASIG)'!H9</f>
        <v>2173</v>
      </c>
      <c r="G23" s="179">
        <f>'Demanda (GASIG)'!I9</f>
        <v>2173</v>
      </c>
      <c r="H23" s="179">
        <f>'Demanda (GASIG)'!J9</f>
        <v>2173</v>
      </c>
      <c r="J23" s="174" t="str">
        <f>'Demanda (GASIG)'!A9</f>
        <v>NTS RJ 3</v>
      </c>
      <c r="K23" s="179">
        <f>B23*'Premissas (GASIG)'!D$20</f>
        <v>556260</v>
      </c>
      <c r="L23" s="179">
        <f>C23*'Premissas (GASIG)'!E$20</f>
        <v>795318</v>
      </c>
      <c r="M23" s="176">
        <f>D23*'Premissas (GASIG)'!F$20</f>
        <v>793145</v>
      </c>
      <c r="N23" s="179">
        <f>E23*'Premissas (GASIG)'!E$20</f>
        <v>795318</v>
      </c>
      <c r="O23" s="179">
        <f>F23*'Premissas (GASIG)'!F$20</f>
        <v>793145</v>
      </c>
      <c r="P23" s="179">
        <f>G23*'Premissas (GASIG)'!G$20</f>
        <v>793145</v>
      </c>
      <c r="Q23" s="179">
        <f>H23*'Premissas (GASIG)'!H$20</f>
        <v>793145</v>
      </c>
      <c r="S23" s="174" t="str">
        <f t="shared" si="13"/>
        <v>NTS RJ 3</v>
      </c>
      <c r="T23" s="180">
        <f>K23*'Premissas (GASIG)'!$B$19</f>
        <v>20749710.090540003</v>
      </c>
      <c r="U23" s="179">
        <f>L23*'Premissas (GASIG)'!$B$19</f>
        <v>29667094.397922002</v>
      </c>
      <c r="V23" s="176">
        <f>M23*'Premissas (GASIG)'!$B$19</f>
        <v>29586036.762955002</v>
      </c>
      <c r="W23" s="180">
        <f>N23*'Premissas (GASIG)'!$B$19</f>
        <v>29667094.397922002</v>
      </c>
      <c r="X23" s="180">
        <f>O23*'Premissas (GASIG)'!$B$19</f>
        <v>29586036.762955002</v>
      </c>
      <c r="Y23" s="180">
        <f>P23*'Premissas (GASIG)'!$B$19</f>
        <v>29586036.762955002</v>
      </c>
      <c r="Z23" s="180">
        <f>Q23*'Premissas (GASIG)'!$B$19</f>
        <v>29586036.762955002</v>
      </c>
    </row>
    <row r="24" spans="1:26" ht="14.5" x14ac:dyDescent="0.3">
      <c r="A24" s="174" t="str">
        <f>'Demanda (GASIG)'!A10</f>
        <v>NTS RJ 4</v>
      </c>
      <c r="B24" s="179">
        <f>'Demanda (GASIG)'!D10</f>
        <v>314</v>
      </c>
      <c r="C24" s="179">
        <f>'Demanda (GASIG)'!E10</f>
        <v>283</v>
      </c>
      <c r="D24" s="176">
        <f>'Demanda (GASIG)'!F10</f>
        <v>283</v>
      </c>
      <c r="E24" s="179">
        <f>'Demanda (GASIG)'!G10</f>
        <v>283</v>
      </c>
      <c r="F24" s="179">
        <f>'Demanda (GASIG)'!H10</f>
        <v>283</v>
      </c>
      <c r="G24" s="179">
        <f>'Demanda (GASIG)'!I10</f>
        <v>283</v>
      </c>
      <c r="H24" s="179">
        <f>'Demanda (GASIG)'!J10</f>
        <v>283</v>
      </c>
      <c r="J24" s="174" t="str">
        <f>'Demanda (GASIG)'!A10</f>
        <v>NTS RJ 4</v>
      </c>
      <c r="K24" s="179">
        <f>B24*'Premissas (GASIG)'!D$20</f>
        <v>114610</v>
      </c>
      <c r="L24" s="179">
        <f>C24*'Premissas (GASIG)'!E$20</f>
        <v>103578</v>
      </c>
      <c r="M24" s="176">
        <f>D24*'Premissas (GASIG)'!F$20</f>
        <v>103295</v>
      </c>
      <c r="N24" s="179">
        <f>E24*'Premissas (GASIG)'!E$20</f>
        <v>103578</v>
      </c>
      <c r="O24" s="179">
        <f>F24*'Premissas (GASIG)'!F$20</f>
        <v>103295</v>
      </c>
      <c r="P24" s="179">
        <f>G24*'Premissas (GASIG)'!G$20</f>
        <v>103295</v>
      </c>
      <c r="Q24" s="179">
        <f>H24*'Premissas (GASIG)'!H$20</f>
        <v>103295</v>
      </c>
      <c r="S24" s="174" t="str">
        <f t="shared" si="13"/>
        <v>NTS RJ 4</v>
      </c>
      <c r="T24" s="180">
        <f>K24*'Premissas (GASIG)'!$B$19</f>
        <v>4275202.7351900004</v>
      </c>
      <c r="U24" s="179">
        <f>L24*'Premissas (GASIG)'!$B$19</f>
        <v>3863685.0964620002</v>
      </c>
      <c r="V24" s="176">
        <f>M24*'Premissas (GASIG)'!$B$19</f>
        <v>3853128.5798050002</v>
      </c>
      <c r="W24" s="180">
        <f>N24*'Premissas (GASIG)'!$B$19</f>
        <v>3863685.0964620002</v>
      </c>
      <c r="X24" s="180">
        <f>O24*'Premissas (GASIG)'!$B$19</f>
        <v>3853128.5798050002</v>
      </c>
      <c r="Y24" s="180">
        <f>P24*'Premissas (GASIG)'!$B$19</f>
        <v>3853128.5798050002</v>
      </c>
      <c r="Z24" s="180">
        <f>Q24*'Premissas (GASIG)'!$B$19</f>
        <v>3853128.5798050002</v>
      </c>
    </row>
    <row r="25" spans="1:26" ht="14.5" x14ac:dyDescent="0.3">
      <c r="A25" s="174" t="str">
        <f>'Demanda (GASIG)'!A11</f>
        <v>NTS RJ 5</v>
      </c>
      <c r="B25" s="179">
        <f>'Demanda (GASIG)'!D11</f>
        <v>2315</v>
      </c>
      <c r="C25" s="179">
        <f>'Demanda (GASIG)'!E11</f>
        <v>2116</v>
      </c>
      <c r="D25" s="176">
        <f>'Demanda (GASIG)'!F11</f>
        <v>2116</v>
      </c>
      <c r="E25" s="179">
        <f>'Demanda (GASIG)'!G11</f>
        <v>2116</v>
      </c>
      <c r="F25" s="179">
        <f>'Demanda (GASIG)'!H11</f>
        <v>2116</v>
      </c>
      <c r="G25" s="179">
        <f>'Demanda (GASIG)'!I11</f>
        <v>2116</v>
      </c>
      <c r="H25" s="179">
        <f>'Demanda (GASIG)'!J11</f>
        <v>2116</v>
      </c>
      <c r="J25" s="174" t="str">
        <f>'Demanda (GASIG)'!A11</f>
        <v>NTS RJ 5</v>
      </c>
      <c r="K25" s="179">
        <f>B25*'Premissas (GASIG)'!D$20</f>
        <v>844975</v>
      </c>
      <c r="L25" s="179">
        <f>C25*'Premissas (GASIG)'!E$20</f>
        <v>774456</v>
      </c>
      <c r="M25" s="176">
        <f>D25*'Premissas (GASIG)'!F$20</f>
        <v>772340</v>
      </c>
      <c r="N25" s="179">
        <f>E25*'Premissas (GASIG)'!E$20</f>
        <v>774456</v>
      </c>
      <c r="O25" s="179">
        <f>F25*'Premissas (GASIG)'!F$20</f>
        <v>772340</v>
      </c>
      <c r="P25" s="179">
        <f>G25*'Premissas (GASIG)'!G$20</f>
        <v>772340</v>
      </c>
      <c r="Q25" s="179">
        <f>H25*'Premissas (GASIG)'!H$20</f>
        <v>772340</v>
      </c>
      <c r="S25" s="174" t="str">
        <f t="shared" si="13"/>
        <v>NTS RJ 5</v>
      </c>
      <c r="T25" s="180">
        <f>K25*'Premissas (GASIG)'!$B$19</f>
        <v>31519408.700525001</v>
      </c>
      <c r="U25" s="179">
        <f>L25*'Premissas (GASIG)'!$B$19</f>
        <v>28888896.339624003</v>
      </c>
      <c r="V25" s="176">
        <f>M25*'Premissas (GASIG)'!$B$19</f>
        <v>28809964.928860001</v>
      </c>
      <c r="W25" s="180">
        <f>N25*'Premissas (GASIG)'!$B$19</f>
        <v>28888896.339624003</v>
      </c>
      <c r="X25" s="180">
        <f>O25*'Premissas (GASIG)'!$B$19</f>
        <v>28809964.928860001</v>
      </c>
      <c r="Y25" s="180">
        <f>P25*'Premissas (GASIG)'!$B$19</f>
        <v>28809964.928860001</v>
      </c>
      <c r="Z25" s="180">
        <f>Q25*'Premissas (GASIG)'!$B$19</f>
        <v>28809964.928860001</v>
      </c>
    </row>
    <row r="26" spans="1:26" ht="14.5" x14ac:dyDescent="0.3">
      <c r="A26" s="174" t="str">
        <f>'Demanda (GASIG)'!A12</f>
        <v>NTS SP 1</v>
      </c>
      <c r="B26" s="179">
        <f>'Demanda (GASIG)'!D12</f>
        <v>1312</v>
      </c>
      <c r="C26" s="179">
        <f>'Demanda (GASIG)'!E12</f>
        <v>1130</v>
      </c>
      <c r="D26" s="176">
        <f>'Demanda (GASIG)'!F12</f>
        <v>1050</v>
      </c>
      <c r="E26" s="179">
        <f>'Demanda (GASIG)'!G12</f>
        <v>1050</v>
      </c>
      <c r="F26" s="179">
        <f>'Demanda (GASIG)'!H12</f>
        <v>1050</v>
      </c>
      <c r="G26" s="179">
        <f>'Demanda (GASIG)'!I12</f>
        <v>1050</v>
      </c>
      <c r="H26" s="179">
        <f>'Demanda (GASIG)'!J12</f>
        <v>1050</v>
      </c>
      <c r="J26" s="174" t="str">
        <f>'Demanda (GASIG)'!A12</f>
        <v>NTS SP 1</v>
      </c>
      <c r="K26" s="179">
        <f>B26*'Premissas (GASIG)'!D$20</f>
        <v>478880</v>
      </c>
      <c r="L26" s="179">
        <f>C26*'Premissas (GASIG)'!E$20</f>
        <v>413580</v>
      </c>
      <c r="M26" s="176">
        <f>D26*'Premissas (GASIG)'!F$20</f>
        <v>383250</v>
      </c>
      <c r="N26" s="179">
        <f>E26*'Premissas (GASIG)'!E$20</f>
        <v>384300</v>
      </c>
      <c r="O26" s="179">
        <f>F26*'Premissas (GASIG)'!F$20</f>
        <v>383250</v>
      </c>
      <c r="P26" s="179">
        <f>G26*'Premissas (GASIG)'!G$20</f>
        <v>383250</v>
      </c>
      <c r="Q26" s="179">
        <f>H26*'Premissas (GASIG)'!H$20</f>
        <v>383250</v>
      </c>
      <c r="S26" s="174" t="str">
        <f t="shared" si="13"/>
        <v>NTS SP 1</v>
      </c>
      <c r="T26" s="180">
        <f>K26*'Premissas (GASIG)'!$B$19</f>
        <v>17863267.479520001</v>
      </c>
      <c r="U26" s="179">
        <f>L26*'Premissas (GASIG)'!$B$19</f>
        <v>15427435.190820001</v>
      </c>
      <c r="V26" s="176">
        <f>M26*'Premissas (GASIG)'!$B$19</f>
        <v>14296060.101750001</v>
      </c>
      <c r="W26" s="180">
        <f>N26*'Premissas (GASIG)'!$B$19</f>
        <v>14335227.389700001</v>
      </c>
      <c r="X26" s="180">
        <f>O26*'Premissas (GASIG)'!$B$19</f>
        <v>14296060.101750001</v>
      </c>
      <c r="Y26" s="180">
        <f>P26*'Premissas (GASIG)'!$B$19</f>
        <v>14296060.101750001</v>
      </c>
      <c r="Z26" s="180">
        <f>Q26*'Premissas (GASIG)'!$B$19</f>
        <v>14296060.101750001</v>
      </c>
    </row>
    <row r="27" spans="1:26" ht="14.5" x14ac:dyDescent="0.3">
      <c r="A27" s="174" t="str">
        <f>'Demanda (GASIG)'!A13</f>
        <v>NTS SP 2</v>
      </c>
      <c r="B27" s="179">
        <f>'Demanda (GASIG)'!D13</f>
        <v>2985</v>
      </c>
      <c r="C27" s="179">
        <f>'Demanda (GASIG)'!E13</f>
        <v>3043</v>
      </c>
      <c r="D27" s="176">
        <f>'Demanda (GASIG)'!F13</f>
        <v>3003</v>
      </c>
      <c r="E27" s="179">
        <f>'Demanda (GASIG)'!G13</f>
        <v>3003</v>
      </c>
      <c r="F27" s="179">
        <f>'Demanda (GASIG)'!H13</f>
        <v>3003</v>
      </c>
      <c r="G27" s="179">
        <f>'Demanda (GASIG)'!I13</f>
        <v>3003</v>
      </c>
      <c r="H27" s="179">
        <f>'Demanda (GASIG)'!J13</f>
        <v>3003</v>
      </c>
      <c r="J27" s="174" t="str">
        <f>'Demanda (GASIG)'!A13</f>
        <v>NTS SP 2</v>
      </c>
      <c r="K27" s="179">
        <f>B27*'Premissas (GASIG)'!D$20</f>
        <v>1089525</v>
      </c>
      <c r="L27" s="179">
        <f>C27*'Premissas (GASIG)'!E$20</f>
        <v>1113738</v>
      </c>
      <c r="M27" s="176">
        <f>D27*'Premissas (GASIG)'!F$20</f>
        <v>1096095</v>
      </c>
      <c r="N27" s="179">
        <f>E27*'Premissas (GASIG)'!E$20</f>
        <v>1099098</v>
      </c>
      <c r="O27" s="179">
        <f>F27*'Premissas (GASIG)'!F$20</f>
        <v>1096095</v>
      </c>
      <c r="P27" s="179">
        <f>G27*'Premissas (GASIG)'!G$20</f>
        <v>1096095</v>
      </c>
      <c r="Q27" s="179">
        <f>H27*'Premissas (GASIG)'!H$20</f>
        <v>1096095</v>
      </c>
      <c r="S27" s="174" t="str">
        <f t="shared" si="13"/>
        <v>NTS SP 2</v>
      </c>
      <c r="T27" s="180">
        <f>K27*'Premissas (GASIG)'!$B$19</f>
        <v>40641656.574975006</v>
      </c>
      <c r="U27" s="179">
        <f>L27*'Premissas (GASIG)'!$B$19</f>
        <v>41544854.235102005</v>
      </c>
      <c r="V27" s="176">
        <f>M27*'Premissas (GASIG)'!$B$19</f>
        <v>40886731.891005002</v>
      </c>
      <c r="W27" s="180">
        <f>N27*'Premissas (GASIG)'!$B$19</f>
        <v>40998750.334542006</v>
      </c>
      <c r="X27" s="180">
        <f>O27*'Premissas (GASIG)'!$B$19</f>
        <v>40886731.891005002</v>
      </c>
      <c r="Y27" s="180">
        <f>P27*'Premissas (GASIG)'!$B$19</f>
        <v>40886731.891005002</v>
      </c>
      <c r="Z27" s="180">
        <f>Q27*'Premissas (GASIG)'!$B$19</f>
        <v>40886731.891005002</v>
      </c>
    </row>
    <row r="28" spans="1:26" ht="14.5" x14ac:dyDescent="0.3">
      <c r="A28" s="174" t="str">
        <f>'Demanda (GASIG)'!A14</f>
        <v>NTS SP 3</v>
      </c>
      <c r="B28" s="179">
        <f>'Demanda (GASIG)'!D14</f>
        <v>7903</v>
      </c>
      <c r="C28" s="179">
        <f>'Demanda (GASIG)'!E14</f>
        <v>5834</v>
      </c>
      <c r="D28" s="176">
        <f>'Demanda (GASIG)'!F14</f>
        <v>5584</v>
      </c>
      <c r="E28" s="179">
        <f>'Demanda (GASIG)'!G14</f>
        <v>5584</v>
      </c>
      <c r="F28" s="179">
        <f>'Demanda (GASIG)'!H14</f>
        <v>5584</v>
      </c>
      <c r="G28" s="179">
        <f>'Demanda (GASIG)'!I14</f>
        <v>5584</v>
      </c>
      <c r="H28" s="179">
        <f>'Demanda (GASIG)'!J14</f>
        <v>5584</v>
      </c>
      <c r="J28" s="174" t="str">
        <f>'Demanda (GASIG)'!A14</f>
        <v>NTS SP 3</v>
      </c>
      <c r="K28" s="179">
        <f>B28*'Premissas (GASIG)'!D$20</f>
        <v>2884595</v>
      </c>
      <c r="L28" s="179">
        <f>C28*'Premissas (GASIG)'!E$20</f>
        <v>2135244</v>
      </c>
      <c r="M28" s="176">
        <f>D28*'Premissas (GASIG)'!F$20</f>
        <v>2038160</v>
      </c>
      <c r="N28" s="179">
        <f>E28*'Premissas (GASIG)'!E$20</f>
        <v>2043744</v>
      </c>
      <c r="O28" s="179">
        <f>F28*'Premissas (GASIG)'!F$20</f>
        <v>2038160</v>
      </c>
      <c r="P28" s="179">
        <f>G28*'Premissas (GASIG)'!G$20</f>
        <v>2038160</v>
      </c>
      <c r="Q28" s="179">
        <f>H28*'Premissas (GASIG)'!H$20</f>
        <v>2038160</v>
      </c>
      <c r="S28" s="174" t="str">
        <f t="shared" si="13"/>
        <v>NTS SP 3</v>
      </c>
      <c r="T28" s="180">
        <f>K28*'Premissas (GASIG)'!$B$19</f>
        <v>107601679.03250501</v>
      </c>
      <c r="U28" s="179">
        <f>L28*'Premissas (GASIG)'!$B$19</f>
        <v>79649253.896676004</v>
      </c>
      <c r="V28" s="176">
        <f>M28*'Premissas (GASIG)'!$B$19</f>
        <v>76027809.150640011</v>
      </c>
      <c r="W28" s="180">
        <f>N28*'Premissas (GASIG)'!$B$19</f>
        <v>76236104.518176004</v>
      </c>
      <c r="X28" s="180">
        <f>O28*'Premissas (GASIG)'!$B$19</f>
        <v>76027809.150640011</v>
      </c>
      <c r="Y28" s="180">
        <f>P28*'Premissas (GASIG)'!$B$19</f>
        <v>76027809.150640011</v>
      </c>
      <c r="Z28" s="180">
        <f>Q28*'Premissas (GASIG)'!$B$19</f>
        <v>76027809.150640011</v>
      </c>
    </row>
    <row r="29" spans="1:26" ht="14.5" x14ac:dyDescent="0.3">
      <c r="A29" s="174" t="str">
        <f>'Demanda (GASIG)'!A15</f>
        <v>NTS SP 4</v>
      </c>
      <c r="B29" s="179">
        <f>'Demanda (GASIG)'!D15</f>
        <v>3684</v>
      </c>
      <c r="C29" s="179">
        <f>'Demanda (GASIG)'!E15</f>
        <v>2513</v>
      </c>
      <c r="D29" s="176">
        <f>'Demanda (GASIG)'!F15</f>
        <v>2483</v>
      </c>
      <c r="E29" s="179">
        <f>'Demanda (GASIG)'!G15</f>
        <v>2483</v>
      </c>
      <c r="F29" s="179">
        <f>'Demanda (GASIG)'!H15</f>
        <v>2483</v>
      </c>
      <c r="G29" s="179">
        <f>'Demanda (GASIG)'!I15</f>
        <v>2483</v>
      </c>
      <c r="H29" s="179">
        <f>'Demanda (GASIG)'!J15</f>
        <v>2483</v>
      </c>
      <c r="J29" s="174" t="str">
        <f>'Demanda (GASIG)'!A15</f>
        <v>NTS SP 4</v>
      </c>
      <c r="K29" s="179">
        <f>B29*'Premissas (GASIG)'!D$20</f>
        <v>1344660</v>
      </c>
      <c r="L29" s="179">
        <f>C29*'Premissas (GASIG)'!E$20</f>
        <v>919758</v>
      </c>
      <c r="M29" s="176">
        <f>D29*'Premissas (GASIG)'!F$20</f>
        <v>906295</v>
      </c>
      <c r="N29" s="179">
        <f>E29*'Premissas (GASIG)'!E$20</f>
        <v>908778</v>
      </c>
      <c r="O29" s="179">
        <f>F29*'Premissas (GASIG)'!F$20</f>
        <v>906295</v>
      </c>
      <c r="P29" s="179">
        <f>G29*'Premissas (GASIG)'!G$20</f>
        <v>906295</v>
      </c>
      <c r="Q29" s="179">
        <f>H29*'Premissas (GASIG)'!H$20</f>
        <v>906295</v>
      </c>
      <c r="S29" s="174" t="str">
        <f t="shared" si="13"/>
        <v>NTS SP 4</v>
      </c>
      <c r="T29" s="180">
        <f>K29*'Premissas (GASIG)'!$B$19</f>
        <v>50158748.014140002</v>
      </c>
      <c r="U29" s="179">
        <f>L29*'Premissas (GASIG)'!$B$19</f>
        <v>34308977.552682005</v>
      </c>
      <c r="V29" s="176">
        <f>M29*'Premissas (GASIG)'!$B$19</f>
        <v>33806778.316805005</v>
      </c>
      <c r="W29" s="180">
        <f>N29*'Premissas (GASIG)'!$B$19</f>
        <v>33899399.627262004</v>
      </c>
      <c r="X29" s="180">
        <f>O29*'Premissas (GASIG)'!$B$19</f>
        <v>33806778.316805005</v>
      </c>
      <c r="Y29" s="180">
        <f>P29*'Premissas (GASIG)'!$B$19</f>
        <v>33806778.316805005</v>
      </c>
      <c r="Z29" s="180">
        <f>Q29*'Premissas (GASIG)'!$B$19</f>
        <v>33806778.316805005</v>
      </c>
    </row>
    <row r="30" spans="1:26" ht="14.5" x14ac:dyDescent="0.3">
      <c r="A30" s="174" t="str">
        <f>'Demanda (GASIG)'!A16</f>
        <v>PE-GUARAREMA (INTERCONEXÃO)</v>
      </c>
      <c r="B30" s="179">
        <f>'Demanda (GASIG)'!D16</f>
        <v>0</v>
      </c>
      <c r="C30" s="179">
        <f>'Demanda (GASIG)'!E16</f>
        <v>0</v>
      </c>
      <c r="D30" s="176">
        <f>'Demanda (GASIG)'!F16</f>
        <v>0</v>
      </c>
      <c r="E30" s="179">
        <f>'Demanda (GASIG)'!G16</f>
        <v>0</v>
      </c>
      <c r="F30" s="179">
        <f>'Demanda (GASIG)'!H16</f>
        <v>0</v>
      </c>
      <c r="G30" s="179">
        <f>'Demanda (GASIG)'!I16</f>
        <v>0</v>
      </c>
      <c r="H30" s="179">
        <f>'Demanda (GASIG)'!J16</f>
        <v>0</v>
      </c>
      <c r="J30" s="174" t="str">
        <f>'Demanda (GASIG)'!A16</f>
        <v>PE-GUARAREMA (INTERCONEXÃO)</v>
      </c>
      <c r="K30" s="179">
        <f>B30*'Premissas (GASIG)'!D$20</f>
        <v>0</v>
      </c>
      <c r="L30" s="179">
        <f>C30*'Premissas (GASIG)'!E$20</f>
        <v>0</v>
      </c>
      <c r="M30" s="176">
        <f>D30*'Premissas (GASIG)'!F$20</f>
        <v>0</v>
      </c>
      <c r="N30" s="179">
        <f>E30*'Premissas (GASIG)'!E$20</f>
        <v>0</v>
      </c>
      <c r="O30" s="179">
        <f>F30*'Premissas (GASIG)'!F$20</f>
        <v>0</v>
      </c>
      <c r="P30" s="179">
        <f>G30*'Premissas (GASIG)'!G$20</f>
        <v>0</v>
      </c>
      <c r="Q30" s="179">
        <f>H30*'Premissas (GASIG)'!H$20</f>
        <v>0</v>
      </c>
      <c r="S30" s="174" t="str">
        <f t="shared" si="13"/>
        <v>PE-GUARAREMA (INTERCONEXÃO)</v>
      </c>
      <c r="T30" s="180">
        <f>K30*'Premissas (GASIG)'!$B$19</f>
        <v>0</v>
      </c>
      <c r="U30" s="179">
        <f>L30*'Premissas (GASIG)'!$B$19</f>
        <v>0</v>
      </c>
      <c r="V30" s="176">
        <f>M30*'Premissas (GASIG)'!$B$19</f>
        <v>0</v>
      </c>
      <c r="W30" s="180">
        <f>N30*'Premissas (GASIG)'!$B$19</f>
        <v>0</v>
      </c>
      <c r="X30" s="180">
        <f>O30*'Premissas (GASIG)'!$B$19</f>
        <v>0</v>
      </c>
      <c r="Y30" s="180">
        <f>P30*'Premissas (GASIG)'!$B$19</f>
        <v>0</v>
      </c>
      <c r="Z30" s="180">
        <f>Q30*'Premissas (GASIG)'!$B$19</f>
        <v>0</v>
      </c>
    </row>
    <row r="31" spans="1:26" ht="14.5" x14ac:dyDescent="0.3">
      <c r="A31" s="174" t="str">
        <f>'Demanda (GASIG)'!A17</f>
        <v>PE-REPLAN (INTERCONEXÃO)</v>
      </c>
      <c r="B31" s="179">
        <f>'Demanda (GASIG)'!D17</f>
        <v>7800</v>
      </c>
      <c r="C31" s="179">
        <f>'Demanda (GASIG)'!E17</f>
        <v>6824</v>
      </c>
      <c r="D31" s="176">
        <f>'Demanda (GASIG)'!F17</f>
        <v>6824</v>
      </c>
      <c r="E31" s="179">
        <f>'Demanda (GASIG)'!G17</f>
        <v>6824</v>
      </c>
      <c r="F31" s="179">
        <f>'Demanda (GASIG)'!H17</f>
        <v>6824</v>
      </c>
      <c r="G31" s="179">
        <f>'Demanda (GASIG)'!I17</f>
        <v>6824</v>
      </c>
      <c r="H31" s="179">
        <f>'Demanda (GASIG)'!J17</f>
        <v>6824</v>
      </c>
      <c r="J31" s="174" t="str">
        <f>'Demanda (GASIG)'!A17</f>
        <v>PE-REPLAN (INTERCONEXÃO)</v>
      </c>
      <c r="K31" s="179">
        <f>B31*'Premissas (GASIG)'!D$20</f>
        <v>2847000</v>
      </c>
      <c r="L31" s="179">
        <f>C31*'Premissas (GASIG)'!E$20</f>
        <v>2497584</v>
      </c>
      <c r="M31" s="176">
        <f>D31*'Premissas (GASIG)'!F$20</f>
        <v>2490760</v>
      </c>
      <c r="N31" s="179">
        <f>E31*'Premissas (GASIG)'!E$20</f>
        <v>2497584</v>
      </c>
      <c r="O31" s="179">
        <f>F31*'Premissas (GASIG)'!F$20</f>
        <v>2490760</v>
      </c>
      <c r="P31" s="179">
        <f>G31*'Premissas (GASIG)'!G$20</f>
        <v>2490760</v>
      </c>
      <c r="Q31" s="179">
        <f>H31*'Premissas (GASIG)'!H$20</f>
        <v>2490760</v>
      </c>
      <c r="S31" s="174" t="str">
        <f t="shared" si="13"/>
        <v>PE-REPLAN (INTERCONEXÃO)</v>
      </c>
      <c r="T31" s="180">
        <f>K31*'Premissas (GASIG)'!$B$19</f>
        <v>106199303.61300001</v>
      </c>
      <c r="U31" s="179">
        <f>L31*'Premissas (GASIG)'!$B$19</f>
        <v>93165325.435536012</v>
      </c>
      <c r="V31" s="176">
        <f>M31*'Premissas (GASIG)'!$B$19</f>
        <v>92910775.366040006</v>
      </c>
      <c r="W31" s="180">
        <f>N31*'Premissas (GASIG)'!$B$19</f>
        <v>93165325.435536012</v>
      </c>
      <c r="X31" s="180">
        <f>O31*'Premissas (GASIG)'!$B$19</f>
        <v>92910775.366040006</v>
      </c>
      <c r="Y31" s="180">
        <f>P31*'Premissas (GASIG)'!$B$19</f>
        <v>92910775.366040006</v>
      </c>
      <c r="Z31" s="180">
        <f>Q31*'Premissas (GASIG)'!$B$19</f>
        <v>92910775.366040006</v>
      </c>
    </row>
    <row r="32" spans="1:26" ht="14.5" x14ac:dyDescent="0.3">
      <c r="A32" s="174" t="str">
        <f>'Demanda (GASIG)'!A18</f>
        <v>PE-TECAB (INTERCONEXÃO)</v>
      </c>
      <c r="B32" s="179">
        <f>'Demanda (GASIG)'!D18</f>
        <v>200</v>
      </c>
      <c r="C32" s="179">
        <f>'Demanda (GASIG)'!E18</f>
        <v>1E-3</v>
      </c>
      <c r="D32" s="176">
        <f>'Demanda (GASIG)'!F18</f>
        <v>200</v>
      </c>
      <c r="E32" s="179">
        <f>'Demanda (GASIG)'!G18</f>
        <v>200</v>
      </c>
      <c r="F32" s="179">
        <f>'Demanda (GASIG)'!H18</f>
        <v>200</v>
      </c>
      <c r="G32" s="179">
        <f>'Demanda (GASIG)'!I18</f>
        <v>200</v>
      </c>
      <c r="H32" s="179">
        <f>'Demanda (GASIG)'!J18</f>
        <v>200</v>
      </c>
      <c r="J32" s="174" t="str">
        <f>'Demanda (GASIG)'!A18</f>
        <v>PE-TECAB (INTERCONEXÃO)</v>
      </c>
      <c r="K32" s="179">
        <f>B32*'Premissas (GASIG)'!D$20</f>
        <v>73000</v>
      </c>
      <c r="L32" s="179">
        <f>C32*'Premissas (GASIG)'!E$20</f>
        <v>0.36599999999999999</v>
      </c>
      <c r="M32" s="176">
        <f>D32*'Premissas (GASIG)'!F$20</f>
        <v>73000</v>
      </c>
      <c r="N32" s="179">
        <f>E32*'Premissas (GASIG)'!E$20</f>
        <v>73200</v>
      </c>
      <c r="O32" s="179">
        <f>F32*'Premissas (GASIG)'!F$20</f>
        <v>73000</v>
      </c>
      <c r="P32" s="179">
        <f>G32*'Premissas (GASIG)'!G$20</f>
        <v>73000</v>
      </c>
      <c r="Q32" s="179">
        <f>H32*'Premissas (GASIG)'!H$20</f>
        <v>73000</v>
      </c>
      <c r="S32" s="174" t="str">
        <f t="shared" si="13"/>
        <v>PE-TECAB (INTERCONEXÃO)</v>
      </c>
      <c r="T32" s="180">
        <f>K32*'Premissas (GASIG)'!$B$19</f>
        <v>2723059.0670000003</v>
      </c>
      <c r="U32" s="179">
        <f>L32*'Premissas (GASIG)'!$B$19</f>
        <v>13.652597514</v>
      </c>
      <c r="V32" s="176">
        <f>M32*'Premissas (GASIG)'!$B$19</f>
        <v>2723059.0670000003</v>
      </c>
      <c r="W32" s="180">
        <f>N32*'Premissas (GASIG)'!$B$19</f>
        <v>2730519.5028000004</v>
      </c>
      <c r="X32" s="180">
        <f>O32*'Premissas (GASIG)'!$B$19</f>
        <v>2723059.0670000003</v>
      </c>
      <c r="Y32" s="180">
        <f>P32*'Premissas (GASIG)'!$B$19</f>
        <v>2723059.0670000003</v>
      </c>
      <c r="Z32" s="180">
        <f>Q32*'Premissas (GASIG)'!$B$19</f>
        <v>2723059.0670000003</v>
      </c>
    </row>
    <row r="33" spans="1:26" ht="14.5" x14ac:dyDescent="0.3">
      <c r="A33" s="285" t="s">
        <v>234</v>
      </c>
      <c r="B33" s="42">
        <f>SUM(B17:B32)</f>
        <v>60194</v>
      </c>
      <c r="C33" s="42">
        <f>SUM(C17:C32)</f>
        <v>55058.000999999997</v>
      </c>
      <c r="D33" s="42">
        <f t="shared" ref="D33:H33" si="14">SUM(D17:D32)</f>
        <v>50631</v>
      </c>
      <c r="E33" s="42">
        <f t="shared" si="14"/>
        <v>50631</v>
      </c>
      <c r="F33" s="42">
        <f t="shared" si="14"/>
        <v>50631</v>
      </c>
      <c r="G33" s="42">
        <f t="shared" si="14"/>
        <v>50631</v>
      </c>
      <c r="H33" s="42">
        <f t="shared" si="14"/>
        <v>50631</v>
      </c>
      <c r="I33" s="42"/>
      <c r="J33" s="285" t="s">
        <v>234</v>
      </c>
      <c r="K33" s="42">
        <f>SUM(K17:K32)</f>
        <v>21970810</v>
      </c>
      <c r="L33" s="42">
        <f>SUM(L17:L32)</f>
        <v>20151228.366</v>
      </c>
      <c r="M33" s="42">
        <f>SUM(M17:M32)</f>
        <v>18480315</v>
      </c>
      <c r="N33" s="42">
        <f>SUM(N17:N32)</f>
        <v>18530946</v>
      </c>
      <c r="O33" s="42">
        <f>SUM(O17:O32)</f>
        <v>18480315</v>
      </c>
      <c r="P33" s="42">
        <f t="shared" ref="P33:Q33" si="15">SUM(P17:P32)</f>
        <v>18480315</v>
      </c>
      <c r="Q33" s="42">
        <f t="shared" si="15"/>
        <v>18480315</v>
      </c>
      <c r="R33" s="42"/>
      <c r="S33" s="285" t="s">
        <v>234</v>
      </c>
      <c r="T33" s="84">
        <f>SUM(T17:T32)</f>
        <v>819559087.39499009</v>
      </c>
      <c r="U33" s="84">
        <f>SUM(U17:U32)</f>
        <v>751684727.57840955</v>
      </c>
      <c r="V33" s="84">
        <f>SUM(V17:V32)</f>
        <v>689356018.10638511</v>
      </c>
      <c r="W33" s="84">
        <f>SUM(W17:W32)</f>
        <v>691244664.73133397</v>
      </c>
      <c r="X33" s="84">
        <f>SUM(X17:X32)</f>
        <v>689356018.10638511</v>
      </c>
      <c r="Y33" s="84">
        <f t="shared" ref="Y33:Z33" si="16">SUM(Y17:Y32)</f>
        <v>689356018.10638511</v>
      </c>
      <c r="Z33" s="84">
        <f t="shared" si="16"/>
        <v>689356018.10638511</v>
      </c>
    </row>
    <row r="34" spans="1:26" hidden="1" x14ac:dyDescent="0.3">
      <c r="B34" s="42">
        <f>'Demanda (GASIG)'!D19</f>
        <v>60194</v>
      </c>
      <c r="C34" s="42">
        <f>'Demanda (GASIG)'!E19</f>
        <v>55058.000999999997</v>
      </c>
      <c r="D34" s="42">
        <f>'Demanda (GASIG)'!F19</f>
        <v>50631</v>
      </c>
      <c r="E34" s="42">
        <f>'Demanda (GASIG)'!G19</f>
        <v>50631</v>
      </c>
      <c r="F34" s="42">
        <f>'Demanda (GASIG)'!H19</f>
        <v>50631</v>
      </c>
      <c r="G34" s="42">
        <f>'Demanda (GASIG)'!I19</f>
        <v>50631</v>
      </c>
      <c r="H34" s="42">
        <f>'Demanda (GASIG)'!J19</f>
        <v>50631</v>
      </c>
      <c r="I34" s="42"/>
      <c r="J34" s="42"/>
      <c r="K34" s="42">
        <f>B34*'Premissas (GASIG)'!D20</f>
        <v>21970810</v>
      </c>
      <c r="L34" s="42">
        <f>C34*'Premissas (GASIG)'!E20</f>
        <v>20151228.366</v>
      </c>
      <c r="M34" s="42">
        <f>D34*'Premissas (GASIG)'!F20</f>
        <v>18480315</v>
      </c>
      <c r="N34" s="42">
        <f>E34*'Premissas (GASIG)'!E20</f>
        <v>18530946</v>
      </c>
      <c r="O34" s="42">
        <f>F34*'Premissas (GASIG)'!F20</f>
        <v>18480315</v>
      </c>
      <c r="P34" s="42">
        <f>G34*'Premissas (GASIG)'!G20</f>
        <v>18480315</v>
      </c>
      <c r="Q34" s="42">
        <f>H34*'Premissas (GASIG)'!H20</f>
        <v>18480315</v>
      </c>
      <c r="R34" s="42"/>
      <c r="S34" s="42"/>
      <c r="T34" s="84">
        <f>K34*'Premissas (GASIG)'!$B$19</f>
        <v>819559087.39499009</v>
      </c>
      <c r="U34" s="84">
        <f>L34*'Premissas (GASIG)'!$B$19</f>
        <v>751684727.57840955</v>
      </c>
      <c r="V34" s="84">
        <f>M34*'Premissas (GASIG)'!$B$19</f>
        <v>689356018.10638499</v>
      </c>
      <c r="W34" s="84">
        <f>N34*'Premissas (GASIG)'!$B$19</f>
        <v>691244664.73133409</v>
      </c>
      <c r="X34" s="84">
        <f>O34*'Premissas (GASIG)'!$B$19</f>
        <v>689356018.10638499</v>
      </c>
      <c r="Y34" s="84">
        <f>P34*'Premissas (GASIG)'!$B$19</f>
        <v>689356018.10638499</v>
      </c>
      <c r="Z34" s="84">
        <f>Q34*'Premissas (GASIG)'!$B$19</f>
        <v>689356018.10638499</v>
      </c>
    </row>
    <row r="35" spans="1:26" hidden="1" x14ac:dyDescent="0.3">
      <c r="B35" s="41">
        <f>B33-B34</f>
        <v>0</v>
      </c>
      <c r="C35" s="41">
        <f>C33-C34</f>
        <v>0</v>
      </c>
      <c r="D35" s="41">
        <f>D33-D34</f>
        <v>0</v>
      </c>
      <c r="E35" s="41">
        <f>E33-E34</f>
        <v>0</v>
      </c>
      <c r="F35" s="41">
        <f>F33-F34</f>
        <v>0</v>
      </c>
      <c r="G35" s="41">
        <f t="shared" ref="G35:H35" si="17">G33-G34</f>
        <v>0</v>
      </c>
      <c r="H35" s="41">
        <f t="shared" si="17"/>
        <v>0</v>
      </c>
      <c r="I35" s="41"/>
      <c r="J35" s="41"/>
      <c r="K35" s="41">
        <f>K33-K34</f>
        <v>0</v>
      </c>
      <c r="L35" s="41">
        <f>L33-L34</f>
        <v>0</v>
      </c>
      <c r="M35" s="41">
        <f>M33-M34</f>
        <v>0</v>
      </c>
      <c r="N35" s="41">
        <f>N33-N34</f>
        <v>0</v>
      </c>
      <c r="O35" s="41">
        <f>O33-O34</f>
        <v>0</v>
      </c>
      <c r="P35" s="41">
        <f t="shared" ref="P35:Q35" si="18">P33-P34</f>
        <v>0</v>
      </c>
      <c r="Q35" s="41">
        <f t="shared" si="18"/>
        <v>0</v>
      </c>
      <c r="R35" s="41"/>
      <c r="S35" s="41"/>
      <c r="T35" s="84">
        <f>T33-T34</f>
        <v>0</v>
      </c>
      <c r="U35" s="84">
        <f>U33-U34</f>
        <v>0</v>
      </c>
      <c r="V35" s="84">
        <f>V33-V34</f>
        <v>0</v>
      </c>
      <c r="W35" s="84">
        <f>W33-W34</f>
        <v>0</v>
      </c>
      <c r="X35" s="84">
        <f>X33-X34</f>
        <v>0</v>
      </c>
      <c r="Y35" s="84">
        <f t="shared" ref="Y35:Z35" si="19">Y33-Y34</f>
        <v>0</v>
      </c>
      <c r="Z35" s="84">
        <f t="shared" si="19"/>
        <v>0</v>
      </c>
    </row>
    <row r="36" spans="1:26" x14ac:dyDescent="0.3">
      <c r="A36" s="181"/>
      <c r="W36" s="177"/>
      <c r="X36" s="177"/>
    </row>
    <row r="37" spans="1:26" x14ac:dyDescent="0.3">
      <c r="A37" s="139"/>
      <c r="W37" s="177"/>
      <c r="X37" s="177"/>
    </row>
    <row r="39" spans="1:26" x14ac:dyDescent="0.3">
      <c r="J39" s="177"/>
    </row>
    <row r="40" spans="1:26" x14ac:dyDescent="0.3">
      <c r="I40" s="177"/>
      <c r="J40" s="177"/>
      <c r="X40" s="182"/>
    </row>
    <row r="41" spans="1:26" x14ac:dyDescent="0.3">
      <c r="I41" s="177"/>
      <c r="J41" s="177"/>
      <c r="X41" s="182"/>
      <c r="Y41" s="183"/>
    </row>
    <row r="42" spans="1:26" x14ac:dyDescent="0.3">
      <c r="I42" s="177"/>
      <c r="J42" s="177"/>
      <c r="Y42" s="183"/>
    </row>
    <row r="43" spans="1:26" x14ac:dyDescent="0.3">
      <c r="I43" s="177"/>
      <c r="J43" s="177"/>
    </row>
    <row r="44" spans="1:26" x14ac:dyDescent="0.3">
      <c r="I44" s="177"/>
      <c r="J44" s="177"/>
    </row>
    <row r="45" spans="1:26" x14ac:dyDescent="0.3">
      <c r="I45" s="177"/>
    </row>
    <row r="46" spans="1:26" x14ac:dyDescent="0.3">
      <c r="I46" s="177"/>
    </row>
    <row r="47" spans="1:26" x14ac:dyDescent="0.3">
      <c r="I47" s="177"/>
      <c r="J47" s="177"/>
    </row>
    <row r="48" spans="1:26" x14ac:dyDescent="0.3">
      <c r="I48" s="177"/>
      <c r="J48" s="177"/>
    </row>
    <row r="49" spans="1:19" x14ac:dyDescent="0.3">
      <c r="I49" s="177"/>
      <c r="J49" s="177"/>
    </row>
    <row r="50" spans="1:19" x14ac:dyDescent="0.3">
      <c r="I50" s="177"/>
      <c r="J50" s="177"/>
    </row>
    <row r="51" spans="1:19" x14ac:dyDescent="0.3">
      <c r="I51" s="177"/>
      <c r="J51" s="177"/>
      <c r="S51" s="184"/>
    </row>
    <row r="52" spans="1:19" x14ac:dyDescent="0.3">
      <c r="I52" s="177"/>
      <c r="J52" s="177"/>
    </row>
    <row r="53" spans="1:19" x14ac:dyDescent="0.3">
      <c r="I53" s="177"/>
      <c r="J53" s="177"/>
    </row>
    <row r="54" spans="1:19" x14ac:dyDescent="0.3">
      <c r="I54" s="177"/>
      <c r="J54" s="177"/>
    </row>
    <row r="55" spans="1:19" x14ac:dyDescent="0.3">
      <c r="I55" s="177"/>
      <c r="J55" s="177"/>
    </row>
    <row r="56" spans="1:19" x14ac:dyDescent="0.3">
      <c r="I56" s="177"/>
      <c r="J56" s="177"/>
    </row>
    <row r="57" spans="1:19" x14ac:dyDescent="0.3">
      <c r="I57" s="177"/>
      <c r="J57" s="177"/>
    </row>
    <row r="58" spans="1:19" x14ac:dyDescent="0.3">
      <c r="I58" s="177"/>
      <c r="J58" s="177"/>
    </row>
    <row r="59" spans="1:19" x14ac:dyDescent="0.3">
      <c r="I59" s="177"/>
    </row>
    <row r="61" spans="1:19" x14ac:dyDescent="0.3">
      <c r="A61" s="139"/>
      <c r="B61" s="139"/>
      <c r="C61" s="139"/>
      <c r="D61" s="139"/>
      <c r="E61" s="139"/>
      <c r="F61" s="139"/>
      <c r="G61" s="139"/>
      <c r="H61" s="139"/>
      <c r="J61" s="182"/>
      <c r="K61" s="183"/>
    </row>
    <row r="62" spans="1:19" x14ac:dyDescent="0.3">
      <c r="J62" s="182"/>
      <c r="K62" s="183"/>
    </row>
    <row r="72" spans="2:18" x14ac:dyDescent="0.3">
      <c r="M72" s="184"/>
      <c r="N72" s="184"/>
      <c r="O72" s="184"/>
    </row>
    <row r="73" spans="2:18" x14ac:dyDescent="0.3">
      <c r="P73" s="184"/>
      <c r="Q73" s="184"/>
      <c r="R73" s="184"/>
    </row>
    <row r="74" spans="2:18" x14ac:dyDescent="0.3">
      <c r="B74" s="42"/>
    </row>
    <row r="75" spans="2:18" x14ac:dyDescent="0.3">
      <c r="B75" s="42"/>
    </row>
  </sheetData>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0B382-BF91-412E-8496-3117C204FF0B}">
  <ds:schemaRefs>
    <ds:schemaRef ds:uri="http://www.w3.org/XML/1998/namespace"/>
    <ds:schemaRef ds:uri="http://schemas.microsoft.com/office/infopath/2007/PartnerControls"/>
    <ds:schemaRef ds:uri="9a3f325f-f21d-41c6-a148-0a40bc62e7e3"/>
    <ds:schemaRef ds:uri="http://purl.org/dc/elements/1.1/"/>
    <ds:schemaRef ds:uri="http://purl.org/dc/dcmitype/"/>
    <ds:schemaRef ds:uri="http://schemas.microsoft.com/office/2006/documentManagement/types"/>
    <ds:schemaRef ds:uri="9013a8ec-cd0d-4ed2-9eb4-8c9215e056d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CA2FEC-9D62-4292-B626-2BF4A8523E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45</vt:i4>
      </vt:variant>
    </vt:vector>
  </HeadingPairs>
  <TitlesOfParts>
    <vt:vector size="45" baseType="lpstr">
      <vt:lpstr>Resumo</vt:lpstr>
      <vt:lpstr>Tarifas Finais</vt:lpstr>
      <vt:lpstr>Premissas (GASIG)</vt:lpstr>
      <vt:lpstr>Premissas (Legados)</vt:lpstr>
      <vt:lpstr>SELIC</vt:lpstr>
      <vt:lpstr>Conta Regulatória (C.Reg)</vt:lpstr>
      <vt:lpstr>Oferta (GASIG)</vt:lpstr>
      <vt:lpstr>Demanda (GASIG)</vt:lpstr>
      <vt:lpstr>Oferta x Demanda (GASIG)</vt:lpstr>
      <vt:lpstr>Oferta (Legados)</vt:lpstr>
      <vt:lpstr>Demanda (Legados)</vt:lpstr>
      <vt:lpstr>Oferta x Demanda (Legados)</vt:lpstr>
      <vt:lpstr>Matriz Distâncias NTS</vt:lpstr>
      <vt:lpstr>CWD 2025 GASIG (sem desc.)</vt:lpstr>
      <vt:lpstr>CWD 2025 GASIG (com desc.)</vt:lpstr>
      <vt:lpstr>Tarifa Ponderada GASIG 2025</vt:lpstr>
      <vt:lpstr>CWD 2025 Legados (sem desc.)</vt:lpstr>
      <vt:lpstr>CWD 2025 Legados (com desc.)</vt:lpstr>
      <vt:lpstr>Tarifa Ponderada Legados 2025</vt:lpstr>
      <vt:lpstr>CWD 2026 GASIG (sem desc.)</vt:lpstr>
      <vt:lpstr>CWD 2026 GASIG (com desc.)</vt:lpstr>
      <vt:lpstr>Tarifa Ponderada GASIG 2026</vt:lpstr>
      <vt:lpstr>CWD 2026 Legados (sem desc.)</vt:lpstr>
      <vt:lpstr>CWD 2026 Legados (com desc.)</vt:lpstr>
      <vt:lpstr>Tarifa Ponderada Legados 2026</vt:lpstr>
      <vt:lpstr>CWD 2027 GASIG (sem desc.)</vt:lpstr>
      <vt:lpstr>CWD 2027 GASIG (com desc.)</vt:lpstr>
      <vt:lpstr>Tarifa Ponderada GASIG 2027</vt:lpstr>
      <vt:lpstr>CWD 2027 Legados (sem desc.)</vt:lpstr>
      <vt:lpstr>CWD 2027 Legados (com desc.)</vt:lpstr>
      <vt:lpstr>Tarifa Ponderada Legados 2027</vt:lpstr>
      <vt:lpstr>CWD 2028 GASIG (sem desc.)</vt:lpstr>
      <vt:lpstr>CWD 2028 GASIG (com desc.)</vt:lpstr>
      <vt:lpstr>Tarifa Ponderada GASIG 2028</vt:lpstr>
      <vt:lpstr>CWD 2028 Legados (sem desc.)</vt:lpstr>
      <vt:lpstr>CWD 2028 Legados (com desc.)</vt:lpstr>
      <vt:lpstr>Tarifa Ponderada Legados 2028</vt:lpstr>
      <vt:lpstr>CWD 2029 GASIG (sem desc.)</vt:lpstr>
      <vt:lpstr>CWD 2029 GASIG (com desc.)</vt:lpstr>
      <vt:lpstr>Tarifa Ponderada GASIG 2029</vt:lpstr>
      <vt:lpstr>Planilha1</vt:lpstr>
      <vt:lpstr>CWD 2029 Legados (sem desc.)</vt:lpstr>
      <vt:lpstr>CWD 2029 Legado (com desc.)</vt:lpstr>
      <vt:lpstr>Tarifa Ponderada Legado 2029</vt:lpstr>
      <vt:lpstr>SITGN Redux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Julia Gomes</cp:lastModifiedBy>
  <cp:revision/>
  <dcterms:created xsi:type="dcterms:W3CDTF">2021-08-05T19:07:08Z</dcterms:created>
  <dcterms:modified xsi:type="dcterms:W3CDTF">2024-11-05T19:00:48Z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ies>
</file>