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E:\Karine\SIM-ANP\Proposta Tarifária Aprovada DC 2023\"/>
    </mc:Choice>
  </mc:AlternateContent>
  <bookViews>
    <workbookView xWindow="0" yWindow="0" windowWidth="23040" windowHeight="8616" tabRatio="917" firstSheet="9" activeTab="13"/>
  </bookViews>
  <sheets>
    <sheet name="Premissas" sheetId="9" r:id="rId1"/>
    <sheet name="IGPM" sheetId="120" r:id="rId2"/>
    <sheet name="Investimento e Depreciação" sheetId="94" r:id="rId3"/>
    <sheet name="O&amp;M e G&amp;A" sheetId="6" r:id="rId4"/>
    <sheet name="O&amp;M e G&amp;A_I" sheetId="33" r:id="rId5"/>
    <sheet name="Fluxo de Caixa Regulado" sheetId="41" r:id="rId6"/>
    <sheet name="FC E-S" sheetId="109" r:id="rId7"/>
    <sheet name="FC ECTL" sheetId="105" r:id="rId8"/>
    <sheet name="FC EM" sheetId="104" r:id="rId9"/>
    <sheet name="FC Total" sheetId="106" r:id="rId10"/>
    <sheet name="C. Capacidade" sheetId="110" r:id="rId11"/>
    <sheet name="C. Demanda" sheetId="111" r:id="rId12"/>
    <sheet name="Proporções" sheetId="113" state="hidden" r:id="rId13"/>
    <sheet name="Cálculo Encargos ECE, ECT e ECS" sheetId="99" r:id="rId14"/>
    <sheet name="Calculo Encargos EM e ECEmp" sheetId="107" r:id="rId15"/>
    <sheet name="TARIFAS" sheetId="114" r:id="rId16"/>
    <sheet name="Receita Anual Máxima" sheetId="10" r:id="rId17"/>
    <sheet name="Teste Receita" sheetId="115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tir2">'[1]T-Bill'!$S$45</definedName>
    <definedName name="A1remlife">'[2]Input (Assets)'!$G$7</definedName>
    <definedName name="A1resid" localSheetId="10">'[2]Input (Assets)'!#REF!</definedName>
    <definedName name="A1resid" localSheetId="11">'[2]Input (Assets)'!#REF!</definedName>
    <definedName name="A1resid" localSheetId="13">'[2]Input (Assets)'!#REF!</definedName>
    <definedName name="A1resid" localSheetId="14">'[2]Input (Assets)'!#REF!</definedName>
    <definedName name="A1resid" localSheetId="7">'[2]Input (Assets)'!#REF!</definedName>
    <definedName name="A1resid" localSheetId="8">'[2]Input (Assets)'!#REF!</definedName>
    <definedName name="A1resid" localSheetId="6">'[2]Input (Assets)'!#REF!</definedName>
    <definedName name="A1resid" localSheetId="9">'[2]Input (Assets)'!#REF!</definedName>
    <definedName name="A1resid" localSheetId="2">'[2]Input (Assets)'!#REF!</definedName>
    <definedName name="A1resid" localSheetId="4">'[2]Input (Assets)'!#REF!</definedName>
    <definedName name="A1resid" localSheetId="15">'[2]Input (Assets)'!#REF!</definedName>
    <definedName name="A1resid">'[2]Input (Assets)'!#REF!</definedName>
    <definedName name="A1stdlife">'[2]Input (Assets)'!$H$7</definedName>
    <definedName name="A1taxremlife">'[2]Input (Assets)'!$J$7</definedName>
    <definedName name="A1taxstdlife">'[2]Input (Assets)'!$K$7</definedName>
    <definedName name="A1taxvalue">'[2]Input (Assets)'!$I$7</definedName>
    <definedName name="A1value">'[2]Input (Assets)'!$F$7</definedName>
    <definedName name="A2remlife">'[2]Input (Assets)'!$G$8</definedName>
    <definedName name="A2resid" localSheetId="10">'[2]Input (Assets)'!#REF!</definedName>
    <definedName name="A2resid" localSheetId="11">'[2]Input (Assets)'!#REF!</definedName>
    <definedName name="A2resid" localSheetId="13">'[2]Input (Assets)'!#REF!</definedName>
    <definedName name="A2resid" localSheetId="14">'[2]Input (Assets)'!#REF!</definedName>
    <definedName name="A2resid" localSheetId="7">'[2]Input (Assets)'!#REF!</definedName>
    <definedName name="A2resid" localSheetId="8">'[2]Input (Assets)'!#REF!</definedName>
    <definedName name="A2resid" localSheetId="6">'[2]Input (Assets)'!#REF!</definedName>
    <definedName name="A2resid" localSheetId="9">'[2]Input (Assets)'!#REF!</definedName>
    <definedName name="A2resid" localSheetId="2">'[2]Input (Assets)'!#REF!</definedName>
    <definedName name="A2resid" localSheetId="4">'[2]Input (Assets)'!#REF!</definedName>
    <definedName name="A2resid" localSheetId="15">'[2]Input (Assets)'!#REF!</definedName>
    <definedName name="A2resid">'[2]Input (Assets)'!#REF!</definedName>
    <definedName name="A2stdlife">'[2]Input (Assets)'!$H$8</definedName>
    <definedName name="A2taxremlife">'[2]Input (Assets)'!$J$8</definedName>
    <definedName name="A2taxstdlife">'[2]Input (Assets)'!$K$8</definedName>
    <definedName name="A2taxvalue">'[2]Input (Assets)'!$I$8</definedName>
    <definedName name="A2value">'[2]Input (Assets)'!$F$8</definedName>
    <definedName name="A3remlife">'[2]Input (Assets)'!$G$9</definedName>
    <definedName name="A3resid" localSheetId="10">'[2]Input (Assets)'!#REF!</definedName>
    <definedName name="A3resid" localSheetId="11">'[2]Input (Assets)'!#REF!</definedName>
    <definedName name="A3resid" localSheetId="13">'[2]Input (Assets)'!#REF!</definedName>
    <definedName name="A3resid" localSheetId="14">'[2]Input (Assets)'!#REF!</definedName>
    <definedName name="A3resid" localSheetId="7">'[2]Input (Assets)'!#REF!</definedName>
    <definedName name="A3resid" localSheetId="8">'[2]Input (Assets)'!#REF!</definedName>
    <definedName name="A3resid" localSheetId="6">'[2]Input (Assets)'!#REF!</definedName>
    <definedName name="A3resid" localSheetId="9">'[2]Input (Assets)'!#REF!</definedName>
    <definedName name="A3resid" localSheetId="2">'[2]Input (Assets)'!#REF!</definedName>
    <definedName name="A3resid" localSheetId="4">'[2]Input (Assets)'!#REF!</definedName>
    <definedName name="A3resid" localSheetId="15">'[2]Input (Assets)'!#REF!</definedName>
    <definedName name="A3resid">'[2]Input (Assets)'!#REF!</definedName>
    <definedName name="A3stdlife">'[2]Input (Assets)'!$H$9</definedName>
    <definedName name="A3taxremlife">'[2]Input (Assets)'!$J$9</definedName>
    <definedName name="A3taxstdlife">'[2]Input (Assets)'!$K$9</definedName>
    <definedName name="A3taxvalue">'[2]Input (Assets)'!$I$9</definedName>
    <definedName name="A3value">'[2]Input (Assets)'!$F$9</definedName>
    <definedName name="Asset_Life" localSheetId="10">[2]Input!#REF!</definedName>
    <definedName name="Asset_Life" localSheetId="11">[2]Input!#REF!</definedName>
    <definedName name="Asset_Life" localSheetId="13">[2]Input!#REF!</definedName>
    <definedName name="Asset_Life" localSheetId="14">[2]Input!#REF!</definedName>
    <definedName name="Asset_Life" localSheetId="7">[2]Input!#REF!</definedName>
    <definedName name="Asset_Life" localSheetId="8">[2]Input!#REF!</definedName>
    <definedName name="Asset_Life" localSheetId="6">[2]Input!#REF!</definedName>
    <definedName name="Asset_Life" localSheetId="9">[2]Input!#REF!</definedName>
    <definedName name="Asset_Life" localSheetId="2">[2]Input!#REF!</definedName>
    <definedName name="Asset_Life" localSheetId="4">[2]Input!#REF!</definedName>
    <definedName name="Asset_Life" localSheetId="15">[2]Input!#REF!</definedName>
    <definedName name="Asset_Life">[2]Input!#REF!</definedName>
    <definedName name="Asset1" localSheetId="10">[2]Input!#REF!</definedName>
    <definedName name="Asset1" localSheetId="11">[2]Input!#REF!</definedName>
    <definedName name="Asset1" localSheetId="13">[2]Input!#REF!</definedName>
    <definedName name="Asset1" localSheetId="14">[2]Input!#REF!</definedName>
    <definedName name="Asset1" localSheetId="7">[2]Input!#REF!</definedName>
    <definedName name="Asset1" localSheetId="8">[2]Input!#REF!</definedName>
    <definedName name="Asset1" localSheetId="6">[2]Input!#REF!</definedName>
    <definedName name="Asset1" localSheetId="9">[2]Input!#REF!</definedName>
    <definedName name="Asset1" localSheetId="2">[2]Input!#REF!</definedName>
    <definedName name="Asset1" localSheetId="4">[2]Input!#REF!</definedName>
    <definedName name="Asset1" localSheetId="15">[2]Input!#REF!</definedName>
    <definedName name="Asset1">[2]Input!#REF!</definedName>
    <definedName name="Asset2" localSheetId="10">[2]Input!#REF!</definedName>
    <definedName name="Asset2" localSheetId="11">[2]Input!#REF!</definedName>
    <definedName name="Asset2" localSheetId="13">[2]Input!#REF!</definedName>
    <definedName name="Asset2" localSheetId="14">[2]Input!#REF!</definedName>
    <definedName name="Asset2" localSheetId="7">[2]Input!#REF!</definedName>
    <definedName name="Asset2" localSheetId="8">[2]Input!#REF!</definedName>
    <definedName name="Asset2" localSheetId="6">[2]Input!#REF!</definedName>
    <definedName name="Asset2" localSheetId="9">[2]Input!#REF!</definedName>
    <definedName name="Asset2" localSheetId="2">[2]Input!#REF!</definedName>
    <definedName name="Asset2" localSheetId="4">[2]Input!#REF!</definedName>
    <definedName name="Asset2" localSheetId="15">[2]Input!#REF!</definedName>
    <definedName name="Asset2">[2]Input!#REF!</definedName>
    <definedName name="Ba">[2]Input!$C$15</definedName>
    <definedName name="Bd">[2]Input!$C$14</definedName>
    <definedName name="Be" localSheetId="10">'[2]Input (Assets)'!#REF!</definedName>
    <definedName name="Be" localSheetId="11">'[2]Input (Assets)'!#REF!</definedName>
    <definedName name="Be" localSheetId="13">'[2]Input (Assets)'!#REF!</definedName>
    <definedName name="Be" localSheetId="14">'[2]Input (Assets)'!#REF!</definedName>
    <definedName name="Be" localSheetId="7">'[2]Input (Assets)'!#REF!</definedName>
    <definedName name="Be" localSheetId="8">'[2]Input (Assets)'!#REF!</definedName>
    <definedName name="Be" localSheetId="6">'[2]Input (Assets)'!#REF!</definedName>
    <definedName name="Be" localSheetId="9">'[2]Input (Assets)'!#REF!</definedName>
    <definedName name="Be" localSheetId="2">'[2]Input (Assets)'!#REF!</definedName>
    <definedName name="Be" localSheetId="4">'[2]Input (Assets)'!#REF!</definedName>
    <definedName name="Be" localSheetId="15">'[2]Input (Assets)'!#REF!</definedName>
    <definedName name="Be">'[2]Input (Assets)'!#REF!</definedName>
    <definedName name="Depreciação" localSheetId="10">'[2]Input (Assets)'!#REF!</definedName>
    <definedName name="Depreciação" localSheetId="11">'[2]Input (Assets)'!#REF!</definedName>
    <definedName name="Depreciação" localSheetId="13">'[2]Input (Assets)'!#REF!</definedName>
    <definedName name="Depreciação" localSheetId="14">'[2]Input (Assets)'!#REF!</definedName>
    <definedName name="Depreciação" localSheetId="7">'[2]Input (Assets)'!#REF!</definedName>
    <definedName name="Depreciação" localSheetId="8">'[2]Input (Assets)'!#REF!</definedName>
    <definedName name="Depreciação" localSheetId="6">'[2]Input (Assets)'!#REF!</definedName>
    <definedName name="Depreciação" localSheetId="9">'[2]Input (Assets)'!#REF!</definedName>
    <definedName name="Depreciação" localSheetId="15">'[2]Input (Assets)'!#REF!</definedName>
    <definedName name="Depreciação">'[2]Input (Assets)'!#REF!</definedName>
    <definedName name="dm">[2]Input!$C$10</definedName>
    <definedName name="equity">'[1]T-Bill'!$S$45</definedName>
    <definedName name="EV">[2]Input!$C$13</definedName>
    <definedName name="g">[2]Input!$C$12</definedName>
    <definedName name="ICB">[2]Input!$C$4</definedName>
    <definedName name="MRP">[2]Input!$C$11</definedName>
    <definedName name="PERIOD" localSheetId="10">#REF!</definedName>
    <definedName name="PERIOD" localSheetId="11">#REF!</definedName>
    <definedName name="PERIOD" localSheetId="13">#REF!</definedName>
    <definedName name="PERIOD" localSheetId="14">#REF!</definedName>
    <definedName name="PERIOD" localSheetId="7">#REF!</definedName>
    <definedName name="PERIOD" localSheetId="8">#REF!</definedName>
    <definedName name="PERIOD" localSheetId="6">#REF!</definedName>
    <definedName name="PERIOD" localSheetId="9">#REF!</definedName>
    <definedName name="PERIOD" localSheetId="2">#REF!</definedName>
    <definedName name="PERIOD" localSheetId="15">#REF!</definedName>
    <definedName name="PERIOD">#REF!</definedName>
    <definedName name="Rf">[2]Input!$C$8</definedName>
    <definedName name="RiskCollectDistributionSamples">2</definedName>
    <definedName name="RiskFixedSeed">1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1</definedName>
    <definedName name="RiskStatFunctionsUpdateFreq">1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rf">[2]Input!$C$9</definedName>
    <definedName name="solver_adj" localSheetId="7" hidden="1">'FC ECTL'!$C$41</definedName>
    <definedName name="solver_adj" localSheetId="8" hidden="1">'FC EM'!$C$41</definedName>
    <definedName name="solver_adj" localSheetId="6" hidden="1">'FC E-S'!$C$41</definedName>
    <definedName name="solver_adj" localSheetId="9" hidden="1">'FC Total'!$C$41</definedName>
    <definedName name="solver_adj" localSheetId="5" hidden="1">'Fluxo de Caixa Regulado'!$C$41</definedName>
    <definedName name="solver_cvg" localSheetId="7" hidden="1">0.0001</definedName>
    <definedName name="solver_cvg" localSheetId="8" hidden="1">0.0001</definedName>
    <definedName name="solver_cvg" localSheetId="6" hidden="1">0.0001</definedName>
    <definedName name="solver_cvg" localSheetId="9" hidden="1">0.0001</definedName>
    <definedName name="solver_cvg" localSheetId="5" hidden="1">0.0001</definedName>
    <definedName name="solver_drv" localSheetId="7" hidden="1">1</definedName>
    <definedName name="solver_drv" localSheetId="8" hidden="1">1</definedName>
    <definedName name="solver_drv" localSheetId="6" hidden="1">1</definedName>
    <definedName name="solver_drv" localSheetId="9" hidden="1">1</definedName>
    <definedName name="solver_drv" localSheetId="5" hidden="1">1</definedName>
    <definedName name="solver_eng" localSheetId="7" hidden="1">1</definedName>
    <definedName name="solver_eng" localSheetId="8" hidden="1">1</definedName>
    <definedName name="solver_eng" localSheetId="6" hidden="1">1</definedName>
    <definedName name="solver_eng" localSheetId="9" hidden="1">1</definedName>
    <definedName name="solver_eng" localSheetId="5" hidden="1">1</definedName>
    <definedName name="solver_est" localSheetId="7" hidden="1">1</definedName>
    <definedName name="solver_est" localSheetId="8" hidden="1">1</definedName>
    <definedName name="solver_est" localSheetId="6" hidden="1">1</definedName>
    <definedName name="solver_est" localSheetId="9" hidden="1">1</definedName>
    <definedName name="solver_est" localSheetId="5" hidden="1">1</definedName>
    <definedName name="solver_itr" localSheetId="7" hidden="1">2147483647</definedName>
    <definedName name="solver_itr" localSheetId="8" hidden="1">2147483647</definedName>
    <definedName name="solver_itr" localSheetId="6" hidden="1">2147483647</definedName>
    <definedName name="solver_itr" localSheetId="9" hidden="1">2147483647</definedName>
    <definedName name="solver_itr" localSheetId="5" hidden="1">2147483647</definedName>
    <definedName name="solver_mip" localSheetId="7" hidden="1">2147483647</definedName>
    <definedName name="solver_mip" localSheetId="8" hidden="1">2147483647</definedName>
    <definedName name="solver_mip" localSheetId="6" hidden="1">2147483647</definedName>
    <definedName name="solver_mip" localSheetId="9" hidden="1">2147483647</definedName>
    <definedName name="solver_mip" localSheetId="5" hidden="1">2147483647</definedName>
    <definedName name="solver_mni" localSheetId="7" hidden="1">30</definedName>
    <definedName name="solver_mni" localSheetId="8" hidden="1">30</definedName>
    <definedName name="solver_mni" localSheetId="6" hidden="1">30</definedName>
    <definedName name="solver_mni" localSheetId="9" hidden="1">30</definedName>
    <definedName name="solver_mni" localSheetId="5" hidden="1">30</definedName>
    <definedName name="solver_mrt" localSheetId="7" hidden="1">0.075</definedName>
    <definedName name="solver_mrt" localSheetId="8" hidden="1">0.075</definedName>
    <definedName name="solver_mrt" localSheetId="6" hidden="1">0.075</definedName>
    <definedName name="solver_mrt" localSheetId="9" hidden="1">0.075</definedName>
    <definedName name="solver_mrt" localSheetId="5" hidden="1">0.075</definedName>
    <definedName name="solver_msl" localSheetId="7" hidden="1">2</definedName>
    <definedName name="solver_msl" localSheetId="8" hidden="1">2</definedName>
    <definedName name="solver_msl" localSheetId="6" hidden="1">2</definedName>
    <definedName name="solver_msl" localSheetId="9" hidden="1">2</definedName>
    <definedName name="solver_msl" localSheetId="5" hidden="1">2</definedName>
    <definedName name="solver_neg" localSheetId="7" hidden="1">1</definedName>
    <definedName name="solver_neg" localSheetId="8" hidden="1">1</definedName>
    <definedName name="solver_neg" localSheetId="6" hidden="1">1</definedName>
    <definedName name="solver_neg" localSheetId="9" hidden="1">1</definedName>
    <definedName name="solver_neg" localSheetId="5" hidden="1">1</definedName>
    <definedName name="solver_nod" localSheetId="7" hidden="1">2147483647</definedName>
    <definedName name="solver_nod" localSheetId="8" hidden="1">2147483647</definedName>
    <definedName name="solver_nod" localSheetId="6" hidden="1">2147483647</definedName>
    <definedName name="solver_nod" localSheetId="9" hidden="1">2147483647</definedName>
    <definedName name="solver_nod" localSheetId="5" hidden="1">2147483647</definedName>
    <definedName name="solver_num" localSheetId="7" hidden="1">0</definedName>
    <definedName name="solver_num" localSheetId="8" hidden="1">0</definedName>
    <definedName name="solver_num" localSheetId="6" hidden="1">0</definedName>
    <definedName name="solver_num" localSheetId="9" hidden="1">0</definedName>
    <definedName name="solver_num" localSheetId="5" hidden="1">0</definedName>
    <definedName name="solver_nwt" localSheetId="7" hidden="1">1</definedName>
    <definedName name="solver_nwt" localSheetId="8" hidden="1">1</definedName>
    <definedName name="solver_nwt" localSheetId="6" hidden="1">1</definedName>
    <definedName name="solver_nwt" localSheetId="9" hidden="1">1</definedName>
    <definedName name="solver_nwt" localSheetId="5" hidden="1">1</definedName>
    <definedName name="solver_opt" localSheetId="7" hidden="1">'FC ECTL'!$C$43</definedName>
    <definedName name="solver_opt" localSheetId="8" hidden="1">'FC EM'!$C$43</definedName>
    <definedName name="solver_opt" localSheetId="6" hidden="1">'FC E-S'!$C$43</definedName>
    <definedName name="solver_opt" localSheetId="9" hidden="1">'FC Total'!$C$43</definedName>
    <definedName name="solver_opt" localSheetId="5" hidden="1">'Fluxo de Caixa Regulado'!$C$43</definedName>
    <definedName name="solver_pre" localSheetId="7" hidden="1">0.000001</definedName>
    <definedName name="solver_pre" localSheetId="8" hidden="1">0.000001</definedName>
    <definedName name="solver_pre" localSheetId="6" hidden="1">0.000001</definedName>
    <definedName name="solver_pre" localSheetId="9" hidden="1">0.000001</definedName>
    <definedName name="solver_pre" localSheetId="5" hidden="1">0.000001</definedName>
    <definedName name="solver_rbv" localSheetId="7" hidden="1">1</definedName>
    <definedName name="solver_rbv" localSheetId="8" hidden="1">1</definedName>
    <definedName name="solver_rbv" localSheetId="6" hidden="1">1</definedName>
    <definedName name="solver_rbv" localSheetId="9" hidden="1">1</definedName>
    <definedName name="solver_rbv" localSheetId="5" hidden="1">1</definedName>
    <definedName name="solver_rlx" localSheetId="7" hidden="1">2</definedName>
    <definedName name="solver_rlx" localSheetId="8" hidden="1">2</definedName>
    <definedName name="solver_rlx" localSheetId="6" hidden="1">2</definedName>
    <definedName name="solver_rlx" localSheetId="9" hidden="1">2</definedName>
    <definedName name="solver_rlx" localSheetId="5" hidden="1">2</definedName>
    <definedName name="solver_rsd" localSheetId="7" hidden="1">0</definedName>
    <definedName name="solver_rsd" localSheetId="8" hidden="1">0</definedName>
    <definedName name="solver_rsd" localSheetId="6" hidden="1">0</definedName>
    <definedName name="solver_rsd" localSheetId="9" hidden="1">0</definedName>
    <definedName name="solver_rsd" localSheetId="5" hidden="1">0</definedName>
    <definedName name="solver_scl" localSheetId="7" hidden="1">1</definedName>
    <definedName name="solver_scl" localSheetId="8" hidden="1">1</definedName>
    <definedName name="solver_scl" localSheetId="6" hidden="1">1</definedName>
    <definedName name="solver_scl" localSheetId="9" hidden="1">1</definedName>
    <definedName name="solver_scl" localSheetId="5" hidden="1">1</definedName>
    <definedName name="solver_sho" localSheetId="7" hidden="1">2</definedName>
    <definedName name="solver_sho" localSheetId="8" hidden="1">2</definedName>
    <definedName name="solver_sho" localSheetId="6" hidden="1">2</definedName>
    <definedName name="solver_sho" localSheetId="9" hidden="1">2</definedName>
    <definedName name="solver_sho" localSheetId="5" hidden="1">2</definedName>
    <definedName name="solver_ssz" localSheetId="7" hidden="1">100</definedName>
    <definedName name="solver_ssz" localSheetId="8" hidden="1">100</definedName>
    <definedName name="solver_ssz" localSheetId="6" hidden="1">100</definedName>
    <definedName name="solver_ssz" localSheetId="9" hidden="1">100</definedName>
    <definedName name="solver_ssz" localSheetId="5" hidden="1">100</definedName>
    <definedName name="solver_tim" localSheetId="7" hidden="1">2147483647</definedName>
    <definedName name="solver_tim" localSheetId="8" hidden="1">2147483647</definedName>
    <definedName name="solver_tim" localSheetId="6" hidden="1">2147483647</definedName>
    <definedName name="solver_tim" localSheetId="9" hidden="1">2147483647</definedName>
    <definedName name="solver_tim" localSheetId="5" hidden="1">2147483647</definedName>
    <definedName name="solver_tol" localSheetId="7" hidden="1">0.01</definedName>
    <definedName name="solver_tol" localSheetId="8" hidden="1">0.01</definedName>
    <definedName name="solver_tol" localSheetId="6" hidden="1">0.01</definedName>
    <definedName name="solver_tol" localSheetId="9" hidden="1">0.01</definedName>
    <definedName name="solver_tol" localSheetId="5" hidden="1">0.01</definedName>
    <definedName name="solver_typ" localSheetId="7" hidden="1">3</definedName>
    <definedName name="solver_typ" localSheetId="8" hidden="1">3</definedName>
    <definedName name="solver_typ" localSheetId="6" hidden="1">3</definedName>
    <definedName name="solver_typ" localSheetId="9" hidden="1">3</definedName>
    <definedName name="solver_typ" localSheetId="5" hidden="1">3</definedName>
    <definedName name="solver_val" localSheetId="7" hidden="1">0.0704673</definedName>
    <definedName name="solver_val" localSheetId="8" hidden="1">0.0704673</definedName>
    <definedName name="solver_val" localSheetId="6" hidden="1">0.0704673</definedName>
    <definedName name="solver_val" localSheetId="9" hidden="1">0.0704673</definedName>
    <definedName name="solver_val" localSheetId="5" hidden="1">0.0704673</definedName>
    <definedName name="solver_ver" localSheetId="7" hidden="1">3</definedName>
    <definedName name="solver_ver" localSheetId="8" hidden="1">3</definedName>
    <definedName name="solver_ver" localSheetId="6" hidden="1">3</definedName>
    <definedName name="solver_ver" localSheetId="9" hidden="1">3</definedName>
    <definedName name="solver_ver" localSheetId="5" hidden="1">3</definedName>
    <definedName name="spider">[1]TIPS!$D$20</definedName>
    <definedName name="tarifa" localSheetId="10">#REF!</definedName>
    <definedName name="tarifa" localSheetId="11">#REF!</definedName>
    <definedName name="tarifa" localSheetId="13">#REF!</definedName>
    <definedName name="tarifa" localSheetId="14">#REF!</definedName>
    <definedName name="tarifa" localSheetId="7">#REF!</definedName>
    <definedName name="tarifa" localSheetId="8">#REF!</definedName>
    <definedName name="tarifa" localSheetId="6">#REF!</definedName>
    <definedName name="tarifa" localSheetId="9">#REF!</definedName>
    <definedName name="tarifa" localSheetId="2">#REF!</definedName>
    <definedName name="tarifa" localSheetId="15">#REF!</definedName>
    <definedName name="tarifa">#REF!</definedName>
    <definedName name="Tax_Life" localSheetId="10">[2]Input!#REF!</definedName>
    <definedName name="Tax_Life" localSheetId="11">[2]Input!#REF!</definedName>
    <definedName name="Tax_Life" localSheetId="13">[2]Input!#REF!</definedName>
    <definedName name="Tax_Life" localSheetId="14">[2]Input!#REF!</definedName>
    <definedName name="Tax_Life" localSheetId="7">[2]Input!#REF!</definedName>
    <definedName name="Tax_Life" localSheetId="8">[2]Input!#REF!</definedName>
    <definedName name="Tax_Life" localSheetId="6">[2]Input!#REF!</definedName>
    <definedName name="Tax_Life" localSheetId="9">[2]Input!#REF!</definedName>
    <definedName name="Tax_Life" localSheetId="2">[2]Input!#REF!</definedName>
    <definedName name="Tax_Life" localSheetId="4">[2]Input!#REF!</definedName>
    <definedName name="Tax_Life" localSheetId="15">[2]Input!#REF!</definedName>
    <definedName name="Tax_Life">[2]Input!#REF!</definedName>
    <definedName name="teste">'[1]T-Bill'!$R$38</definedName>
    <definedName name="teste2">'[1]T-Bill'!$U$48</definedName>
    <definedName name="Time_Horizon">[2]Input!$C$5</definedName>
    <definedName name="tir">'[1]T-Bill'!$Q$37</definedName>
    <definedName name="tir_equity">'[1]T-Bill'!$S$47</definedName>
    <definedName name="tri_equity">'[1]T-Bill'!$S$47</definedName>
    <definedName name="vanilla">[2]WACC!$E$30</definedName>
    <definedName name="VPL" localSheetId="10">#REF!</definedName>
    <definedName name="VPL" localSheetId="11">#REF!</definedName>
    <definedName name="VPL" localSheetId="13">#REF!</definedName>
    <definedName name="VPL" localSheetId="14">#REF!</definedName>
    <definedName name="VPL" localSheetId="7">#REF!</definedName>
    <definedName name="VPL" localSheetId="8">#REF!</definedName>
    <definedName name="VPL" localSheetId="6">#REF!</definedName>
    <definedName name="VPL" localSheetId="9">#REF!</definedName>
    <definedName name="VPL" localSheetId="2">#REF!</definedName>
    <definedName name="VPL" localSheetId="15">#REF!</definedName>
    <definedName name="VPL">#REF!</definedName>
    <definedName name="xxx" localSheetId="10">#REF!</definedName>
    <definedName name="xxx" localSheetId="11">#REF!</definedName>
    <definedName name="xxx" localSheetId="13">#REF!</definedName>
    <definedName name="xxx" localSheetId="14">#REF!</definedName>
    <definedName name="xxx" localSheetId="7">#REF!</definedName>
    <definedName name="xxx" localSheetId="8">#REF!</definedName>
    <definedName name="xxx" localSheetId="6">#REF!</definedName>
    <definedName name="xxx" localSheetId="9">#REF!</definedName>
    <definedName name="xxx" localSheetId="2">#REF!</definedName>
    <definedName name="xxx" localSheetId="15">#REF!</definedName>
    <definedName name="xxx">#REF!</definedName>
    <definedName name="yyy" localSheetId="10">#REF!</definedName>
    <definedName name="yyy" localSheetId="11">#REF!</definedName>
    <definedName name="yyy" localSheetId="13">#REF!</definedName>
    <definedName name="yyy" localSheetId="14">#REF!</definedName>
    <definedName name="yyy" localSheetId="7">#REF!</definedName>
    <definedName name="yyy" localSheetId="8">#REF!</definedName>
    <definedName name="yyy" localSheetId="6">#REF!</definedName>
    <definedName name="yyy" localSheetId="9">#REF!</definedName>
    <definedName name="yyy" localSheetId="2">#REF!</definedName>
    <definedName name="yyy" localSheetId="15">#REF!</definedName>
    <definedName name="yyy">#REF!</definedName>
    <definedName name="βe" localSheetId="10">'[2]Input (Assets)'!#REF!</definedName>
    <definedName name="βe" localSheetId="11">'[2]Input (Assets)'!#REF!</definedName>
    <definedName name="βe" localSheetId="13">'[2]Input (Assets)'!#REF!</definedName>
    <definedName name="βe" localSheetId="14">'[2]Input (Assets)'!#REF!</definedName>
    <definedName name="βe" localSheetId="7">'[2]Input (Assets)'!#REF!</definedName>
    <definedName name="βe" localSheetId="8">'[2]Input (Assets)'!#REF!</definedName>
    <definedName name="βe" localSheetId="6">'[2]Input (Assets)'!#REF!</definedName>
    <definedName name="βe" localSheetId="9">'[2]Input (Assets)'!#REF!</definedName>
    <definedName name="βe" localSheetId="2">'[2]Input (Assets)'!#REF!</definedName>
    <definedName name="βe" localSheetId="4">'[2]Input (Assets)'!#REF!</definedName>
    <definedName name="βe" localSheetId="15">'[2]Input (Assets)'!#REF!</definedName>
    <definedName name="βe">'[2]Input (Assets)'!#REF!</definedName>
  </definedNames>
  <calcPr calcId="191029"/>
</workbook>
</file>

<file path=xl/calcChain.xml><?xml version="1.0" encoding="utf-8"?>
<calcChain xmlns="http://schemas.openxmlformats.org/spreadsheetml/2006/main">
  <c r="F25" i="6" l="1"/>
  <c r="G25" i="6"/>
  <c r="F27" i="6" l="1"/>
  <c r="G27" i="6"/>
  <c r="C25" i="6"/>
  <c r="D25" i="6"/>
  <c r="E25" i="6"/>
  <c r="C27" i="6"/>
  <c r="D27" i="6"/>
  <c r="E27" i="6"/>
  <c r="F14" i="6" l="1"/>
  <c r="F16" i="6"/>
  <c r="D7" i="6"/>
  <c r="E7" i="6"/>
  <c r="D8" i="6"/>
  <c r="E8" i="6"/>
  <c r="F8" i="6"/>
  <c r="G8" i="6"/>
  <c r="D9" i="6"/>
  <c r="E9" i="6"/>
  <c r="F9" i="6"/>
  <c r="G9" i="6"/>
  <c r="D10" i="6"/>
  <c r="E10" i="6"/>
  <c r="D11" i="6"/>
  <c r="E11" i="6"/>
  <c r="D12" i="6"/>
  <c r="E12" i="6"/>
  <c r="F12" i="6"/>
  <c r="G12" i="6"/>
  <c r="D13" i="6"/>
  <c r="E13" i="6"/>
  <c r="F13" i="6"/>
  <c r="G13" i="6"/>
  <c r="D14" i="6"/>
  <c r="E14" i="6"/>
  <c r="D15" i="6"/>
  <c r="E15" i="6"/>
  <c r="D16" i="6"/>
  <c r="E16" i="6"/>
  <c r="D17" i="6"/>
  <c r="E17" i="6"/>
  <c r="D18" i="6"/>
  <c r="E18" i="6"/>
  <c r="C8" i="6"/>
  <c r="C9" i="6"/>
  <c r="C10" i="6"/>
  <c r="C11" i="6"/>
  <c r="C12" i="6"/>
  <c r="C13" i="6"/>
  <c r="C14" i="6"/>
  <c r="C15" i="6"/>
  <c r="C16" i="6"/>
  <c r="C17" i="6"/>
  <c r="C18" i="6"/>
  <c r="C7" i="6"/>
  <c r="G15" i="6"/>
  <c r="G11" i="6"/>
  <c r="G14" i="6"/>
  <c r="G16" i="6"/>
  <c r="G17" i="6"/>
  <c r="F15" i="6" l="1"/>
  <c r="F17" i="6"/>
  <c r="F11" i="6"/>
  <c r="G18" i="6" l="1"/>
  <c r="F7" i="6"/>
  <c r="G10" i="6"/>
  <c r="F10" i="6"/>
  <c r="F26" i="6" s="1"/>
  <c r="G7" i="6"/>
  <c r="F18" i="6" l="1"/>
  <c r="D34" i="105" l="1"/>
  <c r="E34" i="105"/>
  <c r="F34" i="105"/>
  <c r="G34" i="105"/>
  <c r="D34" i="41"/>
  <c r="E34" i="41"/>
  <c r="F34" i="41"/>
  <c r="G34" i="41"/>
  <c r="C29" i="113" l="1"/>
  <c r="C23" i="113"/>
  <c r="D17" i="113"/>
  <c r="C17" i="113"/>
  <c r="C11" i="113"/>
  <c r="D4" i="113"/>
  <c r="E4" i="113" s="1"/>
  <c r="F4" i="113" l="1"/>
  <c r="E17" i="113"/>
  <c r="E11" i="113"/>
  <c r="E23" i="113"/>
  <c r="E29" i="113"/>
  <c r="D29" i="113"/>
  <c r="D11" i="113"/>
  <c r="D23" i="113"/>
  <c r="C33" i="120"/>
  <c r="C34" i="120"/>
  <c r="G4" i="113" l="1"/>
  <c r="F29" i="113"/>
  <c r="F17" i="113"/>
  <c r="F23" i="113"/>
  <c r="F11" i="113"/>
  <c r="E33" i="120"/>
  <c r="E34" i="120" s="1"/>
  <c r="K5" i="114"/>
  <c r="C17" i="114"/>
  <c r="K17" i="114" s="1"/>
  <c r="O31" i="94"/>
  <c r="Q22" i="94" s="1"/>
  <c r="C6" i="9"/>
  <c r="D6" i="9" s="1"/>
  <c r="E6" i="9" s="1"/>
  <c r="F6" i="9" s="1"/>
  <c r="E5" i="6"/>
  <c r="F5" i="6" s="1"/>
  <c r="G5" i="6" s="1"/>
  <c r="D5" i="6"/>
  <c r="E4" i="99"/>
  <c r="G4" i="99"/>
  <c r="C4" i="99"/>
  <c r="E4" i="111"/>
  <c r="E4" i="110"/>
  <c r="F4" i="110"/>
  <c r="F4" i="111" s="1"/>
  <c r="G4" i="110"/>
  <c r="G4" i="111" s="1"/>
  <c r="C4" i="110"/>
  <c r="C4" i="111" s="1"/>
  <c r="D4" i="41"/>
  <c r="E4" i="41" s="1"/>
  <c r="F4" i="41" s="1"/>
  <c r="G4" i="41" s="1"/>
  <c r="Q23" i="94" l="1"/>
  <c r="Q24" i="94" s="1"/>
  <c r="R23" i="94"/>
  <c r="S23" i="94"/>
  <c r="T23" i="94"/>
  <c r="U23" i="94"/>
  <c r="V23" i="94"/>
  <c r="W23" i="94"/>
  <c r="C34" i="41"/>
  <c r="C34" i="105"/>
  <c r="C29" i="114"/>
  <c r="D4" i="110"/>
  <c r="D4" i="111" s="1"/>
  <c r="F4" i="99"/>
  <c r="D4" i="99"/>
  <c r="G29" i="113"/>
  <c r="G17" i="113"/>
  <c r="G11" i="113"/>
  <c r="G23" i="113"/>
  <c r="D6" i="94"/>
  <c r="K29" i="114" l="1"/>
  <c r="C41" i="114"/>
  <c r="Q25" i="94"/>
  <c r="C24" i="120"/>
  <c r="C53" i="114" l="1"/>
  <c r="K53" i="114" s="1"/>
  <c r="K41" i="114"/>
  <c r="B10" i="9" l="1"/>
  <c r="C10" i="9" s="1"/>
  <c r="D10" i="9" s="1"/>
  <c r="E10" i="9" s="1"/>
  <c r="F10" i="9" s="1"/>
  <c r="P13" i="111" l="1"/>
  <c r="Q13" i="111" s="1"/>
  <c r="R13" i="111" s="1"/>
  <c r="S13" i="111" s="1"/>
  <c r="P6" i="111"/>
  <c r="Q6" i="111" s="1"/>
  <c r="R6" i="111" s="1"/>
  <c r="S6" i="111" s="1"/>
  <c r="C8" i="10" l="1"/>
  <c r="D8" i="10"/>
  <c r="E8" i="10"/>
  <c r="F8" i="10"/>
  <c r="B8" i="10"/>
  <c r="K60" i="114"/>
  <c r="M55" i="114"/>
  <c r="K48" i="114"/>
  <c r="M43" i="114"/>
  <c r="K36" i="114"/>
  <c r="M31" i="114"/>
  <c r="K24" i="114"/>
  <c r="M19" i="114"/>
  <c r="K12" i="114"/>
  <c r="M7" i="114"/>
  <c r="P59" i="114"/>
  <c r="K58" i="114"/>
  <c r="P47" i="114"/>
  <c r="K46" i="114"/>
  <c r="P35" i="114"/>
  <c r="K34" i="114"/>
  <c r="P23" i="114"/>
  <c r="K22" i="114"/>
  <c r="O18" i="114"/>
  <c r="O30" i="114" s="1"/>
  <c r="O42" i="114" s="1"/>
  <c r="O54" i="114" s="1"/>
  <c r="N18" i="114"/>
  <c r="N30" i="114" s="1"/>
  <c r="N42" i="114" s="1"/>
  <c r="N54" i="114" s="1"/>
  <c r="M18" i="114"/>
  <c r="M30" i="114" s="1"/>
  <c r="M42" i="114" s="1"/>
  <c r="M54" i="114" s="1"/>
  <c r="L18" i="114"/>
  <c r="L30" i="114" s="1"/>
  <c r="L42" i="114" s="1"/>
  <c r="L54" i="114" s="1"/>
  <c r="K18" i="114"/>
  <c r="K30" i="114" s="1"/>
  <c r="K42" i="114" s="1"/>
  <c r="K54" i="114" s="1"/>
  <c r="J13" i="114"/>
  <c r="J25" i="114" s="1"/>
  <c r="J37" i="114" s="1"/>
  <c r="J49" i="114" s="1"/>
  <c r="P11" i="114"/>
  <c r="O11" i="114"/>
  <c r="O23" i="114" s="1"/>
  <c r="O35" i="114" s="1"/>
  <c r="O47" i="114" s="1"/>
  <c r="O59" i="114" s="1"/>
  <c r="N11" i="114"/>
  <c r="N23" i="114" s="1"/>
  <c r="N35" i="114" s="1"/>
  <c r="N47" i="114" s="1"/>
  <c r="N59" i="114" s="1"/>
  <c r="M11" i="114"/>
  <c r="M23" i="114" s="1"/>
  <c r="M35" i="114" s="1"/>
  <c r="M47" i="114" s="1"/>
  <c r="M59" i="114" s="1"/>
  <c r="L11" i="114"/>
  <c r="L23" i="114" s="1"/>
  <c r="L35" i="114" s="1"/>
  <c r="L47" i="114" s="1"/>
  <c r="L59" i="114" s="1"/>
  <c r="K11" i="114"/>
  <c r="K23" i="114" s="1"/>
  <c r="K35" i="114" s="1"/>
  <c r="K47" i="114" s="1"/>
  <c r="K59" i="114" s="1"/>
  <c r="K10" i="114"/>
  <c r="C58" i="114"/>
  <c r="C46" i="114"/>
  <c r="C34" i="114"/>
  <c r="C22" i="114"/>
  <c r="C10" i="114"/>
  <c r="J8" i="110"/>
  <c r="C13" i="110"/>
  <c r="D13" i="110" s="1"/>
  <c r="E13" i="110" s="1"/>
  <c r="F13" i="110" s="1"/>
  <c r="G13" i="110" s="1"/>
  <c r="D6" i="110"/>
  <c r="E6" i="110" s="1"/>
  <c r="F6" i="110" s="1"/>
  <c r="C32" i="110"/>
  <c r="D32" i="110"/>
  <c r="E32" i="110"/>
  <c r="F32" i="110"/>
  <c r="G32" i="110"/>
  <c r="B21" i="110"/>
  <c r="B35" i="110" s="1"/>
  <c r="B22" i="110"/>
  <c r="B36" i="110" s="1"/>
  <c r="B20" i="110"/>
  <c r="B34" i="110" s="1"/>
  <c r="G4" i="106"/>
  <c r="F4" i="106"/>
  <c r="E4" i="106"/>
  <c r="D4" i="106"/>
  <c r="C4" i="106"/>
  <c r="G4" i="104"/>
  <c r="F4" i="104"/>
  <c r="E4" i="104"/>
  <c r="D4" i="104"/>
  <c r="C4" i="104"/>
  <c r="D4" i="109"/>
  <c r="E4" i="109"/>
  <c r="F4" i="109"/>
  <c r="G4" i="109"/>
  <c r="C4" i="109"/>
  <c r="T21" i="94"/>
  <c r="U21" i="94"/>
  <c r="V21" i="94"/>
  <c r="W21" i="94"/>
  <c r="Q21" i="94"/>
  <c r="R21" i="94"/>
  <c r="S21" i="94"/>
  <c r="P21" i="94"/>
  <c r="D4" i="105"/>
  <c r="D55" i="105" s="1"/>
  <c r="E4" i="105"/>
  <c r="E55" i="105" s="1"/>
  <c r="F4" i="105"/>
  <c r="F55" i="105" s="1"/>
  <c r="G4" i="105"/>
  <c r="G46" i="105" s="1"/>
  <c r="C4" i="105"/>
  <c r="C46" i="105" s="1"/>
  <c r="F46" i="105" l="1"/>
  <c r="O23" i="94"/>
  <c r="O24" i="94" s="1"/>
  <c r="P23" i="94"/>
  <c r="G6" i="110"/>
  <c r="J6" i="110"/>
  <c r="D46" i="105"/>
  <c r="C55" i="105"/>
  <c r="E46" i="105"/>
  <c r="G55" i="105"/>
  <c r="D65" i="99"/>
  <c r="E65" i="99"/>
  <c r="F65" i="99"/>
  <c r="G65" i="99"/>
  <c r="C65" i="99"/>
  <c r="D64" i="99"/>
  <c r="E64" i="99"/>
  <c r="F64" i="99"/>
  <c r="G64" i="99"/>
  <c r="D60" i="99"/>
  <c r="E60" i="99"/>
  <c r="F60" i="99"/>
  <c r="G60" i="99"/>
  <c r="C59" i="41"/>
  <c r="D5" i="33"/>
  <c r="D32" i="33" s="1"/>
  <c r="E5" i="33"/>
  <c r="E32" i="33" s="1"/>
  <c r="F5" i="33"/>
  <c r="F32" i="33" s="1"/>
  <c r="G5" i="33"/>
  <c r="G32" i="33" s="1"/>
  <c r="C5" i="33"/>
  <c r="C32" i="33" s="1"/>
  <c r="D23" i="120"/>
  <c r="D24" i="120" s="1"/>
  <c r="C63" i="9"/>
  <c r="D63" i="9" s="1"/>
  <c r="E63" i="9" s="1"/>
  <c r="F63" i="9" s="1"/>
  <c r="P24" i="94" l="1"/>
  <c r="O25" i="94"/>
  <c r="P25" i="94" s="1"/>
  <c r="B40" i="120"/>
  <c r="C40" i="120" s="1"/>
  <c r="C36" i="120"/>
  <c r="C37" i="120"/>
  <c r="C38" i="120"/>
  <c r="C39" i="120"/>
  <c r="C25" i="120"/>
  <c r="D25" i="120" s="1"/>
  <c r="D26" i="120" s="1"/>
  <c r="D27" i="120" s="1"/>
  <c r="D28" i="120" s="1"/>
  <c r="D29" i="120" s="1"/>
  <c r="D30" i="120" s="1"/>
  <c r="D31" i="120" s="1"/>
  <c r="D32" i="120" s="1"/>
  <c r="D33" i="120" s="1"/>
  <c r="D34" i="120" s="1"/>
  <c r="C26" i="120"/>
  <c r="C27" i="120"/>
  <c r="C28" i="120"/>
  <c r="C29" i="120"/>
  <c r="C30" i="120"/>
  <c r="C31" i="120"/>
  <c r="C32" i="120"/>
  <c r="E11" i="107"/>
  <c r="F11" i="107"/>
  <c r="G11" i="107"/>
  <c r="H11" i="107"/>
  <c r="E17" i="107"/>
  <c r="F17" i="107"/>
  <c r="G17" i="107"/>
  <c r="H17" i="107"/>
  <c r="E21" i="107"/>
  <c r="F21" i="107"/>
  <c r="G21" i="107"/>
  <c r="H21" i="107"/>
  <c r="D21" i="107"/>
  <c r="D17" i="107"/>
  <c r="D11" i="107"/>
  <c r="D47" i="99"/>
  <c r="E47" i="99"/>
  <c r="F47" i="99"/>
  <c r="G47" i="99"/>
  <c r="D54" i="99"/>
  <c r="E54" i="99"/>
  <c r="F54" i="99"/>
  <c r="G54" i="99"/>
  <c r="D71" i="99"/>
  <c r="E71" i="99"/>
  <c r="F71" i="99"/>
  <c r="G71" i="99"/>
  <c r="D78" i="99"/>
  <c r="E78" i="99"/>
  <c r="F78" i="99"/>
  <c r="G78" i="99"/>
  <c r="D86" i="99"/>
  <c r="E86" i="99"/>
  <c r="F86" i="99"/>
  <c r="G86" i="99"/>
  <c r="D90" i="99"/>
  <c r="E90" i="99"/>
  <c r="F90" i="99"/>
  <c r="G90" i="99"/>
  <c r="D95" i="99"/>
  <c r="E95" i="99"/>
  <c r="F95" i="99"/>
  <c r="G95" i="99"/>
  <c r="C95" i="99"/>
  <c r="C102" i="99"/>
  <c r="D102" i="99"/>
  <c r="E102" i="99"/>
  <c r="F102" i="99"/>
  <c r="G102" i="99"/>
  <c r="C90" i="99"/>
  <c r="C86" i="99"/>
  <c r="C78" i="99"/>
  <c r="C71" i="99"/>
  <c r="C64" i="99"/>
  <c r="C60" i="99"/>
  <c r="C54" i="99"/>
  <c r="C47" i="99"/>
  <c r="C41" i="99"/>
  <c r="D41" i="99"/>
  <c r="E41" i="99"/>
  <c r="F41" i="99"/>
  <c r="G41" i="99"/>
  <c r="D35" i="99"/>
  <c r="E35" i="99"/>
  <c r="F35" i="99"/>
  <c r="G35" i="99"/>
  <c r="C35" i="99"/>
  <c r="D28" i="99"/>
  <c r="E28" i="99"/>
  <c r="F28" i="99"/>
  <c r="G28" i="99"/>
  <c r="C28" i="99"/>
  <c r="D22" i="99"/>
  <c r="E22" i="99"/>
  <c r="F22" i="99"/>
  <c r="G22" i="99"/>
  <c r="C22" i="99"/>
  <c r="D15" i="99"/>
  <c r="E15" i="99"/>
  <c r="F15" i="99"/>
  <c r="G15" i="99"/>
  <c r="C15" i="99"/>
  <c r="D36" i="120" l="1"/>
  <c r="E36" i="120"/>
  <c r="R25" i="94"/>
  <c r="S25" i="94" s="1"/>
  <c r="T25" i="94" s="1"/>
  <c r="U25" i="94" s="1"/>
  <c r="G36" i="105" s="1"/>
  <c r="B66" i="105"/>
  <c r="D7" i="94"/>
  <c r="B41" i="120"/>
  <c r="C41" i="120" s="1"/>
  <c r="V25" i="94" l="1"/>
  <c r="W25" i="94" s="1"/>
  <c r="C35" i="105"/>
  <c r="C26" i="105"/>
  <c r="R24" i="94"/>
  <c r="D18" i="94"/>
  <c r="E16" i="94"/>
  <c r="D8" i="94"/>
  <c r="D35" i="105" l="1"/>
  <c r="D26" i="105"/>
  <c r="D11" i="94"/>
  <c r="U9" i="94"/>
  <c r="T9" i="94"/>
  <c r="S24" i="94"/>
  <c r="F16" i="94"/>
  <c r="G16" i="94" s="1"/>
  <c r="H16" i="94" s="1"/>
  <c r="I16" i="94" s="1"/>
  <c r="J16" i="94" s="1"/>
  <c r="K16" i="94" s="1"/>
  <c r="L16" i="94" s="1"/>
  <c r="M16" i="94" s="1"/>
  <c r="N16" i="94" s="1"/>
  <c r="O16" i="94" s="1"/>
  <c r="E18" i="94"/>
  <c r="G9" i="94"/>
  <c r="K9" i="94"/>
  <c r="O9" i="94"/>
  <c r="S9" i="94"/>
  <c r="W9" i="94"/>
  <c r="H9" i="94"/>
  <c r="L9" i="94"/>
  <c r="P9" i="94"/>
  <c r="E9" i="94"/>
  <c r="I9" i="94"/>
  <c r="M9" i="94"/>
  <c r="Q9" i="94"/>
  <c r="Q10" i="94" s="1"/>
  <c r="F9" i="94"/>
  <c r="J9" i="94"/>
  <c r="N9" i="94"/>
  <c r="R9" i="94"/>
  <c r="V9" i="94"/>
  <c r="R10" i="94" l="1"/>
  <c r="C35" i="41"/>
  <c r="E11" i="94"/>
  <c r="E26" i="105"/>
  <c r="E35" i="105"/>
  <c r="T24" i="94"/>
  <c r="F18" i="94"/>
  <c r="G18" i="94" s="1"/>
  <c r="H18" i="94" s="1"/>
  <c r="I18" i="94" s="1"/>
  <c r="J18" i="94" s="1"/>
  <c r="K18" i="94" s="1"/>
  <c r="L18" i="94" s="1"/>
  <c r="M18" i="94" s="1"/>
  <c r="N18" i="94" s="1"/>
  <c r="O18" i="94" s="1"/>
  <c r="P16" i="94"/>
  <c r="Q16" i="94" s="1"/>
  <c r="F11" i="94"/>
  <c r="G11" i="94" s="1"/>
  <c r="H11" i="94" s="1"/>
  <c r="I11" i="94" s="1"/>
  <c r="J11" i="94" s="1"/>
  <c r="K11" i="94" s="1"/>
  <c r="L11" i="94" s="1"/>
  <c r="M11" i="94" s="1"/>
  <c r="N11" i="94" s="1"/>
  <c r="R16" i="94" l="1"/>
  <c r="S16" i="94" s="1"/>
  <c r="Q17" i="94"/>
  <c r="S10" i="94"/>
  <c r="D35" i="41"/>
  <c r="F26" i="105"/>
  <c r="F35" i="105"/>
  <c r="U24" i="94"/>
  <c r="T16" i="94"/>
  <c r="U16" i="94" s="1"/>
  <c r="V16" i="94" s="1"/>
  <c r="W16" i="94" s="1"/>
  <c r="O11" i="94"/>
  <c r="P11" i="94" s="1"/>
  <c r="P18" i="94"/>
  <c r="Q18" i="94" s="1"/>
  <c r="R18" i="94" s="1"/>
  <c r="S18" i="94" s="1"/>
  <c r="T10" i="94" l="1"/>
  <c r="E35" i="41"/>
  <c r="P32" i="94"/>
  <c r="B51" i="9"/>
  <c r="R17" i="94"/>
  <c r="C26" i="41"/>
  <c r="G26" i="105"/>
  <c r="G35" i="105"/>
  <c r="V24" i="94"/>
  <c r="W24" i="94" s="1"/>
  <c r="Q11" i="94"/>
  <c r="R11" i="94" s="1"/>
  <c r="S11" i="94" s="1"/>
  <c r="T11" i="94" s="1"/>
  <c r="U11" i="94" s="1"/>
  <c r="B66" i="41"/>
  <c r="T18" i="94"/>
  <c r="U18" i="94" s="1"/>
  <c r="V18" i="94" s="1"/>
  <c r="W18" i="94" s="1"/>
  <c r="C58" i="9"/>
  <c r="D58" i="9"/>
  <c r="E46" i="110" s="1"/>
  <c r="E58" i="9"/>
  <c r="F58" i="9"/>
  <c r="G46" i="110" s="1"/>
  <c r="B58" i="9"/>
  <c r="P4" i="111"/>
  <c r="Q4" i="111"/>
  <c r="R4" i="111"/>
  <c r="S4" i="111"/>
  <c r="O4" i="111"/>
  <c r="D7" i="33"/>
  <c r="E7" i="33"/>
  <c r="F7" i="33"/>
  <c r="G7" i="33"/>
  <c r="H7" i="6"/>
  <c r="D8" i="33"/>
  <c r="D14" i="41" s="1"/>
  <c r="E8" i="33"/>
  <c r="E14" i="41" s="1"/>
  <c r="F8" i="33"/>
  <c r="F14" i="41" s="1"/>
  <c r="G8" i="33"/>
  <c r="G14" i="41" s="1"/>
  <c r="H8" i="6"/>
  <c r="D9" i="33"/>
  <c r="D15" i="41" s="1"/>
  <c r="E9" i="33"/>
  <c r="E15" i="41" s="1"/>
  <c r="F9" i="33"/>
  <c r="F15" i="41" s="1"/>
  <c r="G9" i="33"/>
  <c r="G15" i="41" s="1"/>
  <c r="H9" i="6"/>
  <c r="D10" i="33"/>
  <c r="D16" i="41" s="1"/>
  <c r="E10" i="33"/>
  <c r="E16" i="41" s="1"/>
  <c r="F10" i="33"/>
  <c r="F16" i="41" s="1"/>
  <c r="G10" i="33"/>
  <c r="G16" i="41" s="1"/>
  <c r="H10" i="6"/>
  <c r="D11" i="33"/>
  <c r="D17" i="41" s="1"/>
  <c r="E11" i="33"/>
  <c r="E17" i="41" s="1"/>
  <c r="F11" i="33"/>
  <c r="F17" i="41" s="1"/>
  <c r="G11" i="33"/>
  <c r="G17" i="41" s="1"/>
  <c r="H11" i="6"/>
  <c r="D12" i="33"/>
  <c r="D18" i="41" s="1"/>
  <c r="E12" i="33"/>
  <c r="E18" i="41" s="1"/>
  <c r="F12" i="33"/>
  <c r="F18" i="41" s="1"/>
  <c r="G12" i="33"/>
  <c r="G18" i="41" s="1"/>
  <c r="H12" i="6"/>
  <c r="D13" i="33"/>
  <c r="D19" i="41" s="1"/>
  <c r="E13" i="33"/>
  <c r="E19" i="41" s="1"/>
  <c r="F13" i="33"/>
  <c r="F19" i="41" s="1"/>
  <c r="G13" i="33"/>
  <c r="G19" i="41" s="1"/>
  <c r="H13" i="6"/>
  <c r="D14" i="33"/>
  <c r="D20" i="41" s="1"/>
  <c r="E14" i="33"/>
  <c r="E20" i="41" s="1"/>
  <c r="F14" i="33"/>
  <c r="F20" i="41" s="1"/>
  <c r="G14" i="33"/>
  <c r="G20" i="41" s="1"/>
  <c r="H14" i="6"/>
  <c r="D15" i="33"/>
  <c r="D21" i="41" s="1"/>
  <c r="E15" i="33"/>
  <c r="E21" i="41" s="1"/>
  <c r="F15" i="33"/>
  <c r="F21" i="41" s="1"/>
  <c r="G15" i="33"/>
  <c r="G21" i="41" s="1"/>
  <c r="H15" i="6"/>
  <c r="D16" i="33"/>
  <c r="D22" i="41" s="1"/>
  <c r="E16" i="33"/>
  <c r="E22" i="41" s="1"/>
  <c r="F16" i="33"/>
  <c r="F22" i="41" s="1"/>
  <c r="G16" i="33"/>
  <c r="G22" i="41" s="1"/>
  <c r="H16" i="6"/>
  <c r="D17" i="33"/>
  <c r="D23" i="41" s="1"/>
  <c r="E17" i="33"/>
  <c r="E23" i="41" s="1"/>
  <c r="F17" i="33"/>
  <c r="F23" i="41" s="1"/>
  <c r="G17" i="33"/>
  <c r="G23" i="41" s="1"/>
  <c r="H17" i="6"/>
  <c r="D18" i="33"/>
  <c r="D24" i="41" s="1"/>
  <c r="E18" i="33"/>
  <c r="E24" i="41" s="1"/>
  <c r="F18" i="33"/>
  <c r="F24" i="41" s="1"/>
  <c r="G18" i="33"/>
  <c r="G24" i="41" s="1"/>
  <c r="H18" i="6"/>
  <c r="C8" i="33"/>
  <c r="C14" i="41" s="1"/>
  <c r="C9" i="33"/>
  <c r="C15" i="41" s="1"/>
  <c r="C10" i="33"/>
  <c r="C16" i="41" s="1"/>
  <c r="C11" i="33"/>
  <c r="C17" i="41" s="1"/>
  <c r="C12" i="33"/>
  <c r="C18" i="41" s="1"/>
  <c r="C13" i="33"/>
  <c r="C19" i="41" s="1"/>
  <c r="C14" i="33"/>
  <c r="C20" i="41" s="1"/>
  <c r="C15" i="33"/>
  <c r="C21" i="41" s="1"/>
  <c r="C16" i="33"/>
  <c r="C22" i="41" s="1"/>
  <c r="C17" i="33"/>
  <c r="C23" i="41" s="1"/>
  <c r="C18" i="33"/>
  <c r="C24" i="41" s="1"/>
  <c r="F64" i="9"/>
  <c r="E64" i="9"/>
  <c r="C53" i="9"/>
  <c r="D53" i="9"/>
  <c r="E53" i="9"/>
  <c r="F53" i="9"/>
  <c r="B53" i="9"/>
  <c r="D46" i="111" l="1"/>
  <c r="D46" i="110"/>
  <c r="S17" i="94"/>
  <c r="D26" i="41"/>
  <c r="G36" i="41"/>
  <c r="V11" i="94"/>
  <c r="C46" i="111"/>
  <c r="C46" i="110"/>
  <c r="C20" i="110" s="1"/>
  <c r="F46" i="111"/>
  <c r="F46" i="110"/>
  <c r="U10" i="94"/>
  <c r="F35" i="41"/>
  <c r="W11" i="94"/>
  <c r="D13" i="41"/>
  <c r="D33" i="33"/>
  <c r="E13" i="41"/>
  <c r="E33" i="33"/>
  <c r="G13" i="41"/>
  <c r="G33" i="33"/>
  <c r="F13" i="41"/>
  <c r="F33" i="33"/>
  <c r="E46" i="111"/>
  <c r="G46" i="111"/>
  <c r="G45" i="110"/>
  <c r="F45" i="110"/>
  <c r="E45" i="110"/>
  <c r="D45" i="110"/>
  <c r="C45" i="110"/>
  <c r="G39" i="110"/>
  <c r="F39" i="110"/>
  <c r="E39" i="110"/>
  <c r="D39" i="110"/>
  <c r="C39" i="110"/>
  <c r="G25" i="110"/>
  <c r="F25" i="110"/>
  <c r="E25" i="110"/>
  <c r="D25" i="110"/>
  <c r="C25" i="110"/>
  <c r="G18" i="110"/>
  <c r="F18" i="110"/>
  <c r="E18" i="110"/>
  <c r="D18" i="110"/>
  <c r="C18" i="110"/>
  <c r="D11" i="110"/>
  <c r="E11" i="110"/>
  <c r="F11" i="110"/>
  <c r="G11" i="110"/>
  <c r="C11" i="110"/>
  <c r="P18" i="111"/>
  <c r="P25" i="111" s="1"/>
  <c r="Q18" i="111"/>
  <c r="E18" i="111" s="1"/>
  <c r="R18" i="111"/>
  <c r="F18" i="111" s="1"/>
  <c r="S18" i="111"/>
  <c r="G18" i="111" s="1"/>
  <c r="O18" i="111"/>
  <c r="C18" i="111" s="1"/>
  <c r="P11" i="111"/>
  <c r="D11" i="111" s="1"/>
  <c r="Q11" i="111"/>
  <c r="E11" i="111" s="1"/>
  <c r="R11" i="111"/>
  <c r="F11" i="111" s="1"/>
  <c r="S11" i="111"/>
  <c r="G11" i="111" s="1"/>
  <c r="O11" i="111"/>
  <c r="C11" i="111" s="1"/>
  <c r="D46" i="41"/>
  <c r="E46" i="41"/>
  <c r="F46" i="41"/>
  <c r="G46" i="41"/>
  <c r="C46" i="41"/>
  <c r="D55" i="41"/>
  <c r="E55" i="41"/>
  <c r="F55" i="41"/>
  <c r="G55" i="41"/>
  <c r="C55" i="41"/>
  <c r="V10" i="94" l="1"/>
  <c r="W10" i="94" s="1"/>
  <c r="G35" i="41"/>
  <c r="T17" i="94"/>
  <c r="E26" i="41"/>
  <c r="E55" i="104"/>
  <c r="E55" i="109"/>
  <c r="E55" i="106"/>
  <c r="F55" i="109"/>
  <c r="F55" i="106"/>
  <c r="F55" i="104"/>
  <c r="G46" i="104"/>
  <c r="G46" i="106"/>
  <c r="G46" i="109"/>
  <c r="F46" i="104"/>
  <c r="F46" i="109"/>
  <c r="F46" i="106"/>
  <c r="E46" i="106"/>
  <c r="E46" i="104"/>
  <c r="E46" i="109"/>
  <c r="G55" i="109"/>
  <c r="G55" i="106"/>
  <c r="G55" i="104"/>
  <c r="D55" i="109"/>
  <c r="D55" i="104"/>
  <c r="D55" i="106"/>
  <c r="D46" i="104"/>
  <c r="D46" i="109"/>
  <c r="D46" i="106"/>
  <c r="C46" i="109"/>
  <c r="C46" i="104"/>
  <c r="C46" i="106"/>
  <c r="C55" i="106"/>
  <c r="C55" i="109"/>
  <c r="C55" i="104"/>
  <c r="O25" i="111"/>
  <c r="O32" i="111" s="1"/>
  <c r="O39" i="111" s="1"/>
  <c r="S25" i="111"/>
  <c r="G25" i="111" s="1"/>
  <c r="D18" i="111"/>
  <c r="P32" i="111"/>
  <c r="D25" i="111"/>
  <c r="R25" i="111"/>
  <c r="Q25" i="111"/>
  <c r="C32" i="111"/>
  <c r="C25" i="111"/>
  <c r="S32" i="111" l="1"/>
  <c r="U17" i="94"/>
  <c r="F26" i="41"/>
  <c r="Q32" i="111"/>
  <c r="E25" i="111"/>
  <c r="R32" i="111"/>
  <c r="F25" i="111"/>
  <c r="G32" i="111"/>
  <c r="S39" i="111"/>
  <c r="P39" i="111"/>
  <c r="D32" i="111"/>
  <c r="C39" i="111"/>
  <c r="O45" i="111"/>
  <c r="C45" i="111" s="1"/>
  <c r="V17" i="94" l="1"/>
  <c r="W17" i="94" s="1"/>
  <c r="G26" i="41"/>
  <c r="P45" i="111"/>
  <c r="D45" i="111" s="1"/>
  <c r="D39" i="111"/>
  <c r="G39" i="111"/>
  <c r="S45" i="111"/>
  <c r="G45" i="111" s="1"/>
  <c r="F32" i="111"/>
  <c r="R39" i="111"/>
  <c r="E32" i="111"/>
  <c r="Q39" i="111"/>
  <c r="E39" i="111" l="1"/>
  <c r="Q45" i="111"/>
  <c r="E45" i="111" s="1"/>
  <c r="F39" i="111"/>
  <c r="R45" i="111"/>
  <c r="F45" i="111" s="1"/>
  <c r="B20" i="9" l="1"/>
  <c r="B21" i="9"/>
  <c r="B23" i="9"/>
  <c r="B24" i="9"/>
  <c r="B25" i="9"/>
  <c r="B26" i="9"/>
  <c r="B27" i="9"/>
  <c r="B29" i="9"/>
  <c r="B30" i="9"/>
  <c r="B31" i="9"/>
  <c r="B32" i="9"/>
  <c r="B33" i="9"/>
  <c r="B34" i="9"/>
  <c r="B35" i="9"/>
  <c r="B38" i="9"/>
  <c r="B39" i="9"/>
  <c r="B40" i="9"/>
  <c r="B41" i="9"/>
  <c r="B42" i="9"/>
  <c r="B43" i="9"/>
  <c r="C44" i="9"/>
  <c r="C55" i="9"/>
  <c r="D55" i="9" s="1"/>
  <c r="C60" i="9"/>
  <c r="D60" i="9" s="1"/>
  <c r="E60" i="9" s="1"/>
  <c r="F60" i="9" s="1"/>
  <c r="B80" i="9"/>
  <c r="C80" i="9"/>
  <c r="D80" i="9"/>
  <c r="E80" i="9"/>
  <c r="F80" i="9"/>
  <c r="C56" i="9" l="1"/>
  <c r="D56" i="9"/>
  <c r="E55" i="9"/>
  <c r="B54" i="115"/>
  <c r="B43" i="115"/>
  <c r="B32" i="115"/>
  <c r="B21" i="115"/>
  <c r="B10" i="115"/>
  <c r="E56" i="9" l="1"/>
  <c r="F55" i="9"/>
  <c r="D18" i="114"/>
  <c r="D30" i="114" s="1"/>
  <c r="D42" i="114" s="1"/>
  <c r="D54" i="114" s="1"/>
  <c r="E18" i="114"/>
  <c r="E30" i="114" s="1"/>
  <c r="E42" i="114" s="1"/>
  <c r="E54" i="114" s="1"/>
  <c r="F18" i="114"/>
  <c r="F30" i="114" s="1"/>
  <c r="F42" i="114" s="1"/>
  <c r="F54" i="114" s="1"/>
  <c r="G18" i="114"/>
  <c r="G30" i="114" s="1"/>
  <c r="G42" i="114" s="1"/>
  <c r="G54" i="114" s="1"/>
  <c r="C18" i="114"/>
  <c r="C30" i="114" s="1"/>
  <c r="C42" i="114" s="1"/>
  <c r="C54" i="114" s="1"/>
  <c r="H59" i="114"/>
  <c r="H47" i="114"/>
  <c r="H35" i="114"/>
  <c r="H23" i="114"/>
  <c r="D11" i="114"/>
  <c r="D23" i="114" s="1"/>
  <c r="D35" i="114" s="1"/>
  <c r="D47" i="114" s="1"/>
  <c r="D59" i="114" s="1"/>
  <c r="E11" i="114"/>
  <c r="E23" i="114" s="1"/>
  <c r="E35" i="114" s="1"/>
  <c r="E47" i="114" s="1"/>
  <c r="E59" i="114" s="1"/>
  <c r="F11" i="114"/>
  <c r="F23" i="114" s="1"/>
  <c r="F35" i="114" s="1"/>
  <c r="F47" i="114" s="1"/>
  <c r="F59" i="114" s="1"/>
  <c r="G11" i="114"/>
  <c r="G23" i="114" s="1"/>
  <c r="G35" i="114" s="1"/>
  <c r="G47" i="114" s="1"/>
  <c r="G59" i="114" s="1"/>
  <c r="H11" i="114"/>
  <c r="C11" i="114"/>
  <c r="C23" i="114" s="1"/>
  <c r="C35" i="114" s="1"/>
  <c r="C47" i="114" s="1"/>
  <c r="C59" i="114" s="1"/>
  <c r="B14" i="113"/>
  <c r="B32" i="113" s="1"/>
  <c r="B13" i="113"/>
  <c r="B25" i="113" s="1"/>
  <c r="B8" i="113"/>
  <c r="B7" i="113"/>
  <c r="B6" i="113"/>
  <c r="N6" i="111"/>
  <c r="N7" i="111"/>
  <c r="N21" i="111" s="1"/>
  <c r="N35" i="111" s="1"/>
  <c r="N8" i="111"/>
  <c r="N22" i="111" s="1"/>
  <c r="N36" i="111" s="1"/>
  <c r="N13" i="111"/>
  <c r="N27" i="111" s="1"/>
  <c r="N41" i="111" s="1"/>
  <c r="N14" i="111"/>
  <c r="N28" i="111" s="1"/>
  <c r="N42" i="111" s="1"/>
  <c r="B20" i="111"/>
  <c r="B34" i="111" s="1"/>
  <c r="B21" i="111"/>
  <c r="B35" i="111" s="1"/>
  <c r="B22" i="111"/>
  <c r="B36" i="111" s="1"/>
  <c r="B27" i="111"/>
  <c r="B41" i="111" s="1"/>
  <c r="B13" i="110" s="1"/>
  <c r="B27" i="110" s="1"/>
  <c r="B41" i="110" s="1"/>
  <c r="B28" i="111"/>
  <c r="B42" i="111" s="1"/>
  <c r="B28" i="110"/>
  <c r="B42" i="110" s="1"/>
  <c r="N20" i="111" l="1"/>
  <c r="N34" i="111" s="1"/>
  <c r="C10" i="99"/>
  <c r="F56" i="9"/>
  <c r="B19" i="113"/>
  <c r="B26" i="113"/>
  <c r="B20" i="113"/>
  <c r="B31" i="113"/>
  <c r="B12" i="99" l="1"/>
  <c r="B18" i="99"/>
  <c r="B17" i="99"/>
  <c r="D12" i="110"/>
  <c r="E12" i="110"/>
  <c r="F12" i="110"/>
  <c r="G12" i="110"/>
  <c r="C12" i="110"/>
  <c r="D5" i="110"/>
  <c r="E5" i="110"/>
  <c r="F5" i="110"/>
  <c r="G5" i="110"/>
  <c r="C5" i="110"/>
  <c r="H8" i="110"/>
  <c r="H5" i="110" l="1"/>
  <c r="B25" i="99"/>
  <c r="B37" i="99"/>
  <c r="B56" i="99"/>
  <c r="B80" i="99" s="1"/>
  <c r="B51" i="99"/>
  <c r="B75" i="99" s="1"/>
  <c r="B32" i="99"/>
  <c r="B31" i="99"/>
  <c r="B50" i="99"/>
  <c r="B24" i="99"/>
  <c r="B49" i="99"/>
  <c r="B73" i="99" s="1"/>
  <c r="B30" i="99"/>
  <c r="B57" i="99"/>
  <c r="B81" i="99" s="1"/>
  <c r="B38" i="99"/>
  <c r="B19" i="99"/>
  <c r="J12" i="110"/>
  <c r="E14" i="111"/>
  <c r="F14" i="111"/>
  <c r="G14" i="111"/>
  <c r="P5" i="111"/>
  <c r="R5" i="111"/>
  <c r="T8" i="111"/>
  <c r="D13" i="111"/>
  <c r="C8" i="111"/>
  <c r="D8" i="111"/>
  <c r="E8" i="111"/>
  <c r="F8" i="111"/>
  <c r="G8" i="111"/>
  <c r="I8" i="110" l="1"/>
  <c r="B97" i="99"/>
  <c r="B7" i="114"/>
  <c r="J7" i="114" s="1"/>
  <c r="J19" i="114" s="1"/>
  <c r="J31" i="114" s="1"/>
  <c r="J43" i="114" s="1"/>
  <c r="J55" i="114" s="1"/>
  <c r="B98" i="99"/>
  <c r="B13" i="114"/>
  <c r="B25" i="114" s="1"/>
  <c r="B37" i="114" s="1"/>
  <c r="B49" i="114" s="1"/>
  <c r="B61" i="114" s="1"/>
  <c r="B104" i="99"/>
  <c r="B12" i="114"/>
  <c r="J12" i="114" s="1"/>
  <c r="Q12" i="111"/>
  <c r="E13" i="111"/>
  <c r="T14" i="111"/>
  <c r="P12" i="111"/>
  <c r="R12" i="111"/>
  <c r="D14" i="111"/>
  <c r="F13" i="111"/>
  <c r="J8" i="111"/>
  <c r="S12" i="111"/>
  <c r="C14" i="111"/>
  <c r="O12" i="111"/>
  <c r="V13" i="111"/>
  <c r="C13" i="111"/>
  <c r="G13" i="111"/>
  <c r="T13" i="111"/>
  <c r="H8" i="111"/>
  <c r="B19" i="114" l="1"/>
  <c r="B31" i="114" s="1"/>
  <c r="B43" i="114" s="1"/>
  <c r="B55" i="114" s="1"/>
  <c r="B24" i="114"/>
  <c r="H14" i="111"/>
  <c r="J13" i="111"/>
  <c r="J14" i="111"/>
  <c r="T12" i="111"/>
  <c r="V12" i="111"/>
  <c r="H13" i="111"/>
  <c r="B36" i="114" l="1"/>
  <c r="J24" i="114"/>
  <c r="U14" i="111"/>
  <c r="U13" i="111"/>
  <c r="B48" i="114" l="1"/>
  <c r="J36" i="114"/>
  <c r="D66" i="99"/>
  <c r="E66" i="99"/>
  <c r="F66" i="99"/>
  <c r="G66" i="99"/>
  <c r="D62" i="99"/>
  <c r="E62" i="99"/>
  <c r="F62" i="99"/>
  <c r="G62" i="99"/>
  <c r="F7" i="111"/>
  <c r="D7" i="111"/>
  <c r="F6" i="111"/>
  <c r="D6" i="111"/>
  <c r="B60" i="114" l="1"/>
  <c r="J60" i="114" s="1"/>
  <c r="J48" i="114"/>
  <c r="D5" i="111"/>
  <c r="F5" i="111"/>
  <c r="O5" i="111"/>
  <c r="C6" i="111"/>
  <c r="C7" i="111"/>
  <c r="C12" i="111"/>
  <c r="G12" i="111"/>
  <c r="D12" i="111"/>
  <c r="E12" i="111"/>
  <c r="F12" i="111"/>
  <c r="C5" i="111" l="1"/>
  <c r="C14" i="113"/>
  <c r="C13" i="113"/>
  <c r="C19" i="113" s="1"/>
  <c r="E14" i="113"/>
  <c r="E13" i="113"/>
  <c r="F14" i="113"/>
  <c r="F13" i="113"/>
  <c r="D13" i="113"/>
  <c r="D14" i="113"/>
  <c r="G14" i="113"/>
  <c r="G13" i="113"/>
  <c r="D22" i="110"/>
  <c r="G22" i="110"/>
  <c r="F22" i="110"/>
  <c r="C22" i="110"/>
  <c r="E22" i="110"/>
  <c r="R46" i="111"/>
  <c r="F22" i="111"/>
  <c r="F28" i="111"/>
  <c r="F27" i="111"/>
  <c r="Q46" i="111"/>
  <c r="E22" i="111"/>
  <c r="E28" i="111"/>
  <c r="E27" i="111"/>
  <c r="O46" i="111"/>
  <c r="C22" i="111"/>
  <c r="C27" i="111"/>
  <c r="C28" i="111"/>
  <c r="P46" i="111"/>
  <c r="D22" i="111"/>
  <c r="D27" i="111"/>
  <c r="D28" i="111"/>
  <c r="S46" i="111"/>
  <c r="G22" i="111"/>
  <c r="G28" i="111"/>
  <c r="G27" i="111"/>
  <c r="G20" i="113" l="1"/>
  <c r="G32" i="113"/>
  <c r="G26" i="113"/>
  <c r="F32" i="113"/>
  <c r="F26" i="113"/>
  <c r="F20" i="113"/>
  <c r="G12" i="113"/>
  <c r="E26" i="113"/>
  <c r="E20" i="113"/>
  <c r="E32" i="113"/>
  <c r="D19" i="113"/>
  <c r="D31" i="113"/>
  <c r="D25" i="113"/>
  <c r="C31" i="113"/>
  <c r="C25" i="113"/>
  <c r="F12" i="113"/>
  <c r="D12" i="113"/>
  <c r="D20" i="113"/>
  <c r="D32" i="113"/>
  <c r="D26" i="113"/>
  <c r="E12" i="113"/>
  <c r="G31" i="113"/>
  <c r="G25" i="113"/>
  <c r="G19" i="113"/>
  <c r="C12" i="113"/>
  <c r="F25" i="113"/>
  <c r="F19" i="113"/>
  <c r="F31" i="113"/>
  <c r="E31" i="113"/>
  <c r="E25" i="113"/>
  <c r="E19" i="113"/>
  <c r="C20" i="113"/>
  <c r="C32" i="113"/>
  <c r="C26" i="113"/>
  <c r="H22" i="110"/>
  <c r="J22" i="110"/>
  <c r="J27" i="111"/>
  <c r="H27" i="111"/>
  <c r="H22" i="111"/>
  <c r="O22" i="111"/>
  <c r="O27" i="111"/>
  <c r="O28" i="111"/>
  <c r="Q22" i="111"/>
  <c r="Q27" i="111"/>
  <c r="Q28" i="111"/>
  <c r="H28" i="111"/>
  <c r="J28" i="111"/>
  <c r="S22" i="111"/>
  <c r="S28" i="111"/>
  <c r="S27" i="111"/>
  <c r="P22" i="111"/>
  <c r="P27" i="111"/>
  <c r="P28" i="111"/>
  <c r="J22" i="111"/>
  <c r="R22" i="111"/>
  <c r="R28" i="111"/>
  <c r="R27" i="111"/>
  <c r="D30" i="113" l="1"/>
  <c r="E30" i="113"/>
  <c r="F30" i="113"/>
  <c r="C30" i="113"/>
  <c r="G30" i="113"/>
  <c r="V28" i="111"/>
  <c r="T28" i="111"/>
  <c r="T27" i="111"/>
  <c r="V27" i="111"/>
  <c r="V22" i="111"/>
  <c r="T22" i="111"/>
  <c r="V46" i="111" l="1"/>
  <c r="T46" i="111"/>
  <c r="Y33" i="111"/>
  <c r="P20" i="111"/>
  <c r="R21" i="111"/>
  <c r="P21" i="111"/>
  <c r="G28" i="110"/>
  <c r="F28" i="110"/>
  <c r="E28" i="110"/>
  <c r="D28" i="110"/>
  <c r="C28" i="110"/>
  <c r="G27" i="110"/>
  <c r="F27" i="110"/>
  <c r="E27" i="110"/>
  <c r="D27" i="110"/>
  <c r="C27" i="110"/>
  <c r="C21" i="110"/>
  <c r="D21" i="110"/>
  <c r="E21" i="110"/>
  <c r="F21" i="110"/>
  <c r="G21" i="110"/>
  <c r="D20" i="110"/>
  <c r="E20" i="110"/>
  <c r="F20" i="110"/>
  <c r="G20" i="110"/>
  <c r="J14" i="110"/>
  <c r="H14" i="110"/>
  <c r="J13" i="110"/>
  <c r="H13" i="110"/>
  <c r="J7" i="110"/>
  <c r="H7" i="110"/>
  <c r="I7" i="110" s="1"/>
  <c r="H6" i="110"/>
  <c r="I6" i="110" s="1"/>
  <c r="F19" i="110" l="1"/>
  <c r="G19" i="110"/>
  <c r="D19" i="110"/>
  <c r="E19" i="110"/>
  <c r="C19" i="110"/>
  <c r="E26" i="110"/>
  <c r="G26" i="110"/>
  <c r="C26" i="110"/>
  <c r="F26" i="110"/>
  <c r="D26" i="110"/>
  <c r="P26" i="111"/>
  <c r="P19" i="111"/>
  <c r="R26" i="111"/>
  <c r="S26" i="111"/>
  <c r="O26" i="111"/>
  <c r="Q26" i="111"/>
  <c r="J27" i="110"/>
  <c r="H27" i="110"/>
  <c r="R20" i="111"/>
  <c r="R19" i="111" s="1"/>
  <c r="T26" i="111" l="1"/>
  <c r="V26" i="111"/>
  <c r="O21" i="111"/>
  <c r="U28" i="111" l="1"/>
  <c r="U26" i="111"/>
  <c r="U27" i="111"/>
  <c r="D20" i="111"/>
  <c r="O20" i="111"/>
  <c r="O19" i="111" s="1"/>
  <c r="J5" i="110" l="1"/>
  <c r="H12" i="110"/>
  <c r="D5" i="99"/>
  <c r="E5" i="99"/>
  <c r="F5" i="99"/>
  <c r="G5" i="99"/>
  <c r="C5" i="99"/>
  <c r="M33" i="111"/>
  <c r="J46" i="111"/>
  <c r="H46" i="111"/>
  <c r="I12" i="110" l="1"/>
  <c r="I14" i="110"/>
  <c r="I13" i="110"/>
  <c r="I5" i="110"/>
  <c r="J46" i="110"/>
  <c r="H46" i="110"/>
  <c r="J28" i="110" l="1"/>
  <c r="H28" i="110"/>
  <c r="K36" i="109"/>
  <c r="J36" i="109"/>
  <c r="I36" i="109"/>
  <c r="H36" i="109"/>
  <c r="F36" i="109"/>
  <c r="E36" i="109"/>
  <c r="D36" i="109"/>
  <c r="C36" i="109"/>
  <c r="C36" i="106" s="1"/>
  <c r="C59" i="109"/>
  <c r="D59" i="109" s="1"/>
  <c r="E59" i="109" s="1"/>
  <c r="L51" i="109"/>
  <c r="K51" i="109"/>
  <c r="J51" i="109"/>
  <c r="I51" i="109"/>
  <c r="H51" i="109"/>
  <c r="G51" i="109"/>
  <c r="F51" i="109"/>
  <c r="E51" i="109"/>
  <c r="D51" i="109"/>
  <c r="C51" i="109"/>
  <c r="L50" i="109"/>
  <c r="K50" i="109"/>
  <c r="J50" i="109"/>
  <c r="I50" i="109"/>
  <c r="H50" i="109"/>
  <c r="G50" i="109"/>
  <c r="F50" i="109"/>
  <c r="E50" i="109"/>
  <c r="D50" i="109"/>
  <c r="C50" i="109"/>
  <c r="C42" i="109"/>
  <c r="D36" i="106" l="1"/>
  <c r="I36" i="106"/>
  <c r="E36" i="106"/>
  <c r="J36" i="106"/>
  <c r="H36" i="106"/>
  <c r="F36" i="106"/>
  <c r="K36" i="106"/>
  <c r="H26" i="110"/>
  <c r="J26" i="110"/>
  <c r="F59" i="109"/>
  <c r="I26" i="110" l="1"/>
  <c r="I28" i="110"/>
  <c r="I27" i="110"/>
  <c r="G59" i="109"/>
  <c r="J21" i="110" l="1"/>
  <c r="H21" i="110"/>
  <c r="H59" i="109"/>
  <c r="I59" i="109" l="1"/>
  <c r="J59" i="109" l="1"/>
  <c r="K59" i="109" l="1"/>
  <c r="L59" i="109" l="1"/>
  <c r="C37" i="105" l="1"/>
  <c r="D37" i="105" l="1"/>
  <c r="E37" i="105" l="1"/>
  <c r="F37" i="105" s="1"/>
  <c r="G37" i="105" l="1"/>
  <c r="C59" i="106" l="1"/>
  <c r="D59" i="106" s="1"/>
  <c r="L51" i="106"/>
  <c r="K51" i="106"/>
  <c r="J51" i="106"/>
  <c r="I51" i="106"/>
  <c r="H51" i="106"/>
  <c r="G51" i="106"/>
  <c r="F51" i="106"/>
  <c r="E51" i="106"/>
  <c r="D51" i="106"/>
  <c r="C51" i="106"/>
  <c r="L50" i="106"/>
  <c r="K50" i="106"/>
  <c r="J50" i="106"/>
  <c r="I50" i="106"/>
  <c r="H50" i="106"/>
  <c r="G50" i="106"/>
  <c r="F50" i="106"/>
  <c r="E50" i="106"/>
  <c r="D50" i="106"/>
  <c r="C50" i="106"/>
  <c r="C42" i="106"/>
  <c r="B66" i="104"/>
  <c r="B66" i="109" s="1"/>
  <c r="B66" i="106" s="1"/>
  <c r="C59" i="105"/>
  <c r="D59" i="105" s="1"/>
  <c r="G51" i="105"/>
  <c r="F51" i="105"/>
  <c r="E51" i="105"/>
  <c r="D51" i="105"/>
  <c r="C51" i="105"/>
  <c r="G50" i="105"/>
  <c r="F50" i="105"/>
  <c r="E50" i="105"/>
  <c r="D50" i="105"/>
  <c r="C50" i="105"/>
  <c r="C42" i="105"/>
  <c r="G27" i="105"/>
  <c r="E27" i="105"/>
  <c r="D27" i="105"/>
  <c r="C27" i="105"/>
  <c r="C59" i="104"/>
  <c r="D59" i="104" s="1"/>
  <c r="L51" i="104"/>
  <c r="K51" i="104"/>
  <c r="J51" i="104"/>
  <c r="I51" i="104"/>
  <c r="H51" i="104"/>
  <c r="G51" i="104"/>
  <c r="F51" i="104"/>
  <c r="E51" i="104"/>
  <c r="D51" i="104"/>
  <c r="C51" i="104"/>
  <c r="L50" i="104"/>
  <c r="K50" i="104"/>
  <c r="J50" i="104"/>
  <c r="I50" i="104"/>
  <c r="H50" i="104"/>
  <c r="G50" i="104"/>
  <c r="F50" i="104"/>
  <c r="E50" i="104"/>
  <c r="D50" i="104"/>
  <c r="C50" i="104"/>
  <c r="C42" i="104"/>
  <c r="L35" i="104"/>
  <c r="K35" i="104"/>
  <c r="J35" i="104"/>
  <c r="I35" i="104"/>
  <c r="H35" i="104"/>
  <c r="G35" i="104"/>
  <c r="F35" i="104"/>
  <c r="E35" i="104"/>
  <c r="D35" i="104"/>
  <c r="C35" i="104"/>
  <c r="I44" i="99"/>
  <c r="C60" i="41" s="1"/>
  <c r="I13" i="6"/>
  <c r="J13" i="6"/>
  <c r="K13" i="6"/>
  <c r="L13" i="6"/>
  <c r="C60" i="109" l="1"/>
  <c r="D60" i="109" s="1"/>
  <c r="E60" i="109" s="1"/>
  <c r="F60" i="109" s="1"/>
  <c r="G60" i="109" s="1"/>
  <c r="H60" i="109" s="1"/>
  <c r="I60" i="109" s="1"/>
  <c r="J60" i="109" s="1"/>
  <c r="K60" i="109" s="1"/>
  <c r="L60" i="109" s="1"/>
  <c r="C60" i="106"/>
  <c r="D60" i="106" s="1"/>
  <c r="C60" i="105"/>
  <c r="C60" i="104"/>
  <c r="D60" i="104" s="1"/>
  <c r="E60" i="104" s="1"/>
  <c r="F60" i="104" s="1"/>
  <c r="G60" i="104" s="1"/>
  <c r="H60" i="104" s="1"/>
  <c r="I60" i="104" s="1"/>
  <c r="J60" i="104" s="1"/>
  <c r="K60" i="104" s="1"/>
  <c r="L60" i="104" s="1"/>
  <c r="E59" i="106"/>
  <c r="E59" i="105"/>
  <c r="F27" i="105"/>
  <c r="E59" i="104"/>
  <c r="E60" i="106" l="1"/>
  <c r="F60" i="106" s="1"/>
  <c r="G60" i="106" s="1"/>
  <c r="H60" i="106" s="1"/>
  <c r="I60" i="106" s="1"/>
  <c r="J60" i="106" s="1"/>
  <c r="K60" i="106" s="1"/>
  <c r="L60" i="106" s="1"/>
  <c r="D60" i="105"/>
  <c r="F59" i="106"/>
  <c r="F59" i="105"/>
  <c r="F59" i="104"/>
  <c r="E60" i="105" l="1"/>
  <c r="G59" i="106"/>
  <c r="G59" i="105"/>
  <c r="G59" i="104"/>
  <c r="F60" i="105" l="1"/>
  <c r="H59" i="106"/>
  <c r="H59" i="104"/>
  <c r="G60" i="105" l="1"/>
  <c r="I59" i="106"/>
  <c r="I59" i="104"/>
  <c r="J59" i="106" l="1"/>
  <c r="J59" i="104"/>
  <c r="K59" i="106" l="1"/>
  <c r="K59" i="104"/>
  <c r="L59" i="106" l="1"/>
  <c r="L59" i="104"/>
  <c r="C66" i="99" l="1"/>
  <c r="C62" i="99"/>
  <c r="J5" i="99" l="1"/>
  <c r="H5" i="99"/>
  <c r="I42" i="99" l="1"/>
  <c r="D21" i="111" l="1"/>
  <c r="D19" i="111" s="1"/>
  <c r="C57" i="41"/>
  <c r="D26" i="111"/>
  <c r="D57" i="41"/>
  <c r="C26" i="111" l="1"/>
  <c r="C21" i="111" l="1"/>
  <c r="E26" i="111" l="1"/>
  <c r="E57" i="41"/>
  <c r="F21" i="111" l="1"/>
  <c r="F26" i="111"/>
  <c r="F57" i="41"/>
  <c r="G26" i="111" l="1"/>
  <c r="H12" i="111" l="1"/>
  <c r="G57" i="41"/>
  <c r="D29" i="111"/>
  <c r="J12" i="111"/>
  <c r="H13" i="113" l="1"/>
  <c r="H14" i="113"/>
  <c r="J14" i="113"/>
  <c r="J13" i="113"/>
  <c r="I14" i="111"/>
  <c r="U12" i="111"/>
  <c r="I12" i="111"/>
  <c r="H26" i="111"/>
  <c r="I28" i="111" s="1"/>
  <c r="I13" i="111"/>
  <c r="G57" i="109"/>
  <c r="G57" i="105"/>
  <c r="H56" i="109"/>
  <c r="G57" i="104"/>
  <c r="H57" i="109"/>
  <c r="G57" i="106"/>
  <c r="D57" i="105"/>
  <c r="D57" i="109"/>
  <c r="D57" i="104"/>
  <c r="D57" i="106"/>
  <c r="C57" i="109"/>
  <c r="C57" i="105"/>
  <c r="C57" i="106"/>
  <c r="C57" i="104"/>
  <c r="E57" i="104"/>
  <c r="E57" i="105"/>
  <c r="E57" i="109"/>
  <c r="E57" i="106"/>
  <c r="F57" i="106"/>
  <c r="F57" i="104"/>
  <c r="F57" i="109"/>
  <c r="F57" i="105"/>
  <c r="C20" i="111"/>
  <c r="J26" i="111"/>
  <c r="H56" i="106"/>
  <c r="H56" i="104"/>
  <c r="H57" i="106"/>
  <c r="H57" i="104"/>
  <c r="C19" i="111" l="1"/>
  <c r="C29" i="111" s="1"/>
  <c r="H47" i="109"/>
  <c r="H48" i="109" s="1"/>
  <c r="J25" i="113"/>
  <c r="J19" i="113"/>
  <c r="J31" i="113"/>
  <c r="H20" i="113"/>
  <c r="H26" i="113"/>
  <c r="H32" i="113"/>
  <c r="I13" i="113"/>
  <c r="J32" i="113"/>
  <c r="J26" i="113"/>
  <c r="J20" i="113"/>
  <c r="I14" i="113"/>
  <c r="H12" i="113"/>
  <c r="H19" i="113"/>
  <c r="H31" i="113"/>
  <c r="H25" i="113"/>
  <c r="J12" i="113"/>
  <c r="I27" i="111"/>
  <c r="I26" i="111"/>
  <c r="I57" i="109"/>
  <c r="I56" i="109"/>
  <c r="I57" i="104"/>
  <c r="I57" i="106"/>
  <c r="H47" i="106"/>
  <c r="I56" i="106"/>
  <c r="I56" i="104"/>
  <c r="H47" i="104"/>
  <c r="I47" i="109" l="1"/>
  <c r="I48" i="109" s="1"/>
  <c r="J30" i="113"/>
  <c r="J19" i="99" s="1"/>
  <c r="C56" i="41"/>
  <c r="C8" i="113"/>
  <c r="C6" i="113"/>
  <c r="C7" i="113"/>
  <c r="H30" i="113"/>
  <c r="I12" i="113"/>
  <c r="J56" i="109"/>
  <c r="J57" i="109"/>
  <c r="F20" i="111"/>
  <c r="H48" i="104"/>
  <c r="J56" i="106"/>
  <c r="J56" i="104"/>
  <c r="I47" i="104"/>
  <c r="H48" i="106"/>
  <c r="J57" i="106"/>
  <c r="J57" i="104"/>
  <c r="I47" i="106"/>
  <c r="J47" i="109" l="1"/>
  <c r="J48" i="109" s="1"/>
  <c r="I31" i="113"/>
  <c r="I30" i="113" s="1"/>
  <c r="I32" i="113"/>
  <c r="C25" i="99"/>
  <c r="C24" i="99"/>
  <c r="C5" i="113"/>
  <c r="H19" i="99"/>
  <c r="F19" i="111"/>
  <c r="F29" i="111" s="1"/>
  <c r="K56" i="109"/>
  <c r="K57" i="109"/>
  <c r="J20" i="110"/>
  <c r="K56" i="104"/>
  <c r="K56" i="106"/>
  <c r="I48" i="106"/>
  <c r="J47" i="104"/>
  <c r="I48" i="104"/>
  <c r="J47" i="106"/>
  <c r="K57" i="106"/>
  <c r="K57" i="104"/>
  <c r="C38" i="99" l="1"/>
  <c r="C37" i="99"/>
  <c r="K47" i="109"/>
  <c r="K48" i="109" s="1"/>
  <c r="L57" i="109"/>
  <c r="L56" i="109"/>
  <c r="H20" i="110"/>
  <c r="H19" i="110"/>
  <c r="I22" i="110" s="1"/>
  <c r="L56" i="106"/>
  <c r="L56" i="104"/>
  <c r="J48" i="106"/>
  <c r="L57" i="106"/>
  <c r="L57" i="104"/>
  <c r="J48" i="104"/>
  <c r="K47" i="106"/>
  <c r="K47" i="104"/>
  <c r="L47" i="109" l="1"/>
  <c r="L48" i="109" s="1"/>
  <c r="J19" i="110"/>
  <c r="I21" i="110"/>
  <c r="I20" i="110"/>
  <c r="I19" i="110"/>
  <c r="K48" i="106"/>
  <c r="L47" i="106"/>
  <c r="L47" i="104"/>
  <c r="K48" i="104"/>
  <c r="L48" i="104" l="1"/>
  <c r="L48" i="106"/>
  <c r="D59" i="41" l="1"/>
  <c r="E59" i="41" s="1"/>
  <c r="F59" i="41" s="1"/>
  <c r="G59" i="41" s="1"/>
  <c r="C42" i="41"/>
  <c r="C19" i="104" l="1"/>
  <c r="C19" i="109" s="1"/>
  <c r="K19" i="104"/>
  <c r="K19" i="109" s="1"/>
  <c r="D19" i="104"/>
  <c r="D19" i="109" s="1"/>
  <c r="H19" i="104"/>
  <c r="H19" i="109" s="1"/>
  <c r="L19" i="104"/>
  <c r="L19" i="109" s="1"/>
  <c r="I19" i="104"/>
  <c r="I19" i="109" s="1"/>
  <c r="G19" i="104"/>
  <c r="G19" i="109" s="1"/>
  <c r="E19" i="104"/>
  <c r="E19" i="109" s="1"/>
  <c r="F19" i="104"/>
  <c r="F19" i="109" s="1"/>
  <c r="J19" i="104"/>
  <c r="J19" i="109" s="1"/>
  <c r="J19" i="106" l="1"/>
  <c r="I19" i="106"/>
  <c r="K19" i="106"/>
  <c r="G19" i="106"/>
  <c r="L19" i="106"/>
  <c r="C19" i="106"/>
  <c r="D19" i="106"/>
  <c r="F19" i="106"/>
  <c r="E19" i="106"/>
  <c r="H19" i="106"/>
  <c r="E18" i="113" l="1"/>
  <c r="G18" i="113"/>
  <c r="C18" i="113"/>
  <c r="C17" i="99" s="1"/>
  <c r="F18" i="113"/>
  <c r="D18" i="113"/>
  <c r="J18" i="113"/>
  <c r="J17" i="99" s="1"/>
  <c r="C19" i="99"/>
  <c r="F19" i="99"/>
  <c r="D19" i="99"/>
  <c r="E19" i="99"/>
  <c r="G19" i="99"/>
  <c r="J24" i="113" l="1"/>
  <c r="J18" i="99" s="1"/>
  <c r="H24" i="113"/>
  <c r="F24" i="113"/>
  <c r="F18" i="99" s="1"/>
  <c r="H18" i="113"/>
  <c r="C24" i="113"/>
  <c r="C18" i="99" s="1"/>
  <c r="C32" i="99" s="1"/>
  <c r="E24" i="113"/>
  <c r="E18" i="99" s="1"/>
  <c r="G24" i="113"/>
  <c r="G18" i="99" s="1"/>
  <c r="D24" i="113"/>
  <c r="D18" i="99" s="1"/>
  <c r="C23" i="99"/>
  <c r="D17" i="99"/>
  <c r="F17" i="99"/>
  <c r="E17" i="99"/>
  <c r="G17" i="99"/>
  <c r="H18" i="99" l="1"/>
  <c r="H17" i="99"/>
  <c r="I19" i="113"/>
  <c r="I20" i="113"/>
  <c r="F31" i="99"/>
  <c r="I25" i="113"/>
  <c r="I26" i="113"/>
  <c r="C36" i="99"/>
  <c r="D31" i="99"/>
  <c r="J16" i="99"/>
  <c r="F32" i="99"/>
  <c r="F30" i="99"/>
  <c r="D30" i="99"/>
  <c r="D32" i="99"/>
  <c r="C16" i="99"/>
  <c r="C30" i="99"/>
  <c r="E16" i="99"/>
  <c r="C31" i="99"/>
  <c r="D16" i="99"/>
  <c r="G16" i="99"/>
  <c r="F16" i="99"/>
  <c r="H16" i="99" l="1"/>
  <c r="I19" i="99" s="1"/>
  <c r="I24" i="113"/>
  <c r="I18" i="113"/>
  <c r="C29" i="99"/>
  <c r="D29" i="99"/>
  <c r="F29" i="99"/>
  <c r="I18" i="99" l="1"/>
  <c r="I17" i="99"/>
  <c r="Y34" i="111"/>
  <c r="Y35" i="111" s="1"/>
  <c r="I16" i="99" l="1"/>
  <c r="D52" i="109"/>
  <c r="M34" i="111"/>
  <c r="C52" i="109"/>
  <c r="E41" i="109" s="1"/>
  <c r="H52" i="109"/>
  <c r="H49" i="109" s="1"/>
  <c r="K52" i="109"/>
  <c r="K49" i="109" s="1"/>
  <c r="G52" i="109"/>
  <c r="J52" i="109"/>
  <c r="J49" i="109" s="1"/>
  <c r="F52" i="109"/>
  <c r="I52" i="109"/>
  <c r="I49" i="109" s="1"/>
  <c r="E52" i="109"/>
  <c r="L52" i="109"/>
  <c r="L49" i="109" s="1"/>
  <c r="I52" i="106"/>
  <c r="I49" i="106" s="1"/>
  <c r="I52" i="104"/>
  <c r="I49" i="104" s="1"/>
  <c r="E52" i="105"/>
  <c r="E52" i="106"/>
  <c r="E52" i="104"/>
  <c r="L52" i="106"/>
  <c r="L49" i="106" s="1"/>
  <c r="L52" i="104"/>
  <c r="L49" i="104" s="1"/>
  <c r="H52" i="106"/>
  <c r="H49" i="106" s="1"/>
  <c r="H52" i="104"/>
  <c r="H49" i="104" s="1"/>
  <c r="D52" i="105"/>
  <c r="D52" i="106"/>
  <c r="D52" i="104"/>
  <c r="K52" i="104"/>
  <c r="K49" i="104" s="1"/>
  <c r="K52" i="106"/>
  <c r="K49" i="106" s="1"/>
  <c r="G52" i="104"/>
  <c r="G52" i="105"/>
  <c r="G52" i="106"/>
  <c r="C52" i="104"/>
  <c r="C52" i="105"/>
  <c r="C52" i="106"/>
  <c r="E41" i="106" s="1"/>
  <c r="C52" i="41"/>
  <c r="J52" i="106"/>
  <c r="J49" i="106" s="1"/>
  <c r="J52" i="104"/>
  <c r="J49" i="104" s="1"/>
  <c r="F52" i="106"/>
  <c r="F52" i="104"/>
  <c r="F52" i="105"/>
  <c r="D52" i="41"/>
  <c r="G52" i="41"/>
  <c r="F52" i="41"/>
  <c r="E52" i="41"/>
  <c r="C34" i="110" l="1"/>
  <c r="F36" i="110"/>
  <c r="C36" i="110"/>
  <c r="E36" i="110"/>
  <c r="G36" i="110"/>
  <c r="D36" i="110"/>
  <c r="F42" i="110"/>
  <c r="E35" i="110"/>
  <c r="G34" i="110"/>
  <c r="G33" i="110" s="1"/>
  <c r="E42" i="110"/>
  <c r="D41" i="110"/>
  <c r="F34" i="110"/>
  <c r="F35" i="110"/>
  <c r="E41" i="110"/>
  <c r="D35" i="110"/>
  <c r="C35" i="110"/>
  <c r="E34" i="110"/>
  <c r="G42" i="110"/>
  <c r="D34" i="110"/>
  <c r="D42" i="110"/>
  <c r="C42" i="110"/>
  <c r="G35" i="110"/>
  <c r="F41" i="110"/>
  <c r="C41" i="110"/>
  <c r="G41" i="110"/>
  <c r="C34" i="111"/>
  <c r="G43" i="41"/>
  <c r="G42" i="41"/>
  <c r="E41" i="41"/>
  <c r="F33" i="110"/>
  <c r="D42" i="111"/>
  <c r="F36" i="111"/>
  <c r="D41" i="111"/>
  <c r="C22" i="115" s="1"/>
  <c r="C42" i="111"/>
  <c r="F41" i="111"/>
  <c r="C44" i="115" s="1"/>
  <c r="F42" i="111"/>
  <c r="G36" i="111"/>
  <c r="E41" i="111"/>
  <c r="C33" i="115" s="1"/>
  <c r="G42" i="111"/>
  <c r="E36" i="111"/>
  <c r="G41" i="111"/>
  <c r="C55" i="115" s="1"/>
  <c r="C41" i="111"/>
  <c r="C11" i="115" s="1"/>
  <c r="E42" i="111"/>
  <c r="D36" i="111"/>
  <c r="C36" i="111"/>
  <c r="R42" i="111"/>
  <c r="R36" i="111"/>
  <c r="P41" i="111"/>
  <c r="R41" i="111"/>
  <c r="O41" i="111"/>
  <c r="O42" i="111"/>
  <c r="S36" i="111"/>
  <c r="Q41" i="111"/>
  <c r="P42" i="111"/>
  <c r="Q42" i="111"/>
  <c r="O36" i="111"/>
  <c r="S41" i="111"/>
  <c r="P36" i="111"/>
  <c r="S42" i="111"/>
  <c r="Q36" i="111"/>
  <c r="C35" i="111"/>
  <c r="F35" i="111"/>
  <c r="D34" i="111"/>
  <c r="C18" i="115" s="1"/>
  <c r="M35" i="111"/>
  <c r="F34" i="111"/>
  <c r="C40" i="115" s="1"/>
  <c r="D35" i="111"/>
  <c r="P34" i="111"/>
  <c r="P35" i="111"/>
  <c r="R35" i="111"/>
  <c r="R34" i="111"/>
  <c r="O35" i="111"/>
  <c r="O34" i="111"/>
  <c r="C7" i="115"/>
  <c r="F41" i="109"/>
  <c r="I12" i="109"/>
  <c r="I6" i="109" s="1"/>
  <c r="L12" i="109"/>
  <c r="J12" i="109"/>
  <c r="K12" i="109"/>
  <c r="H12" i="109"/>
  <c r="F41" i="106"/>
  <c r="E41" i="104"/>
  <c r="E41" i="105"/>
  <c r="F41" i="41"/>
  <c r="D33" i="110" l="1"/>
  <c r="H34" i="110"/>
  <c r="J34" i="110"/>
  <c r="C33" i="110"/>
  <c r="E33" i="110"/>
  <c r="H35" i="110"/>
  <c r="J35" i="110"/>
  <c r="J36" i="110"/>
  <c r="H36" i="110"/>
  <c r="F41" i="104"/>
  <c r="F41" i="105"/>
  <c r="O33" i="111"/>
  <c r="E40" i="110"/>
  <c r="E40" i="111"/>
  <c r="O40" i="111"/>
  <c r="C40" i="111"/>
  <c r="J36" i="111"/>
  <c r="H36" i="111"/>
  <c r="D40" i="111"/>
  <c r="C33" i="111"/>
  <c r="F40" i="111"/>
  <c r="V42" i="111"/>
  <c r="T42" i="111"/>
  <c r="R33" i="111"/>
  <c r="T36" i="111"/>
  <c r="V36" i="111"/>
  <c r="V41" i="111"/>
  <c r="D33" i="111"/>
  <c r="F33" i="111"/>
  <c r="G40" i="111"/>
  <c r="P33" i="111"/>
  <c r="T41" i="111"/>
  <c r="H41" i="111"/>
  <c r="J41" i="111"/>
  <c r="J42" i="111"/>
  <c r="H42" i="111"/>
  <c r="D40" i="110"/>
  <c r="G40" i="110"/>
  <c r="C40" i="110"/>
  <c r="F40" i="110"/>
  <c r="R40" i="111"/>
  <c r="P40" i="111"/>
  <c r="S40" i="111"/>
  <c r="Q40" i="111"/>
  <c r="L12" i="104"/>
  <c r="L6" i="104" s="1"/>
  <c r="L9" i="104" s="1"/>
  <c r="L6" i="109"/>
  <c r="L8" i="109" s="1"/>
  <c r="J41" i="110"/>
  <c r="J42" i="110"/>
  <c r="H42" i="110"/>
  <c r="H41" i="110"/>
  <c r="K12" i="104"/>
  <c r="K6" i="104" s="1"/>
  <c r="K7" i="104" s="1"/>
  <c r="I8" i="109"/>
  <c r="I9" i="109"/>
  <c r="I7" i="109"/>
  <c r="K6" i="109"/>
  <c r="J6" i="109"/>
  <c r="H12" i="104"/>
  <c r="I12" i="104"/>
  <c r="I6" i="104" s="1"/>
  <c r="I8" i="104" s="1"/>
  <c r="L12" i="106"/>
  <c r="L6" i="106" s="1"/>
  <c r="J12" i="106"/>
  <c r="J6" i="106" s="1"/>
  <c r="K12" i="106"/>
  <c r="K6" i="106" s="1"/>
  <c r="I12" i="106"/>
  <c r="I6" i="106" s="1"/>
  <c r="H12" i="106"/>
  <c r="J12" i="104"/>
  <c r="J6" i="104" s="1"/>
  <c r="D60" i="41"/>
  <c r="E60" i="41" s="1"/>
  <c r="F60" i="41" s="1"/>
  <c r="G60" i="41" s="1"/>
  <c r="H33" i="110" l="1"/>
  <c r="I33" i="110" s="1"/>
  <c r="J33" i="110"/>
  <c r="J40" i="111"/>
  <c r="H40" i="111"/>
  <c r="I41" i="111" s="1"/>
  <c r="V40" i="111"/>
  <c r="T40" i="111"/>
  <c r="L8" i="104"/>
  <c r="L7" i="104"/>
  <c r="K8" i="104"/>
  <c r="L7" i="109"/>
  <c r="L9" i="109"/>
  <c r="K9" i="104"/>
  <c r="I9" i="104"/>
  <c r="J40" i="110"/>
  <c r="H40" i="110"/>
  <c r="I41" i="110" s="1"/>
  <c r="K8" i="109"/>
  <c r="K9" i="109"/>
  <c r="K7" i="109"/>
  <c r="J8" i="109"/>
  <c r="J9" i="109"/>
  <c r="J7" i="109"/>
  <c r="I7" i="104"/>
  <c r="I7" i="106"/>
  <c r="I8" i="106"/>
  <c r="I9" i="106"/>
  <c r="J7" i="106"/>
  <c r="J8" i="106"/>
  <c r="J9" i="106"/>
  <c r="J8" i="104"/>
  <c r="J9" i="104"/>
  <c r="J7" i="104"/>
  <c r="K7" i="106"/>
  <c r="K8" i="106"/>
  <c r="K9" i="106"/>
  <c r="L8" i="106"/>
  <c r="L9" i="106"/>
  <c r="L7" i="106"/>
  <c r="I36" i="110" l="1"/>
  <c r="I34" i="110"/>
  <c r="I35" i="110"/>
  <c r="U42" i="111"/>
  <c r="U40" i="111"/>
  <c r="U41" i="111"/>
  <c r="I40" i="110"/>
  <c r="I40" i="111"/>
  <c r="I42" i="111"/>
  <c r="I42" i="110"/>
  <c r="D51" i="41" l="1"/>
  <c r="E51" i="41"/>
  <c r="F51" i="41"/>
  <c r="G51" i="41"/>
  <c r="C51" i="41"/>
  <c r="D50" i="41"/>
  <c r="E50" i="41"/>
  <c r="F50" i="41"/>
  <c r="G50" i="41"/>
  <c r="C50" i="41"/>
  <c r="D56" i="41" l="1"/>
  <c r="D8" i="113"/>
  <c r="D6" i="113"/>
  <c r="D7" i="113"/>
  <c r="D5" i="113" l="1"/>
  <c r="D24" i="99"/>
  <c r="D25" i="99"/>
  <c r="F56" i="41"/>
  <c r="F8" i="113"/>
  <c r="F7" i="113"/>
  <c r="F6" i="113"/>
  <c r="D37" i="99" l="1"/>
  <c r="D38" i="99"/>
  <c r="F56" i="105"/>
  <c r="F47" i="105" s="1"/>
  <c r="F47" i="41"/>
  <c r="F48" i="41" s="1"/>
  <c r="F49" i="41" s="1"/>
  <c r="F12" i="41" s="1"/>
  <c r="F56" i="104"/>
  <c r="F47" i="104" s="1"/>
  <c r="F48" i="104" s="1"/>
  <c r="F49" i="104" s="1"/>
  <c r="F12" i="104" s="1"/>
  <c r="G18" i="107" s="1"/>
  <c r="F5" i="113"/>
  <c r="F25" i="99"/>
  <c r="F24" i="99"/>
  <c r="D23" i="99"/>
  <c r="F56" i="109"/>
  <c r="F47" i="109" s="1"/>
  <c r="F56" i="106"/>
  <c r="F47" i="106" s="1"/>
  <c r="F48" i="106" s="1"/>
  <c r="F49" i="106" s="1"/>
  <c r="F12" i="106" s="1"/>
  <c r="D56" i="106"/>
  <c r="D47" i="106" s="1"/>
  <c r="D56" i="105"/>
  <c r="D47" i="105" s="1"/>
  <c r="D56" i="104"/>
  <c r="D47" i="104" s="1"/>
  <c r="D56" i="109"/>
  <c r="D47" i="109" s="1"/>
  <c r="D47" i="41"/>
  <c r="D48" i="41" s="1"/>
  <c r="D49" i="41" s="1"/>
  <c r="D12" i="41" s="1"/>
  <c r="C56" i="106"/>
  <c r="C47" i="106" s="1"/>
  <c r="C56" i="105"/>
  <c r="C47" i="105" s="1"/>
  <c r="C56" i="109"/>
  <c r="C47" i="109" s="1"/>
  <c r="C56" i="104"/>
  <c r="C47" i="104" s="1"/>
  <c r="C47" i="41"/>
  <c r="C48" i="41" s="1"/>
  <c r="C49" i="41" s="1"/>
  <c r="C12" i="41" s="1"/>
  <c r="F37" i="99" l="1"/>
  <c r="F38" i="99"/>
  <c r="F48" i="105"/>
  <c r="F49" i="105" s="1"/>
  <c r="F12" i="105" s="1"/>
  <c r="F48" i="109"/>
  <c r="F49" i="109" s="1"/>
  <c r="F12" i="109" s="1"/>
  <c r="F6" i="109" s="1"/>
  <c r="F39" i="115"/>
  <c r="E9" i="10"/>
  <c r="D36" i="99"/>
  <c r="F23" i="99"/>
  <c r="F6" i="41"/>
  <c r="C48" i="104"/>
  <c r="C49" i="104" s="1"/>
  <c r="C12" i="104" s="1"/>
  <c r="D48" i="106"/>
  <c r="D49" i="106" s="1"/>
  <c r="D12" i="106" s="1"/>
  <c r="C48" i="109"/>
  <c r="C49" i="109" s="1"/>
  <c r="G23" i="107"/>
  <c r="F6" i="104"/>
  <c r="C48" i="105"/>
  <c r="C49" i="105" s="1"/>
  <c r="C12" i="105" s="1"/>
  <c r="D48" i="104"/>
  <c r="D49" i="104" s="1"/>
  <c r="D12" i="104" s="1"/>
  <c r="E18" i="107" s="1"/>
  <c r="D48" i="109"/>
  <c r="D49" i="109" s="1"/>
  <c r="D12" i="109" s="1"/>
  <c r="C48" i="106"/>
  <c r="C49" i="106" s="1"/>
  <c r="C12" i="106" s="1"/>
  <c r="F6" i="106"/>
  <c r="D48" i="105"/>
  <c r="D49" i="105" s="1"/>
  <c r="D12" i="105" s="1"/>
  <c r="E8" i="107" s="1"/>
  <c r="F25" i="105" l="1"/>
  <c r="F28" i="105" s="1"/>
  <c r="G8" i="107"/>
  <c r="G13" i="107" s="1"/>
  <c r="F43" i="114" s="1"/>
  <c r="N43" i="114" s="1"/>
  <c r="C6" i="105"/>
  <c r="D8" i="107"/>
  <c r="D13" i="107" s="1"/>
  <c r="C6" i="104"/>
  <c r="C7" i="104" s="1"/>
  <c r="D18" i="107"/>
  <c r="D23" i="107" s="1"/>
  <c r="C12" i="109"/>
  <c r="C42" i="99" s="1"/>
  <c r="F6" i="105"/>
  <c r="F8" i="105" s="1"/>
  <c r="F42" i="99"/>
  <c r="F43" i="99" s="1"/>
  <c r="F87" i="99" s="1"/>
  <c r="F17" i="115"/>
  <c r="C9" i="10"/>
  <c r="F6" i="115"/>
  <c r="B9" i="10"/>
  <c r="G48" i="114"/>
  <c r="O48" i="114" s="1"/>
  <c r="G43" i="114"/>
  <c r="O43" i="114" s="1"/>
  <c r="F36" i="99"/>
  <c r="F8" i="41"/>
  <c r="F9" i="41"/>
  <c r="F7" i="41"/>
  <c r="D6" i="41"/>
  <c r="C6" i="106"/>
  <c r="F9" i="109"/>
  <c r="F7" i="109"/>
  <c r="F8" i="109"/>
  <c r="D6" i="104"/>
  <c r="E23" i="107"/>
  <c r="F8" i="104"/>
  <c r="F9" i="104"/>
  <c r="F7" i="104"/>
  <c r="F8" i="106"/>
  <c r="F9" i="106"/>
  <c r="F7" i="106"/>
  <c r="C25" i="105"/>
  <c r="E13" i="107"/>
  <c r="D25" i="105"/>
  <c r="D6" i="105"/>
  <c r="C6" i="41"/>
  <c r="D42" i="99"/>
  <c r="D6" i="109"/>
  <c r="D6" i="106"/>
  <c r="F48" i="114" l="1"/>
  <c r="N48" i="114" s="1"/>
  <c r="C9" i="104"/>
  <c r="C8" i="104"/>
  <c r="C6" i="109"/>
  <c r="C8" i="109" s="1"/>
  <c r="F7" i="105"/>
  <c r="F9" i="105"/>
  <c r="F51" i="99"/>
  <c r="F75" i="99" s="1"/>
  <c r="F44" i="99"/>
  <c r="F91" i="99" s="1"/>
  <c r="D43" i="114"/>
  <c r="L43" i="114" s="1"/>
  <c r="G7" i="114"/>
  <c r="O7" i="114" s="1"/>
  <c r="G12" i="114"/>
  <c r="O12" i="114" s="1"/>
  <c r="F7" i="114"/>
  <c r="N7" i="114" s="1"/>
  <c r="F12" i="114"/>
  <c r="N12" i="114" s="1"/>
  <c r="F19" i="114"/>
  <c r="N19" i="114" s="1"/>
  <c r="F24" i="114"/>
  <c r="N24" i="114" s="1"/>
  <c r="G19" i="114"/>
  <c r="O19" i="114" s="1"/>
  <c r="G24" i="114"/>
  <c r="O24" i="114" s="1"/>
  <c r="C8" i="41"/>
  <c r="C7" i="41"/>
  <c r="C9" i="41"/>
  <c r="C9" i="105"/>
  <c r="C7" i="105"/>
  <c r="C8" i="105"/>
  <c r="C44" i="99"/>
  <c r="C91" i="99" s="1"/>
  <c r="C43" i="99"/>
  <c r="C51" i="99" s="1"/>
  <c r="D8" i="109"/>
  <c r="D7" i="109"/>
  <c r="D9" i="109"/>
  <c r="D28" i="105"/>
  <c r="D8" i="105"/>
  <c r="D9" i="105"/>
  <c r="D7" i="105"/>
  <c r="D9" i="106"/>
  <c r="D8" i="106"/>
  <c r="D7" i="106"/>
  <c r="D43" i="99"/>
  <c r="D87" i="99" s="1"/>
  <c r="D44" i="99"/>
  <c r="D91" i="99" s="1"/>
  <c r="D9" i="104"/>
  <c r="D8" i="104"/>
  <c r="D7" i="104"/>
  <c r="F29" i="105"/>
  <c r="F31" i="105"/>
  <c r="F32" i="105"/>
  <c r="F49" i="99"/>
  <c r="F50" i="99"/>
  <c r="C28" i="105"/>
  <c r="C9" i="106"/>
  <c r="C8" i="106"/>
  <c r="C7" i="106"/>
  <c r="D9" i="41"/>
  <c r="D8" i="41"/>
  <c r="D7" i="41"/>
  <c r="F57" i="99" l="1"/>
  <c r="C7" i="109"/>
  <c r="C9" i="109"/>
  <c r="F56" i="99"/>
  <c r="F80" i="99" s="1"/>
  <c r="E48" i="114" s="1"/>
  <c r="M48" i="114" s="1"/>
  <c r="D48" i="114"/>
  <c r="L48" i="114" s="1"/>
  <c r="F81" i="99"/>
  <c r="D12" i="114"/>
  <c r="L12" i="114" s="1"/>
  <c r="D24" i="114"/>
  <c r="L24" i="114" s="1"/>
  <c r="D19" i="114"/>
  <c r="L19" i="114" s="1"/>
  <c r="C75" i="99"/>
  <c r="C87" i="99"/>
  <c r="C56" i="99"/>
  <c r="C80" i="99" s="1"/>
  <c r="C57" i="99"/>
  <c r="C81" i="99" s="1"/>
  <c r="D56" i="99"/>
  <c r="D57" i="99"/>
  <c r="D81" i="99" s="1"/>
  <c r="D51" i="99"/>
  <c r="D75" i="99" s="1"/>
  <c r="F73" i="99"/>
  <c r="C43" i="114" s="1"/>
  <c r="K43" i="114" s="1"/>
  <c r="P43" i="114" s="1"/>
  <c r="F48" i="99"/>
  <c r="C49" i="99"/>
  <c r="C73" i="99" s="1"/>
  <c r="C29" i="105"/>
  <c r="C32" i="105"/>
  <c r="C31" i="105"/>
  <c r="C50" i="99"/>
  <c r="F33" i="105"/>
  <c r="F38" i="105" s="1"/>
  <c r="F66" i="105" s="1"/>
  <c r="D31" i="105"/>
  <c r="D32" i="105"/>
  <c r="D29" i="105"/>
  <c r="D50" i="99"/>
  <c r="D49" i="99"/>
  <c r="F55" i="99" l="1"/>
  <c r="F104" i="99"/>
  <c r="P48" i="114"/>
  <c r="H48" i="114"/>
  <c r="B44" i="115" s="1"/>
  <c r="H43" i="114"/>
  <c r="D40" i="115" s="1"/>
  <c r="F97" i="99"/>
  <c r="C104" i="99"/>
  <c r="E12" i="114"/>
  <c r="D7" i="114"/>
  <c r="L7" i="114" s="1"/>
  <c r="C55" i="99"/>
  <c r="C7" i="114"/>
  <c r="K7" i="114" s="1"/>
  <c r="C48" i="99"/>
  <c r="D73" i="99"/>
  <c r="C19" i="114" s="1"/>
  <c r="K19" i="114" s="1"/>
  <c r="P19" i="114" s="1"/>
  <c r="D48" i="99"/>
  <c r="D55" i="99"/>
  <c r="D80" i="99"/>
  <c r="C33" i="105"/>
  <c r="C38" i="105" s="1"/>
  <c r="D33" i="105"/>
  <c r="D38" i="105" s="1"/>
  <c r="D66" i="105" s="1"/>
  <c r="P7" i="114" l="1"/>
  <c r="H12" i="114"/>
  <c r="D11" i="115" s="1"/>
  <c r="M12" i="114"/>
  <c r="P12" i="114" s="1"/>
  <c r="C66" i="105"/>
  <c r="D39" i="115"/>
  <c r="B40" i="115"/>
  <c r="H7" i="114"/>
  <c r="D7" i="115" s="1"/>
  <c r="D44" i="115"/>
  <c r="D43" i="115" s="1"/>
  <c r="H19" i="114"/>
  <c r="D18" i="115" s="1"/>
  <c r="C97" i="99"/>
  <c r="D97" i="99"/>
  <c r="D104" i="99"/>
  <c r="E24" i="114"/>
  <c r="M24" i="114" s="1"/>
  <c r="P24" i="114" s="1"/>
  <c r="B11" i="115" l="1"/>
  <c r="B7" i="115"/>
  <c r="E39" i="115"/>
  <c r="G40" i="115" s="1"/>
  <c r="B18" i="115"/>
  <c r="H24" i="114"/>
  <c r="D22" i="115" s="1"/>
  <c r="D17" i="115"/>
  <c r="D10" i="115"/>
  <c r="D6" i="115"/>
  <c r="D21" i="115" l="1"/>
  <c r="E17" i="115" s="1"/>
  <c r="G39" i="115"/>
  <c r="B22" i="115"/>
  <c r="E6" i="115"/>
  <c r="G7" i="115" s="1"/>
  <c r="G17" i="115" l="1"/>
  <c r="G18" i="115"/>
  <c r="G6" i="115"/>
  <c r="J27" i="6"/>
  <c r="L25" i="6"/>
  <c r="J25" i="6"/>
  <c r="K18" i="6"/>
  <c r="I17" i="6"/>
  <c r="J23" i="104" s="1"/>
  <c r="J23" i="109" s="1"/>
  <c r="F23" i="104"/>
  <c r="F23" i="109" s="1"/>
  <c r="L16" i="6"/>
  <c r="I22" i="104"/>
  <c r="I22" i="109" s="1"/>
  <c r="E22" i="104"/>
  <c r="E22" i="109" s="1"/>
  <c r="K15" i="6"/>
  <c r="L21" i="104" s="1"/>
  <c r="L21" i="109" s="1"/>
  <c r="H21" i="104"/>
  <c r="H21" i="109" s="1"/>
  <c r="J14" i="6"/>
  <c r="K20" i="104" s="1"/>
  <c r="K20" i="109" s="1"/>
  <c r="G20" i="104"/>
  <c r="G20" i="109" s="1"/>
  <c r="C20" i="104"/>
  <c r="C20" i="109" s="1"/>
  <c r="L10" i="6"/>
  <c r="I8" i="6"/>
  <c r="E15" i="104"/>
  <c r="E15" i="109" s="1"/>
  <c r="I15" i="104"/>
  <c r="I15" i="109" s="1"/>
  <c r="D16" i="104"/>
  <c r="D16" i="109" s="1"/>
  <c r="H16" i="104"/>
  <c r="H16" i="109" s="1"/>
  <c r="K10" i="6"/>
  <c r="L16" i="104" s="1"/>
  <c r="L16" i="109" s="1"/>
  <c r="G17" i="104"/>
  <c r="G17" i="109" s="1"/>
  <c r="J11" i="6"/>
  <c r="K17" i="104" s="1"/>
  <c r="K17" i="109" s="1"/>
  <c r="F18" i="104"/>
  <c r="F18" i="109" s="1"/>
  <c r="I12" i="6"/>
  <c r="J18" i="104" s="1"/>
  <c r="J18" i="109" s="1"/>
  <c r="C16" i="104"/>
  <c r="C16" i="109" s="1"/>
  <c r="C23" i="104"/>
  <c r="C23" i="109" s="1"/>
  <c r="F22" i="104"/>
  <c r="F22" i="109" s="1"/>
  <c r="E21" i="104"/>
  <c r="E21" i="109" s="1"/>
  <c r="D20" i="104"/>
  <c r="D20" i="109" s="1"/>
  <c r="K9" i="6"/>
  <c r="L15" i="104" s="1"/>
  <c r="L15" i="109" s="1"/>
  <c r="F17" i="104"/>
  <c r="F17" i="109" s="1"/>
  <c r="I18" i="104"/>
  <c r="I18" i="109" s="1"/>
  <c r="D20" i="6"/>
  <c r="D32" i="6" s="1"/>
  <c r="K27" i="6"/>
  <c r="K25" i="6"/>
  <c r="J18" i="6"/>
  <c r="L17" i="6"/>
  <c r="I23" i="104"/>
  <c r="I23" i="109" s="1"/>
  <c r="E23" i="104"/>
  <c r="E23" i="109" s="1"/>
  <c r="K16" i="6"/>
  <c r="L22" i="104" s="1"/>
  <c r="L22" i="109" s="1"/>
  <c r="H22" i="104"/>
  <c r="H22" i="109" s="1"/>
  <c r="D22" i="104"/>
  <c r="D22" i="109" s="1"/>
  <c r="J15" i="6"/>
  <c r="K21" i="104" s="1"/>
  <c r="K21" i="109" s="1"/>
  <c r="G21" i="104"/>
  <c r="G21" i="109" s="1"/>
  <c r="C21" i="104"/>
  <c r="C21" i="109" s="1"/>
  <c r="I14" i="6"/>
  <c r="J20" i="104" s="1"/>
  <c r="J20" i="109" s="1"/>
  <c r="F20" i="104"/>
  <c r="F20" i="109" s="1"/>
  <c r="L12" i="6"/>
  <c r="L11" i="6"/>
  <c r="J8" i="6"/>
  <c r="F15" i="104"/>
  <c r="F15" i="109" s="1"/>
  <c r="I9" i="6"/>
  <c r="J15" i="104" s="1"/>
  <c r="J15" i="109" s="1"/>
  <c r="E16" i="104"/>
  <c r="E16" i="109" s="1"/>
  <c r="I16" i="104"/>
  <c r="I16" i="109" s="1"/>
  <c r="D17" i="104"/>
  <c r="D17" i="109" s="1"/>
  <c r="H17" i="104"/>
  <c r="H17" i="109" s="1"/>
  <c r="K11" i="6"/>
  <c r="L17" i="104" s="1"/>
  <c r="L17" i="109" s="1"/>
  <c r="J12" i="6"/>
  <c r="K18" i="104" s="1"/>
  <c r="K18" i="109" s="1"/>
  <c r="C17" i="104"/>
  <c r="C17" i="109" s="1"/>
  <c r="L18" i="6"/>
  <c r="J17" i="6"/>
  <c r="K23" i="104" s="1"/>
  <c r="K23" i="109" s="1"/>
  <c r="I16" i="6"/>
  <c r="J22" i="104" s="1"/>
  <c r="J22" i="109" s="1"/>
  <c r="I21" i="104"/>
  <c r="I21" i="109" s="1"/>
  <c r="H20" i="104"/>
  <c r="H20" i="109" s="1"/>
  <c r="D15" i="104"/>
  <c r="D15" i="109" s="1"/>
  <c r="G16" i="104"/>
  <c r="G16" i="109" s="1"/>
  <c r="I11" i="6"/>
  <c r="J17" i="104" s="1"/>
  <c r="J17" i="109" s="1"/>
  <c r="C15" i="104"/>
  <c r="C15" i="109" s="1"/>
  <c r="H27" i="6"/>
  <c r="L27" i="6"/>
  <c r="H25" i="6"/>
  <c r="I18" i="6"/>
  <c r="K17" i="6"/>
  <c r="L23" i="104" s="1"/>
  <c r="L23" i="109" s="1"/>
  <c r="H23" i="104"/>
  <c r="H23" i="109" s="1"/>
  <c r="D23" i="104"/>
  <c r="D23" i="109" s="1"/>
  <c r="J16" i="6"/>
  <c r="K22" i="104" s="1"/>
  <c r="K22" i="109" s="1"/>
  <c r="G22" i="104"/>
  <c r="G22" i="109" s="1"/>
  <c r="C22" i="104"/>
  <c r="C22" i="109" s="1"/>
  <c r="I15" i="6"/>
  <c r="J21" i="104" s="1"/>
  <c r="J21" i="109" s="1"/>
  <c r="F21" i="104"/>
  <c r="F21" i="109" s="1"/>
  <c r="L14" i="6"/>
  <c r="I20" i="104"/>
  <c r="I20" i="109" s="1"/>
  <c r="E20" i="104"/>
  <c r="E20" i="109" s="1"/>
  <c r="L8" i="6"/>
  <c r="K8" i="6"/>
  <c r="G15" i="104"/>
  <c r="G15" i="109" s="1"/>
  <c r="J9" i="6"/>
  <c r="K15" i="104" s="1"/>
  <c r="K15" i="109" s="1"/>
  <c r="F16" i="104"/>
  <c r="F16" i="109" s="1"/>
  <c r="I10" i="6"/>
  <c r="J16" i="104" s="1"/>
  <c r="J16" i="109" s="1"/>
  <c r="E17" i="104"/>
  <c r="E17" i="109" s="1"/>
  <c r="I17" i="104"/>
  <c r="I17" i="109" s="1"/>
  <c r="D18" i="104"/>
  <c r="D18" i="109" s="1"/>
  <c r="H18" i="104"/>
  <c r="H18" i="109" s="1"/>
  <c r="K12" i="6"/>
  <c r="L18" i="104" s="1"/>
  <c r="L18" i="109" s="1"/>
  <c r="C18" i="104"/>
  <c r="C18" i="109" s="1"/>
  <c r="I27" i="6"/>
  <c r="I25" i="6"/>
  <c r="G23" i="104"/>
  <c r="G23" i="109" s="1"/>
  <c r="L15" i="6"/>
  <c r="K14" i="6"/>
  <c r="L20" i="104" s="1"/>
  <c r="L20" i="109" s="1"/>
  <c r="L9" i="6"/>
  <c r="H15" i="104"/>
  <c r="H15" i="109" s="1"/>
  <c r="J10" i="6"/>
  <c r="K16" i="104" s="1"/>
  <c r="K16" i="109" s="1"/>
  <c r="E18" i="104"/>
  <c r="E18" i="109" s="1"/>
  <c r="L20" i="6" l="1"/>
  <c r="K20" i="6"/>
  <c r="H20" i="6"/>
  <c r="K7" i="6"/>
  <c r="J7" i="6"/>
  <c r="I20" i="6"/>
  <c r="I7" i="6"/>
  <c r="E18" i="106"/>
  <c r="L20" i="106"/>
  <c r="H18" i="106"/>
  <c r="J16" i="106"/>
  <c r="K26" i="6"/>
  <c r="E20" i="106"/>
  <c r="J21" i="106"/>
  <c r="D23" i="106"/>
  <c r="I28" i="6"/>
  <c r="J24" i="109"/>
  <c r="J17" i="106"/>
  <c r="H20" i="106"/>
  <c r="L28" i="6"/>
  <c r="G18" i="104"/>
  <c r="G18" i="109" s="1"/>
  <c r="I16" i="106"/>
  <c r="J26" i="6"/>
  <c r="F20" i="106"/>
  <c r="K21" i="106"/>
  <c r="E23" i="106"/>
  <c r="J28" i="6"/>
  <c r="K24" i="109"/>
  <c r="F17" i="106"/>
  <c r="E21" i="106"/>
  <c r="F18" i="106"/>
  <c r="H16" i="106"/>
  <c r="I26" i="6"/>
  <c r="G20" i="106"/>
  <c r="L21" i="106"/>
  <c r="F23" i="106"/>
  <c r="K28" i="6"/>
  <c r="L24" i="109"/>
  <c r="J20" i="6"/>
  <c r="K16" i="106"/>
  <c r="D18" i="106"/>
  <c r="F16" i="106"/>
  <c r="I20" i="106"/>
  <c r="C22" i="106"/>
  <c r="H23" i="106"/>
  <c r="C28" i="6"/>
  <c r="C34" i="33" s="1"/>
  <c r="G16" i="106"/>
  <c r="I21" i="106"/>
  <c r="C7" i="33"/>
  <c r="C20" i="6"/>
  <c r="L17" i="106"/>
  <c r="E16" i="106"/>
  <c r="G26" i="6"/>
  <c r="G35" i="33" s="1"/>
  <c r="J20" i="106"/>
  <c r="D22" i="106"/>
  <c r="I23" i="106"/>
  <c r="L15" i="106"/>
  <c r="F22" i="106"/>
  <c r="F20" i="6"/>
  <c r="F32" i="6" s="1"/>
  <c r="K17" i="106"/>
  <c r="D16" i="106"/>
  <c r="F35" i="33"/>
  <c r="K20" i="106"/>
  <c r="E22" i="106"/>
  <c r="J23" i="106"/>
  <c r="G20" i="6"/>
  <c r="G32" i="6" s="1"/>
  <c r="H15" i="106"/>
  <c r="G23" i="106"/>
  <c r="C18" i="106"/>
  <c r="I17" i="106"/>
  <c r="K15" i="106"/>
  <c r="D26" i="6"/>
  <c r="D35" i="33" s="1"/>
  <c r="G22" i="106"/>
  <c r="L23" i="106"/>
  <c r="E20" i="6"/>
  <c r="E32" i="6" s="1"/>
  <c r="D15" i="106"/>
  <c r="J22" i="106"/>
  <c r="C17" i="106"/>
  <c r="H17" i="106"/>
  <c r="J15" i="106"/>
  <c r="C21" i="106"/>
  <c r="H22" i="106"/>
  <c r="D20" i="33"/>
  <c r="H26" i="6"/>
  <c r="C23" i="106"/>
  <c r="C16" i="106"/>
  <c r="G17" i="106"/>
  <c r="I15" i="106"/>
  <c r="D21" i="104"/>
  <c r="D21" i="109" s="1"/>
  <c r="I22" i="106"/>
  <c r="D28" i="6"/>
  <c r="D34" i="33" s="1"/>
  <c r="D24" i="109"/>
  <c r="C26" i="6"/>
  <c r="C35" i="33" s="1"/>
  <c r="E28" i="6"/>
  <c r="E34" i="33" s="1"/>
  <c r="E24" i="109"/>
  <c r="L18" i="106"/>
  <c r="E17" i="106"/>
  <c r="G15" i="106"/>
  <c r="L26" i="6"/>
  <c r="F21" i="106"/>
  <c r="K22" i="106"/>
  <c r="F28" i="6"/>
  <c r="F34" i="33" s="1"/>
  <c r="F24" i="109"/>
  <c r="C15" i="106"/>
  <c r="E26" i="6"/>
  <c r="E35" i="33" s="1"/>
  <c r="K23" i="106"/>
  <c r="K18" i="106"/>
  <c r="D17" i="106"/>
  <c r="F15" i="106"/>
  <c r="G21" i="106"/>
  <c r="L22" i="106"/>
  <c r="G28" i="6"/>
  <c r="G34" i="33" s="1"/>
  <c r="G24" i="109"/>
  <c r="D21" i="6"/>
  <c r="D33" i="6" s="1"/>
  <c r="I18" i="106"/>
  <c r="D20" i="106"/>
  <c r="H28" i="6"/>
  <c r="I24" i="109"/>
  <c r="J18" i="106"/>
  <c r="L16" i="106"/>
  <c r="E15" i="106"/>
  <c r="C20" i="106"/>
  <c r="H21" i="106"/>
  <c r="H24" i="109"/>
  <c r="L7" i="6"/>
  <c r="F36" i="33" l="1"/>
  <c r="C21" i="6"/>
  <c r="C33" i="6" s="1"/>
  <c r="C32" i="6"/>
  <c r="G36" i="33"/>
  <c r="E36" i="33"/>
  <c r="D36" i="33"/>
  <c r="C13" i="41"/>
  <c r="C13" i="109" s="1"/>
  <c r="C33" i="33"/>
  <c r="C36" i="33" s="1"/>
  <c r="E21" i="6"/>
  <c r="F21" i="6"/>
  <c r="G21" i="6"/>
  <c r="D21" i="33"/>
  <c r="K21" i="6"/>
  <c r="I21" i="6"/>
  <c r="I22" i="6" s="1"/>
  <c r="J21" i="6"/>
  <c r="D13" i="109"/>
  <c r="D13" i="106" s="1"/>
  <c r="G18" i="106"/>
  <c r="L21" i="6"/>
  <c r="J13" i="109"/>
  <c r="D14" i="104"/>
  <c r="D27" i="41"/>
  <c r="D25" i="41"/>
  <c r="F14" i="104"/>
  <c r="F27" i="41"/>
  <c r="H13" i="109"/>
  <c r="H24" i="106"/>
  <c r="I24" i="106"/>
  <c r="G24" i="106"/>
  <c r="F24" i="106"/>
  <c r="C14" i="104"/>
  <c r="C27" i="41"/>
  <c r="D24" i="106"/>
  <c r="D21" i="106"/>
  <c r="G27" i="41"/>
  <c r="G14" i="104"/>
  <c r="L24" i="106"/>
  <c r="J14" i="104"/>
  <c r="J24" i="106"/>
  <c r="L14" i="104"/>
  <c r="I13" i="109"/>
  <c r="D22" i="6"/>
  <c r="D22" i="33" s="1"/>
  <c r="E20" i="33"/>
  <c r="K13" i="109"/>
  <c r="F20" i="33"/>
  <c r="L13" i="109"/>
  <c r="K22" i="6"/>
  <c r="C24" i="109"/>
  <c r="E14" i="104"/>
  <c r="E27" i="41"/>
  <c r="E24" i="106"/>
  <c r="I14" i="104"/>
  <c r="H21" i="6"/>
  <c r="G20" i="33"/>
  <c r="C20" i="33"/>
  <c r="H14" i="104"/>
  <c r="K24" i="106"/>
  <c r="K14" i="104"/>
  <c r="E22" i="6" l="1"/>
  <c r="E22" i="33" s="1"/>
  <c r="E33" i="6"/>
  <c r="C22" i="6"/>
  <c r="C22" i="33" s="1"/>
  <c r="C21" i="33"/>
  <c r="F21" i="33"/>
  <c r="F33" i="6"/>
  <c r="G21" i="33"/>
  <c r="G33" i="6"/>
  <c r="F22" i="6"/>
  <c r="F22" i="33" s="1"/>
  <c r="E21" i="33"/>
  <c r="G22" i="6"/>
  <c r="G22" i="33" s="1"/>
  <c r="F13" i="109"/>
  <c r="F13" i="106" s="1"/>
  <c r="G13" i="109"/>
  <c r="G13" i="106" s="1"/>
  <c r="F25" i="41"/>
  <c r="E13" i="109"/>
  <c r="E13" i="106" s="1"/>
  <c r="J22" i="6"/>
  <c r="K14" i="109"/>
  <c r="K25" i="109" s="1"/>
  <c r="K27" i="104"/>
  <c r="K25" i="104"/>
  <c r="H27" i="104"/>
  <c r="H25" i="104"/>
  <c r="H22" i="6"/>
  <c r="I14" i="109"/>
  <c r="I25" i="109" s="1"/>
  <c r="I25" i="104"/>
  <c r="I27" i="104"/>
  <c r="C24" i="106"/>
  <c r="L13" i="106"/>
  <c r="I13" i="106"/>
  <c r="C25" i="41"/>
  <c r="C14" i="109"/>
  <c r="C25" i="109" s="1"/>
  <c r="C37" i="104"/>
  <c r="D37" i="104" s="1"/>
  <c r="E37" i="104" s="1"/>
  <c r="C27" i="104"/>
  <c r="C25" i="104"/>
  <c r="J13" i="106"/>
  <c r="K13" i="106"/>
  <c r="L14" i="109"/>
  <c r="L27" i="104"/>
  <c r="L25" i="104"/>
  <c r="C37" i="41"/>
  <c r="H13" i="106"/>
  <c r="F14" i="109"/>
  <c r="F27" i="104"/>
  <c r="F25" i="104"/>
  <c r="D14" i="109"/>
  <c r="D27" i="104"/>
  <c r="D25" i="104"/>
  <c r="H14" i="109"/>
  <c r="H25" i="109" s="1"/>
  <c r="J14" i="109"/>
  <c r="J25" i="104"/>
  <c r="J27" i="104"/>
  <c r="C13" i="106"/>
  <c r="L22" i="6"/>
  <c r="E14" i="109"/>
  <c r="E27" i="104"/>
  <c r="G14" i="109"/>
  <c r="G27" i="104"/>
  <c r="C28" i="41" l="1"/>
  <c r="C37" i="109"/>
  <c r="D37" i="109" s="1"/>
  <c r="E37" i="109" s="1"/>
  <c r="G14" i="106"/>
  <c r="G27" i="109"/>
  <c r="J27" i="109"/>
  <c r="J14" i="106"/>
  <c r="J27" i="106" s="1"/>
  <c r="H27" i="109"/>
  <c r="H14" i="106"/>
  <c r="H27" i="106" s="1"/>
  <c r="L28" i="104"/>
  <c r="J25" i="109"/>
  <c r="C14" i="106"/>
  <c r="C27" i="106" s="1"/>
  <c r="C27" i="109"/>
  <c r="I28" i="104"/>
  <c r="K28" i="104"/>
  <c r="D14" i="106"/>
  <c r="D27" i="109"/>
  <c r="D25" i="109"/>
  <c r="F14" i="106"/>
  <c r="F27" i="109"/>
  <c r="F25" i="109"/>
  <c r="C28" i="104"/>
  <c r="I14" i="106"/>
  <c r="I27" i="106" s="1"/>
  <c r="I27" i="109"/>
  <c r="H28" i="104"/>
  <c r="E14" i="106"/>
  <c r="E27" i="109"/>
  <c r="D28" i="104"/>
  <c r="F28" i="104"/>
  <c r="D37" i="41"/>
  <c r="L14" i="106"/>
  <c r="L27" i="106" s="1"/>
  <c r="L27" i="109"/>
  <c r="L25" i="109"/>
  <c r="K14" i="106"/>
  <c r="K27" i="106" s="1"/>
  <c r="K27" i="109"/>
  <c r="J28" i="104"/>
  <c r="F37" i="104"/>
  <c r="G37" i="104" s="1"/>
  <c r="E37" i="41" l="1"/>
  <c r="J25" i="106"/>
  <c r="K25" i="106"/>
  <c r="C37" i="106"/>
  <c r="D37" i="106" s="1"/>
  <c r="I25" i="106"/>
  <c r="F27" i="106"/>
  <c r="F25" i="106"/>
  <c r="H37" i="104"/>
  <c r="I37" i="104" s="1"/>
  <c r="J37" i="104" s="1"/>
  <c r="C25" i="106"/>
  <c r="J31" i="104"/>
  <c r="J29" i="104"/>
  <c r="J32" i="104"/>
  <c r="D29" i="104"/>
  <c r="D32" i="104"/>
  <c r="D31" i="104"/>
  <c r="E27" i="106"/>
  <c r="H31" i="104"/>
  <c r="H29" i="104"/>
  <c r="H32" i="104"/>
  <c r="F37" i="109"/>
  <c r="D27" i="106"/>
  <c r="D25" i="106"/>
  <c r="I31" i="104"/>
  <c r="I29" i="104"/>
  <c r="I32" i="104"/>
  <c r="L25" i="106"/>
  <c r="G27" i="106"/>
  <c r="F29" i="104"/>
  <c r="F31" i="104"/>
  <c r="F32" i="104"/>
  <c r="C32" i="104"/>
  <c r="C31" i="104"/>
  <c r="C29" i="104"/>
  <c r="K32" i="104"/>
  <c r="K29" i="104"/>
  <c r="K31" i="104"/>
  <c r="L31" i="104"/>
  <c r="L29" i="104"/>
  <c r="L32" i="104"/>
  <c r="H25" i="106"/>
  <c r="F37" i="41" l="1"/>
  <c r="K37" i="104"/>
  <c r="L37" i="104" s="1"/>
  <c r="J33" i="104"/>
  <c r="J38" i="104" s="1"/>
  <c r="J66" i="104" s="1"/>
  <c r="K33" i="104"/>
  <c r="H33" i="104"/>
  <c r="H38" i="104" s="1"/>
  <c r="H66" i="104" s="1"/>
  <c r="L33" i="104"/>
  <c r="I33" i="104"/>
  <c r="I38" i="104" s="1"/>
  <c r="I66" i="104" s="1"/>
  <c r="C33" i="104"/>
  <c r="C38" i="104" s="1"/>
  <c r="F33" i="104"/>
  <c r="F38" i="104" s="1"/>
  <c r="F66" i="104" s="1"/>
  <c r="G37" i="109"/>
  <c r="H37" i="109" s="1"/>
  <c r="E37" i="106"/>
  <c r="D33" i="104"/>
  <c r="D38" i="104" s="1"/>
  <c r="D66" i="104" s="1"/>
  <c r="G37" i="41" l="1"/>
  <c r="C66" i="104"/>
  <c r="K38" i="104"/>
  <c r="K66" i="104" s="1"/>
  <c r="I37" i="109"/>
  <c r="J37" i="109" s="1"/>
  <c r="K37" i="109" s="1"/>
  <c r="L37" i="109" s="1"/>
  <c r="F37" i="106"/>
  <c r="G37" i="106" s="1"/>
  <c r="H37" i="106" s="1"/>
  <c r="I37" i="106" l="1"/>
  <c r="J37" i="106" s="1"/>
  <c r="K37" i="106" l="1"/>
  <c r="L37" i="106" s="1"/>
  <c r="H34" i="109" l="1"/>
  <c r="J34" i="109"/>
  <c r="J34" i="106" l="1"/>
  <c r="I34" i="109"/>
  <c r="F34" i="109"/>
  <c r="K34" i="109"/>
  <c r="L34" i="109"/>
  <c r="H34" i="106"/>
  <c r="D34" i="109" l="1"/>
  <c r="L34" i="106"/>
  <c r="K34" i="106"/>
  <c r="F34" i="106"/>
  <c r="G34" i="109"/>
  <c r="I34" i="106"/>
  <c r="D34" i="106" l="1"/>
  <c r="G34" i="106"/>
  <c r="C26" i="109" l="1"/>
  <c r="C32" i="41" l="1"/>
  <c r="C29" i="41"/>
  <c r="C31" i="41"/>
  <c r="C26" i="106"/>
  <c r="C28" i="106" s="1"/>
  <c r="C28" i="109"/>
  <c r="C33" i="41" l="1"/>
  <c r="C29" i="109"/>
  <c r="C32" i="109"/>
  <c r="C31" i="109"/>
  <c r="C32" i="106"/>
  <c r="C29" i="106"/>
  <c r="C31" i="106"/>
  <c r="D26" i="109"/>
  <c r="D28" i="41"/>
  <c r="D29" i="41" l="1"/>
  <c r="D32" i="41"/>
  <c r="D31" i="41"/>
  <c r="D26" i="106"/>
  <c r="D28" i="106" s="1"/>
  <c r="D28" i="109"/>
  <c r="F26" i="109"/>
  <c r="F28" i="41"/>
  <c r="D31" i="109" l="1"/>
  <c r="D32" i="109"/>
  <c r="D29" i="109"/>
  <c r="D29" i="106"/>
  <c r="D31" i="106"/>
  <c r="D32" i="106"/>
  <c r="F31" i="41"/>
  <c r="F29" i="41"/>
  <c r="F32" i="41"/>
  <c r="E26" i="109"/>
  <c r="F26" i="106"/>
  <c r="F28" i="106" s="1"/>
  <c r="F28" i="109"/>
  <c r="F31" i="109" l="1"/>
  <c r="F29" i="109"/>
  <c r="F32" i="109"/>
  <c r="E26" i="106"/>
  <c r="F32" i="106"/>
  <c r="F29" i="106"/>
  <c r="F31" i="106"/>
  <c r="G26" i="109" l="1"/>
  <c r="G26" i="106" l="1"/>
  <c r="I26" i="109"/>
  <c r="H26" i="109" l="1"/>
  <c r="I26" i="106"/>
  <c r="I28" i="106" s="1"/>
  <c r="I28" i="109"/>
  <c r="I29" i="106" l="1"/>
  <c r="I32" i="106"/>
  <c r="I31" i="106"/>
  <c r="I29" i="109"/>
  <c r="I31" i="109"/>
  <c r="I32" i="109"/>
  <c r="H26" i="106"/>
  <c r="H28" i="106" s="1"/>
  <c r="H28" i="109"/>
  <c r="H29" i="109" l="1"/>
  <c r="H31" i="109"/>
  <c r="H32" i="109"/>
  <c r="H29" i="106"/>
  <c r="H32" i="106"/>
  <c r="H31" i="106"/>
  <c r="J26" i="109"/>
  <c r="J26" i="106" l="1"/>
  <c r="J28" i="106" s="1"/>
  <c r="J28" i="109"/>
  <c r="K26" i="109"/>
  <c r="K26" i="106" l="1"/>
  <c r="K28" i="106" s="1"/>
  <c r="K28" i="109"/>
  <c r="J32" i="109"/>
  <c r="J29" i="109"/>
  <c r="J31" i="109"/>
  <c r="J31" i="106"/>
  <c r="J32" i="106"/>
  <c r="J29" i="106"/>
  <c r="K32" i="109" l="1"/>
  <c r="K31" i="109"/>
  <c r="K29" i="109"/>
  <c r="K31" i="106"/>
  <c r="K32" i="106"/>
  <c r="K29" i="106"/>
  <c r="L26" i="109" l="1"/>
  <c r="L26" i="106" l="1"/>
  <c r="L28" i="106" s="1"/>
  <c r="L28" i="109"/>
  <c r="L32" i="109" l="1"/>
  <c r="L29" i="109"/>
  <c r="L31" i="109"/>
  <c r="L31" i="106"/>
  <c r="L32" i="106"/>
  <c r="L29" i="106"/>
  <c r="E34" i="109" l="1"/>
  <c r="C34" i="109" l="1"/>
  <c r="E34" i="106"/>
  <c r="C34" i="106" l="1"/>
  <c r="D35" i="109" l="1"/>
  <c r="D33" i="41"/>
  <c r="D38" i="41" l="1"/>
  <c r="D35" i="106"/>
  <c r="D33" i="106" s="1"/>
  <c r="D38" i="106" s="1"/>
  <c r="D66" i="106" s="1"/>
  <c r="D33" i="109"/>
  <c r="D38" i="109" s="1"/>
  <c r="D66" i="109" s="1"/>
  <c r="D66" i="41" l="1"/>
  <c r="C35" i="109"/>
  <c r="C38" i="41"/>
  <c r="C66" i="41" l="1"/>
  <c r="C35" i="106"/>
  <c r="C33" i="106" s="1"/>
  <c r="C38" i="106" s="1"/>
  <c r="C33" i="109"/>
  <c r="C38" i="109" s="1"/>
  <c r="C66" i="109" l="1"/>
  <c r="F35" i="109"/>
  <c r="F33" i="41"/>
  <c r="C66" i="106"/>
  <c r="F38" i="41" l="1"/>
  <c r="E35" i="109"/>
  <c r="F35" i="106"/>
  <c r="F33" i="106" s="1"/>
  <c r="F38" i="106" s="1"/>
  <c r="F66" i="106" s="1"/>
  <c r="F33" i="109"/>
  <c r="F38" i="109" s="1"/>
  <c r="F66" i="109" s="1"/>
  <c r="F66" i="41" l="1"/>
  <c r="E35" i="106"/>
  <c r="G36" i="109" l="1"/>
  <c r="G35" i="109" l="1"/>
  <c r="G36" i="106"/>
  <c r="G35" i="106" l="1"/>
  <c r="H35" i="109" l="1"/>
  <c r="H35" i="106" l="1"/>
  <c r="H33" i="106" s="1"/>
  <c r="H38" i="106" s="1"/>
  <c r="H66" i="106" s="1"/>
  <c r="H33" i="109"/>
  <c r="H38" i="109" s="1"/>
  <c r="H66" i="109" s="1"/>
  <c r="J35" i="109"/>
  <c r="K35" i="109" l="1"/>
  <c r="I35" i="109"/>
  <c r="J35" i="106"/>
  <c r="J33" i="106" s="1"/>
  <c r="J38" i="106" s="1"/>
  <c r="J66" i="106" s="1"/>
  <c r="J33" i="109"/>
  <c r="J38" i="109" s="1"/>
  <c r="J66" i="109" s="1"/>
  <c r="K35" i="106" l="1"/>
  <c r="K33" i="106" s="1"/>
  <c r="K38" i="106" s="1"/>
  <c r="K66" i="106" s="1"/>
  <c r="K33" i="109"/>
  <c r="K38" i="109" s="1"/>
  <c r="K66" i="109" s="1"/>
  <c r="I35" i="106"/>
  <c r="I33" i="106" s="1"/>
  <c r="I38" i="106" s="1"/>
  <c r="I66" i="106" s="1"/>
  <c r="I33" i="109"/>
  <c r="I38" i="109" s="1"/>
  <c r="I66" i="109" s="1"/>
  <c r="L36" i="104" l="1"/>
  <c r="L38" i="104" s="1"/>
  <c r="L66" i="104" s="1"/>
  <c r="L35" i="109"/>
  <c r="L36" i="109" l="1"/>
  <c r="L36" i="106" s="1"/>
  <c r="L35" i="106"/>
  <c r="L33" i="106" s="1"/>
  <c r="L33" i="109"/>
  <c r="L38" i="109" l="1"/>
  <c r="L66" i="109" s="1"/>
  <c r="L38" i="106"/>
  <c r="L66" i="106" s="1"/>
  <c r="S21" i="111"/>
  <c r="S35" i="111" s="1"/>
  <c r="G6" i="111"/>
  <c r="G7" i="111"/>
  <c r="G21" i="111" s="1"/>
  <c r="Q21" i="111"/>
  <c r="S20" i="111"/>
  <c r="S34" i="111" s="1"/>
  <c r="Q20" i="111"/>
  <c r="Q5" i="111"/>
  <c r="T7" i="111"/>
  <c r="S5" i="111"/>
  <c r="T6" i="111"/>
  <c r="E6" i="111"/>
  <c r="V6" i="111"/>
  <c r="E7" i="111"/>
  <c r="H6" i="111" l="1"/>
  <c r="V5" i="111"/>
  <c r="H7" i="111"/>
  <c r="S33" i="111"/>
  <c r="S19" i="111"/>
  <c r="T5" i="111"/>
  <c r="U7" i="111" s="1"/>
  <c r="G20" i="111"/>
  <c r="G31" i="99" s="1"/>
  <c r="G5" i="111"/>
  <c r="T21" i="111"/>
  <c r="V21" i="111"/>
  <c r="Q35" i="111"/>
  <c r="G35" i="111"/>
  <c r="V20" i="111"/>
  <c r="Q19" i="111"/>
  <c r="Q34" i="111"/>
  <c r="T20" i="111"/>
  <c r="E21" i="111"/>
  <c r="J7" i="111"/>
  <c r="J6" i="111"/>
  <c r="E20" i="111"/>
  <c r="E5" i="111"/>
  <c r="U5" i="111" l="1"/>
  <c r="U8" i="111"/>
  <c r="U6" i="111"/>
  <c r="V19" i="111"/>
  <c r="T19" i="111"/>
  <c r="U21" i="111" s="1"/>
  <c r="G56" i="41"/>
  <c r="G7" i="113"/>
  <c r="G8" i="113"/>
  <c r="J5" i="111"/>
  <c r="J6" i="113" s="1"/>
  <c r="E8" i="113"/>
  <c r="E56" i="41"/>
  <c r="E7" i="113"/>
  <c r="H5" i="111"/>
  <c r="T35" i="111"/>
  <c r="V35" i="111"/>
  <c r="E35" i="111"/>
  <c r="J21" i="111"/>
  <c r="H21" i="111"/>
  <c r="E31" i="99"/>
  <c r="E6" i="113"/>
  <c r="E34" i="111"/>
  <c r="E30" i="99"/>
  <c r="J20" i="111"/>
  <c r="E32" i="99"/>
  <c r="H20" i="111"/>
  <c r="E19" i="111"/>
  <c r="T34" i="111"/>
  <c r="Q33" i="111"/>
  <c r="V34" i="111"/>
  <c r="G6" i="113"/>
  <c r="G30" i="99"/>
  <c r="G29" i="99" s="1"/>
  <c r="G32" i="99"/>
  <c r="G19" i="111"/>
  <c r="G29" i="111" s="1"/>
  <c r="G34" i="111"/>
  <c r="U20" i="111" l="1"/>
  <c r="J31" i="99"/>
  <c r="E29" i="99"/>
  <c r="H19" i="111"/>
  <c r="I21" i="111" s="1"/>
  <c r="J19" i="111"/>
  <c r="E29" i="111"/>
  <c r="H31" i="99"/>
  <c r="T33" i="111"/>
  <c r="U34" i="111" s="1"/>
  <c r="V33" i="111"/>
  <c r="H32" i="99"/>
  <c r="H30" i="99"/>
  <c r="I20" i="111"/>
  <c r="H34" i="111"/>
  <c r="E33" i="111"/>
  <c r="C29" i="115"/>
  <c r="J34" i="111"/>
  <c r="I8" i="111"/>
  <c r="I5" i="111"/>
  <c r="H8" i="113"/>
  <c r="I6" i="111"/>
  <c r="I7" i="111"/>
  <c r="H6" i="113"/>
  <c r="H7" i="113"/>
  <c r="J8" i="113"/>
  <c r="G56" i="105"/>
  <c r="G47" i="105" s="1"/>
  <c r="G56" i="109"/>
  <c r="G47" i="109" s="1"/>
  <c r="G56" i="104"/>
  <c r="G47" i="104" s="1"/>
  <c r="G56" i="106"/>
  <c r="G47" i="106" s="1"/>
  <c r="G47" i="41"/>
  <c r="J7" i="113"/>
  <c r="U22" i="111"/>
  <c r="U19" i="111"/>
  <c r="E24" i="99"/>
  <c r="E25" i="99"/>
  <c r="E38" i="99" s="1"/>
  <c r="E5" i="113"/>
  <c r="J35" i="111"/>
  <c r="H35" i="111"/>
  <c r="C51" i="115"/>
  <c r="G33" i="111"/>
  <c r="G24" i="99"/>
  <c r="G5" i="113"/>
  <c r="G25" i="99"/>
  <c r="J30" i="99"/>
  <c r="J29" i="99" s="1"/>
  <c r="J32" i="99"/>
  <c r="E56" i="106"/>
  <c r="E47" i="106" s="1"/>
  <c r="E56" i="109"/>
  <c r="E47" i="109" s="1"/>
  <c r="E56" i="105"/>
  <c r="E47" i="105" s="1"/>
  <c r="E56" i="104"/>
  <c r="E47" i="104" s="1"/>
  <c r="E47" i="41"/>
  <c r="G38" i="99" l="1"/>
  <c r="G37" i="99"/>
  <c r="E37" i="99"/>
  <c r="H6" i="109"/>
  <c r="H6" i="104"/>
  <c r="H6" i="106"/>
  <c r="J24" i="99"/>
  <c r="U35" i="111"/>
  <c r="J5" i="113"/>
  <c r="I7" i="113"/>
  <c r="I8" i="113"/>
  <c r="J25" i="99"/>
  <c r="I6" i="113"/>
  <c r="E48" i="105"/>
  <c r="E49" i="105" s="1"/>
  <c r="E12" i="105" s="1"/>
  <c r="F8" i="107" s="1"/>
  <c r="E48" i="109"/>
  <c r="E49" i="109" s="1"/>
  <c r="E12" i="109" s="1"/>
  <c r="E48" i="104"/>
  <c r="E49" i="104" s="1"/>
  <c r="E12" i="104" s="1"/>
  <c r="F18" i="107" s="1"/>
  <c r="G48" i="106"/>
  <c r="G49" i="106" s="1"/>
  <c r="G12" i="106" s="1"/>
  <c r="H33" i="111"/>
  <c r="I34" i="111" s="1"/>
  <c r="J33" i="111"/>
  <c r="G48" i="104"/>
  <c r="G49" i="104" s="1"/>
  <c r="G12" i="104" s="1"/>
  <c r="H18" i="107" s="1"/>
  <c r="G23" i="99"/>
  <c r="G48" i="109"/>
  <c r="G49" i="109" s="1"/>
  <c r="G12" i="109" s="1"/>
  <c r="U33" i="111"/>
  <c r="U36" i="111"/>
  <c r="E48" i="41"/>
  <c r="E49" i="41" s="1"/>
  <c r="E12" i="41" s="1"/>
  <c r="E48" i="106"/>
  <c r="E49" i="106" s="1"/>
  <c r="E12" i="106" s="1"/>
  <c r="E23" i="99"/>
  <c r="G48" i="41"/>
  <c r="G49" i="41" s="1"/>
  <c r="G12" i="41" s="1"/>
  <c r="G48" i="105"/>
  <c r="G49" i="105" s="1"/>
  <c r="G12" i="105" s="1"/>
  <c r="H8" i="107" s="1"/>
  <c r="H25" i="99"/>
  <c r="H5" i="113"/>
  <c r="H24" i="99"/>
  <c r="H29" i="99"/>
  <c r="I29" i="99" s="1"/>
  <c r="I19" i="111"/>
  <c r="I22" i="111"/>
  <c r="H37" i="99" l="1"/>
  <c r="J38" i="99"/>
  <c r="H38" i="99"/>
  <c r="J37" i="99"/>
  <c r="H7" i="106"/>
  <c r="H8" i="106"/>
  <c r="H9" i="106"/>
  <c r="H8" i="104"/>
  <c r="H7" i="104"/>
  <c r="H9" i="104"/>
  <c r="H7" i="109"/>
  <c r="H8" i="109"/>
  <c r="H9" i="109"/>
  <c r="I35" i="111"/>
  <c r="J23" i="99"/>
  <c r="I30" i="99"/>
  <c r="E36" i="99"/>
  <c r="I5" i="113"/>
  <c r="I33" i="111"/>
  <c r="I36" i="111"/>
  <c r="G25" i="106"/>
  <c r="G6" i="106"/>
  <c r="G25" i="41"/>
  <c r="F50" i="115"/>
  <c r="F9" i="10"/>
  <c r="G6" i="41"/>
  <c r="I31" i="99"/>
  <c r="G25" i="105"/>
  <c r="H13" i="107"/>
  <c r="G6" i="105"/>
  <c r="E42" i="99"/>
  <c r="E25" i="109"/>
  <c r="E6" i="109"/>
  <c r="H23" i="99"/>
  <c r="E25" i="41"/>
  <c r="F28" i="115"/>
  <c r="D9" i="10"/>
  <c r="H9" i="10" s="1"/>
  <c r="E6" i="41"/>
  <c r="G25" i="109"/>
  <c r="G42" i="99"/>
  <c r="G6" i="109"/>
  <c r="G36" i="99"/>
  <c r="I32" i="99"/>
  <c r="E25" i="104"/>
  <c r="E6" i="104"/>
  <c r="E25" i="106"/>
  <c r="E6" i="106"/>
  <c r="G25" i="104"/>
  <c r="G6" i="104"/>
  <c r="H23" i="107"/>
  <c r="E25" i="105"/>
  <c r="E6" i="105"/>
  <c r="J36" i="99" l="1"/>
  <c r="E28" i="105"/>
  <c r="E8" i="104"/>
  <c r="E9" i="104"/>
  <c r="E7" i="104"/>
  <c r="I8" i="107"/>
  <c r="I13" i="107" s="1"/>
  <c r="F13" i="107"/>
  <c r="G7" i="104"/>
  <c r="G9" i="104"/>
  <c r="G8" i="104"/>
  <c r="E7" i="106"/>
  <c r="E9" i="106"/>
  <c r="E8" i="106"/>
  <c r="E28" i="104"/>
  <c r="G43" i="99"/>
  <c r="G44" i="99"/>
  <c r="E28" i="109"/>
  <c r="G28" i="105"/>
  <c r="G9" i="41"/>
  <c r="G7" i="41"/>
  <c r="G8" i="41"/>
  <c r="G28" i="104"/>
  <c r="G28" i="109"/>
  <c r="E28" i="41"/>
  <c r="E44" i="99"/>
  <c r="J42" i="99"/>
  <c r="H42" i="99"/>
  <c r="E43" i="99"/>
  <c r="E7" i="105"/>
  <c r="E9" i="105"/>
  <c r="E8" i="105"/>
  <c r="E9" i="41"/>
  <c r="E7" i="41"/>
  <c r="E8" i="41"/>
  <c r="G9" i="105"/>
  <c r="G7" i="105"/>
  <c r="G8" i="105"/>
  <c r="I24" i="99"/>
  <c r="G8" i="106"/>
  <c r="G9" i="106"/>
  <c r="G7" i="106"/>
  <c r="I25" i="99"/>
  <c r="E28" i="106"/>
  <c r="G55" i="114"/>
  <c r="O55" i="114" s="1"/>
  <c r="G60" i="114"/>
  <c r="O60" i="114" s="1"/>
  <c r="I18" i="107"/>
  <c r="I23" i="107" s="1"/>
  <c r="F23" i="107"/>
  <c r="G7" i="109"/>
  <c r="G8" i="109"/>
  <c r="G9" i="109"/>
  <c r="H36" i="99"/>
  <c r="E9" i="109"/>
  <c r="E7" i="109"/>
  <c r="E8" i="109"/>
  <c r="F55" i="114"/>
  <c r="N55" i="114" s="1"/>
  <c r="F60" i="114"/>
  <c r="N60" i="114" s="1"/>
  <c r="G28" i="41"/>
  <c r="G28" i="106"/>
  <c r="I38" i="99" l="1"/>
  <c r="I37" i="99"/>
  <c r="E32" i="109"/>
  <c r="E29" i="109"/>
  <c r="E31" i="109"/>
  <c r="G50" i="99"/>
  <c r="G87" i="99"/>
  <c r="G49" i="99"/>
  <c r="G51" i="99"/>
  <c r="G75" i="99" s="1"/>
  <c r="F36" i="114"/>
  <c r="N36" i="114" s="1"/>
  <c r="F31" i="114"/>
  <c r="N31" i="114" s="1"/>
  <c r="G29" i="41"/>
  <c r="G31" i="41"/>
  <c r="G32" i="41"/>
  <c r="E57" i="99"/>
  <c r="J44" i="99"/>
  <c r="E56" i="99"/>
  <c r="H44" i="99"/>
  <c r="E91" i="99"/>
  <c r="G32" i="109"/>
  <c r="G31" i="109"/>
  <c r="G29" i="109"/>
  <c r="I23" i="99"/>
  <c r="E31" i="104"/>
  <c r="E32" i="104"/>
  <c r="E29" i="104"/>
  <c r="G29" i="106"/>
  <c r="G31" i="106"/>
  <c r="G32" i="106"/>
  <c r="E31" i="106"/>
  <c r="E32" i="106"/>
  <c r="E29" i="106"/>
  <c r="E51" i="99"/>
  <c r="E50" i="99"/>
  <c r="E49" i="99"/>
  <c r="H43" i="99"/>
  <c r="E87" i="99"/>
  <c r="J43" i="99"/>
  <c r="G29" i="104"/>
  <c r="G31" i="104"/>
  <c r="G32" i="104"/>
  <c r="G32" i="105"/>
  <c r="G29" i="105"/>
  <c r="G31" i="105"/>
  <c r="E31" i="105"/>
  <c r="E32" i="105"/>
  <c r="E29" i="105"/>
  <c r="G36" i="114"/>
  <c r="O36" i="114" s="1"/>
  <c r="G31" i="114"/>
  <c r="O31" i="114" s="1"/>
  <c r="E32" i="41"/>
  <c r="E31" i="41"/>
  <c r="E29" i="41"/>
  <c r="G56" i="99"/>
  <c r="G80" i="99" s="1"/>
  <c r="E60" i="114" s="1"/>
  <c r="M60" i="114" s="1"/>
  <c r="G57" i="99"/>
  <c r="G81" i="99" s="1"/>
  <c r="G91" i="99"/>
  <c r="G33" i="105" l="1"/>
  <c r="G38" i="105" s="1"/>
  <c r="G66" i="105" s="1"/>
  <c r="E33" i="104"/>
  <c r="E38" i="104" s="1"/>
  <c r="E33" i="41"/>
  <c r="G33" i="104"/>
  <c r="G38" i="104" s="1"/>
  <c r="G66" i="104" s="1"/>
  <c r="G33" i="106"/>
  <c r="G38" i="106" s="1"/>
  <c r="G66" i="106" s="1"/>
  <c r="E33" i="106"/>
  <c r="E38" i="106" s="1"/>
  <c r="C39" i="106" s="1"/>
  <c r="G33" i="41"/>
  <c r="I36" i="99"/>
  <c r="H57" i="99"/>
  <c r="J57" i="99"/>
  <c r="E81" i="99"/>
  <c r="D55" i="114"/>
  <c r="L55" i="114" s="1"/>
  <c r="D60" i="114"/>
  <c r="L60" i="114" s="1"/>
  <c r="P60" i="114" s="1"/>
  <c r="G104" i="99"/>
  <c r="G55" i="99"/>
  <c r="E73" i="99"/>
  <c r="C31" i="114" s="1"/>
  <c r="K31" i="114" s="1"/>
  <c r="H49" i="99"/>
  <c r="E48" i="99"/>
  <c r="J49" i="99"/>
  <c r="D36" i="114"/>
  <c r="L36" i="114" s="1"/>
  <c r="H56" i="99"/>
  <c r="E80" i="99"/>
  <c r="E36" i="114" s="1"/>
  <c r="M36" i="114" s="1"/>
  <c r="J56" i="99"/>
  <c r="J50" i="99"/>
  <c r="H50" i="99"/>
  <c r="E55" i="99"/>
  <c r="E33" i="109"/>
  <c r="E38" i="109" s="1"/>
  <c r="E33" i="105"/>
  <c r="E38" i="105" s="1"/>
  <c r="D31" i="114"/>
  <c r="L31" i="114" s="1"/>
  <c r="H51" i="99"/>
  <c r="E75" i="99"/>
  <c r="J51" i="99"/>
  <c r="G33" i="109"/>
  <c r="G38" i="109" s="1"/>
  <c r="G66" i="109" s="1"/>
  <c r="G73" i="99"/>
  <c r="C55" i="114" s="1"/>
  <c r="K55" i="114" s="1"/>
  <c r="G48" i="99"/>
  <c r="C39" i="105" l="1"/>
  <c r="E38" i="41"/>
  <c r="P31" i="114"/>
  <c r="P36" i="114"/>
  <c r="P55" i="114"/>
  <c r="E66" i="104"/>
  <c r="C43" i="104" s="1"/>
  <c r="C39" i="104"/>
  <c r="C39" i="109"/>
  <c r="G38" i="41"/>
  <c r="E66" i="106"/>
  <c r="C43" i="106" s="1"/>
  <c r="E97" i="99"/>
  <c r="E66" i="105"/>
  <c r="C43" i="105" s="1"/>
  <c r="H55" i="99"/>
  <c r="I55" i="99" s="1"/>
  <c r="J55" i="99"/>
  <c r="H60" i="114"/>
  <c r="E104" i="99"/>
  <c r="J48" i="99"/>
  <c r="H48" i="99"/>
  <c r="I48" i="99" s="1"/>
  <c r="E66" i="109"/>
  <c r="C43" i="109" s="1"/>
  <c r="G97" i="99"/>
  <c r="H55" i="114"/>
  <c r="H36" i="114"/>
  <c r="H31" i="114"/>
  <c r="C39" i="41" l="1"/>
  <c r="E66" i="41"/>
  <c r="G66" i="41"/>
  <c r="I57" i="99"/>
  <c r="I56" i="99"/>
  <c r="I50" i="99"/>
  <c r="I51" i="99"/>
  <c r="I49" i="99"/>
  <c r="B29" i="115"/>
  <c r="D29" i="115"/>
  <c r="D33" i="115"/>
  <c r="B33" i="115"/>
  <c r="B51" i="115"/>
  <c r="D51" i="115"/>
  <c r="B55" i="115"/>
  <c r="D55" i="115"/>
  <c r="C43" i="41" l="1"/>
  <c r="D50" i="115"/>
  <c r="D54" i="115"/>
  <c r="D32" i="115"/>
  <c r="D28" i="115"/>
  <c r="E50" i="115" l="1"/>
  <c r="G50" i="115" s="1"/>
  <c r="E28" i="115"/>
  <c r="G28" i="115" s="1"/>
  <c r="G51" i="115" l="1"/>
  <c r="G29" i="115"/>
</calcChain>
</file>

<file path=xl/sharedStrings.xml><?xml version="1.0" encoding="utf-8"?>
<sst xmlns="http://schemas.openxmlformats.org/spreadsheetml/2006/main" count="831" uniqueCount="327">
  <si>
    <t xml:space="preserve"> PREMISSAS</t>
  </si>
  <si>
    <t>1. Alíquotas de Tributos (%)</t>
  </si>
  <si>
    <t>IRPJ</t>
  </si>
  <si>
    <t>CSLL</t>
  </si>
  <si>
    <t>ICMS</t>
  </si>
  <si>
    <t xml:space="preserve">PIS </t>
  </si>
  <si>
    <t>COFINS</t>
  </si>
  <si>
    <t>Outros Tributos Aplicáveis</t>
  </si>
  <si>
    <t>Benefício fiscal para Prejuízo Acumulado</t>
  </si>
  <si>
    <t>2. Depreciação dos Ativos</t>
  </si>
  <si>
    <t xml:space="preserve"> Investimento</t>
  </si>
  <si>
    <t>Método de Depreciação Contábil - Depreciação Linear</t>
  </si>
  <si>
    <t xml:space="preserve">Taxa de Depreciação </t>
  </si>
  <si>
    <t>%</t>
  </si>
  <si>
    <t>1. Tubulações</t>
  </si>
  <si>
    <t>1.1 Linha Tronco</t>
  </si>
  <si>
    <t>1.2 Trecho(s)/Ramal(is)</t>
  </si>
  <si>
    <t>2. Componentes</t>
  </si>
  <si>
    <r>
      <t xml:space="preserve">2.1 Lançadores e Recebedores de </t>
    </r>
    <r>
      <rPr>
        <i/>
        <sz val="10"/>
        <rFont val="Calibri"/>
        <family val="2"/>
        <scheme val="minor"/>
      </rPr>
      <t>Pigs</t>
    </r>
    <r>
      <rPr>
        <sz val="10"/>
        <rFont val="Calibri"/>
        <family val="2"/>
        <scheme val="minor"/>
      </rPr>
      <t xml:space="preserve"> e Esferas </t>
    </r>
  </si>
  <si>
    <t>2.2 Válvulas</t>
  </si>
  <si>
    <t>2.3 Sistema de Proteção Catódica e Demais Equipamentos de Controle de Corrosão</t>
  </si>
  <si>
    <t>2.4 Sistemas de Comunicação e de Supervisão e Controle</t>
  </si>
  <si>
    <t>2.5 Outros Componentes</t>
  </si>
  <si>
    <t>3. Complementos</t>
  </si>
  <si>
    <t xml:space="preserve">3.1 Estação(ões) de Recebimento </t>
  </si>
  <si>
    <t>3.2 Estação(ões) de Entrega</t>
  </si>
  <si>
    <t>3.3 Estação(ões) de Interconexão</t>
  </si>
  <si>
    <t>3.4 Estação(ões) de Compressão</t>
  </si>
  <si>
    <t>3.5 Estação(ões) de Medição</t>
  </si>
  <si>
    <t>3.6 Estação(ões) de Regulagem de Pressão</t>
  </si>
  <si>
    <t>3.7 Sistema Elétrico</t>
  </si>
  <si>
    <t>3.8 Sistemas Auxiliares</t>
  </si>
  <si>
    <t>6. Outros Bens e Instalações Diretamente Vinculados</t>
  </si>
  <si>
    <t>6.1 Imóveis/Edificações/Terrenos e Benfeitorias</t>
  </si>
  <si>
    <t>6.2 Móveis, Equipamentos e Instalações de Escritório</t>
  </si>
  <si>
    <t>6.3 Equipamentos e Instalações de Processamento de Dados e de Comunicação</t>
  </si>
  <si>
    <t>6.4 Veículos</t>
  </si>
  <si>
    <t>6.5 Outros Bens Imobilizados</t>
  </si>
  <si>
    <t>8 Overhaul</t>
  </si>
  <si>
    <t>TOTAL</t>
  </si>
  <si>
    <t>3. Custo de Capital Próprio, Custo de Capital de Terceiros e Custo Médio Ponderado de Capital</t>
  </si>
  <si>
    <t>WACC 1</t>
  </si>
  <si>
    <t>Total da Dívida/Capital Total [D/(D+E)]</t>
  </si>
  <si>
    <t>Capital Próprio/Capital Total [E/(D+E)]</t>
  </si>
  <si>
    <t>Custo Médio Ponderado de Capital, em termos reais (% a.a.)</t>
  </si>
  <si>
    <t>BRA</t>
  </si>
  <si>
    <t>4. Outros</t>
  </si>
  <si>
    <r>
      <t>Poder Calorífico de Referência (kcal/m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)</t>
    </r>
  </si>
  <si>
    <t>Fator de conversão (MMBtu/m³)</t>
  </si>
  <si>
    <t>Duração do Ano (dias)</t>
  </si>
  <si>
    <t>Dias Operacionais (dias)</t>
  </si>
  <si>
    <t>TJLP (a.a.)</t>
  </si>
  <si>
    <t>Taxa de Inflação EUA (a.a.)</t>
  </si>
  <si>
    <t>Taxa de Inflação Brasil (a.a.)</t>
  </si>
  <si>
    <t>Outras premissas relevantes</t>
  </si>
  <si>
    <t>% O&amp;M Variável</t>
  </si>
  <si>
    <t>5. Custos de O&amp;M e Despesas G&amp;A</t>
  </si>
  <si>
    <t>Salários e Benefícios</t>
  </si>
  <si>
    <t>Manutenção e Operação de Compressores</t>
  </si>
  <si>
    <t>Manutenção do Sistema de Proteção Catódica</t>
  </si>
  <si>
    <t>Outras Manutenções</t>
  </si>
  <si>
    <t>Conservação e Manutenção da Faixa de Servidão do Duto</t>
  </si>
  <si>
    <t>Combustíveis e Lubrificantes</t>
  </si>
  <si>
    <t>Gás de Uso no Sistema / Energia Elétrica para Acionamento dos Compressores</t>
  </si>
  <si>
    <t>Serviços de Utilidade Pública (Energia Elétrica, Água e Esgoto etc.) e Comunicação</t>
  </si>
  <si>
    <t>Aluguéis e Seguros</t>
  </si>
  <si>
    <t>Aquisição e Passagem de Pigs de Limpeza e Instrumentados</t>
  </si>
  <si>
    <t>Outros Custos e Despesas</t>
  </si>
  <si>
    <t>Despesas Gerais e Administrativas (G&amp;A) Atribuíveis ao Empreendimento</t>
  </si>
  <si>
    <t>2020</t>
  </si>
  <si>
    <t>2025</t>
  </si>
  <si>
    <t>2026</t>
  </si>
  <si>
    <t>2027</t>
  </si>
  <si>
    <t>2028</t>
  </si>
  <si>
    <t>2029</t>
  </si>
  <si>
    <t>Demanda novos Contratos - Entrada</t>
  </si>
  <si>
    <t>Demanda novos Contratos - Saída</t>
  </si>
  <si>
    <t>Total</t>
  </si>
  <si>
    <t>Média</t>
  </si>
  <si>
    <t>Capacidade Contratada de Transporte Total (mil m3/ano)</t>
  </si>
  <si>
    <t>Capacidade Contratada de Transporte Total (MMBtu/ano)</t>
  </si>
  <si>
    <t>Duração Ano (dias)</t>
  </si>
  <si>
    <t>Quadro Resumo</t>
  </si>
  <si>
    <t>Incerteza de Custos</t>
  </si>
  <si>
    <t xml:space="preserve">Vida Útil </t>
  </si>
  <si>
    <t>CUSTOS DE O&amp;M E DESPESAS DE G&amp;A</t>
  </si>
  <si>
    <t>Custos  de Operação e Manutenção e</t>
  </si>
  <si>
    <t xml:space="preserve">2025 </t>
  </si>
  <si>
    <t xml:space="preserve">2026 </t>
  </si>
  <si>
    <t xml:space="preserve">2027 </t>
  </si>
  <si>
    <t xml:space="preserve">2028 </t>
  </si>
  <si>
    <t xml:space="preserve">2029 </t>
  </si>
  <si>
    <t xml:space="preserve">2030 </t>
  </si>
  <si>
    <t>Despesas Gerais e Administrativas em termos reais (R$ mil)</t>
  </si>
  <si>
    <t>1. Salários e Benefícios</t>
  </si>
  <si>
    <t>2. Manutenção e Operação de Compressores</t>
  </si>
  <si>
    <t>3. Manutenção do Sistema de Proteção Catódica</t>
  </si>
  <si>
    <t>4. Outras Manutenções</t>
  </si>
  <si>
    <t>5. Conservação e Manutenção da Faixa de Servidão do Duto</t>
  </si>
  <si>
    <t>6. Combustíveis e Lubrificantes</t>
  </si>
  <si>
    <t>7. Gás de Uso no Sistema / Energia Elétrica para Acionamento dos Compressores</t>
  </si>
  <si>
    <t>8. Serviços de Utilidade Pública (Energia Elétrica, Água e Esgoto etc.) e Comunicação</t>
  </si>
  <si>
    <t>9. Aluguéis e Seguros</t>
  </si>
  <si>
    <r>
      <t xml:space="preserve">10. Aquisição e Passagem de </t>
    </r>
    <r>
      <rPr>
        <b/>
        <i/>
        <sz val="10"/>
        <color indexed="8"/>
        <rFont val="Calibri"/>
        <family val="2"/>
        <scheme val="minor"/>
      </rPr>
      <t>Pigs</t>
    </r>
    <r>
      <rPr>
        <b/>
        <sz val="10"/>
        <color indexed="8"/>
        <rFont val="Calibri"/>
        <family val="2"/>
        <scheme val="minor"/>
      </rPr>
      <t xml:space="preserve"> de Limpeza e Instrumentados</t>
    </r>
  </si>
  <si>
    <t>11. Outros Custos e Despesas</t>
  </si>
  <si>
    <t xml:space="preserve">12. Despesas Gerais e Administrativas (G&amp;A) </t>
  </si>
  <si>
    <t>G&amp;A</t>
  </si>
  <si>
    <t>O&amp;M</t>
  </si>
  <si>
    <t>O&amp;M Pessoal</t>
  </si>
  <si>
    <t>O&amp;M Gerenciavel</t>
  </si>
  <si>
    <t>G&amp;A Pessoal</t>
  </si>
  <si>
    <t>G&amp;A Gerenciavel</t>
  </si>
  <si>
    <t xml:space="preserve"> CUSTOS DE O&amp;M E DESPESAS DE G&amp;A (INCERTEZA)</t>
  </si>
  <si>
    <t>Despesas Gerais e Administrativas (R$ mil)</t>
  </si>
  <si>
    <t>12. Despesas Gerais e Administrativas (G&amp;A) Atribuíveis ao Empreendimento</t>
  </si>
  <si>
    <t>CÁLCULO TARIFÁRIO</t>
  </si>
  <si>
    <t>Fluxo de Caixa Livre da Chamada Pública (em R$ mil)</t>
  </si>
  <si>
    <t>Receita Bruta da Prestação de Serviço de Transporte</t>
  </si>
  <si>
    <t>(-) ICMS</t>
  </si>
  <si>
    <t xml:space="preserve">(-) PIS </t>
  </si>
  <si>
    <t>(-) COFINS</t>
  </si>
  <si>
    <t>(-) Demais Impostos e Contribuições sobre a Prestação de Serviço de Transporte</t>
  </si>
  <si>
    <t>(-) Deduções e Abatimentos</t>
  </si>
  <si>
    <t>Receita Operacional Líquida</t>
  </si>
  <si>
    <t>(-) Salários e Benefícios</t>
  </si>
  <si>
    <t>(-) Manutenção e Operação de Compressores</t>
  </si>
  <si>
    <t>(-) Manutenção do Sistema de Proteção Catódica</t>
  </si>
  <si>
    <t>(-) Outras Manutenções</t>
  </si>
  <si>
    <t>(-) Conservação e Manutenção da Faixa de Servidão do Duto</t>
  </si>
  <si>
    <t>(-) Combustíveis e Lubrificantes</t>
  </si>
  <si>
    <t>(-) Gás de Uso no Sistema / Energia Elétrica para Acionamento dos Compressores</t>
  </si>
  <si>
    <t>(-) Serviços de Utilidade Pública (Energia Elétrica, Água e Esgoto etc.) e Comunicação</t>
  </si>
  <si>
    <t>(-) Aluguéis e Seguros</t>
  </si>
  <si>
    <t>(-) Aquisição e Passagem de Pigs de Limpeza e Instrumentados</t>
  </si>
  <si>
    <t>(-) Outros Custos e Despesas</t>
  </si>
  <si>
    <t>(-) Despesas Gerais e Administrativas (G&amp;A) Atribuíveis ao Empreendimento</t>
  </si>
  <si>
    <r>
      <t>EBITDA</t>
    </r>
    <r>
      <rPr>
        <b/>
        <vertAlign val="superscript"/>
        <sz val="10"/>
        <color theme="1"/>
        <rFont val="Calibri"/>
        <family val="2"/>
        <scheme val="minor"/>
      </rPr>
      <t>a</t>
    </r>
  </si>
  <si>
    <t>(-) Depreciação e Amortização Fiscal</t>
  </si>
  <si>
    <t>(+) Crédito PIS/COFINS (O&amp;M e Conservação e Manutenção da Faixa de Servidão)</t>
  </si>
  <si>
    <t>Lucro Antes de IRPJ e CSLL</t>
  </si>
  <si>
    <t>Prejuízos Acumulados</t>
  </si>
  <si>
    <t/>
  </si>
  <si>
    <t>Benefício Fiscal decorrente de Prejuízos Acumulados</t>
  </si>
  <si>
    <t>(-) IRPJ</t>
  </si>
  <si>
    <t>(-) CSLL</t>
  </si>
  <si>
    <t>Lucro (Prejuízo) após IRPJ/CSLL (1)</t>
  </si>
  <si>
    <t>Investimentos (2)</t>
  </si>
  <si>
    <t>Depreciação ou Amortização Contábil (3)</t>
  </si>
  <si>
    <t>Valor Residual (4)</t>
  </si>
  <si>
    <t>Variação da Necessidade Líquida de Capital de Giro (5)</t>
  </si>
  <si>
    <t>Fluxo de Caixa Livre da Firma = (1) - (2) + (3) + (4) - (5)</t>
  </si>
  <si>
    <t>Valor Presente Líquido do Fluxo de Caixa Livre da Firma</t>
  </si>
  <si>
    <t>Tarifa de Transporte Máxima</t>
  </si>
  <si>
    <r>
      <t>R$/Mil m</t>
    </r>
    <r>
      <rPr>
        <b/>
        <vertAlign val="superscript"/>
        <sz val="10"/>
        <color theme="0"/>
        <rFont val="Calibri"/>
        <family val="2"/>
        <scheme val="minor"/>
      </rPr>
      <t>3</t>
    </r>
  </si>
  <si>
    <t>R$/Mil m3/km</t>
  </si>
  <si>
    <t>R$/MMBtu</t>
  </si>
  <si>
    <t>US$/MMBtu</t>
  </si>
  <si>
    <t>Taxa de Desconto do Fluxo de Caixa Livre da Firma</t>
  </si>
  <si>
    <t>Taxa Interna de Retorno (a.a.) - WACC 1</t>
  </si>
  <si>
    <r>
      <rPr>
        <b/>
        <sz val="8"/>
        <rFont val="Calibri"/>
        <family val="2"/>
        <scheme val="minor"/>
      </rPr>
      <t xml:space="preserve">Nota: </t>
    </r>
    <r>
      <rPr>
        <sz val="8"/>
        <rFont val="Calibri"/>
        <family val="2"/>
        <scheme val="minor"/>
      </rPr>
      <t>a) EBITDA = Earnings before interest, taxes, depreciation, and amortization.</t>
    </r>
  </si>
  <si>
    <t>Dados :</t>
  </si>
  <si>
    <t>Capacidade Contratada de Transporte Total (mil m3/dia)</t>
  </si>
  <si>
    <t>Coluna1</t>
  </si>
  <si>
    <t>% Entrada</t>
  </si>
  <si>
    <t>% Saída</t>
  </si>
  <si>
    <t>BRA + FC</t>
  </si>
  <si>
    <t>CÁLCULO TARIFÁRIO - Tarifas de Entrada e Saída</t>
  </si>
  <si>
    <t>CÁLCULO TARIFÁRIO - Encargo de Capacidade de Transporte - Linepack</t>
  </si>
  <si>
    <r>
      <t>EBITDA</t>
    </r>
    <r>
      <rPr>
        <b/>
        <vertAlign val="superscript"/>
        <sz val="10"/>
        <rFont val="Calibri"/>
        <family val="2"/>
        <scheme val="minor"/>
      </rPr>
      <t>a</t>
    </r>
  </si>
  <si>
    <r>
      <t>R$/Mil m</t>
    </r>
    <r>
      <rPr>
        <vertAlign val="superscript"/>
        <sz val="10"/>
        <rFont val="Calibri"/>
        <family val="2"/>
        <scheme val="minor"/>
      </rPr>
      <t>3</t>
    </r>
  </si>
  <si>
    <t>CÁLCULO TARIFÁRIO - Encargo de Movimentação</t>
  </si>
  <si>
    <t>CÁLCULO TARIFÁRIO - Encargo de Capacidade de Transporte</t>
  </si>
  <si>
    <t>CAPACIDADE - Cenário de Capacidade  (C)</t>
  </si>
  <si>
    <t>Capacidade de Entrada  (CE)</t>
  </si>
  <si>
    <t>Capacidade em mil m3/dia - Entrada</t>
  </si>
  <si>
    <t>Capacidade de Saída (CX)</t>
  </si>
  <si>
    <t>Capacidade em mil m3/dia - Saída</t>
  </si>
  <si>
    <t>Capacidade em mil m3/ano - Entrada</t>
  </si>
  <si>
    <t>Capacidade em mil m3/ano - Saída</t>
  </si>
  <si>
    <t>Capacidade em MMBtu/ano - Entrada</t>
  </si>
  <si>
    <t>Capacidade em MMBtu/ano - Saída</t>
  </si>
  <si>
    <t>1 MMBtu = 26,8 m3</t>
  </si>
  <si>
    <t>1 m3 = 1/26,8 MMBtu</t>
  </si>
  <si>
    <t>1 m3 =</t>
  </si>
  <si>
    <t>1000 m3 =</t>
  </si>
  <si>
    <t>1 MM m3 =</t>
  </si>
  <si>
    <t>DIAS/ANO</t>
  </si>
  <si>
    <t>Dias/Ano</t>
  </si>
  <si>
    <t>DEMANDA - Cenário de Referência (BC)</t>
  </si>
  <si>
    <t>DEMANDA - Cenário de Referência (BC) APÓS 2a MI</t>
  </si>
  <si>
    <t>Estimativa de Reserva de Capacidade de Entrada  (BCE)</t>
  </si>
  <si>
    <t>Demanda em mil m3/dia - Entrada</t>
  </si>
  <si>
    <t>Estimativa de Reserva de Capacidade de Saída (BCX)</t>
  </si>
  <si>
    <t>Demanda em mil m3/dia - Saída</t>
  </si>
  <si>
    <r>
      <t>Estimativa de Reserva de Capacidade de Entrada  (BC</t>
    </r>
    <r>
      <rPr>
        <vertAlign val="subscript"/>
        <sz val="10"/>
        <rFont val="Calibri"/>
        <family val="2"/>
        <scheme val="minor"/>
      </rPr>
      <t>E</t>
    </r>
    <r>
      <rPr>
        <sz val="10"/>
        <rFont val="Calibri"/>
        <family val="2"/>
        <scheme val="minor"/>
      </rPr>
      <t>)</t>
    </r>
  </si>
  <si>
    <t>Demanda em mil m3/ano - Entrada</t>
  </si>
  <si>
    <r>
      <t>Estimativa de Reserva de Capacidade de Saída (BC</t>
    </r>
    <r>
      <rPr>
        <vertAlign val="subscript"/>
        <sz val="10"/>
        <rFont val="Calibri"/>
        <family val="2"/>
        <scheme val="minor"/>
      </rPr>
      <t>X</t>
    </r>
    <r>
      <rPr>
        <sz val="10"/>
        <rFont val="Calibri"/>
        <family val="2"/>
        <scheme val="minor"/>
      </rPr>
      <t>)</t>
    </r>
  </si>
  <si>
    <t>Demanda em mil m3/ano - Saída</t>
  </si>
  <si>
    <t>Demanda em MMBtu/ano - Entrada</t>
  </si>
  <si>
    <t>Demanda em MMBtu/ano - Saída</t>
  </si>
  <si>
    <r>
      <t>PROPORÇÃO DE ENTRADA (P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>)</t>
    </r>
  </si>
  <si>
    <r>
      <t>PROPORÇÃO DE SAÍDA (P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>)</t>
    </r>
  </si>
  <si>
    <r>
      <t>PROPORÇÃO VOLUME x DISTÂNCIA - GASCAR (AD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- Gascar)</t>
    </r>
  </si>
  <si>
    <r>
      <t>PROPORÇÃO VOLUME x DISTÂNCIA - EMED XXX (AD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- EMED XXX)</t>
    </r>
  </si>
  <si>
    <r>
      <t>DISTÂNCIAS (D</t>
    </r>
    <r>
      <rPr>
        <b/>
        <vertAlign val="subscript"/>
        <sz val="10"/>
        <color theme="1"/>
        <rFont val="Calibri"/>
        <family val="2"/>
        <scheme val="minor"/>
      </rPr>
      <t>EX</t>
    </r>
    <r>
      <rPr>
        <b/>
        <sz val="10"/>
        <color theme="1"/>
        <rFont val="Calibri"/>
        <family val="2"/>
        <scheme val="minor"/>
      </rPr>
      <t>)</t>
    </r>
  </si>
  <si>
    <t>Matriz de Distância</t>
  </si>
  <si>
    <t>Distâncias médias em Km</t>
  </si>
  <si>
    <r>
      <t>Distância média ponderada pela capacidade - PROPORÇÃO VOLUME x DISTÂNCIA - TOTAL (AD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>)</t>
    </r>
  </si>
  <si>
    <r>
      <t>Distância média ponderada pela capacidade - PROPORÇÃO VOLUME x DISTÂNCIA - TOTAL (AD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>)</t>
    </r>
  </si>
  <si>
    <r>
      <t>RESERVA DE CAPACIDADE x Distância média ponderada pela capacidade - ENTRADA (W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= BC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x AD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>)</t>
    </r>
  </si>
  <si>
    <r>
      <t>RESERVA DE CAPACIDADE x Distância média ponderada pela capacidade - SAÍDA (W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 xml:space="preserve"> = BC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 xml:space="preserve"> x AD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>)</t>
    </r>
  </si>
  <si>
    <t>RECEITA ANUAL (R$ mil) - R (FC E-S)</t>
  </si>
  <si>
    <r>
      <t>ENTRADA (R</t>
    </r>
    <r>
      <rPr>
        <vertAlign val="subscript"/>
        <sz val="10"/>
        <color theme="1"/>
        <rFont val="Calibri"/>
        <family val="2"/>
        <scheme val="minor"/>
      </rPr>
      <t>E</t>
    </r>
    <r>
      <rPr>
        <sz val="10"/>
        <color theme="1"/>
        <rFont val="Calibri"/>
        <family val="2"/>
        <scheme val="minor"/>
      </rPr>
      <t>)</t>
    </r>
  </si>
  <si>
    <r>
      <t>SAÍDA (R</t>
    </r>
    <r>
      <rPr>
        <vertAlign val="subscript"/>
        <sz val="10"/>
        <color theme="1"/>
        <rFont val="Calibri"/>
        <family val="2"/>
        <scheme val="minor"/>
      </rPr>
      <t>X</t>
    </r>
    <r>
      <rPr>
        <sz val="10"/>
        <color theme="1"/>
        <rFont val="Calibri"/>
        <family val="2"/>
        <scheme val="minor"/>
      </rPr>
      <t>)</t>
    </r>
  </si>
  <si>
    <r>
      <t>ALOCAÇÃO DA RECEITA ENTRADA (R$ mil) - (R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= W x R)</t>
    </r>
  </si>
  <si>
    <r>
      <t>ALOCAÇÃO DA RECEITA SAÍDA (R$ mil) - (R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 xml:space="preserve"> = W x R)</t>
    </r>
  </si>
  <si>
    <t>Entrada</t>
  </si>
  <si>
    <t>% Postal</t>
  </si>
  <si>
    <t>% CWD</t>
  </si>
  <si>
    <t>Saída</t>
  </si>
  <si>
    <t>PARCELA CWD</t>
  </si>
  <si>
    <r>
      <t>TARIFA ECE (em R$/MMBtu) - (T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= R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/ BC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>)</t>
    </r>
  </si>
  <si>
    <t>em R$/MMBtu</t>
  </si>
  <si>
    <r>
      <t>TARIFA ECS (em R$/MMBtu) - (T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 xml:space="preserve"> = R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 xml:space="preserve"> / BC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>)</t>
    </r>
  </si>
  <si>
    <t>em R$/mil m3</t>
  </si>
  <si>
    <t>PARCELA POSTAL</t>
  </si>
  <si>
    <r>
      <t>TARIFA ECT ENTRADA (em R$/MMBtu) - (T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= R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/ BC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>)</t>
    </r>
  </si>
  <si>
    <t>ECT - Entrada</t>
  </si>
  <si>
    <t>em R$ mil</t>
  </si>
  <si>
    <r>
      <t>TARIFA ECT SAÍDA (em R$/MMBtu) - (T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= R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/ BC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>)</t>
    </r>
  </si>
  <si>
    <t>ECT - Saída</t>
  </si>
  <si>
    <r>
      <t>TARIFA (em R$/MMBtu) - (T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>) - ECE + ECT + ECS</t>
    </r>
  </si>
  <si>
    <r>
      <t>TARIFA (em R$/MMBtu) - (T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>) - ECE + ECT + ECS</t>
    </r>
  </si>
  <si>
    <t>ENCARGO DE CAPACIDADE DE TRANSPORTE LINEPACK - ECEmp</t>
  </si>
  <si>
    <t xml:space="preserve">RECEITA ANUAL CAPACIDADE DE TRANSPORTE - LINEPACK (R$ mil) </t>
  </si>
  <si>
    <t>ECT - LINEPACK</t>
  </si>
  <si>
    <t>ENCARGO DE MOVIMENTAÇÃO - EM</t>
  </si>
  <si>
    <t xml:space="preserve">RECEITA ANUAL CUSTO VARIÁVEL (R$ mil) </t>
  </si>
  <si>
    <t>ENCARGO DE MOVIMENTAÇÃO</t>
  </si>
  <si>
    <r>
      <t>TARIFA ENTRADA (em R$/MMBtu) - (T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>)</t>
    </r>
  </si>
  <si>
    <t>ECE</t>
  </si>
  <si>
    <t>ECT</t>
  </si>
  <si>
    <t>ECS</t>
  </si>
  <si>
    <t>ECEmp</t>
  </si>
  <si>
    <t>EM</t>
  </si>
  <si>
    <r>
      <t>TARIFA SAÍDA (em R$/MMBtu) - (T</t>
    </r>
    <r>
      <rPr>
        <b/>
        <vertAlign val="subscript"/>
        <sz val="10"/>
        <color theme="1"/>
        <rFont val="Calibri"/>
        <family val="2"/>
        <scheme val="minor"/>
      </rPr>
      <t>X</t>
    </r>
    <r>
      <rPr>
        <b/>
        <sz val="10"/>
        <color theme="1"/>
        <rFont val="Calibri"/>
        <family val="2"/>
        <scheme val="minor"/>
      </rPr>
      <t>)</t>
    </r>
  </si>
  <si>
    <t>Teste Receita</t>
  </si>
  <si>
    <t>Volume</t>
  </si>
  <si>
    <t>Receita Aferida</t>
  </si>
  <si>
    <t>Soma E-S</t>
  </si>
  <si>
    <t>Receita Permitida</t>
  </si>
  <si>
    <t>Check</t>
  </si>
  <si>
    <t xml:space="preserve">RECEITA ANUAL MÁXIMA </t>
  </si>
  <si>
    <t>check</t>
  </si>
  <si>
    <t>2011 (base)</t>
  </si>
  <si>
    <t xml:space="preserve">INVESTIMENTOS em Termos Reais </t>
  </si>
  <si>
    <t>Data</t>
  </si>
  <si>
    <t xml:space="preserve">Preços - IGP-M - (% a.a.) - Fundação Getulio Vargas, Conjuntura Econômica - IGP (FGV/Conj. Econ. - IGP) - IGP_IGPMG - 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</si>
  <si>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</si>
  <si>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</si>
  <si>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</si>
  <si>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</si>
  <si>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</si>
  <si>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</si>
  <si>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</si>
  <si>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</si>
  <si>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</si>
  <si>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</si>
  <si>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</si>
  <si>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</si>
  <si>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</si>
  <si>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</si>
  <si>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</si>
  <si>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</si>
  <si>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</si>
  <si>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</si>
  <si>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</si>
  <si>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</si>
  <si>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</si>
  <si>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</si>
  <si>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</si>
  <si>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</si>
  <si>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</si>
  <si>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</si>
  <si>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</si>
  <si>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</si>
  <si>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</si>
  <si>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</si>
  <si>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confirmar que não tem custo OM Variavel</t>
  </si>
  <si>
    <t>1. Ativo Original</t>
  </si>
  <si>
    <t>DEPRECIAÇÃO (*)</t>
  </si>
  <si>
    <t>(*) Considera o prazo de 30 anos sendo o ano de entrada no Imobilizado em 2000, conforme Demonstrações TSB</t>
  </si>
  <si>
    <t>(-) Depreciação e Amortização Fiscal (Original)</t>
  </si>
  <si>
    <t>Recebimento de Canoas</t>
  </si>
  <si>
    <t>2. Linepack</t>
  </si>
  <si>
    <t>m3</t>
  </si>
  <si>
    <t>2022 (base)</t>
  </si>
  <si>
    <t>R$</t>
  </si>
  <si>
    <t>USD/MMBTU</t>
  </si>
  <si>
    <t>R$/USD</t>
  </si>
  <si>
    <r>
      <t>PROPORÇÃO VOLUME x DISTÂNCIA - RECEBIMENTO CANOAS (AD</t>
    </r>
    <r>
      <rPr>
        <b/>
        <vertAlign val="subscript"/>
        <sz val="10"/>
        <color theme="1"/>
        <rFont val="Calibri"/>
        <family val="2"/>
        <scheme val="minor"/>
      </rPr>
      <t>E</t>
    </r>
    <r>
      <rPr>
        <b/>
        <sz val="10"/>
        <color theme="1"/>
        <rFont val="Calibri"/>
        <family val="2"/>
        <scheme val="minor"/>
      </rPr>
      <t xml:space="preserve"> - CANOAS)</t>
    </r>
  </si>
  <si>
    <t>RESIDUAL LINEPACK</t>
  </si>
  <si>
    <t xml:space="preserve">Depreciação Ativo  Original </t>
  </si>
  <si>
    <t>Depreciaçao Fiscal</t>
  </si>
  <si>
    <t>RESIDUAL ATIVO</t>
  </si>
  <si>
    <t>Depreciação Deflacionada</t>
  </si>
  <si>
    <t>RESIDUAL Ativo Original</t>
  </si>
  <si>
    <t>Com Arredondamento de 4 casa decimais</t>
  </si>
  <si>
    <t>Receita Anual Máxima (em R$ mil)</t>
  </si>
  <si>
    <t>&gt; tarifa R$ Mil/m3 vigente</t>
  </si>
  <si>
    <t>&gt; tarifa R$ /MMBtu vigente</t>
  </si>
  <si>
    <t>&gt; tarifa R$ Mil/m3 com 800 de vol</t>
  </si>
  <si>
    <t>&gt; tarifa R$ MMBtu com 800 de vol</t>
  </si>
  <si>
    <t>VPL</t>
  </si>
  <si>
    <t>Quadro Resumo em Termos Reais (R$ mil/ano)</t>
  </si>
  <si>
    <t xml:space="preserve"> Salários e Benefícios (O&amp;M + G&amp;A)</t>
  </si>
  <si>
    <t>Despesas Gerais e Administrativas (G&amp;A)</t>
  </si>
  <si>
    <t>Custos  de Operação e Manutenção (O&amp;M)</t>
  </si>
  <si>
    <t>Total Custeio</t>
  </si>
  <si>
    <t>PS Triunfo</t>
  </si>
  <si>
    <t>Residual Ativo</t>
  </si>
  <si>
    <t>IGPM Acumulado (2012 a 2023)</t>
  </si>
  <si>
    <t>Ativo a preços de Dez/23</t>
  </si>
  <si>
    <t>(*) Estimativas extraídas do Focus Bacen dado de 28/08/2023</t>
  </si>
  <si>
    <t>*Preços de dez/2023 (IGP-m de 2023 estimado)</t>
  </si>
  <si>
    <t>Taxa de câmbio  R$/US$ (Boletim Focus BC em 28/08/2023)</t>
  </si>
  <si>
    <t>Ponto de Saída Triunfo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</si>
</sst>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_);[Red]\(0\)"/>
    <numFmt numFmtId="167" formatCode="_(* #,##0_);_(* \(#,##0\);_(* &quot;-&quot;??_);_(@_)"/>
    <numFmt numFmtId="168" formatCode="_(* #,##0.0000_);_(* \(#,##0.0000\);_(* &quot;-&quot;??_);_(@_)"/>
    <numFmt numFmtId="169" formatCode="0.0000"/>
    <numFmt numFmtId="170" formatCode="#,##0.0000"/>
    <numFmt numFmtId="171" formatCode="0.0000_);[Red]\(0.0000\)"/>
    <numFmt numFmtId="172" formatCode="0.000000"/>
    <numFmt numFmtId="173" formatCode="#,##0.00000"/>
    <numFmt numFmtId="174" formatCode="#,##0_ ;\-#,##0\ "/>
    <numFmt numFmtId="175" formatCode="_(* #,##0.000_);_(* \(#,##0.000\);_(* &quot;-&quot;??_);_(@_)"/>
    <numFmt numFmtId="176" formatCode="_(* #,##0.0_);_(* \(#,##0.0\);_(* &quot;-&quot;??_);_(@_)"/>
    <numFmt numFmtId="177" formatCode="_-* #,##0_-;\-* #,##0_-;_-* &quot;-&quot;???_-;_-@_-"/>
    <numFmt numFmtId="178" formatCode="_(* #,##0.000000_);_(* \(#,##0.000000\);_(* &quot;-&quot;??_);_(@_)"/>
    <numFmt numFmtId="179" formatCode="_(* #,##0.0000000000_);_(* \(#,##0.0000000000\);_(* &quot;-&quot;??_);_(@_)"/>
    <numFmt numFmtId="180" formatCode="_(* #,##0.0000000_);_(* \(#,##0.0000000\);_(* &quot;-&quot;??_);_(@_)"/>
    <numFmt numFmtId="181" formatCode="_-[$R$-416]\ * #,##0.0000_-;\-[$R$-416]\ * #,##0.0000_-;_-[$R$-416]\ * &quot;-&quot;??_-;_-@_-"/>
    <numFmt numFmtId="182" formatCode="_(* #,##0.00000_);_(* \(#,##0.00000\);_(* &quot;-&quot;??_);_(@_)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u/>
      <sz val="8.5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vertAlign val="subscript"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u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0"/>
      <color rgb="FFFF00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theme="8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/>
        <bgColor theme="8" tint="0.59999389629810485"/>
      </patternFill>
    </fill>
    <fill>
      <patternFill patternType="solid">
        <fgColor rgb="FFFFC000"/>
        <bgColor theme="8" tint="0.79998168889431442"/>
      </patternFill>
    </fill>
    <fill>
      <patternFill patternType="solid">
        <fgColor rgb="FF92D050"/>
        <bgColor theme="8" tint="0.59999389629810485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theme="8" tint="0.59999389629810485"/>
      </patternFill>
    </fill>
    <fill>
      <patternFill patternType="solid">
        <fgColor rgb="FFFFFF00"/>
        <bgColor theme="8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theme="8" tint="0.59999389629810485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8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ck">
        <color theme="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rgb="FF000000"/>
      </left>
      <right/>
      <top style="thick">
        <color theme="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 style="thin">
        <color indexed="64"/>
      </left>
      <right/>
      <top style="thick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theme="0"/>
      </top>
      <bottom/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62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6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14" fillId="0" borderId="0"/>
    <xf numFmtId="43" fontId="14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14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0" fontId="2" fillId="13" borderId="24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54" fillId="0" borderId="0"/>
  </cellStyleXfs>
  <cellXfs count="450">
    <xf numFmtId="0" fontId="0" fillId="0" borderId="0" xfId="0"/>
    <xf numFmtId="0" fontId="6" fillId="2" borderId="0" xfId="0" applyFont="1" applyFill="1"/>
    <xf numFmtId="4" fontId="19" fillId="5" borderId="1" xfId="23" applyNumberFormat="1" applyFont="1" applyFill="1" applyBorder="1" applyAlignment="1">
      <alignment horizontal="center" vertical="center"/>
    </xf>
    <xf numFmtId="0" fontId="17" fillId="11" borderId="15" xfId="0" applyFont="1" applyFill="1" applyBorder="1" applyAlignment="1">
      <alignment horizontal="left" vertical="center"/>
    </xf>
    <xf numFmtId="0" fontId="17" fillId="11" borderId="18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174" fontId="19" fillId="0" borderId="0" xfId="23" applyNumberFormat="1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left" vertical="center"/>
    </xf>
    <xf numFmtId="174" fontId="19" fillId="8" borderId="0" xfId="23" applyNumberFormat="1" applyFont="1" applyFill="1" applyBorder="1" applyAlignment="1">
      <alignment horizontal="center" vertical="center"/>
    </xf>
    <xf numFmtId="0" fontId="18" fillId="2" borderId="0" xfId="0" applyFont="1" applyFill="1"/>
    <xf numFmtId="3" fontId="18" fillId="5" borderId="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174" fontId="19" fillId="8" borderId="3" xfId="23" applyNumberFormat="1" applyFont="1" applyFill="1" applyBorder="1" applyAlignment="1">
      <alignment horizontal="center" vertical="center"/>
    </xf>
    <xf numFmtId="174" fontId="21" fillId="8" borderId="3" xfId="23" applyNumberFormat="1" applyFont="1" applyFill="1" applyBorder="1" applyAlignment="1">
      <alignment horizontal="center" vertical="center"/>
    </xf>
    <xf numFmtId="174" fontId="21" fillId="8" borderId="14" xfId="23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9" fontId="21" fillId="0" borderId="0" xfId="16" applyFont="1" applyFill="1" applyBorder="1" applyAlignment="1">
      <alignment horizontal="center" vertical="center"/>
    </xf>
    <xf numFmtId="0" fontId="17" fillId="27" borderId="18" xfId="0" applyFont="1" applyFill="1" applyBorder="1" applyAlignment="1">
      <alignment horizontal="left" vertical="center"/>
    </xf>
    <xf numFmtId="0" fontId="22" fillId="26" borderId="18" xfId="0" applyFont="1" applyFill="1" applyBorder="1" applyAlignment="1">
      <alignment horizontal="left" vertical="center"/>
    </xf>
    <xf numFmtId="0" fontId="19" fillId="0" borderId="0" xfId="25" applyFont="1"/>
    <xf numFmtId="0" fontId="22" fillId="0" borderId="0" xfId="25" applyFont="1" applyAlignment="1">
      <alignment horizontal="left" vertical="center"/>
    </xf>
    <xf numFmtId="0" fontId="19" fillId="3" borderId="0" xfId="25" applyFont="1" applyFill="1"/>
    <xf numFmtId="0" fontId="17" fillId="10" borderId="18" xfId="0" applyFont="1" applyFill="1" applyBorder="1" applyAlignment="1">
      <alignment horizontal="left" vertical="center"/>
    </xf>
    <xf numFmtId="0" fontId="21" fillId="11" borderId="8" xfId="0" applyFont="1" applyFill="1" applyBorder="1" applyAlignment="1">
      <alignment horizontal="left" vertical="center"/>
    </xf>
    <xf numFmtId="9" fontId="19" fillId="8" borderId="1" xfId="16" applyFont="1" applyFill="1" applyBorder="1" applyAlignment="1">
      <alignment horizontal="center" vertical="center"/>
    </xf>
    <xf numFmtId="0" fontId="19" fillId="0" borderId="0" xfId="0" applyFont="1"/>
    <xf numFmtId="165" fontId="19" fillId="0" borderId="0" xfId="23" applyFont="1"/>
    <xf numFmtId="167" fontId="19" fillId="0" borderId="0" xfId="23" applyNumberFormat="1" applyFont="1"/>
    <xf numFmtId="0" fontId="30" fillId="5" borderId="0" xfId="5" applyFont="1" applyFill="1" applyBorder="1" applyAlignment="1" applyProtection="1">
      <alignment horizontal="center"/>
    </xf>
    <xf numFmtId="0" fontId="19" fillId="2" borderId="0" xfId="0" applyFont="1" applyFill="1"/>
    <xf numFmtId="0" fontId="31" fillId="3" borderId="0" xfId="5" applyFont="1" applyFill="1" applyBorder="1" applyAlignment="1" applyProtection="1">
      <alignment horizontal="center"/>
    </xf>
    <xf numFmtId="0" fontId="19" fillId="3" borderId="0" xfId="0" applyFont="1" applyFill="1"/>
    <xf numFmtId="0" fontId="25" fillId="2" borderId="2" xfId="0" applyFont="1" applyFill="1" applyBorder="1" applyAlignment="1">
      <alignment horizontal="center" vertical="center"/>
    </xf>
    <xf numFmtId="0" fontId="19" fillId="11" borderId="1" xfId="0" applyFont="1" applyFill="1" applyBorder="1"/>
    <xf numFmtId="10" fontId="19" fillId="3" borderId="0" xfId="0" applyNumberFormat="1" applyFont="1" applyFill="1"/>
    <xf numFmtId="10" fontId="19" fillId="5" borderId="1" xfId="8" applyNumberFormat="1" applyFont="1" applyFill="1" applyBorder="1" applyAlignment="1">
      <alignment horizontal="center" vertical="center"/>
    </xf>
    <xf numFmtId="166" fontId="25" fillId="2" borderId="0" xfId="0" applyNumberFormat="1" applyFont="1" applyFill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166" fontId="15" fillId="6" borderId="1" xfId="0" applyNumberFormat="1" applyFont="1" applyFill="1" applyBorder="1" applyAlignment="1">
      <alignment horizontal="center" vertical="center" wrapText="1"/>
    </xf>
    <xf numFmtId="171" fontId="25" fillId="2" borderId="0" xfId="0" applyNumberFormat="1" applyFont="1" applyFill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166" fontId="15" fillId="5" borderId="1" xfId="0" applyNumberFormat="1" applyFont="1" applyFill="1" applyBorder="1" applyAlignment="1">
      <alignment horizontal="center" vertical="center" wrapText="1"/>
    </xf>
    <xf numFmtId="9" fontId="22" fillId="2" borderId="0" xfId="16" applyFont="1" applyFill="1" applyAlignment="1">
      <alignment horizontal="center" vertical="center"/>
    </xf>
    <xf numFmtId="10" fontId="19" fillId="5" borderId="1" xfId="16" applyNumberFormat="1" applyFont="1" applyFill="1" applyBorder="1" applyAlignment="1">
      <alignment horizontal="center" vertical="center"/>
    </xf>
    <xf numFmtId="9" fontId="17" fillId="2" borderId="0" xfId="16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32" fillId="3" borderId="0" xfId="0" applyFont="1" applyFill="1" applyAlignment="1">
      <alignment vertical="center"/>
    </xf>
    <xf numFmtId="10" fontId="19" fillId="2" borderId="0" xfId="0" applyNumberFormat="1" applyFont="1" applyFill="1"/>
    <xf numFmtId="0" fontId="19" fillId="5" borderId="1" xfId="0" applyFont="1" applyFill="1" applyBorder="1"/>
    <xf numFmtId="10" fontId="19" fillId="5" borderId="6" xfId="16" applyNumberFormat="1" applyFont="1" applyFill="1" applyBorder="1" applyAlignment="1">
      <alignment horizontal="center" vertical="center"/>
    </xf>
    <xf numFmtId="10" fontId="19" fillId="5" borderId="6" xfId="0" applyNumberFormat="1" applyFont="1" applyFill="1" applyBorder="1" applyAlignment="1">
      <alignment horizontal="center" vertical="center"/>
    </xf>
    <xf numFmtId="10" fontId="19" fillId="3" borderId="0" xfId="0" applyNumberFormat="1" applyFont="1" applyFill="1" applyAlignment="1">
      <alignment horizontal="center" vertical="center"/>
    </xf>
    <xf numFmtId="174" fontId="19" fillId="3" borderId="0" xfId="0" applyNumberFormat="1" applyFont="1" applyFill="1"/>
    <xf numFmtId="0" fontId="22" fillId="11" borderId="16" xfId="0" applyFont="1" applyFill="1" applyBorder="1" applyAlignment="1">
      <alignment horizontal="center"/>
    </xf>
    <xf numFmtId="9" fontId="19" fillId="0" borderId="0" xfId="16" applyFont="1"/>
    <xf numFmtId="4" fontId="19" fillId="3" borderId="0" xfId="0" applyNumberFormat="1" applyFont="1" applyFill="1"/>
    <xf numFmtId="4" fontId="19" fillId="2" borderId="0" xfId="0" applyNumberFormat="1" applyFont="1" applyFill="1"/>
    <xf numFmtId="9" fontId="19" fillId="2" borderId="2" xfId="0" applyNumberFormat="1" applyFont="1" applyFill="1" applyBorder="1" applyAlignment="1">
      <alignment horizontal="center"/>
    </xf>
    <xf numFmtId="43" fontId="19" fillId="2" borderId="0" xfId="0" applyNumberFormat="1" applyFont="1" applyFill="1"/>
    <xf numFmtId="0" fontId="19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38" fontId="21" fillId="0" borderId="0" xfId="23" applyNumberFormat="1" applyFont="1" applyFill="1" applyBorder="1" applyAlignment="1" applyProtection="1">
      <alignment horizontal="left"/>
    </xf>
    <xf numFmtId="4" fontId="21" fillId="0" borderId="0" xfId="23" applyNumberFormat="1" applyFont="1" applyFill="1" applyBorder="1" applyAlignment="1" applyProtection="1">
      <alignment horizontal="center" vertical="center"/>
      <protection locked="0"/>
    </xf>
    <xf numFmtId="0" fontId="21" fillId="11" borderId="1" xfId="0" applyFont="1" applyFill="1" applyBorder="1" applyAlignment="1">
      <alignment horizontal="center"/>
    </xf>
    <xf numFmtId="0" fontId="19" fillId="11" borderId="6" xfId="0" applyFont="1" applyFill="1" applyBorder="1"/>
    <xf numFmtId="0" fontId="21" fillId="11" borderId="1" xfId="0" applyFont="1" applyFill="1" applyBorder="1"/>
    <xf numFmtId="0" fontId="19" fillId="11" borderId="16" xfId="0" applyFont="1" applyFill="1" applyBorder="1" applyAlignment="1">
      <alignment horizontal="center" vertical="center"/>
    </xf>
    <xf numFmtId="167" fontId="19" fillId="2" borderId="0" xfId="0" applyNumberFormat="1" applyFont="1" applyFill="1"/>
    <xf numFmtId="165" fontId="19" fillId="2" borderId="0" xfId="0" applyNumberFormat="1" applyFont="1" applyFill="1"/>
    <xf numFmtId="0" fontId="21" fillId="0" borderId="2" xfId="0" applyFont="1" applyBorder="1" applyAlignment="1">
      <alignment horizontal="center" vertical="center"/>
    </xf>
    <xf numFmtId="0" fontId="19" fillId="3" borderId="0" xfId="0" quotePrefix="1" applyFont="1" applyFill="1"/>
    <xf numFmtId="2" fontId="19" fillId="3" borderId="0" xfId="0" applyNumberFormat="1" applyFont="1" applyFill="1"/>
    <xf numFmtId="10" fontId="19" fillId="8" borderId="7" xfId="0" applyNumberFormat="1" applyFont="1" applyFill="1" applyBorder="1"/>
    <xf numFmtId="10" fontId="19" fillId="8" borderId="1" xfId="0" applyNumberFormat="1" applyFont="1" applyFill="1" applyBorder="1"/>
    <xf numFmtId="172" fontId="19" fillId="3" borderId="0" xfId="0" applyNumberFormat="1" applyFont="1" applyFill="1"/>
    <xf numFmtId="0" fontId="41" fillId="3" borderId="0" xfId="0" applyFont="1" applyFill="1"/>
    <xf numFmtId="0" fontId="19" fillId="11" borderId="6" xfId="0" applyFont="1" applyFill="1" applyBorder="1" applyAlignment="1">
      <alignment horizontal="center" vertical="center"/>
    </xf>
    <xf numFmtId="0" fontId="19" fillId="11" borderId="19" xfId="0" applyFont="1" applyFill="1" applyBorder="1" applyAlignment="1">
      <alignment horizontal="center" vertical="center"/>
    </xf>
    <xf numFmtId="4" fontId="19" fillId="8" borderId="19" xfId="0" applyNumberFormat="1" applyFont="1" applyFill="1" applyBorder="1" applyAlignment="1">
      <alignment horizontal="center" vertical="center"/>
    </xf>
    <xf numFmtId="0" fontId="19" fillId="11" borderId="15" xfId="0" applyFont="1" applyFill="1" applyBorder="1" applyAlignment="1">
      <alignment horizontal="center" vertical="center"/>
    </xf>
    <xf numFmtId="0" fontId="19" fillId="11" borderId="18" xfId="0" applyFont="1" applyFill="1" applyBorder="1" applyAlignment="1">
      <alignment horizontal="center" vertical="center"/>
    </xf>
    <xf numFmtId="9" fontId="19" fillId="8" borderId="1" xfId="16" applyFont="1" applyFill="1" applyBorder="1"/>
    <xf numFmtId="43" fontId="19" fillId="3" borderId="0" xfId="0" applyNumberFormat="1" applyFont="1" applyFill="1"/>
    <xf numFmtId="167" fontId="19" fillId="3" borderId="0" xfId="0" applyNumberFormat="1" applyFont="1" applyFill="1"/>
    <xf numFmtId="0" fontId="19" fillId="11" borderId="0" xfId="0" applyFont="1" applyFill="1"/>
    <xf numFmtId="165" fontId="19" fillId="8" borderId="0" xfId="23" applyFont="1" applyFill="1"/>
    <xf numFmtId="167" fontId="19" fillId="8" borderId="0" xfId="0" applyNumberFormat="1" applyFont="1" applyFill="1"/>
    <xf numFmtId="0" fontId="38" fillId="0" borderId="8" xfId="0" applyFont="1" applyBorder="1"/>
    <xf numFmtId="0" fontId="38" fillId="0" borderId="10" xfId="0" applyFont="1" applyBorder="1"/>
    <xf numFmtId="0" fontId="38" fillId="0" borderId="25" xfId="0" applyFont="1" applyBorder="1"/>
    <xf numFmtId="0" fontId="38" fillId="0" borderId="26" xfId="0" applyFont="1" applyBorder="1"/>
    <xf numFmtId="165" fontId="19" fillId="0" borderId="11" xfId="23" applyFont="1" applyBorder="1"/>
    <xf numFmtId="167" fontId="19" fillId="0" borderId="13" xfId="23" applyNumberFormat="1" applyFont="1" applyBorder="1"/>
    <xf numFmtId="177" fontId="19" fillId="0" borderId="0" xfId="0" applyNumberFormat="1" applyFont="1"/>
    <xf numFmtId="174" fontId="19" fillId="0" borderId="0" xfId="0" applyNumberFormat="1" applyFont="1"/>
    <xf numFmtId="9" fontId="19" fillId="0" borderId="0" xfId="16" applyFont="1" applyFill="1" applyBorder="1"/>
    <xf numFmtId="174" fontId="19" fillId="8" borderId="1" xfId="0" applyNumberFormat="1" applyFont="1" applyFill="1" applyBorder="1"/>
    <xf numFmtId="174" fontId="19" fillId="7" borderId="1" xfId="0" applyNumberFormat="1" applyFont="1" applyFill="1" applyBorder="1"/>
    <xf numFmtId="0" fontId="21" fillId="11" borderId="1" xfId="8" applyFont="1" applyFill="1" applyBorder="1" applyAlignment="1">
      <alignment horizontal="left" vertical="center"/>
    </xf>
    <xf numFmtId="4" fontId="19" fillId="8" borderId="15" xfId="0" applyNumberFormat="1" applyFont="1" applyFill="1" applyBorder="1" applyAlignment="1">
      <alignment horizontal="center" vertical="center"/>
    </xf>
    <xf numFmtId="4" fontId="19" fillId="8" borderId="0" xfId="0" applyNumberFormat="1" applyFont="1" applyFill="1" applyAlignment="1">
      <alignment horizontal="center" vertical="center"/>
    </xf>
    <xf numFmtId="0" fontId="19" fillId="8" borderId="15" xfId="0" applyFont="1" applyFill="1" applyBorder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169" fontId="19" fillId="8" borderId="18" xfId="0" applyNumberFormat="1" applyFont="1" applyFill="1" applyBorder="1" applyAlignment="1">
      <alignment horizontal="center" vertical="center"/>
    </xf>
    <xf numFmtId="169" fontId="19" fillId="8" borderId="3" xfId="0" applyNumberFormat="1" applyFont="1" applyFill="1" applyBorder="1" applyAlignment="1">
      <alignment horizontal="center" vertical="center"/>
    </xf>
    <xf numFmtId="174" fontId="19" fillId="26" borderId="6" xfId="0" applyNumberFormat="1" applyFont="1" applyFill="1" applyBorder="1"/>
    <xf numFmtId="9" fontId="19" fillId="0" borderId="2" xfId="0" applyNumberFormat="1" applyFont="1" applyBorder="1"/>
    <xf numFmtId="9" fontId="19" fillId="0" borderId="2" xfId="16" applyFont="1" applyFill="1" applyBorder="1" applyAlignment="1">
      <alignment horizontal="center" vertical="center"/>
    </xf>
    <xf numFmtId="176" fontId="19" fillId="8" borderId="1" xfId="23" applyNumberFormat="1" applyFont="1" applyFill="1" applyBorder="1"/>
    <xf numFmtId="0" fontId="44" fillId="27" borderId="1" xfId="0" applyFont="1" applyFill="1" applyBorder="1" applyAlignment="1">
      <alignment horizontal="left" vertical="center"/>
    </xf>
    <xf numFmtId="0" fontId="17" fillId="27" borderId="1" xfId="0" applyFont="1" applyFill="1" applyBorder="1" applyAlignment="1">
      <alignment horizontal="left" vertical="center"/>
    </xf>
    <xf numFmtId="9" fontId="17" fillId="27" borderId="1" xfId="0" applyNumberFormat="1" applyFont="1" applyFill="1" applyBorder="1" applyAlignment="1">
      <alignment horizontal="left" vertical="center"/>
    </xf>
    <xf numFmtId="0" fontId="19" fillId="11" borderId="16" xfId="0" applyFont="1" applyFill="1" applyBorder="1" applyAlignment="1">
      <alignment horizontal="center"/>
    </xf>
    <xf numFmtId="0" fontId="19" fillId="11" borderId="17" xfId="0" applyFont="1" applyFill="1" applyBorder="1" applyAlignment="1">
      <alignment horizontal="center"/>
    </xf>
    <xf numFmtId="0" fontId="19" fillId="26" borderId="6" xfId="0" applyFont="1" applyFill="1" applyBorder="1" applyAlignment="1">
      <alignment horizontal="center"/>
    </xf>
    <xf numFmtId="0" fontId="19" fillId="26" borderId="16" xfId="0" applyFont="1" applyFill="1" applyBorder="1" applyAlignment="1">
      <alignment horizontal="center"/>
    </xf>
    <xf numFmtId="0" fontId="21" fillId="26" borderId="1" xfId="0" applyFont="1" applyFill="1" applyBorder="1" applyAlignment="1">
      <alignment horizontal="center"/>
    </xf>
    <xf numFmtId="9" fontId="19" fillId="0" borderId="0" xfId="16" applyFont="1" applyFill="1" applyBorder="1" applyAlignment="1">
      <alignment horizontal="center" vertical="center"/>
    </xf>
    <xf numFmtId="0" fontId="19" fillId="10" borderId="6" xfId="0" applyFont="1" applyFill="1" applyBorder="1"/>
    <xf numFmtId="0" fontId="19" fillId="10" borderId="16" xfId="0" applyFont="1" applyFill="1" applyBorder="1" applyAlignment="1">
      <alignment horizontal="center"/>
    </xf>
    <xf numFmtId="0" fontId="21" fillId="10" borderId="1" xfId="0" applyFont="1" applyFill="1" applyBorder="1" applyAlignment="1">
      <alignment horizontal="center"/>
    </xf>
    <xf numFmtId="168" fontId="19" fillId="10" borderId="1" xfId="23" applyNumberFormat="1" applyFont="1" applyFill="1" applyBorder="1"/>
    <xf numFmtId="0" fontId="35" fillId="0" borderId="0" xfId="0" applyFont="1"/>
    <xf numFmtId="165" fontId="19" fillId="8" borderId="25" xfId="23" applyFont="1" applyFill="1" applyBorder="1"/>
    <xf numFmtId="175" fontId="19" fillId="8" borderId="26" xfId="23" applyNumberFormat="1" applyFont="1" applyFill="1" applyBorder="1"/>
    <xf numFmtId="167" fontId="19" fillId="0" borderId="1" xfId="23" applyNumberFormat="1" applyFont="1" applyFill="1" applyBorder="1"/>
    <xf numFmtId="0" fontId="17" fillId="28" borderId="5" xfId="0" applyFont="1" applyFill="1" applyBorder="1"/>
    <xf numFmtId="0" fontId="17" fillId="28" borderId="19" xfId="0" applyFont="1" applyFill="1" applyBorder="1"/>
    <xf numFmtId="174" fontId="17" fillId="30" borderId="28" xfId="23" applyNumberFormat="1" applyFont="1" applyFill="1" applyBorder="1" applyAlignment="1">
      <alignment horizontal="center" vertical="center"/>
    </xf>
    <xf numFmtId="0" fontId="49" fillId="29" borderId="19" xfId="0" applyFont="1" applyFill="1" applyBorder="1" applyAlignment="1">
      <alignment horizontal="left" vertical="center" wrapText="1"/>
    </xf>
    <xf numFmtId="166" fontId="26" fillId="29" borderId="19" xfId="0" applyNumberFormat="1" applyFont="1" applyFill="1" applyBorder="1" applyAlignment="1">
      <alignment horizontal="center" vertical="center" wrapText="1"/>
    </xf>
    <xf numFmtId="166" fontId="39" fillId="29" borderId="19" xfId="0" applyNumberFormat="1" applyFont="1" applyFill="1" applyBorder="1" applyAlignment="1">
      <alignment horizontal="center" vertical="center" wrapText="1"/>
    </xf>
    <xf numFmtId="166" fontId="39" fillId="29" borderId="5" xfId="0" applyNumberFormat="1" applyFont="1" applyFill="1" applyBorder="1" applyAlignment="1">
      <alignment horizontal="center" vertical="center" wrapText="1"/>
    </xf>
    <xf numFmtId="0" fontId="16" fillId="30" borderId="32" xfId="0" applyFont="1" applyFill="1" applyBorder="1" applyAlignment="1">
      <alignment horizontal="left" vertical="center" wrapText="1"/>
    </xf>
    <xf numFmtId="166" fontId="15" fillId="30" borderId="19" xfId="0" applyNumberFormat="1" applyFont="1" applyFill="1" applyBorder="1" applyAlignment="1">
      <alignment horizontal="center" vertical="center" wrapText="1"/>
    </xf>
    <xf numFmtId="166" fontId="39" fillId="30" borderId="19" xfId="0" applyNumberFormat="1" applyFont="1" applyFill="1" applyBorder="1" applyAlignment="1">
      <alignment horizontal="center" vertical="center" wrapText="1"/>
    </xf>
    <xf numFmtId="166" fontId="39" fillId="30" borderId="5" xfId="0" applyNumberFormat="1" applyFont="1" applyFill="1" applyBorder="1" applyAlignment="1">
      <alignment horizontal="center" vertical="center" wrapText="1"/>
    </xf>
    <xf numFmtId="0" fontId="22" fillId="28" borderId="19" xfId="0" applyFont="1" applyFill="1" applyBorder="1"/>
    <xf numFmtId="4" fontId="22" fillId="28" borderId="19" xfId="0" applyNumberFormat="1" applyFont="1" applyFill="1" applyBorder="1"/>
    <xf numFmtId="4" fontId="43" fillId="28" borderId="19" xfId="0" applyNumberFormat="1" applyFont="1" applyFill="1" applyBorder="1"/>
    <xf numFmtId="4" fontId="43" fillId="28" borderId="5" xfId="0" applyNumberFormat="1" applyFont="1" applyFill="1" applyBorder="1"/>
    <xf numFmtId="0" fontId="17" fillId="30" borderId="19" xfId="0" applyFont="1" applyFill="1" applyBorder="1"/>
    <xf numFmtId="4" fontId="17" fillId="30" borderId="19" xfId="0" applyNumberFormat="1" applyFont="1" applyFill="1" applyBorder="1"/>
    <xf numFmtId="4" fontId="38" fillId="30" borderId="19" xfId="0" applyNumberFormat="1" applyFont="1" applyFill="1" applyBorder="1"/>
    <xf numFmtId="4" fontId="38" fillId="30" borderId="5" xfId="0" applyNumberFormat="1" applyFont="1" applyFill="1" applyBorder="1"/>
    <xf numFmtId="4" fontId="17" fillId="28" borderId="19" xfId="0" applyNumberFormat="1" applyFont="1" applyFill="1" applyBorder="1"/>
    <xf numFmtId="4" fontId="38" fillId="28" borderId="19" xfId="0" applyNumberFormat="1" applyFont="1" applyFill="1" applyBorder="1"/>
    <xf numFmtId="4" fontId="38" fillId="28" borderId="5" xfId="0" applyNumberFormat="1" applyFont="1" applyFill="1" applyBorder="1"/>
    <xf numFmtId="4" fontId="22" fillId="28" borderId="19" xfId="25" applyNumberFormat="1" applyFont="1" applyFill="1" applyBorder="1"/>
    <xf numFmtId="4" fontId="43" fillId="28" borderId="19" xfId="25" applyNumberFormat="1" applyFont="1" applyFill="1" applyBorder="1"/>
    <xf numFmtId="4" fontId="43" fillId="28" borderId="5" xfId="25" applyNumberFormat="1" applyFont="1" applyFill="1" applyBorder="1"/>
    <xf numFmtId="4" fontId="17" fillId="30" borderId="19" xfId="25" applyNumberFormat="1" applyFont="1" applyFill="1" applyBorder="1"/>
    <xf numFmtId="4" fontId="38" fillId="30" borderId="19" xfId="25" applyNumberFormat="1" applyFont="1" applyFill="1" applyBorder="1"/>
    <xf numFmtId="4" fontId="38" fillId="30" borderId="5" xfId="25" applyNumberFormat="1" applyFont="1" applyFill="1" applyBorder="1"/>
    <xf numFmtId="4" fontId="17" fillId="28" borderId="19" xfId="25" applyNumberFormat="1" applyFont="1" applyFill="1" applyBorder="1"/>
    <xf numFmtId="4" fontId="38" fillId="28" borderId="19" xfId="25" applyNumberFormat="1" applyFont="1" applyFill="1" applyBorder="1"/>
    <xf numFmtId="4" fontId="38" fillId="28" borderId="5" xfId="25" applyNumberFormat="1" applyFont="1" applyFill="1" applyBorder="1"/>
    <xf numFmtId="0" fontId="22" fillId="30" borderId="19" xfId="0" applyFont="1" applyFill="1" applyBorder="1"/>
    <xf numFmtId="4" fontId="22" fillId="30" borderId="19" xfId="25" applyNumberFormat="1" applyFont="1" applyFill="1" applyBorder="1"/>
    <xf numFmtId="4" fontId="43" fillId="30" borderId="19" xfId="25" applyNumberFormat="1" applyFont="1" applyFill="1" applyBorder="1"/>
    <xf numFmtId="4" fontId="43" fillId="30" borderId="5" xfId="25" applyNumberFormat="1" applyFont="1" applyFill="1" applyBorder="1"/>
    <xf numFmtId="0" fontId="22" fillId="28" borderId="6" xfId="0" applyFont="1" applyFill="1" applyBorder="1"/>
    <xf numFmtId="4" fontId="22" fillId="28" borderId="6" xfId="25" applyNumberFormat="1" applyFont="1" applyFill="1" applyBorder="1"/>
    <xf numFmtId="4" fontId="43" fillId="28" borderId="6" xfId="25" applyNumberFormat="1" applyFont="1" applyFill="1" applyBorder="1"/>
    <xf numFmtId="4" fontId="43" fillId="28" borderId="1" xfId="25" applyNumberFormat="1" applyFont="1" applyFill="1" applyBorder="1"/>
    <xf numFmtId="4" fontId="17" fillId="28" borderId="19" xfId="23" applyNumberFormat="1" applyFont="1" applyFill="1" applyBorder="1" applyAlignment="1">
      <alignment horizontal="center" vertical="center"/>
    </xf>
    <xf numFmtId="38" fontId="17" fillId="30" borderId="19" xfId="23" applyNumberFormat="1" applyFont="1" applyFill="1" applyBorder="1" applyAlignment="1">
      <alignment horizontal="left" vertical="center"/>
    </xf>
    <xf numFmtId="4" fontId="17" fillId="30" borderId="19" xfId="23" applyNumberFormat="1" applyFont="1" applyFill="1" applyBorder="1" applyAlignment="1">
      <alignment horizontal="center" vertical="center"/>
    </xf>
    <xf numFmtId="38" fontId="22" fillId="28" borderId="19" xfId="23" applyNumberFormat="1" applyFont="1" applyFill="1" applyBorder="1" applyAlignment="1">
      <alignment horizontal="left" vertical="center"/>
    </xf>
    <xf numFmtId="4" fontId="22" fillId="28" borderId="1" xfId="23" applyNumberFormat="1" applyFont="1" applyFill="1" applyBorder="1" applyAlignment="1">
      <alignment horizontal="center" vertical="center"/>
    </xf>
    <xf numFmtId="0" fontId="15" fillId="29" borderId="4" xfId="0" applyFont="1" applyFill="1" applyBorder="1" applyAlignment="1">
      <alignment vertical="center"/>
    </xf>
    <xf numFmtId="0" fontId="15" fillId="29" borderId="19" xfId="0" applyFont="1" applyFill="1" applyBorder="1" applyAlignment="1">
      <alignment horizontal="center" vertical="center" wrapText="1"/>
    </xf>
    <xf numFmtId="0" fontId="15" fillId="29" borderId="19" xfId="0" applyFont="1" applyFill="1" applyBorder="1" applyAlignment="1">
      <alignment horizontal="left" vertical="center" wrapText="1"/>
    </xf>
    <xf numFmtId="0" fontId="15" fillId="29" borderId="37" xfId="0" applyFont="1" applyFill="1" applyBorder="1" applyAlignment="1">
      <alignment horizontal="center" vertical="center" wrapText="1"/>
    </xf>
    <xf numFmtId="0" fontId="15" fillId="29" borderId="5" xfId="0" applyFont="1" applyFill="1" applyBorder="1" applyAlignment="1">
      <alignment horizontal="center" vertical="center" wrapText="1"/>
    </xf>
    <xf numFmtId="0" fontId="15" fillId="30" borderId="32" xfId="0" applyFont="1" applyFill="1" applyBorder="1" applyAlignment="1">
      <alignment vertical="center" wrapText="1"/>
    </xf>
    <xf numFmtId="4" fontId="17" fillId="30" borderId="37" xfId="23" applyNumberFormat="1" applyFont="1" applyFill="1" applyBorder="1" applyAlignment="1">
      <alignment horizontal="center" vertical="center"/>
    </xf>
    <xf numFmtId="4" fontId="17" fillId="30" borderId="5" xfId="23" applyNumberFormat="1" applyFont="1" applyFill="1" applyBorder="1" applyAlignment="1">
      <alignment horizontal="center" vertical="center"/>
    </xf>
    <xf numFmtId="4" fontId="17" fillId="28" borderId="5" xfId="23" applyNumberFormat="1" applyFont="1" applyFill="1" applyBorder="1" applyAlignment="1">
      <alignment horizontal="center" vertical="center"/>
    </xf>
    <xf numFmtId="0" fontId="17" fillId="30" borderId="16" xfId="0" applyFont="1" applyFill="1" applyBorder="1" applyAlignment="1">
      <alignment horizontal="center" vertical="center"/>
    </xf>
    <xf numFmtId="38" fontId="22" fillId="30" borderId="6" xfId="23" applyNumberFormat="1" applyFont="1" applyFill="1" applyBorder="1" applyAlignment="1">
      <alignment horizontal="left"/>
    </xf>
    <xf numFmtId="4" fontId="22" fillId="30" borderId="23" xfId="23" applyNumberFormat="1" applyFont="1" applyFill="1" applyBorder="1" applyAlignment="1">
      <alignment horizontal="center" vertical="center"/>
    </xf>
    <xf numFmtId="0" fontId="15" fillId="29" borderId="4" xfId="0" applyFont="1" applyFill="1" applyBorder="1" applyAlignment="1">
      <alignment horizontal="center" vertical="center" wrapText="1"/>
    </xf>
    <xf numFmtId="166" fontId="15" fillId="29" borderId="19" xfId="0" applyNumberFormat="1" applyFont="1" applyFill="1" applyBorder="1" applyAlignment="1">
      <alignment horizontal="center" vertical="center" wrapText="1"/>
    </xf>
    <xf numFmtId="166" fontId="15" fillId="29" borderId="5" xfId="0" applyNumberFormat="1" applyFont="1" applyFill="1" applyBorder="1" applyAlignment="1">
      <alignment horizontal="center" vertical="center" wrapText="1"/>
    </xf>
    <xf numFmtId="166" fontId="15" fillId="30" borderId="32" xfId="0" applyNumberFormat="1" applyFont="1" applyFill="1" applyBorder="1" applyAlignment="1">
      <alignment horizontal="center" vertical="center" wrapText="1"/>
    </xf>
    <xf numFmtId="166" fontId="15" fillId="30" borderId="39" xfId="0" applyNumberFormat="1" applyFont="1" applyFill="1" applyBorder="1" applyAlignment="1">
      <alignment horizontal="center" vertical="center" wrapText="1"/>
    </xf>
    <xf numFmtId="0" fontId="22" fillId="28" borderId="4" xfId="0" applyFont="1" applyFill="1" applyBorder="1"/>
    <xf numFmtId="167" fontId="17" fillId="28" borderId="19" xfId="23" applyNumberFormat="1" applyFont="1" applyFill="1" applyBorder="1" applyAlignment="1">
      <alignment horizontal="center" vertical="center"/>
    </xf>
    <xf numFmtId="167" fontId="17" fillId="28" borderId="5" xfId="23" applyNumberFormat="1" applyFont="1" applyFill="1" applyBorder="1" applyAlignment="1">
      <alignment horizontal="center" vertical="center"/>
    </xf>
    <xf numFmtId="0" fontId="22" fillId="30" borderId="4" xfId="0" applyFont="1" applyFill="1" applyBorder="1"/>
    <xf numFmtId="167" fontId="17" fillId="30" borderId="19" xfId="23" applyNumberFormat="1" applyFont="1" applyFill="1" applyBorder="1" applyAlignment="1">
      <alignment horizontal="right" vertical="center"/>
    </xf>
    <xf numFmtId="167" fontId="17" fillId="30" borderId="5" xfId="23" applyNumberFormat="1" applyFont="1" applyFill="1" applyBorder="1" applyAlignment="1">
      <alignment horizontal="right" vertical="center"/>
    </xf>
    <xf numFmtId="167" fontId="17" fillId="28" borderId="19" xfId="23" applyNumberFormat="1" applyFont="1" applyFill="1" applyBorder="1" applyAlignment="1">
      <alignment horizontal="right" vertical="center"/>
    </xf>
    <xf numFmtId="167" fontId="17" fillId="28" borderId="5" xfId="23" applyNumberFormat="1" applyFont="1" applyFill="1" applyBorder="1" applyAlignment="1">
      <alignment horizontal="right" vertical="center"/>
    </xf>
    <xf numFmtId="0" fontId="22" fillId="30" borderId="4" xfId="8" applyFont="1" applyFill="1" applyBorder="1" applyAlignment="1">
      <alignment horizontal="left" vertical="center"/>
    </xf>
    <xf numFmtId="0" fontId="22" fillId="28" borderId="4" xfId="8" applyFont="1" applyFill="1" applyBorder="1" applyAlignment="1">
      <alignment horizontal="left" vertical="center"/>
    </xf>
    <xf numFmtId="0" fontId="22" fillId="30" borderId="16" xfId="0" applyFont="1" applyFill="1" applyBorder="1" applyAlignment="1">
      <alignment horizontal="left"/>
    </xf>
    <xf numFmtId="4" fontId="22" fillId="30" borderId="6" xfId="0" applyNumberFormat="1" applyFont="1" applyFill="1" applyBorder="1" applyAlignment="1">
      <alignment horizontal="center" vertical="center"/>
    </xf>
    <xf numFmtId="4" fontId="22" fillId="30" borderId="1" xfId="0" applyNumberFormat="1" applyFont="1" applyFill="1" applyBorder="1" applyAlignment="1">
      <alignment horizontal="center" vertical="center"/>
    </xf>
    <xf numFmtId="4" fontId="17" fillId="28" borderId="19" xfId="23" applyNumberFormat="1" applyFont="1" applyFill="1" applyBorder="1"/>
    <xf numFmtId="4" fontId="17" fillId="30" borderId="19" xfId="23" applyNumberFormat="1" applyFont="1" applyFill="1" applyBorder="1"/>
    <xf numFmtId="4" fontId="22" fillId="30" borderId="6" xfId="23" applyNumberFormat="1" applyFont="1" applyFill="1" applyBorder="1"/>
    <xf numFmtId="0" fontId="15" fillId="31" borderId="38" xfId="0" applyFont="1" applyFill="1" applyBorder="1" applyAlignment="1">
      <alignment horizontal="center" vertical="center" wrapText="1"/>
    </xf>
    <xf numFmtId="166" fontId="15" fillId="31" borderId="32" xfId="0" applyNumberFormat="1" applyFont="1" applyFill="1" applyBorder="1" applyAlignment="1">
      <alignment horizontal="center" vertical="center" wrapText="1"/>
    </xf>
    <xf numFmtId="166" fontId="15" fillId="31" borderId="39" xfId="0" applyNumberFormat="1" applyFont="1" applyFill="1" applyBorder="1" applyAlignment="1">
      <alignment horizontal="center" vertical="center" wrapText="1"/>
    </xf>
    <xf numFmtId="0" fontId="15" fillId="29" borderId="19" xfId="0" applyFont="1" applyFill="1" applyBorder="1" applyAlignment="1">
      <alignment vertical="center" wrapText="1"/>
    </xf>
    <xf numFmtId="0" fontId="17" fillId="30" borderId="19" xfId="0" applyFont="1" applyFill="1" applyBorder="1" applyAlignment="1">
      <alignment horizontal="left" vertical="center"/>
    </xf>
    <xf numFmtId="0" fontId="17" fillId="30" borderId="19" xfId="0" applyFont="1" applyFill="1" applyBorder="1" applyAlignment="1">
      <alignment horizontal="center" vertical="center"/>
    </xf>
    <xf numFmtId="0" fontId="17" fillId="28" borderId="19" xfId="0" applyFont="1" applyFill="1" applyBorder="1" applyAlignment="1">
      <alignment horizontal="center" vertical="center"/>
    </xf>
    <xf numFmtId="10" fontId="17" fillId="30" borderId="19" xfId="16" applyNumberFormat="1" applyFont="1" applyFill="1" applyBorder="1" applyAlignment="1">
      <alignment horizontal="center" vertical="center"/>
    </xf>
    <xf numFmtId="10" fontId="17" fillId="30" borderId="5" xfId="16" applyNumberFormat="1" applyFont="1" applyFill="1" applyBorder="1" applyAlignment="1">
      <alignment horizontal="center" vertical="center"/>
    </xf>
    <xf numFmtId="10" fontId="17" fillId="28" borderId="19" xfId="0" applyNumberFormat="1" applyFont="1" applyFill="1" applyBorder="1" applyAlignment="1">
      <alignment horizontal="center" vertical="center"/>
    </xf>
    <xf numFmtId="10" fontId="17" fillId="28" borderId="5" xfId="0" applyNumberFormat="1" applyFont="1" applyFill="1" applyBorder="1" applyAlignment="1">
      <alignment horizontal="center" vertical="center"/>
    </xf>
    <xf numFmtId="10" fontId="17" fillId="30" borderId="19" xfId="0" applyNumberFormat="1" applyFont="1" applyFill="1" applyBorder="1"/>
    <xf numFmtId="10" fontId="17" fillId="30" borderId="5" xfId="0" applyNumberFormat="1" applyFont="1" applyFill="1" applyBorder="1"/>
    <xf numFmtId="0" fontId="17" fillId="28" borderId="6" xfId="0" applyFont="1" applyFill="1" applyBorder="1"/>
    <xf numFmtId="0" fontId="15" fillId="30" borderId="32" xfId="0" applyFont="1" applyFill="1" applyBorder="1" applyAlignment="1">
      <alignment horizontal="left" vertical="center" wrapText="1"/>
    </xf>
    <xf numFmtId="0" fontId="15" fillId="30" borderId="39" xfId="0" applyFont="1" applyFill="1" applyBorder="1" applyAlignment="1">
      <alignment horizontal="center" vertical="center" wrapText="1"/>
    </xf>
    <xf numFmtId="10" fontId="17" fillId="28" borderId="5" xfId="0" applyNumberFormat="1" applyFont="1" applyFill="1" applyBorder="1" applyAlignment="1">
      <alignment horizontal="center"/>
    </xf>
    <xf numFmtId="10" fontId="17" fillId="30" borderId="5" xfId="0" applyNumberFormat="1" applyFont="1" applyFill="1" applyBorder="1" applyAlignment="1">
      <alignment horizontal="center"/>
    </xf>
    <xf numFmtId="0" fontId="15" fillId="30" borderId="19" xfId="0" applyFont="1" applyFill="1" applyBorder="1" applyAlignment="1">
      <alignment horizontal="left" vertical="center" wrapText="1"/>
    </xf>
    <xf numFmtId="10" fontId="17" fillId="28" borderId="19" xfId="8" applyNumberFormat="1" applyFont="1" applyFill="1" applyBorder="1" applyAlignment="1">
      <alignment horizontal="center" vertical="center"/>
    </xf>
    <xf numFmtId="10" fontId="17" fillId="28" borderId="5" xfId="8" applyNumberFormat="1" applyFont="1" applyFill="1" applyBorder="1" applyAlignment="1">
      <alignment horizontal="center" vertical="center"/>
    </xf>
    <xf numFmtId="10" fontId="17" fillId="30" borderId="19" xfId="8" applyNumberFormat="1" applyFont="1" applyFill="1" applyBorder="1" applyAlignment="1">
      <alignment horizontal="center" vertical="center"/>
    </xf>
    <xf numFmtId="10" fontId="17" fillId="30" borderId="5" xfId="8" applyNumberFormat="1" applyFont="1" applyFill="1" applyBorder="1" applyAlignment="1">
      <alignment horizontal="center" vertical="center"/>
    </xf>
    <xf numFmtId="10" fontId="17" fillId="28" borderId="6" xfId="8" applyNumberFormat="1" applyFont="1" applyFill="1" applyBorder="1" applyAlignment="1">
      <alignment horizontal="center" vertical="center"/>
    </xf>
    <xf numFmtId="10" fontId="17" fillId="28" borderId="1" xfId="8" applyNumberFormat="1" applyFont="1" applyFill="1" applyBorder="1" applyAlignment="1">
      <alignment horizontal="center" vertical="center"/>
    </xf>
    <xf numFmtId="0" fontId="17" fillId="30" borderId="40" xfId="0" applyFont="1" applyFill="1" applyBorder="1" applyAlignment="1">
      <alignment horizontal="left" vertical="center"/>
    </xf>
    <xf numFmtId="0" fontId="47" fillId="29" borderId="0" xfId="0" applyFont="1" applyFill="1"/>
    <xf numFmtId="0" fontId="22" fillId="29" borderId="36" xfId="0" applyFont="1" applyFill="1" applyBorder="1" applyAlignment="1">
      <alignment horizontal="center"/>
    </xf>
    <xf numFmtId="0" fontId="17" fillId="28" borderId="27" xfId="0" applyFont="1" applyFill="1" applyBorder="1" applyAlignment="1">
      <alignment horizontal="left" vertical="center"/>
    </xf>
    <xf numFmtId="4" fontId="17" fillId="32" borderId="19" xfId="25" applyNumberFormat="1" applyFont="1" applyFill="1" applyBorder="1"/>
    <xf numFmtId="0" fontId="47" fillId="29" borderId="30" xfId="0" applyFont="1" applyFill="1" applyBorder="1" applyAlignment="1">
      <alignment horizontal="left" vertical="center"/>
    </xf>
    <xf numFmtId="0" fontId="47" fillId="29" borderId="33" xfId="0" applyFont="1" applyFill="1" applyBorder="1" applyAlignment="1">
      <alignment horizontal="center"/>
    </xf>
    <xf numFmtId="0" fontId="47" fillId="29" borderId="33" xfId="0" applyFont="1" applyFill="1" applyBorder="1" applyAlignment="1">
      <alignment horizontal="center" vertical="center"/>
    </xf>
    <xf numFmtId="168" fontId="47" fillId="29" borderId="33" xfId="23" applyNumberFormat="1" applyFont="1" applyFill="1" applyBorder="1" applyAlignment="1">
      <alignment horizontal="center"/>
    </xf>
    <xf numFmtId="168" fontId="47" fillId="29" borderId="34" xfId="23" applyNumberFormat="1" applyFont="1" applyFill="1" applyBorder="1" applyAlignment="1">
      <alignment horizontal="center"/>
    </xf>
    <xf numFmtId="0" fontId="22" fillId="30" borderId="41" xfId="0" applyFont="1" applyFill="1" applyBorder="1" applyAlignment="1">
      <alignment horizontal="left" vertical="center"/>
    </xf>
    <xf numFmtId="2" fontId="17" fillId="30" borderId="35" xfId="0" applyNumberFormat="1" applyFont="1" applyFill="1" applyBorder="1"/>
    <xf numFmtId="2" fontId="17" fillId="30" borderId="31" xfId="0" applyNumberFormat="1" applyFont="1" applyFill="1" applyBorder="1"/>
    <xf numFmtId="2" fontId="17" fillId="33" borderId="35" xfId="0" applyNumberFormat="1" applyFont="1" applyFill="1" applyBorder="1"/>
    <xf numFmtId="169" fontId="17" fillId="33" borderId="35" xfId="0" applyNumberFormat="1" applyFont="1" applyFill="1" applyBorder="1"/>
    <xf numFmtId="0" fontId="19" fillId="9" borderId="6" xfId="0" applyFont="1" applyFill="1" applyBorder="1" applyAlignment="1">
      <alignment horizontal="center"/>
    </xf>
    <xf numFmtId="0" fontId="19" fillId="9" borderId="16" xfId="0" applyFont="1" applyFill="1" applyBorder="1" applyAlignment="1">
      <alignment horizontal="center"/>
    </xf>
    <xf numFmtId="0" fontId="21" fillId="9" borderId="1" xfId="0" applyFont="1" applyFill="1" applyBorder="1" applyAlignment="1">
      <alignment horizontal="center"/>
    </xf>
    <xf numFmtId="0" fontId="19" fillId="11" borderId="6" xfId="0" applyFont="1" applyFill="1" applyBorder="1" applyAlignment="1">
      <alignment horizontal="center"/>
    </xf>
    <xf numFmtId="174" fontId="21" fillId="0" borderId="1" xfId="23" applyNumberFormat="1" applyFont="1" applyFill="1" applyBorder="1" applyAlignment="1">
      <alignment horizontal="center" vertical="center"/>
    </xf>
    <xf numFmtId="174" fontId="19" fillId="0" borderId="1" xfId="23" applyNumberFormat="1" applyFont="1" applyFill="1" applyBorder="1" applyAlignment="1">
      <alignment horizontal="center" vertical="center"/>
    </xf>
    <xf numFmtId="174" fontId="19" fillId="0" borderId="1" xfId="0" applyNumberFormat="1" applyFont="1" applyBorder="1"/>
    <xf numFmtId="9" fontId="19" fillId="0" borderId="1" xfId="16" applyFont="1" applyFill="1" applyBorder="1"/>
    <xf numFmtId="9" fontId="21" fillId="0" borderId="1" xfId="16" applyFont="1" applyFill="1" applyBorder="1" applyAlignment="1">
      <alignment horizontal="center" vertical="center"/>
    </xf>
    <xf numFmtId="9" fontId="19" fillId="0" borderId="1" xfId="16" applyFont="1" applyFill="1" applyBorder="1" applyAlignment="1">
      <alignment horizontal="center" vertical="center"/>
    </xf>
    <xf numFmtId="0" fontId="21" fillId="9" borderId="5" xfId="0" applyFont="1" applyFill="1" applyBorder="1" applyAlignment="1">
      <alignment horizontal="center"/>
    </xf>
    <xf numFmtId="0" fontId="22" fillId="12" borderId="18" xfId="0" applyFont="1" applyFill="1" applyBorder="1" applyAlignment="1">
      <alignment horizontal="left" vertical="center"/>
    </xf>
    <xf numFmtId="0" fontId="17" fillId="12" borderId="18" xfId="0" applyFont="1" applyFill="1" applyBorder="1" applyAlignment="1">
      <alignment horizontal="left" vertical="center"/>
    </xf>
    <xf numFmtId="167" fontId="21" fillId="0" borderId="3" xfId="23" applyNumberFormat="1" applyFont="1" applyFill="1" applyBorder="1" applyAlignment="1">
      <alignment horizontal="center" vertical="center"/>
    </xf>
    <xf numFmtId="174" fontId="19" fillId="0" borderId="6" xfId="0" applyNumberFormat="1" applyFont="1" applyBorder="1"/>
    <xf numFmtId="167" fontId="19" fillId="0" borderId="17" xfId="23" applyNumberFormat="1" applyFont="1" applyFill="1" applyBorder="1"/>
    <xf numFmtId="167" fontId="19" fillId="0" borderId="3" xfId="23" applyNumberFormat="1" applyFont="1" applyFill="1" applyBorder="1" applyAlignment="1">
      <alignment horizontal="center" vertical="center"/>
    </xf>
    <xf numFmtId="9" fontId="20" fillId="34" borderId="2" xfId="0" applyNumberFormat="1" applyFont="1" applyFill="1" applyBorder="1"/>
    <xf numFmtId="0" fontId="17" fillId="12" borderId="1" xfId="0" applyFont="1" applyFill="1" applyBorder="1" applyAlignment="1">
      <alignment horizontal="left" vertical="center"/>
    </xf>
    <xf numFmtId="167" fontId="21" fillId="0" borderId="1" xfId="23" applyNumberFormat="1" applyFont="1" applyFill="1" applyBorder="1" applyAlignment="1">
      <alignment horizontal="center" vertical="center"/>
    </xf>
    <xf numFmtId="167" fontId="19" fillId="0" borderId="1" xfId="23" applyNumberFormat="1" applyFont="1" applyFill="1" applyBorder="1" applyAlignment="1">
      <alignment horizontal="center" vertical="center"/>
    </xf>
    <xf numFmtId="174" fontId="19" fillId="11" borderId="3" xfId="23" applyNumberFormat="1" applyFont="1" applyFill="1" applyBorder="1" applyAlignment="1">
      <alignment horizontal="center" vertical="center"/>
    </xf>
    <xf numFmtId="165" fontId="19" fillId="0" borderId="1" xfId="23" applyFont="1" applyFill="1" applyBorder="1" applyAlignment="1">
      <alignment horizontal="center" vertical="center"/>
    </xf>
    <xf numFmtId="9" fontId="19" fillId="34" borderId="2" xfId="16" applyFont="1" applyFill="1" applyBorder="1" applyAlignment="1">
      <alignment horizontal="center" vertical="center"/>
    </xf>
    <xf numFmtId="174" fontId="21" fillId="0" borderId="3" xfId="23" applyNumberFormat="1" applyFont="1" applyFill="1" applyBorder="1" applyAlignment="1">
      <alignment horizontal="center" vertical="center"/>
    </xf>
    <xf numFmtId="176" fontId="19" fillId="0" borderId="1" xfId="23" applyNumberFormat="1" applyFont="1" applyFill="1" applyBorder="1"/>
    <xf numFmtId="0" fontId="17" fillId="11" borderId="6" xfId="25" applyFont="1" applyFill="1" applyBorder="1" applyAlignment="1">
      <alignment horizontal="left" vertical="center"/>
    </xf>
    <xf numFmtId="0" fontId="17" fillId="11" borderId="1" xfId="25" applyFont="1" applyFill="1" applyBorder="1" applyAlignment="1">
      <alignment horizontal="left" vertical="center"/>
    </xf>
    <xf numFmtId="167" fontId="21" fillId="11" borderId="1" xfId="23" applyNumberFormat="1" applyFont="1" applyFill="1" applyBorder="1" applyAlignment="1">
      <alignment horizontal="center" vertical="center"/>
    </xf>
    <xf numFmtId="0" fontId="17" fillId="27" borderId="1" xfId="25" applyFont="1" applyFill="1" applyBorder="1" applyAlignment="1">
      <alignment horizontal="left" vertical="center"/>
    </xf>
    <xf numFmtId="168" fontId="19" fillId="0" borderId="1" xfId="23" applyNumberFormat="1" applyFont="1" applyFill="1" applyBorder="1" applyAlignment="1">
      <alignment horizontal="center" vertical="center"/>
    </xf>
    <xf numFmtId="9" fontId="20" fillId="34" borderId="42" xfId="16" applyFont="1" applyFill="1" applyBorder="1"/>
    <xf numFmtId="0" fontId="47" fillId="29" borderId="19" xfId="0" applyFont="1" applyFill="1" applyBorder="1" applyAlignment="1">
      <alignment horizontal="left" vertical="center"/>
    </xf>
    <xf numFmtId="0" fontId="47" fillId="29" borderId="19" xfId="0" applyFont="1" applyFill="1" applyBorder="1" applyAlignment="1">
      <alignment horizontal="center"/>
    </xf>
    <xf numFmtId="0" fontId="47" fillId="29" borderId="19" xfId="0" applyFont="1" applyFill="1" applyBorder="1" applyAlignment="1">
      <alignment horizontal="center" vertical="center"/>
    </xf>
    <xf numFmtId="168" fontId="47" fillId="29" borderId="19" xfId="23" applyNumberFormat="1" applyFont="1" applyFill="1" applyBorder="1" applyAlignment="1">
      <alignment horizontal="center"/>
    </xf>
    <xf numFmtId="168" fontId="47" fillId="29" borderId="5" xfId="23" applyNumberFormat="1" applyFont="1" applyFill="1" applyBorder="1" applyAlignment="1">
      <alignment horizontal="center"/>
    </xf>
    <xf numFmtId="0" fontId="22" fillId="30" borderId="44" xfId="0" applyFont="1" applyFill="1" applyBorder="1" applyAlignment="1">
      <alignment horizontal="left" vertical="center"/>
    </xf>
    <xf numFmtId="2" fontId="17" fillId="30" borderId="6" xfId="0" applyNumberFormat="1" applyFont="1" applyFill="1" applyBorder="1"/>
    <xf numFmtId="2" fontId="17" fillId="30" borderId="1" xfId="0" applyNumberFormat="1" applyFont="1" applyFill="1" applyBorder="1"/>
    <xf numFmtId="4" fontId="17" fillId="30" borderId="19" xfId="0" applyNumberFormat="1" applyFont="1" applyFill="1" applyBorder="1" applyAlignment="1">
      <alignment horizontal="center" vertical="center"/>
    </xf>
    <xf numFmtId="0" fontId="17" fillId="28" borderId="40" xfId="0" applyFont="1" applyFill="1" applyBorder="1" applyAlignment="1">
      <alignment horizontal="center" vertical="center"/>
    </xf>
    <xf numFmtId="4" fontId="17" fillId="28" borderId="40" xfId="0" applyNumberFormat="1" applyFont="1" applyFill="1" applyBorder="1" applyAlignment="1">
      <alignment horizontal="center" vertical="center"/>
    </xf>
    <xf numFmtId="4" fontId="17" fillId="28" borderId="28" xfId="0" applyNumberFormat="1" applyFont="1" applyFill="1" applyBorder="1" applyAlignment="1">
      <alignment horizontal="center" vertical="center"/>
    </xf>
    <xf numFmtId="0" fontId="17" fillId="30" borderId="40" xfId="0" applyFont="1" applyFill="1" applyBorder="1" applyAlignment="1">
      <alignment horizontal="center" vertical="center"/>
    </xf>
    <xf numFmtId="4" fontId="17" fillId="30" borderId="40" xfId="0" applyNumberFormat="1" applyFont="1" applyFill="1" applyBorder="1" applyAlignment="1">
      <alignment horizontal="center" vertical="center"/>
    </xf>
    <xf numFmtId="4" fontId="17" fillId="30" borderId="28" xfId="0" applyNumberFormat="1" applyFont="1" applyFill="1" applyBorder="1" applyAlignment="1">
      <alignment horizontal="center" vertical="center"/>
    </xf>
    <xf numFmtId="0" fontId="17" fillId="28" borderId="28" xfId="0" applyFont="1" applyFill="1" applyBorder="1" applyAlignment="1">
      <alignment horizontal="center" vertical="center"/>
    </xf>
    <xf numFmtId="0" fontId="17" fillId="30" borderId="28" xfId="0" applyFont="1" applyFill="1" applyBorder="1" applyAlignment="1">
      <alignment horizontal="center" vertical="center"/>
    </xf>
    <xf numFmtId="0" fontId="17" fillId="28" borderId="27" xfId="0" applyFont="1" applyFill="1" applyBorder="1" applyAlignment="1">
      <alignment horizontal="center" vertical="center"/>
    </xf>
    <xf numFmtId="169" fontId="17" fillId="28" borderId="27" xfId="0" applyNumberFormat="1" applyFont="1" applyFill="1" applyBorder="1" applyAlignment="1">
      <alignment horizontal="center" vertical="center"/>
    </xf>
    <xf numFmtId="169" fontId="17" fillId="28" borderId="29" xfId="0" applyNumberFormat="1" applyFont="1" applyFill="1" applyBorder="1" applyAlignment="1">
      <alignment horizontal="center" vertical="center"/>
    </xf>
    <xf numFmtId="0" fontId="17" fillId="28" borderId="45" xfId="0" applyFont="1" applyFill="1" applyBorder="1" applyAlignment="1">
      <alignment horizontal="left" vertical="center"/>
    </xf>
    <xf numFmtId="174" fontId="17" fillId="28" borderId="43" xfId="23" applyNumberFormat="1" applyFont="1" applyFill="1" applyBorder="1" applyAlignment="1">
      <alignment horizontal="center" vertical="center"/>
    </xf>
    <xf numFmtId="0" fontId="47" fillId="29" borderId="30" xfId="0" applyFont="1" applyFill="1" applyBorder="1" applyAlignment="1">
      <alignment horizontal="center" vertical="center"/>
    </xf>
    <xf numFmtId="0" fontId="47" fillId="29" borderId="46" xfId="0" applyFont="1" applyFill="1" applyBorder="1" applyAlignment="1">
      <alignment horizontal="center" vertical="center"/>
    </xf>
    <xf numFmtId="0" fontId="17" fillId="30" borderId="47" xfId="0" applyFont="1" applyFill="1" applyBorder="1" applyAlignment="1">
      <alignment horizontal="center" vertical="center"/>
    </xf>
    <xf numFmtId="0" fontId="17" fillId="28" borderId="48" xfId="0" applyFont="1" applyFill="1" applyBorder="1" applyAlignment="1">
      <alignment horizontal="center" vertical="center"/>
    </xf>
    <xf numFmtId="0" fontId="17" fillId="30" borderId="48" xfId="0" applyFont="1" applyFill="1" applyBorder="1" applyAlignment="1">
      <alignment horizontal="center" vertical="center"/>
    </xf>
    <xf numFmtId="0" fontId="17" fillId="28" borderId="49" xfId="0" applyFont="1" applyFill="1" applyBorder="1" applyAlignment="1">
      <alignment horizontal="center" vertical="center"/>
    </xf>
    <xf numFmtId="169" fontId="17" fillId="28" borderId="45" xfId="0" applyNumberFormat="1" applyFont="1" applyFill="1" applyBorder="1" applyAlignment="1">
      <alignment horizontal="center" vertical="center"/>
    </xf>
    <xf numFmtId="169" fontId="17" fillId="28" borderId="43" xfId="0" applyNumberFormat="1" applyFont="1" applyFill="1" applyBorder="1" applyAlignment="1">
      <alignment horizontal="center" vertical="center"/>
    </xf>
    <xf numFmtId="170" fontId="19" fillId="3" borderId="0" xfId="0" applyNumberFormat="1" applyFont="1" applyFill="1"/>
    <xf numFmtId="175" fontId="19" fillId="8" borderId="0" xfId="23" applyNumberFormat="1" applyFont="1" applyFill="1"/>
    <xf numFmtId="168" fontId="19" fillId="3" borderId="0" xfId="25" applyNumberFormat="1" applyFont="1" applyFill="1"/>
    <xf numFmtId="168" fontId="19" fillId="0" borderId="0" xfId="25" applyNumberFormat="1" applyFont="1"/>
    <xf numFmtId="168" fontId="21" fillId="11" borderId="1" xfId="23" applyNumberFormat="1" applyFont="1" applyFill="1" applyBorder="1" applyAlignment="1">
      <alignment horizontal="center" vertical="center"/>
    </xf>
    <xf numFmtId="174" fontId="34" fillId="35" borderId="28" xfId="23" applyNumberFormat="1" applyFont="1" applyFill="1" applyBorder="1" applyAlignment="1">
      <alignment horizontal="center" vertical="center"/>
    </xf>
    <xf numFmtId="174" fontId="34" fillId="36" borderId="29" xfId="23" applyNumberFormat="1" applyFont="1" applyFill="1" applyBorder="1" applyAlignment="1">
      <alignment horizontal="center" vertical="center"/>
    </xf>
    <xf numFmtId="174" fontId="34" fillId="36" borderId="43" xfId="23" applyNumberFormat="1" applyFont="1" applyFill="1" applyBorder="1" applyAlignment="1">
      <alignment horizontal="center" vertical="center"/>
    </xf>
    <xf numFmtId="174" fontId="34" fillId="4" borderId="0" xfId="23" applyNumberFormat="1" applyFont="1" applyFill="1" applyBorder="1" applyAlignment="1">
      <alignment horizontal="center" vertical="center"/>
    </xf>
    <xf numFmtId="174" fontId="34" fillId="4" borderId="3" xfId="23" applyNumberFormat="1" applyFont="1" applyFill="1" applyBorder="1" applyAlignment="1">
      <alignment horizontal="center" vertical="center"/>
    </xf>
    <xf numFmtId="167" fontId="19" fillId="37" borderId="1" xfId="23" applyNumberFormat="1" applyFont="1" applyFill="1" applyBorder="1"/>
    <xf numFmtId="3" fontId="19" fillId="2" borderId="0" xfId="0" applyNumberFormat="1" applyFont="1" applyFill="1"/>
    <xf numFmtId="178" fontId="21" fillId="0" borderId="1" xfId="23" applyNumberFormat="1" applyFont="1" applyFill="1" applyBorder="1" applyAlignment="1">
      <alignment horizontal="center" vertical="center"/>
    </xf>
    <xf numFmtId="0" fontId="21" fillId="0" borderId="0" xfId="0" applyFont="1"/>
    <xf numFmtId="0" fontId="19" fillId="11" borderId="50" xfId="0" applyFont="1" applyFill="1" applyBorder="1" applyAlignment="1">
      <alignment horizontal="center"/>
    </xf>
    <xf numFmtId="0" fontId="21" fillId="11" borderId="2" xfId="0" applyFont="1" applyFill="1" applyBorder="1" applyAlignment="1">
      <alignment horizontal="left" vertical="center"/>
    </xf>
    <xf numFmtId="167" fontId="19" fillId="0" borderId="0" xfId="23" applyNumberFormat="1" applyFont="1" applyFill="1" applyBorder="1"/>
    <xf numFmtId="9" fontId="19" fillId="0" borderId="1" xfId="16" applyFont="1" applyFill="1" applyBorder="1" applyAlignment="1">
      <alignment horizontal="center"/>
    </xf>
    <xf numFmtId="9" fontId="19" fillId="0" borderId="1" xfId="16" applyFont="1" applyFill="1" applyBorder="1" applyAlignment="1">
      <alignment horizontal="right"/>
    </xf>
    <xf numFmtId="9" fontId="17" fillId="12" borderId="1" xfId="0" applyNumberFormat="1" applyFont="1" applyFill="1" applyBorder="1" applyAlignment="1">
      <alignment horizontal="left" vertical="center"/>
    </xf>
    <xf numFmtId="167" fontId="19" fillId="0" borderId="0" xfId="0" applyNumberFormat="1" applyFont="1"/>
    <xf numFmtId="179" fontId="19" fillId="0" borderId="0" xfId="0" applyNumberFormat="1" applyFont="1"/>
    <xf numFmtId="167" fontId="21" fillId="12" borderId="3" xfId="23" applyNumberFormat="1" applyFont="1" applyFill="1" applyBorder="1" applyAlignment="1">
      <alignment horizontal="center" vertical="center"/>
    </xf>
    <xf numFmtId="9" fontId="19" fillId="4" borderId="0" xfId="0" applyNumberFormat="1" applyFont="1" applyFill="1"/>
    <xf numFmtId="174" fontId="19" fillId="7" borderId="1" xfId="23" applyNumberFormat="1" applyFont="1" applyFill="1" applyBorder="1" applyAlignment="1">
      <alignment horizontal="center" vertical="center"/>
    </xf>
    <xf numFmtId="9" fontId="19" fillId="7" borderId="1" xfId="16" applyFont="1" applyFill="1" applyBorder="1"/>
    <xf numFmtId="9" fontId="19" fillId="7" borderId="1" xfId="16" applyFont="1" applyFill="1" applyBorder="1" applyAlignment="1">
      <alignment horizontal="center" vertical="center"/>
    </xf>
    <xf numFmtId="167" fontId="19" fillId="7" borderId="3" xfId="23" applyNumberFormat="1" applyFont="1" applyFill="1" applyBorder="1" applyAlignment="1">
      <alignment horizontal="center" vertical="center"/>
    </xf>
    <xf numFmtId="167" fontId="19" fillId="7" borderId="1" xfId="23" applyNumberFormat="1" applyFont="1" applyFill="1" applyBorder="1"/>
    <xf numFmtId="167" fontId="19" fillId="7" borderId="1" xfId="23" applyNumberFormat="1" applyFont="1" applyFill="1" applyBorder="1" applyAlignment="1">
      <alignment horizontal="center" vertical="center"/>
    </xf>
    <xf numFmtId="168" fontId="19" fillId="7" borderId="1" xfId="23" applyNumberFormat="1" applyFont="1" applyFill="1" applyBorder="1" applyAlignment="1">
      <alignment horizontal="center" vertical="center"/>
    </xf>
    <xf numFmtId="165" fontId="19" fillId="7" borderId="1" xfId="23" applyFont="1" applyFill="1" applyBorder="1" applyAlignment="1">
      <alignment horizontal="center" vertical="center"/>
    </xf>
    <xf numFmtId="9" fontId="17" fillId="27" borderId="1" xfId="25" applyNumberFormat="1" applyFont="1" applyFill="1" applyBorder="1" applyAlignment="1">
      <alignment horizontal="left" vertical="center"/>
    </xf>
    <xf numFmtId="0" fontId="19" fillId="26" borderId="1" xfId="25" applyFont="1" applyFill="1" applyBorder="1" applyAlignment="1">
      <alignment horizontal="center"/>
    </xf>
    <xf numFmtId="167" fontId="19" fillId="0" borderId="1" xfId="23" applyNumberFormat="1" applyFont="1" applyBorder="1"/>
    <xf numFmtId="0" fontId="21" fillId="0" borderId="1" xfId="25" applyFont="1" applyBorder="1"/>
    <xf numFmtId="167" fontId="21" fillId="0" borderId="1" xfId="25" applyNumberFormat="1" applyFont="1" applyBorder="1"/>
    <xf numFmtId="167" fontId="21" fillId="0" borderId="1" xfId="23" applyNumberFormat="1" applyFont="1" applyBorder="1"/>
    <xf numFmtId="0" fontId="52" fillId="0" borderId="17" xfId="0" applyFont="1" applyBorder="1"/>
    <xf numFmtId="180" fontId="19" fillId="0" borderId="0" xfId="25" applyNumberFormat="1" applyFont="1"/>
    <xf numFmtId="0" fontId="21" fillId="0" borderId="0" xfId="25" applyFont="1"/>
    <xf numFmtId="10" fontId="19" fillId="10" borderId="7" xfId="0" applyNumberFormat="1" applyFont="1" applyFill="1" applyBorder="1"/>
    <xf numFmtId="10" fontId="19" fillId="10" borderId="1" xfId="0" applyNumberFormat="1" applyFont="1" applyFill="1" applyBorder="1"/>
    <xf numFmtId="0" fontId="17" fillId="10" borderId="1" xfId="0" applyFont="1" applyFill="1" applyBorder="1" applyAlignment="1">
      <alignment horizontal="left" vertical="center"/>
    </xf>
    <xf numFmtId="9" fontId="19" fillId="4" borderId="0" xfId="25" applyNumberFormat="1" applyFont="1" applyFill="1"/>
    <xf numFmtId="168" fontId="21" fillId="0" borderId="1" xfId="23" applyNumberFormat="1" applyFont="1" applyFill="1" applyBorder="1" applyAlignment="1">
      <alignment horizontal="center" vertical="center"/>
    </xf>
    <xf numFmtId="9" fontId="51" fillId="0" borderId="0" xfId="16" applyFont="1" applyFill="1" applyBorder="1" applyAlignment="1">
      <alignment horizontal="left" vertical="center"/>
    </xf>
    <xf numFmtId="0" fontId="17" fillId="28" borderId="1" xfId="0" applyFont="1" applyFill="1" applyBorder="1"/>
    <xf numFmtId="0" fontId="17" fillId="30" borderId="16" xfId="0" applyFont="1" applyFill="1" applyBorder="1"/>
    <xf numFmtId="4" fontId="45" fillId="38" borderId="1" xfId="23" applyNumberFormat="1" applyFont="1" applyFill="1" applyBorder="1" applyAlignment="1">
      <alignment horizontal="center"/>
    </xf>
    <xf numFmtId="167" fontId="19" fillId="0" borderId="0" xfId="25" applyNumberFormat="1" applyFont="1"/>
    <xf numFmtId="167" fontId="0" fillId="0" borderId="0" xfId="0" applyNumberFormat="1"/>
    <xf numFmtId="38" fontId="19" fillId="5" borderId="1" xfId="23" applyNumberFormat="1" applyFont="1" applyFill="1" applyBorder="1" applyAlignment="1" applyProtection="1">
      <alignment horizontal="left" vertical="center"/>
      <protection locked="0"/>
    </xf>
    <xf numFmtId="38" fontId="21" fillId="5" borderId="1" xfId="23" applyNumberFormat="1" applyFont="1" applyFill="1" applyBorder="1" applyAlignment="1" applyProtection="1">
      <alignment horizontal="left" vertical="center"/>
      <protection locked="0"/>
    </xf>
    <xf numFmtId="174" fontId="20" fillId="39" borderId="1" xfId="23" applyNumberFormat="1" applyFont="1" applyFill="1" applyBorder="1" applyAlignment="1">
      <alignment horizontal="center" vertical="center"/>
    </xf>
    <xf numFmtId="0" fontId="1" fillId="28" borderId="4" xfId="0" applyFont="1" applyFill="1" applyBorder="1" applyAlignment="1">
      <alignment horizontal="center" vertical="center"/>
    </xf>
    <xf numFmtId="0" fontId="1" fillId="30" borderId="4" xfId="0" applyFont="1" applyFill="1" applyBorder="1" applyAlignment="1">
      <alignment horizontal="center" vertical="center"/>
    </xf>
    <xf numFmtId="169" fontId="17" fillId="10" borderId="6" xfId="0" applyNumberFormat="1" applyFont="1" applyFill="1" applyBorder="1"/>
    <xf numFmtId="8" fontId="19" fillId="3" borderId="0" xfId="0" applyNumberFormat="1" applyFont="1" applyFill="1"/>
    <xf numFmtId="166" fontId="25" fillId="6" borderId="5" xfId="0" applyNumberFormat="1" applyFont="1" applyFill="1" applyBorder="1" applyAlignment="1">
      <alignment horizontal="center" vertical="center" wrapText="1"/>
    </xf>
    <xf numFmtId="166" fontId="25" fillId="6" borderId="7" xfId="0" applyNumberFormat="1" applyFont="1" applyFill="1" applyBorder="1" applyAlignment="1">
      <alignment horizontal="center" vertical="center" wrapText="1"/>
    </xf>
    <xf numFmtId="4" fontId="45" fillId="4" borderId="5" xfId="23" applyNumberFormat="1" applyFont="1" applyFill="1" applyBorder="1" applyAlignment="1">
      <alignment horizontal="center"/>
    </xf>
    <xf numFmtId="3" fontId="45" fillId="4" borderId="1" xfId="23" applyNumberFormat="1" applyFont="1" applyFill="1" applyBorder="1" applyAlignment="1">
      <alignment horizontal="center"/>
    </xf>
    <xf numFmtId="166" fontId="19" fillId="11" borderId="16" xfId="0" applyNumberFormat="1" applyFont="1" applyFill="1" applyBorder="1" applyAlignment="1">
      <alignment horizontal="center" vertical="center"/>
    </xf>
    <xf numFmtId="166" fontId="47" fillId="29" borderId="36" xfId="0" applyNumberFormat="1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/>
    </xf>
    <xf numFmtId="0" fontId="20" fillId="2" borderId="0" xfId="0" applyFont="1" applyFill="1" applyAlignment="1">
      <alignment horizontal="right"/>
    </xf>
    <xf numFmtId="0" fontId="20" fillId="2" borderId="0" xfId="0" applyFont="1" applyFill="1"/>
    <xf numFmtId="4" fontId="20" fillId="2" borderId="0" xfId="0" applyNumberFormat="1" applyFont="1" applyFill="1"/>
    <xf numFmtId="0" fontId="45" fillId="2" borderId="0" xfId="0" applyFont="1" applyFill="1" applyAlignment="1">
      <alignment horizontal="right"/>
    </xf>
    <xf numFmtId="174" fontId="20" fillId="0" borderId="1" xfId="23" applyNumberFormat="1" applyFont="1" applyFill="1" applyBorder="1" applyAlignment="1">
      <alignment horizontal="center" vertical="center"/>
    </xf>
    <xf numFmtId="174" fontId="20" fillId="7" borderId="1" xfId="23" applyNumberFormat="1" applyFont="1" applyFill="1" applyBorder="1" applyAlignment="1">
      <alignment horizontal="center" vertical="center"/>
    </xf>
    <xf numFmtId="0" fontId="53" fillId="27" borderId="1" xfId="0" applyFont="1" applyFill="1" applyBorder="1" applyAlignment="1">
      <alignment horizontal="left" vertical="center"/>
    </xf>
    <xf numFmtId="4" fontId="21" fillId="28" borderId="19" xfId="23" applyNumberFormat="1" applyFont="1" applyFill="1" applyBorder="1" applyAlignment="1">
      <alignment horizontal="center" vertical="center"/>
    </xf>
    <xf numFmtId="4" fontId="21" fillId="28" borderId="5" xfId="23" applyNumberFormat="1" applyFont="1" applyFill="1" applyBorder="1" applyAlignment="1">
      <alignment horizontal="center" vertical="center"/>
    </xf>
    <xf numFmtId="173" fontId="21" fillId="40" borderId="19" xfId="23" applyNumberFormat="1" applyFont="1" applyFill="1" applyBorder="1" applyAlignment="1">
      <alignment horizontal="center" vertical="center"/>
    </xf>
    <xf numFmtId="173" fontId="21" fillId="40" borderId="5" xfId="23" applyNumberFormat="1" applyFont="1" applyFill="1" applyBorder="1" applyAlignment="1">
      <alignment horizontal="center" vertical="center"/>
    </xf>
    <xf numFmtId="174" fontId="19" fillId="4" borderId="1" xfId="23" applyNumberFormat="1" applyFont="1" applyFill="1" applyBorder="1" applyAlignment="1">
      <alignment horizontal="center" vertical="center"/>
    </xf>
    <xf numFmtId="0" fontId="54" fillId="0" borderId="0" xfId="861"/>
    <xf numFmtId="4" fontId="54" fillId="0" borderId="0" xfId="861" applyNumberFormat="1"/>
    <xf numFmtId="0" fontId="54" fillId="0" borderId="8" xfId="861" applyBorder="1"/>
    <xf numFmtId="4" fontId="54" fillId="0" borderId="9" xfId="861" applyNumberFormat="1" applyBorder="1"/>
    <xf numFmtId="0" fontId="54" fillId="0" borderId="10" xfId="861" applyBorder="1"/>
    <xf numFmtId="0" fontId="54" fillId="0" borderId="25" xfId="861" applyBorder="1"/>
    <xf numFmtId="0" fontId="54" fillId="0" borderId="26" xfId="861" applyBorder="1"/>
    <xf numFmtId="4" fontId="54" fillId="0" borderId="12" xfId="861" applyNumberFormat="1" applyBorder="1"/>
    <xf numFmtId="0" fontId="54" fillId="0" borderId="13" xfId="861" applyBorder="1"/>
    <xf numFmtId="10" fontId="17" fillId="35" borderId="19" xfId="0" applyNumberFormat="1" applyFont="1" applyFill="1" applyBorder="1"/>
    <xf numFmtId="10" fontId="17" fillId="35" borderId="5" xfId="0" applyNumberFormat="1" applyFont="1" applyFill="1" applyBorder="1"/>
    <xf numFmtId="4" fontId="22" fillId="41" borderId="0" xfId="23" applyNumberFormat="1" applyFont="1" applyFill="1" applyBorder="1" applyAlignment="1">
      <alignment horizontal="center" vertical="center"/>
    </xf>
    <xf numFmtId="4" fontId="17" fillId="42" borderId="0" xfId="23" applyNumberFormat="1" applyFont="1" applyFill="1" applyBorder="1" applyAlignment="1">
      <alignment horizontal="center" vertical="center"/>
    </xf>
    <xf numFmtId="4" fontId="17" fillId="35" borderId="1" xfId="23" applyNumberFormat="1" applyFont="1" applyFill="1" applyBorder="1" applyAlignment="1">
      <alignment horizontal="center" vertical="center"/>
    </xf>
    <xf numFmtId="9" fontId="19" fillId="4" borderId="1" xfId="16" applyFont="1" applyFill="1" applyBorder="1" applyAlignment="1">
      <alignment horizontal="center" vertical="center"/>
    </xf>
    <xf numFmtId="4" fontId="22" fillId="36" borderId="1" xfId="23" applyNumberFormat="1" applyFont="1" applyFill="1" applyBorder="1" applyAlignment="1">
      <alignment horizontal="center" vertical="center"/>
    </xf>
    <xf numFmtId="166" fontId="22" fillId="11" borderId="23" xfId="0" applyNumberFormat="1" applyFont="1" applyFill="1" applyBorder="1" applyAlignment="1">
      <alignment horizontal="center"/>
    </xf>
    <xf numFmtId="38" fontId="17" fillId="30" borderId="1" xfId="23" applyNumberFormat="1" applyFont="1" applyFill="1" applyBorder="1" applyAlignment="1">
      <alignment horizontal="left" vertical="center"/>
    </xf>
    <xf numFmtId="4" fontId="17" fillId="30" borderId="1" xfId="23" applyNumberFormat="1" applyFont="1" applyFill="1" applyBorder="1" applyAlignment="1">
      <alignment horizontal="center" vertical="center"/>
    </xf>
    <xf numFmtId="165" fontId="19" fillId="5" borderId="7" xfId="0" applyNumberFormat="1" applyFont="1" applyFill="1" applyBorder="1"/>
    <xf numFmtId="0" fontId="9" fillId="11" borderId="1" xfId="0" applyFont="1" applyFill="1" applyBorder="1" applyAlignment="1">
      <alignment horizontal="center" vertical="center" wrapText="1"/>
    </xf>
    <xf numFmtId="174" fontId="20" fillId="4" borderId="1" xfId="23" applyNumberFormat="1" applyFont="1" applyFill="1" applyBorder="1" applyAlignment="1">
      <alignment horizontal="center" vertical="center"/>
    </xf>
    <xf numFmtId="0" fontId="55" fillId="3" borderId="0" xfId="0" applyFont="1" applyFill="1"/>
    <xf numFmtId="0" fontId="56" fillId="3" borderId="0" xfId="0" applyFont="1" applyFill="1"/>
    <xf numFmtId="181" fontId="55" fillId="3" borderId="0" xfId="0" applyNumberFormat="1" applyFont="1" applyFill="1"/>
    <xf numFmtId="181" fontId="56" fillId="3" borderId="0" xfId="0" applyNumberFormat="1" applyFont="1" applyFill="1"/>
    <xf numFmtId="181" fontId="56" fillId="3" borderId="0" xfId="0" applyNumberFormat="1" applyFont="1" applyFill="1" applyAlignment="1">
      <alignment horizontal="right"/>
    </xf>
    <xf numFmtId="173" fontId="22" fillId="30" borderId="23" xfId="23" applyNumberFormat="1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right"/>
    </xf>
    <xf numFmtId="4" fontId="19" fillId="2" borderId="26" xfId="0" applyNumberFormat="1" applyFont="1" applyFill="1" applyBorder="1"/>
    <xf numFmtId="0" fontId="21" fillId="43" borderId="21" xfId="0" applyFont="1" applyFill="1" applyBorder="1" applyAlignment="1">
      <alignment horizontal="right"/>
    </xf>
    <xf numFmtId="4" fontId="21" fillId="43" borderId="51" xfId="0" applyNumberFormat="1" applyFont="1" applyFill="1" applyBorder="1"/>
    <xf numFmtId="4" fontId="21" fillId="43" borderId="22" xfId="0" applyNumberFormat="1" applyFont="1" applyFill="1" applyBorder="1"/>
    <xf numFmtId="173" fontId="22" fillId="28" borderId="1" xfId="23" applyNumberFormat="1" applyFont="1" applyFill="1" applyBorder="1" applyAlignment="1">
      <alignment horizontal="center" vertical="center"/>
    </xf>
    <xf numFmtId="173" fontId="21" fillId="2" borderId="0" xfId="0" applyNumberFormat="1" applyFont="1" applyFill="1"/>
    <xf numFmtId="0" fontId="54" fillId="0" borderId="0" xfId="861" applyAlignment="1">
      <alignment horizontal="left"/>
    </xf>
    <xf numFmtId="0" fontId="6" fillId="3" borderId="0" xfId="0" applyFont="1" applyFill="1"/>
    <xf numFmtId="0" fontId="21" fillId="43" borderId="52" xfId="0" applyFont="1" applyFill="1" applyBorder="1" applyAlignment="1">
      <alignment horizontal="right" vertical="center"/>
    </xf>
    <xf numFmtId="166" fontId="21" fillId="43" borderId="50" xfId="0" applyNumberFormat="1" applyFont="1" applyFill="1" applyBorder="1" applyAlignment="1">
      <alignment vertical="center"/>
    </xf>
    <xf numFmtId="166" fontId="21" fillId="43" borderId="53" xfId="0" applyNumberFormat="1" applyFont="1" applyFill="1" applyBorder="1" applyAlignment="1">
      <alignment vertical="center"/>
    </xf>
    <xf numFmtId="0" fontId="19" fillId="2" borderId="11" xfId="0" applyFont="1" applyFill="1" applyBorder="1" applyAlignment="1">
      <alignment horizontal="right"/>
    </xf>
    <xf numFmtId="4" fontId="19" fillId="2" borderId="12" xfId="0" applyNumberFormat="1" applyFont="1" applyFill="1" applyBorder="1"/>
    <xf numFmtId="4" fontId="19" fillId="2" borderId="13" xfId="0" applyNumberFormat="1" applyFont="1" applyFill="1" applyBorder="1"/>
    <xf numFmtId="169" fontId="54" fillId="0" borderId="0" xfId="861" applyNumberFormat="1"/>
    <xf numFmtId="182" fontId="19" fillId="2" borderId="0" xfId="23" applyNumberFormat="1" applyFont="1" applyFill="1"/>
    <xf numFmtId="0" fontId="19" fillId="0" borderId="0" xfId="25" applyFont="1" applyAlignment="1">
      <alignment horizontal="center"/>
    </xf>
    <xf numFmtId="167" fontId="21" fillId="0" borderId="0" xfId="23" applyNumberFormat="1" applyFont="1" applyFill="1" applyBorder="1"/>
    <xf numFmtId="167" fontId="21" fillId="0" borderId="0" xfId="25" applyNumberFormat="1" applyFont="1"/>
    <xf numFmtId="0" fontId="52" fillId="0" borderId="0" xfId="0" applyFont="1"/>
    <xf numFmtId="168" fontId="19" fillId="0" borderId="0" xfId="23" applyNumberFormat="1" applyFont="1" applyFill="1" applyBorder="1" applyAlignment="1">
      <alignment horizontal="center" vertical="center"/>
    </xf>
    <xf numFmtId="0" fontId="57" fillId="30" borderId="19" xfId="0" applyFont="1" applyFill="1" applyBorder="1" applyAlignment="1">
      <alignment horizontal="center" vertical="center"/>
    </xf>
    <xf numFmtId="0" fontId="57" fillId="30" borderId="5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left" vertical="center" wrapText="1"/>
    </xf>
    <xf numFmtId="0" fontId="15" fillId="6" borderId="17" xfId="0" applyFont="1" applyFill="1" applyBorder="1" applyAlignment="1">
      <alignment horizontal="left" vertical="center" wrapText="1"/>
    </xf>
    <xf numFmtId="166" fontId="26" fillId="3" borderId="15" xfId="0" applyNumberFormat="1" applyFont="1" applyFill="1" applyBorder="1" applyAlignment="1">
      <alignment horizontal="center" vertical="center" wrapText="1"/>
    </xf>
    <xf numFmtId="0" fontId="33" fillId="6" borderId="20" xfId="0" applyFont="1" applyFill="1" applyBorder="1" applyAlignment="1">
      <alignment horizontal="left" vertical="center"/>
    </xf>
    <xf numFmtId="0" fontId="33" fillId="6" borderId="14" xfId="0" applyFont="1" applyFill="1" applyBorder="1" applyAlignment="1">
      <alignment horizontal="left" vertical="center"/>
    </xf>
    <xf numFmtId="166" fontId="15" fillId="6" borderId="5" xfId="0" applyNumberFormat="1" applyFont="1" applyFill="1" applyBorder="1" applyAlignment="1">
      <alignment horizontal="center" vertical="center" wrapText="1"/>
    </xf>
    <xf numFmtId="166" fontId="15" fillId="6" borderId="7" xfId="0" applyNumberFormat="1" applyFont="1" applyFill="1" applyBorder="1" applyAlignment="1">
      <alignment horizontal="center" vertical="center" wrapText="1"/>
    </xf>
    <xf numFmtId="12" fontId="21" fillId="11" borderId="16" xfId="23" applyNumberFormat="1" applyFont="1" applyFill="1" applyBorder="1" applyAlignment="1">
      <alignment horizontal="center" vertical="center"/>
    </xf>
    <xf numFmtId="12" fontId="21" fillId="11" borderId="17" xfId="23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 wrapText="1"/>
    </xf>
    <xf numFmtId="0" fontId="9" fillId="11" borderId="0" xfId="0" applyFont="1" applyFill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</cellXfs>
  <cellStyles count="862">
    <cellStyle name="20% - Ênfase1 10" xfId="71"/>
    <cellStyle name="20% - Ênfase1 10 2" xfId="72"/>
    <cellStyle name="20% - Ênfase1 11" xfId="73"/>
    <cellStyle name="20% - Ênfase1 11 2" xfId="74"/>
    <cellStyle name="20% - Ênfase1 12" xfId="75"/>
    <cellStyle name="20% - Ênfase1 12 2" xfId="76"/>
    <cellStyle name="20% - Ênfase1 13" xfId="77"/>
    <cellStyle name="20% - Ênfase1 13 2" xfId="78"/>
    <cellStyle name="20% - Ênfase1 14" xfId="79"/>
    <cellStyle name="20% - Ênfase1 14 2" xfId="80"/>
    <cellStyle name="20% - Ênfase1 15" xfId="81"/>
    <cellStyle name="20% - Ênfase1 15 2" xfId="82"/>
    <cellStyle name="20% - Ênfase1 16" xfId="83"/>
    <cellStyle name="20% - Ênfase1 16 2" xfId="84"/>
    <cellStyle name="20% - Ênfase1 17" xfId="85"/>
    <cellStyle name="20% - Ênfase1 17 2" xfId="86"/>
    <cellStyle name="20% - Ênfase1 18" xfId="87"/>
    <cellStyle name="20% - Ênfase1 18 2" xfId="88"/>
    <cellStyle name="20% - Ênfase1 19" xfId="89"/>
    <cellStyle name="20% - Ênfase1 19 2" xfId="90"/>
    <cellStyle name="20% - Ênfase1 2" xfId="91"/>
    <cellStyle name="20% - Ênfase1 2 2" xfId="92"/>
    <cellStyle name="20% - Ênfase1 20" xfId="93"/>
    <cellStyle name="20% - Ênfase1 20 2" xfId="94"/>
    <cellStyle name="20% - Ênfase1 21" xfId="95"/>
    <cellStyle name="20% - Ênfase1 21 2" xfId="96"/>
    <cellStyle name="20% - Ênfase1 22" xfId="97"/>
    <cellStyle name="20% - Ênfase1 22 2" xfId="98"/>
    <cellStyle name="20% - Ênfase1 23" xfId="99"/>
    <cellStyle name="20% - Ênfase1 23 2" xfId="100"/>
    <cellStyle name="20% - Ênfase1 24" xfId="101"/>
    <cellStyle name="20% - Ênfase1 24 2" xfId="102"/>
    <cellStyle name="20% - Ênfase1 25" xfId="103"/>
    <cellStyle name="20% - Ênfase1 26" xfId="104"/>
    <cellStyle name="20% - Ênfase1 27" xfId="105"/>
    <cellStyle name="20% - Ênfase1 28" xfId="106"/>
    <cellStyle name="20% - Ênfase1 29" xfId="107"/>
    <cellStyle name="20% - Ênfase1 3" xfId="108"/>
    <cellStyle name="20% - Ênfase1 3 2" xfId="109"/>
    <cellStyle name="20% - Ênfase1 30" xfId="110"/>
    <cellStyle name="20% - Ênfase1 31" xfId="111"/>
    <cellStyle name="20% - Ênfase1 32" xfId="112"/>
    <cellStyle name="20% - Ênfase1 33" xfId="113"/>
    <cellStyle name="20% - Ênfase1 34" xfId="114"/>
    <cellStyle name="20% - Ênfase1 35" xfId="115"/>
    <cellStyle name="20% - Ênfase1 36" xfId="116"/>
    <cellStyle name="20% - Ênfase1 4" xfId="117"/>
    <cellStyle name="20% - Ênfase1 4 2" xfId="118"/>
    <cellStyle name="20% - Ênfase1 5" xfId="119"/>
    <cellStyle name="20% - Ênfase1 5 2" xfId="120"/>
    <cellStyle name="20% - Ênfase1 6" xfId="121"/>
    <cellStyle name="20% - Ênfase1 6 2" xfId="122"/>
    <cellStyle name="20% - Ênfase1 7" xfId="123"/>
    <cellStyle name="20% - Ênfase1 7 2" xfId="124"/>
    <cellStyle name="20% - Ênfase1 8" xfId="125"/>
    <cellStyle name="20% - Ênfase1 8 2" xfId="126"/>
    <cellStyle name="20% - Ênfase1 9" xfId="127"/>
    <cellStyle name="20% - Ênfase1 9 2" xfId="128"/>
    <cellStyle name="20% - Ênfase2 10" xfId="129"/>
    <cellStyle name="20% - Ênfase2 10 2" xfId="130"/>
    <cellStyle name="20% - Ênfase2 11" xfId="131"/>
    <cellStyle name="20% - Ênfase2 11 2" xfId="132"/>
    <cellStyle name="20% - Ênfase2 12" xfId="133"/>
    <cellStyle name="20% - Ênfase2 12 2" xfId="134"/>
    <cellStyle name="20% - Ênfase2 13" xfId="135"/>
    <cellStyle name="20% - Ênfase2 13 2" xfId="136"/>
    <cellStyle name="20% - Ênfase2 14" xfId="137"/>
    <cellStyle name="20% - Ênfase2 14 2" xfId="138"/>
    <cellStyle name="20% - Ênfase2 15" xfId="139"/>
    <cellStyle name="20% - Ênfase2 15 2" xfId="140"/>
    <cellStyle name="20% - Ênfase2 16" xfId="141"/>
    <cellStyle name="20% - Ênfase2 16 2" xfId="142"/>
    <cellStyle name="20% - Ênfase2 17" xfId="143"/>
    <cellStyle name="20% - Ênfase2 17 2" xfId="144"/>
    <cellStyle name="20% - Ênfase2 18" xfId="145"/>
    <cellStyle name="20% - Ênfase2 18 2" xfId="146"/>
    <cellStyle name="20% - Ênfase2 19" xfId="147"/>
    <cellStyle name="20% - Ênfase2 19 2" xfId="148"/>
    <cellStyle name="20% - Ênfase2 2" xfId="149"/>
    <cellStyle name="20% - Ênfase2 2 2" xfId="150"/>
    <cellStyle name="20% - Ênfase2 20" xfId="151"/>
    <cellStyle name="20% - Ênfase2 20 2" xfId="152"/>
    <cellStyle name="20% - Ênfase2 21" xfId="153"/>
    <cellStyle name="20% - Ênfase2 21 2" xfId="154"/>
    <cellStyle name="20% - Ênfase2 22" xfId="155"/>
    <cellStyle name="20% - Ênfase2 22 2" xfId="156"/>
    <cellStyle name="20% - Ênfase2 23" xfId="157"/>
    <cellStyle name="20% - Ênfase2 23 2" xfId="158"/>
    <cellStyle name="20% - Ênfase2 24" xfId="159"/>
    <cellStyle name="20% - Ênfase2 24 2" xfId="160"/>
    <cellStyle name="20% - Ênfase2 25" xfId="161"/>
    <cellStyle name="20% - Ênfase2 26" xfId="162"/>
    <cellStyle name="20% - Ênfase2 27" xfId="163"/>
    <cellStyle name="20% - Ênfase2 28" xfId="164"/>
    <cellStyle name="20% - Ênfase2 29" xfId="165"/>
    <cellStyle name="20% - Ênfase2 3" xfId="166"/>
    <cellStyle name="20% - Ênfase2 3 2" xfId="167"/>
    <cellStyle name="20% - Ênfase2 30" xfId="168"/>
    <cellStyle name="20% - Ênfase2 31" xfId="169"/>
    <cellStyle name="20% - Ênfase2 32" xfId="170"/>
    <cellStyle name="20% - Ênfase2 33" xfId="171"/>
    <cellStyle name="20% - Ênfase2 34" xfId="172"/>
    <cellStyle name="20% - Ênfase2 35" xfId="173"/>
    <cellStyle name="20% - Ênfase2 36" xfId="174"/>
    <cellStyle name="20% - Ênfase2 4" xfId="175"/>
    <cellStyle name="20% - Ênfase2 4 2" xfId="176"/>
    <cellStyle name="20% - Ênfase2 5" xfId="177"/>
    <cellStyle name="20% - Ênfase2 5 2" xfId="178"/>
    <cellStyle name="20% - Ênfase2 6" xfId="179"/>
    <cellStyle name="20% - Ênfase2 6 2" xfId="180"/>
    <cellStyle name="20% - Ênfase2 7" xfId="181"/>
    <cellStyle name="20% - Ênfase2 7 2" xfId="182"/>
    <cellStyle name="20% - Ênfase2 8" xfId="183"/>
    <cellStyle name="20% - Ênfase2 8 2" xfId="184"/>
    <cellStyle name="20% - Ênfase2 9" xfId="185"/>
    <cellStyle name="20% - Ênfase2 9 2" xfId="186"/>
    <cellStyle name="20% - Ênfase3 10" xfId="187"/>
    <cellStyle name="20% - Ênfase3 10 2" xfId="188"/>
    <cellStyle name="20% - Ênfase3 11" xfId="189"/>
    <cellStyle name="20% - Ênfase3 11 2" xfId="190"/>
    <cellStyle name="20% - Ênfase3 12" xfId="191"/>
    <cellStyle name="20% - Ênfase3 12 2" xfId="192"/>
    <cellStyle name="20% - Ênfase3 13" xfId="193"/>
    <cellStyle name="20% - Ênfase3 13 2" xfId="194"/>
    <cellStyle name="20% - Ênfase3 14" xfId="195"/>
    <cellStyle name="20% - Ênfase3 14 2" xfId="196"/>
    <cellStyle name="20% - Ênfase3 15" xfId="197"/>
    <cellStyle name="20% - Ênfase3 15 2" xfId="198"/>
    <cellStyle name="20% - Ênfase3 16" xfId="199"/>
    <cellStyle name="20% - Ênfase3 16 2" xfId="200"/>
    <cellStyle name="20% - Ênfase3 17" xfId="201"/>
    <cellStyle name="20% - Ênfase3 17 2" xfId="202"/>
    <cellStyle name="20% - Ênfase3 18" xfId="203"/>
    <cellStyle name="20% - Ênfase3 18 2" xfId="204"/>
    <cellStyle name="20% - Ênfase3 19" xfId="205"/>
    <cellStyle name="20% - Ênfase3 19 2" xfId="206"/>
    <cellStyle name="20% - Ênfase3 2" xfId="207"/>
    <cellStyle name="20% - Ênfase3 2 2" xfId="208"/>
    <cellStyle name="20% - Ênfase3 20" xfId="209"/>
    <cellStyle name="20% - Ênfase3 20 2" xfId="210"/>
    <cellStyle name="20% - Ênfase3 21" xfId="211"/>
    <cellStyle name="20% - Ênfase3 21 2" xfId="212"/>
    <cellStyle name="20% - Ênfase3 22" xfId="213"/>
    <cellStyle name="20% - Ênfase3 22 2" xfId="214"/>
    <cellStyle name="20% - Ênfase3 23" xfId="215"/>
    <cellStyle name="20% - Ênfase3 23 2" xfId="216"/>
    <cellStyle name="20% - Ênfase3 24" xfId="217"/>
    <cellStyle name="20% - Ênfase3 24 2" xfId="218"/>
    <cellStyle name="20% - Ênfase3 25" xfId="219"/>
    <cellStyle name="20% - Ênfase3 26" xfId="220"/>
    <cellStyle name="20% - Ênfase3 27" xfId="221"/>
    <cellStyle name="20% - Ênfase3 28" xfId="222"/>
    <cellStyle name="20% - Ênfase3 29" xfId="223"/>
    <cellStyle name="20% - Ênfase3 3" xfId="224"/>
    <cellStyle name="20% - Ênfase3 3 2" xfId="225"/>
    <cellStyle name="20% - Ênfase3 30" xfId="226"/>
    <cellStyle name="20% - Ênfase3 31" xfId="227"/>
    <cellStyle name="20% - Ênfase3 32" xfId="228"/>
    <cellStyle name="20% - Ênfase3 33" xfId="229"/>
    <cellStyle name="20% - Ênfase3 34" xfId="230"/>
    <cellStyle name="20% - Ênfase3 35" xfId="231"/>
    <cellStyle name="20% - Ênfase3 36" xfId="232"/>
    <cellStyle name="20% - Ênfase3 4" xfId="233"/>
    <cellStyle name="20% - Ênfase3 4 2" xfId="234"/>
    <cellStyle name="20% - Ênfase3 5" xfId="235"/>
    <cellStyle name="20% - Ênfase3 5 2" xfId="236"/>
    <cellStyle name="20% - Ênfase3 6" xfId="237"/>
    <cellStyle name="20% - Ênfase3 6 2" xfId="238"/>
    <cellStyle name="20% - Ênfase3 7" xfId="239"/>
    <cellStyle name="20% - Ênfase3 7 2" xfId="240"/>
    <cellStyle name="20% - Ênfase3 8" xfId="241"/>
    <cellStyle name="20% - Ênfase3 8 2" xfId="242"/>
    <cellStyle name="20% - Ênfase3 9" xfId="243"/>
    <cellStyle name="20% - Ênfase3 9 2" xfId="244"/>
    <cellStyle name="20% - Ênfase4 10" xfId="245"/>
    <cellStyle name="20% - Ênfase4 10 2" xfId="246"/>
    <cellStyle name="20% - Ênfase4 11" xfId="247"/>
    <cellStyle name="20% - Ênfase4 11 2" xfId="248"/>
    <cellStyle name="20% - Ênfase4 12" xfId="249"/>
    <cellStyle name="20% - Ênfase4 12 2" xfId="250"/>
    <cellStyle name="20% - Ênfase4 13" xfId="251"/>
    <cellStyle name="20% - Ênfase4 13 2" xfId="252"/>
    <cellStyle name="20% - Ênfase4 14" xfId="253"/>
    <cellStyle name="20% - Ênfase4 14 2" xfId="254"/>
    <cellStyle name="20% - Ênfase4 15" xfId="255"/>
    <cellStyle name="20% - Ênfase4 15 2" xfId="256"/>
    <cellStyle name="20% - Ênfase4 16" xfId="257"/>
    <cellStyle name="20% - Ênfase4 16 2" xfId="258"/>
    <cellStyle name="20% - Ênfase4 17" xfId="259"/>
    <cellStyle name="20% - Ênfase4 17 2" xfId="260"/>
    <cellStyle name="20% - Ênfase4 18" xfId="261"/>
    <cellStyle name="20% - Ênfase4 18 2" xfId="262"/>
    <cellStyle name="20% - Ênfase4 19" xfId="263"/>
    <cellStyle name="20% - Ênfase4 19 2" xfId="264"/>
    <cellStyle name="20% - Ênfase4 2" xfId="265"/>
    <cellStyle name="20% - Ênfase4 2 2" xfId="266"/>
    <cellStyle name="20% - Ênfase4 20" xfId="267"/>
    <cellStyle name="20% - Ênfase4 20 2" xfId="268"/>
    <cellStyle name="20% - Ênfase4 21" xfId="269"/>
    <cellStyle name="20% - Ênfase4 21 2" xfId="270"/>
    <cellStyle name="20% - Ênfase4 22" xfId="271"/>
    <cellStyle name="20% - Ênfase4 22 2" xfId="272"/>
    <cellStyle name="20% - Ênfase4 23" xfId="273"/>
    <cellStyle name="20% - Ênfase4 23 2" xfId="274"/>
    <cellStyle name="20% - Ênfase4 24" xfId="275"/>
    <cellStyle name="20% - Ênfase4 24 2" xfId="276"/>
    <cellStyle name="20% - Ênfase4 25" xfId="277"/>
    <cellStyle name="20% - Ênfase4 26" xfId="278"/>
    <cellStyle name="20% - Ênfase4 27" xfId="279"/>
    <cellStyle name="20% - Ênfase4 28" xfId="280"/>
    <cellStyle name="20% - Ênfase4 29" xfId="281"/>
    <cellStyle name="20% - Ênfase4 3" xfId="282"/>
    <cellStyle name="20% - Ênfase4 3 2" xfId="283"/>
    <cellStyle name="20% - Ênfase4 30" xfId="284"/>
    <cellStyle name="20% - Ênfase4 31" xfId="285"/>
    <cellStyle name="20% - Ênfase4 32" xfId="286"/>
    <cellStyle name="20% - Ênfase4 33" xfId="287"/>
    <cellStyle name="20% - Ênfase4 34" xfId="288"/>
    <cellStyle name="20% - Ênfase4 35" xfId="289"/>
    <cellStyle name="20% - Ênfase4 36" xfId="290"/>
    <cellStyle name="20% - Ênfase4 4" xfId="291"/>
    <cellStyle name="20% - Ênfase4 4 2" xfId="292"/>
    <cellStyle name="20% - Ênfase4 5" xfId="293"/>
    <cellStyle name="20% - Ênfase4 5 2" xfId="294"/>
    <cellStyle name="20% - Ênfase4 6" xfId="295"/>
    <cellStyle name="20% - Ênfase4 6 2" xfId="296"/>
    <cellStyle name="20% - Ênfase4 7" xfId="297"/>
    <cellStyle name="20% - Ênfase4 7 2" xfId="298"/>
    <cellStyle name="20% - Ênfase4 8" xfId="299"/>
    <cellStyle name="20% - Ênfase4 8 2" xfId="300"/>
    <cellStyle name="20% - Ênfase4 9" xfId="301"/>
    <cellStyle name="20% - Ênfase4 9 2" xfId="302"/>
    <cellStyle name="20% - Ênfase5 10" xfId="303"/>
    <cellStyle name="20% - Ênfase5 10 2" xfId="304"/>
    <cellStyle name="20% - Ênfase5 11" xfId="305"/>
    <cellStyle name="20% - Ênfase5 11 2" xfId="306"/>
    <cellStyle name="20% - Ênfase5 12" xfId="307"/>
    <cellStyle name="20% - Ênfase5 12 2" xfId="308"/>
    <cellStyle name="20% - Ênfase5 13" xfId="309"/>
    <cellStyle name="20% - Ênfase5 13 2" xfId="310"/>
    <cellStyle name="20% - Ênfase5 14" xfId="311"/>
    <cellStyle name="20% - Ênfase5 14 2" xfId="312"/>
    <cellStyle name="20% - Ênfase5 15" xfId="313"/>
    <cellStyle name="20% - Ênfase5 15 2" xfId="314"/>
    <cellStyle name="20% - Ênfase5 16" xfId="315"/>
    <cellStyle name="20% - Ênfase5 16 2" xfId="316"/>
    <cellStyle name="20% - Ênfase5 17" xfId="317"/>
    <cellStyle name="20% - Ênfase5 17 2" xfId="318"/>
    <cellStyle name="20% - Ênfase5 18" xfId="319"/>
    <cellStyle name="20% - Ênfase5 18 2" xfId="320"/>
    <cellStyle name="20% - Ênfase5 19" xfId="321"/>
    <cellStyle name="20% - Ênfase5 19 2" xfId="322"/>
    <cellStyle name="20% - Ênfase5 2" xfId="323"/>
    <cellStyle name="20% - Ênfase5 2 2" xfId="324"/>
    <cellStyle name="20% - Ênfase5 20" xfId="325"/>
    <cellStyle name="20% - Ênfase5 20 2" xfId="326"/>
    <cellStyle name="20% - Ênfase5 21" xfId="327"/>
    <cellStyle name="20% - Ênfase5 21 2" xfId="328"/>
    <cellStyle name="20% - Ênfase5 22" xfId="329"/>
    <cellStyle name="20% - Ênfase5 22 2" xfId="330"/>
    <cellStyle name="20% - Ênfase5 23" xfId="331"/>
    <cellStyle name="20% - Ênfase5 23 2" xfId="332"/>
    <cellStyle name="20% - Ênfase5 24" xfId="333"/>
    <cellStyle name="20% - Ênfase5 24 2" xfId="334"/>
    <cellStyle name="20% - Ênfase5 25" xfId="335"/>
    <cellStyle name="20% - Ênfase5 26" xfId="336"/>
    <cellStyle name="20% - Ênfase5 27" xfId="337"/>
    <cellStyle name="20% - Ênfase5 28" xfId="338"/>
    <cellStyle name="20% - Ênfase5 29" xfId="339"/>
    <cellStyle name="20% - Ênfase5 3" xfId="340"/>
    <cellStyle name="20% - Ênfase5 3 2" xfId="341"/>
    <cellStyle name="20% - Ênfase5 30" xfId="342"/>
    <cellStyle name="20% - Ênfase5 31" xfId="343"/>
    <cellStyle name="20% - Ênfase5 32" xfId="344"/>
    <cellStyle name="20% - Ênfase5 33" xfId="345"/>
    <cellStyle name="20% - Ênfase5 34" xfId="346"/>
    <cellStyle name="20% - Ênfase5 35" xfId="347"/>
    <cellStyle name="20% - Ênfase5 36" xfId="348"/>
    <cellStyle name="20% - Ênfase5 4" xfId="349"/>
    <cellStyle name="20% - Ênfase5 4 2" xfId="350"/>
    <cellStyle name="20% - Ênfase5 5" xfId="351"/>
    <cellStyle name="20% - Ênfase5 5 2" xfId="352"/>
    <cellStyle name="20% - Ênfase5 6" xfId="353"/>
    <cellStyle name="20% - Ênfase5 6 2" xfId="354"/>
    <cellStyle name="20% - Ênfase5 7" xfId="355"/>
    <cellStyle name="20% - Ênfase5 7 2" xfId="356"/>
    <cellStyle name="20% - Ênfase5 8" xfId="357"/>
    <cellStyle name="20% - Ênfase5 8 2" xfId="358"/>
    <cellStyle name="20% - Ênfase5 9" xfId="359"/>
    <cellStyle name="20% - Ênfase5 9 2" xfId="360"/>
    <cellStyle name="20% - Ênfase6 10" xfId="361"/>
    <cellStyle name="20% - Ênfase6 10 2" xfId="362"/>
    <cellStyle name="20% - Ênfase6 11" xfId="363"/>
    <cellStyle name="20% - Ênfase6 11 2" xfId="364"/>
    <cellStyle name="20% - Ênfase6 12" xfId="365"/>
    <cellStyle name="20% - Ênfase6 12 2" xfId="366"/>
    <cellStyle name="20% - Ênfase6 13" xfId="367"/>
    <cellStyle name="20% - Ênfase6 13 2" xfId="368"/>
    <cellStyle name="20% - Ênfase6 14" xfId="369"/>
    <cellStyle name="20% - Ênfase6 14 2" xfId="370"/>
    <cellStyle name="20% - Ênfase6 15" xfId="371"/>
    <cellStyle name="20% - Ênfase6 15 2" xfId="372"/>
    <cellStyle name="20% - Ênfase6 16" xfId="373"/>
    <cellStyle name="20% - Ênfase6 16 2" xfId="374"/>
    <cellStyle name="20% - Ênfase6 17" xfId="375"/>
    <cellStyle name="20% - Ênfase6 17 2" xfId="376"/>
    <cellStyle name="20% - Ênfase6 18" xfId="377"/>
    <cellStyle name="20% - Ênfase6 18 2" xfId="378"/>
    <cellStyle name="20% - Ênfase6 19" xfId="379"/>
    <cellStyle name="20% - Ênfase6 19 2" xfId="380"/>
    <cellStyle name="20% - Ênfase6 2" xfId="381"/>
    <cellStyle name="20% - Ênfase6 2 2" xfId="382"/>
    <cellStyle name="20% - Ênfase6 20" xfId="383"/>
    <cellStyle name="20% - Ênfase6 20 2" xfId="384"/>
    <cellStyle name="20% - Ênfase6 21" xfId="385"/>
    <cellStyle name="20% - Ênfase6 21 2" xfId="386"/>
    <cellStyle name="20% - Ênfase6 22" xfId="387"/>
    <cellStyle name="20% - Ênfase6 22 2" xfId="388"/>
    <cellStyle name="20% - Ênfase6 23" xfId="389"/>
    <cellStyle name="20% - Ênfase6 23 2" xfId="390"/>
    <cellStyle name="20% - Ênfase6 24" xfId="391"/>
    <cellStyle name="20% - Ênfase6 24 2" xfId="392"/>
    <cellStyle name="20% - Ênfase6 25" xfId="393"/>
    <cellStyle name="20% - Ênfase6 26" xfId="394"/>
    <cellStyle name="20% - Ênfase6 27" xfId="395"/>
    <cellStyle name="20% - Ênfase6 28" xfId="396"/>
    <cellStyle name="20% - Ênfase6 29" xfId="397"/>
    <cellStyle name="20% - Ênfase6 3" xfId="398"/>
    <cellStyle name="20% - Ênfase6 3 2" xfId="399"/>
    <cellStyle name="20% - Ênfase6 30" xfId="400"/>
    <cellStyle name="20% - Ênfase6 31" xfId="401"/>
    <cellStyle name="20% - Ênfase6 32" xfId="402"/>
    <cellStyle name="20% - Ênfase6 33" xfId="403"/>
    <cellStyle name="20% - Ênfase6 34" xfId="404"/>
    <cellStyle name="20% - Ênfase6 35" xfId="405"/>
    <cellStyle name="20% - Ênfase6 36" xfId="406"/>
    <cellStyle name="20% - Ênfase6 4" xfId="407"/>
    <cellStyle name="20% - Ênfase6 4 2" xfId="408"/>
    <cellStyle name="20% - Ênfase6 5" xfId="409"/>
    <cellStyle name="20% - Ênfase6 5 2" xfId="410"/>
    <cellStyle name="20% - Ênfase6 6" xfId="411"/>
    <cellStyle name="20% - Ênfase6 6 2" xfId="412"/>
    <cellStyle name="20% - Ênfase6 7" xfId="413"/>
    <cellStyle name="20% - Ênfase6 7 2" xfId="414"/>
    <cellStyle name="20% - Ênfase6 8" xfId="415"/>
    <cellStyle name="20% - Ênfase6 8 2" xfId="416"/>
    <cellStyle name="20% - Ênfase6 9" xfId="417"/>
    <cellStyle name="20% - Ênfase6 9 2" xfId="418"/>
    <cellStyle name="40% - Ênfase1 10" xfId="419"/>
    <cellStyle name="40% - Ênfase1 10 2" xfId="420"/>
    <cellStyle name="40% - Ênfase1 11" xfId="421"/>
    <cellStyle name="40% - Ênfase1 11 2" xfId="422"/>
    <cellStyle name="40% - Ênfase1 12" xfId="423"/>
    <cellStyle name="40% - Ênfase1 12 2" xfId="424"/>
    <cellStyle name="40% - Ênfase1 13" xfId="425"/>
    <cellStyle name="40% - Ênfase1 13 2" xfId="426"/>
    <cellStyle name="40% - Ênfase1 14" xfId="427"/>
    <cellStyle name="40% - Ênfase1 14 2" xfId="428"/>
    <cellStyle name="40% - Ênfase1 15" xfId="429"/>
    <cellStyle name="40% - Ênfase1 15 2" xfId="430"/>
    <cellStyle name="40% - Ênfase1 16" xfId="431"/>
    <cellStyle name="40% - Ênfase1 16 2" xfId="432"/>
    <cellStyle name="40% - Ênfase1 17" xfId="433"/>
    <cellStyle name="40% - Ênfase1 17 2" xfId="434"/>
    <cellStyle name="40% - Ênfase1 18" xfId="435"/>
    <cellStyle name="40% - Ênfase1 18 2" xfId="436"/>
    <cellStyle name="40% - Ênfase1 19" xfId="437"/>
    <cellStyle name="40% - Ênfase1 19 2" xfId="438"/>
    <cellStyle name="40% - Ênfase1 2" xfId="439"/>
    <cellStyle name="40% - Ênfase1 2 2" xfId="440"/>
    <cellStyle name="40% - Ênfase1 20" xfId="441"/>
    <cellStyle name="40% - Ênfase1 20 2" xfId="442"/>
    <cellStyle name="40% - Ênfase1 21" xfId="443"/>
    <cellStyle name="40% - Ênfase1 21 2" xfId="444"/>
    <cellStyle name="40% - Ênfase1 22" xfId="445"/>
    <cellStyle name="40% - Ênfase1 22 2" xfId="446"/>
    <cellStyle name="40% - Ênfase1 23" xfId="447"/>
    <cellStyle name="40% - Ênfase1 23 2" xfId="448"/>
    <cellStyle name="40% - Ênfase1 24" xfId="449"/>
    <cellStyle name="40% - Ênfase1 24 2" xfId="450"/>
    <cellStyle name="40% - Ênfase1 25" xfId="451"/>
    <cellStyle name="40% - Ênfase1 26" xfId="452"/>
    <cellStyle name="40% - Ênfase1 27" xfId="453"/>
    <cellStyle name="40% - Ênfase1 28" xfId="454"/>
    <cellStyle name="40% - Ênfase1 29" xfId="455"/>
    <cellStyle name="40% - Ênfase1 3" xfId="456"/>
    <cellStyle name="40% - Ênfase1 3 2" xfId="457"/>
    <cellStyle name="40% - Ênfase1 30" xfId="458"/>
    <cellStyle name="40% - Ênfase1 31" xfId="459"/>
    <cellStyle name="40% - Ênfase1 32" xfId="460"/>
    <cellStyle name="40% - Ênfase1 33" xfId="461"/>
    <cellStyle name="40% - Ênfase1 34" xfId="462"/>
    <cellStyle name="40% - Ênfase1 35" xfId="463"/>
    <cellStyle name="40% - Ênfase1 36" xfId="464"/>
    <cellStyle name="40% - Ênfase1 4" xfId="465"/>
    <cellStyle name="40% - Ênfase1 4 2" xfId="466"/>
    <cellStyle name="40% - Ênfase1 5" xfId="467"/>
    <cellStyle name="40% - Ênfase1 5 2" xfId="468"/>
    <cellStyle name="40% - Ênfase1 6" xfId="469"/>
    <cellStyle name="40% - Ênfase1 6 2" xfId="470"/>
    <cellStyle name="40% - Ênfase1 7" xfId="471"/>
    <cellStyle name="40% - Ênfase1 7 2" xfId="472"/>
    <cellStyle name="40% - Ênfase1 8" xfId="473"/>
    <cellStyle name="40% - Ênfase1 8 2" xfId="474"/>
    <cellStyle name="40% - Ênfase1 9" xfId="475"/>
    <cellStyle name="40% - Ênfase1 9 2" xfId="476"/>
    <cellStyle name="40% - Ênfase2 10" xfId="477"/>
    <cellStyle name="40% - Ênfase2 10 2" xfId="478"/>
    <cellStyle name="40% - Ênfase2 11" xfId="479"/>
    <cellStyle name="40% - Ênfase2 11 2" xfId="480"/>
    <cellStyle name="40% - Ênfase2 12" xfId="481"/>
    <cellStyle name="40% - Ênfase2 12 2" xfId="482"/>
    <cellStyle name="40% - Ênfase2 13" xfId="483"/>
    <cellStyle name="40% - Ênfase2 13 2" xfId="484"/>
    <cellStyle name="40% - Ênfase2 14" xfId="485"/>
    <cellStyle name="40% - Ênfase2 14 2" xfId="486"/>
    <cellStyle name="40% - Ênfase2 15" xfId="487"/>
    <cellStyle name="40% - Ênfase2 15 2" xfId="488"/>
    <cellStyle name="40% - Ênfase2 16" xfId="489"/>
    <cellStyle name="40% - Ênfase2 16 2" xfId="490"/>
    <cellStyle name="40% - Ênfase2 17" xfId="491"/>
    <cellStyle name="40% - Ênfase2 17 2" xfId="492"/>
    <cellStyle name="40% - Ênfase2 18" xfId="493"/>
    <cellStyle name="40% - Ênfase2 18 2" xfId="494"/>
    <cellStyle name="40% - Ênfase2 19" xfId="495"/>
    <cellStyle name="40% - Ênfase2 19 2" xfId="496"/>
    <cellStyle name="40% - Ênfase2 2" xfId="497"/>
    <cellStyle name="40% - Ênfase2 2 2" xfId="498"/>
    <cellStyle name="40% - Ênfase2 20" xfId="499"/>
    <cellStyle name="40% - Ênfase2 20 2" xfId="500"/>
    <cellStyle name="40% - Ênfase2 21" xfId="501"/>
    <cellStyle name="40% - Ênfase2 21 2" xfId="502"/>
    <cellStyle name="40% - Ênfase2 22" xfId="503"/>
    <cellStyle name="40% - Ênfase2 22 2" xfId="504"/>
    <cellStyle name="40% - Ênfase2 23" xfId="505"/>
    <cellStyle name="40% - Ênfase2 23 2" xfId="506"/>
    <cellStyle name="40% - Ênfase2 24" xfId="507"/>
    <cellStyle name="40% - Ênfase2 24 2" xfId="508"/>
    <cellStyle name="40% - Ênfase2 25" xfId="509"/>
    <cellStyle name="40% - Ênfase2 26" xfId="510"/>
    <cellStyle name="40% - Ênfase2 27" xfId="511"/>
    <cellStyle name="40% - Ênfase2 28" xfId="512"/>
    <cellStyle name="40% - Ênfase2 29" xfId="513"/>
    <cellStyle name="40% - Ênfase2 3" xfId="514"/>
    <cellStyle name="40% - Ênfase2 3 2" xfId="515"/>
    <cellStyle name="40% - Ênfase2 30" xfId="516"/>
    <cellStyle name="40% - Ênfase2 31" xfId="517"/>
    <cellStyle name="40% - Ênfase2 32" xfId="518"/>
    <cellStyle name="40% - Ênfase2 33" xfId="519"/>
    <cellStyle name="40% - Ênfase2 34" xfId="520"/>
    <cellStyle name="40% - Ênfase2 35" xfId="521"/>
    <cellStyle name="40% - Ênfase2 36" xfId="522"/>
    <cellStyle name="40% - Ênfase2 4" xfId="523"/>
    <cellStyle name="40% - Ênfase2 4 2" xfId="524"/>
    <cellStyle name="40% - Ênfase2 5" xfId="525"/>
    <cellStyle name="40% - Ênfase2 5 2" xfId="526"/>
    <cellStyle name="40% - Ênfase2 6" xfId="527"/>
    <cellStyle name="40% - Ênfase2 6 2" xfId="528"/>
    <cellStyle name="40% - Ênfase2 7" xfId="529"/>
    <cellStyle name="40% - Ênfase2 7 2" xfId="530"/>
    <cellStyle name="40% - Ênfase2 8" xfId="531"/>
    <cellStyle name="40% - Ênfase2 8 2" xfId="532"/>
    <cellStyle name="40% - Ênfase2 9" xfId="533"/>
    <cellStyle name="40% - Ênfase2 9 2" xfId="534"/>
    <cellStyle name="40% - Ênfase3 10" xfId="535"/>
    <cellStyle name="40% - Ênfase3 10 2" xfId="536"/>
    <cellStyle name="40% - Ênfase3 11" xfId="537"/>
    <cellStyle name="40% - Ênfase3 11 2" xfId="538"/>
    <cellStyle name="40% - Ênfase3 12" xfId="539"/>
    <cellStyle name="40% - Ênfase3 12 2" xfId="540"/>
    <cellStyle name="40% - Ênfase3 13" xfId="541"/>
    <cellStyle name="40% - Ênfase3 13 2" xfId="542"/>
    <cellStyle name="40% - Ênfase3 14" xfId="543"/>
    <cellStyle name="40% - Ênfase3 14 2" xfId="544"/>
    <cellStyle name="40% - Ênfase3 15" xfId="545"/>
    <cellStyle name="40% - Ênfase3 15 2" xfId="546"/>
    <cellStyle name="40% - Ênfase3 16" xfId="547"/>
    <cellStyle name="40% - Ênfase3 16 2" xfId="548"/>
    <cellStyle name="40% - Ênfase3 17" xfId="549"/>
    <cellStyle name="40% - Ênfase3 17 2" xfId="550"/>
    <cellStyle name="40% - Ênfase3 18" xfId="551"/>
    <cellStyle name="40% - Ênfase3 18 2" xfId="552"/>
    <cellStyle name="40% - Ênfase3 19" xfId="553"/>
    <cellStyle name="40% - Ênfase3 19 2" xfId="554"/>
    <cellStyle name="40% - Ênfase3 2" xfId="555"/>
    <cellStyle name="40% - Ênfase3 2 2" xfId="556"/>
    <cellStyle name="40% - Ênfase3 20" xfId="557"/>
    <cellStyle name="40% - Ênfase3 20 2" xfId="558"/>
    <cellStyle name="40% - Ênfase3 21" xfId="559"/>
    <cellStyle name="40% - Ênfase3 21 2" xfId="560"/>
    <cellStyle name="40% - Ênfase3 22" xfId="561"/>
    <cellStyle name="40% - Ênfase3 22 2" xfId="562"/>
    <cellStyle name="40% - Ênfase3 23" xfId="563"/>
    <cellStyle name="40% - Ênfase3 23 2" xfId="564"/>
    <cellStyle name="40% - Ênfase3 24" xfId="565"/>
    <cellStyle name="40% - Ênfase3 24 2" xfId="566"/>
    <cellStyle name="40% - Ênfase3 25" xfId="567"/>
    <cellStyle name="40% - Ênfase3 26" xfId="568"/>
    <cellStyle name="40% - Ênfase3 27" xfId="569"/>
    <cellStyle name="40% - Ênfase3 28" xfId="570"/>
    <cellStyle name="40% - Ênfase3 29" xfId="571"/>
    <cellStyle name="40% - Ênfase3 3" xfId="572"/>
    <cellStyle name="40% - Ênfase3 3 2" xfId="573"/>
    <cellStyle name="40% - Ênfase3 30" xfId="574"/>
    <cellStyle name="40% - Ênfase3 31" xfId="575"/>
    <cellStyle name="40% - Ênfase3 32" xfId="576"/>
    <cellStyle name="40% - Ênfase3 33" xfId="577"/>
    <cellStyle name="40% - Ênfase3 34" xfId="578"/>
    <cellStyle name="40% - Ênfase3 35" xfId="579"/>
    <cellStyle name="40% - Ênfase3 36" xfId="580"/>
    <cellStyle name="40% - Ênfase3 4" xfId="581"/>
    <cellStyle name="40% - Ênfase3 4 2" xfId="582"/>
    <cellStyle name="40% - Ênfase3 5" xfId="583"/>
    <cellStyle name="40% - Ênfase3 5 2" xfId="584"/>
    <cellStyle name="40% - Ênfase3 6" xfId="585"/>
    <cellStyle name="40% - Ênfase3 6 2" xfId="586"/>
    <cellStyle name="40% - Ênfase3 7" xfId="587"/>
    <cellStyle name="40% - Ênfase3 7 2" xfId="588"/>
    <cellStyle name="40% - Ênfase3 8" xfId="589"/>
    <cellStyle name="40% - Ênfase3 8 2" xfId="590"/>
    <cellStyle name="40% - Ênfase3 9" xfId="591"/>
    <cellStyle name="40% - Ênfase3 9 2" xfId="592"/>
    <cellStyle name="40% - Ênfase4 10" xfId="593"/>
    <cellStyle name="40% - Ênfase4 10 2" xfId="594"/>
    <cellStyle name="40% - Ênfase4 11" xfId="595"/>
    <cellStyle name="40% - Ênfase4 11 2" xfId="596"/>
    <cellStyle name="40% - Ênfase4 12" xfId="597"/>
    <cellStyle name="40% - Ênfase4 12 2" xfId="598"/>
    <cellStyle name="40% - Ênfase4 13" xfId="599"/>
    <cellStyle name="40% - Ênfase4 13 2" xfId="600"/>
    <cellStyle name="40% - Ênfase4 14" xfId="601"/>
    <cellStyle name="40% - Ênfase4 14 2" xfId="602"/>
    <cellStyle name="40% - Ênfase4 15" xfId="603"/>
    <cellStyle name="40% - Ênfase4 15 2" xfId="604"/>
    <cellStyle name="40% - Ênfase4 16" xfId="605"/>
    <cellStyle name="40% - Ênfase4 16 2" xfId="606"/>
    <cellStyle name="40% - Ênfase4 17" xfId="607"/>
    <cellStyle name="40% - Ênfase4 17 2" xfId="608"/>
    <cellStyle name="40% - Ênfase4 18" xfId="609"/>
    <cellStyle name="40% - Ênfase4 18 2" xfId="610"/>
    <cellStyle name="40% - Ênfase4 19" xfId="611"/>
    <cellStyle name="40% - Ênfase4 19 2" xfId="612"/>
    <cellStyle name="40% - Ênfase4 2" xfId="613"/>
    <cellStyle name="40% - Ênfase4 2 2" xfId="614"/>
    <cellStyle name="40% - Ênfase4 20" xfId="615"/>
    <cellStyle name="40% - Ênfase4 20 2" xfId="616"/>
    <cellStyle name="40% - Ênfase4 21" xfId="617"/>
    <cellStyle name="40% - Ênfase4 21 2" xfId="618"/>
    <cellStyle name="40% - Ênfase4 22" xfId="619"/>
    <cellStyle name="40% - Ênfase4 22 2" xfId="620"/>
    <cellStyle name="40% - Ênfase4 23" xfId="621"/>
    <cellStyle name="40% - Ênfase4 23 2" xfId="622"/>
    <cellStyle name="40% - Ênfase4 24" xfId="623"/>
    <cellStyle name="40% - Ênfase4 24 2" xfId="624"/>
    <cellStyle name="40% - Ênfase4 25" xfId="625"/>
    <cellStyle name="40% - Ênfase4 26" xfId="626"/>
    <cellStyle name="40% - Ênfase4 27" xfId="627"/>
    <cellStyle name="40% - Ênfase4 28" xfId="628"/>
    <cellStyle name="40% - Ênfase4 29" xfId="629"/>
    <cellStyle name="40% - Ênfase4 3" xfId="630"/>
    <cellStyle name="40% - Ênfase4 3 2" xfId="631"/>
    <cellStyle name="40% - Ênfase4 30" xfId="632"/>
    <cellStyle name="40% - Ênfase4 31" xfId="633"/>
    <cellStyle name="40% - Ênfase4 32" xfId="634"/>
    <cellStyle name="40% - Ênfase4 33" xfId="635"/>
    <cellStyle name="40% - Ênfase4 34" xfId="636"/>
    <cellStyle name="40% - Ênfase4 35" xfId="637"/>
    <cellStyle name="40% - Ênfase4 36" xfId="638"/>
    <cellStyle name="40% - Ênfase4 4" xfId="639"/>
    <cellStyle name="40% - Ênfase4 4 2" xfId="640"/>
    <cellStyle name="40% - Ênfase4 5" xfId="641"/>
    <cellStyle name="40% - Ênfase4 5 2" xfId="642"/>
    <cellStyle name="40% - Ênfase4 6" xfId="643"/>
    <cellStyle name="40% - Ênfase4 6 2" xfId="644"/>
    <cellStyle name="40% - Ênfase4 7" xfId="645"/>
    <cellStyle name="40% - Ênfase4 7 2" xfId="646"/>
    <cellStyle name="40% - Ênfase4 8" xfId="647"/>
    <cellStyle name="40% - Ênfase4 8 2" xfId="648"/>
    <cellStyle name="40% - Ênfase4 9" xfId="649"/>
    <cellStyle name="40% - Ênfase4 9 2" xfId="650"/>
    <cellStyle name="40% - Ênfase5 10" xfId="651"/>
    <cellStyle name="40% - Ênfase5 10 2" xfId="652"/>
    <cellStyle name="40% - Ênfase5 11" xfId="653"/>
    <cellStyle name="40% - Ênfase5 11 2" xfId="654"/>
    <cellStyle name="40% - Ênfase5 12" xfId="655"/>
    <cellStyle name="40% - Ênfase5 12 2" xfId="656"/>
    <cellStyle name="40% - Ênfase5 13" xfId="657"/>
    <cellStyle name="40% - Ênfase5 13 2" xfId="658"/>
    <cellStyle name="40% - Ênfase5 14" xfId="659"/>
    <cellStyle name="40% - Ênfase5 14 2" xfId="660"/>
    <cellStyle name="40% - Ênfase5 15" xfId="661"/>
    <cellStyle name="40% - Ênfase5 15 2" xfId="662"/>
    <cellStyle name="40% - Ênfase5 16" xfId="663"/>
    <cellStyle name="40% - Ênfase5 16 2" xfId="664"/>
    <cellStyle name="40% - Ênfase5 17" xfId="665"/>
    <cellStyle name="40% - Ênfase5 17 2" xfId="666"/>
    <cellStyle name="40% - Ênfase5 18" xfId="667"/>
    <cellStyle name="40% - Ênfase5 18 2" xfId="668"/>
    <cellStyle name="40% - Ênfase5 19" xfId="669"/>
    <cellStyle name="40% - Ênfase5 19 2" xfId="670"/>
    <cellStyle name="40% - Ênfase5 2" xfId="671"/>
    <cellStyle name="40% - Ênfase5 2 2" xfId="672"/>
    <cellStyle name="40% - Ênfase5 20" xfId="673"/>
    <cellStyle name="40% - Ênfase5 20 2" xfId="674"/>
    <cellStyle name="40% - Ênfase5 21" xfId="675"/>
    <cellStyle name="40% - Ênfase5 21 2" xfId="676"/>
    <cellStyle name="40% - Ênfase5 22" xfId="677"/>
    <cellStyle name="40% - Ênfase5 22 2" xfId="678"/>
    <cellStyle name="40% - Ênfase5 23" xfId="679"/>
    <cellStyle name="40% - Ênfase5 23 2" xfId="680"/>
    <cellStyle name="40% - Ênfase5 24" xfId="681"/>
    <cellStyle name="40% - Ênfase5 24 2" xfId="682"/>
    <cellStyle name="40% - Ênfase5 25" xfId="683"/>
    <cellStyle name="40% - Ênfase5 26" xfId="684"/>
    <cellStyle name="40% - Ênfase5 27" xfId="685"/>
    <cellStyle name="40% - Ênfase5 28" xfId="686"/>
    <cellStyle name="40% - Ênfase5 29" xfId="687"/>
    <cellStyle name="40% - Ênfase5 3" xfId="688"/>
    <cellStyle name="40% - Ênfase5 3 2" xfId="689"/>
    <cellStyle name="40% - Ênfase5 30" xfId="690"/>
    <cellStyle name="40% - Ênfase5 31" xfId="691"/>
    <cellStyle name="40% - Ênfase5 32" xfId="692"/>
    <cellStyle name="40% - Ênfase5 33" xfId="693"/>
    <cellStyle name="40% - Ênfase5 34" xfId="694"/>
    <cellStyle name="40% - Ênfase5 35" xfId="695"/>
    <cellStyle name="40% - Ênfase5 36" xfId="696"/>
    <cellStyle name="40% - Ênfase5 4" xfId="697"/>
    <cellStyle name="40% - Ênfase5 4 2" xfId="698"/>
    <cellStyle name="40% - Ênfase5 5" xfId="699"/>
    <cellStyle name="40% - Ênfase5 5 2" xfId="700"/>
    <cellStyle name="40% - Ênfase5 6" xfId="701"/>
    <cellStyle name="40% - Ênfase5 6 2" xfId="702"/>
    <cellStyle name="40% - Ênfase5 7" xfId="703"/>
    <cellStyle name="40% - Ênfase5 7 2" xfId="704"/>
    <cellStyle name="40% - Ênfase5 8" xfId="705"/>
    <cellStyle name="40% - Ênfase5 8 2" xfId="706"/>
    <cellStyle name="40% - Ênfase5 9" xfId="707"/>
    <cellStyle name="40% - Ênfase5 9 2" xfId="708"/>
    <cellStyle name="40% - Ênfase6 10" xfId="709"/>
    <cellStyle name="40% - Ênfase6 10 2" xfId="710"/>
    <cellStyle name="40% - Ênfase6 11" xfId="711"/>
    <cellStyle name="40% - Ênfase6 11 2" xfId="712"/>
    <cellStyle name="40% - Ênfase6 12" xfId="713"/>
    <cellStyle name="40% - Ênfase6 12 2" xfId="714"/>
    <cellStyle name="40% - Ênfase6 13" xfId="715"/>
    <cellStyle name="40% - Ênfase6 13 2" xfId="716"/>
    <cellStyle name="40% - Ênfase6 14" xfId="717"/>
    <cellStyle name="40% - Ênfase6 14 2" xfId="718"/>
    <cellStyle name="40% - Ênfase6 15" xfId="719"/>
    <cellStyle name="40% - Ênfase6 15 2" xfId="720"/>
    <cellStyle name="40% - Ênfase6 16" xfId="721"/>
    <cellStyle name="40% - Ênfase6 16 2" xfId="722"/>
    <cellStyle name="40% - Ênfase6 17" xfId="723"/>
    <cellStyle name="40% - Ênfase6 17 2" xfId="724"/>
    <cellStyle name="40% - Ênfase6 18" xfId="725"/>
    <cellStyle name="40% - Ênfase6 18 2" xfId="726"/>
    <cellStyle name="40% - Ênfase6 19" xfId="727"/>
    <cellStyle name="40% - Ênfase6 19 2" xfId="728"/>
    <cellStyle name="40% - Ênfase6 2" xfId="729"/>
    <cellStyle name="40% - Ênfase6 2 2" xfId="730"/>
    <cellStyle name="40% - Ênfase6 20" xfId="731"/>
    <cellStyle name="40% - Ênfase6 20 2" xfId="732"/>
    <cellStyle name="40% - Ênfase6 21" xfId="733"/>
    <cellStyle name="40% - Ênfase6 21 2" xfId="734"/>
    <cellStyle name="40% - Ênfase6 22" xfId="735"/>
    <cellStyle name="40% - Ênfase6 22 2" xfId="736"/>
    <cellStyle name="40% - Ênfase6 23" xfId="737"/>
    <cellStyle name="40% - Ênfase6 23 2" xfId="738"/>
    <cellStyle name="40% - Ênfase6 24" xfId="739"/>
    <cellStyle name="40% - Ênfase6 24 2" xfId="740"/>
    <cellStyle name="40% - Ênfase6 25" xfId="741"/>
    <cellStyle name="40% - Ênfase6 26" xfId="742"/>
    <cellStyle name="40% - Ênfase6 27" xfId="743"/>
    <cellStyle name="40% - Ênfase6 28" xfId="744"/>
    <cellStyle name="40% - Ênfase6 29" xfId="745"/>
    <cellStyle name="40% - Ênfase6 3" xfId="746"/>
    <cellStyle name="40% - Ênfase6 3 2" xfId="747"/>
    <cellStyle name="40% - Ênfase6 30" xfId="748"/>
    <cellStyle name="40% - Ênfase6 31" xfId="749"/>
    <cellStyle name="40% - Ênfase6 32" xfId="750"/>
    <cellStyle name="40% - Ênfase6 33" xfId="751"/>
    <cellStyle name="40% - Ênfase6 34" xfId="752"/>
    <cellStyle name="40% - Ênfase6 35" xfId="753"/>
    <cellStyle name="40% - Ênfase6 36" xfId="754"/>
    <cellStyle name="40% - Ênfase6 4" xfId="755"/>
    <cellStyle name="40% - Ênfase6 4 2" xfId="756"/>
    <cellStyle name="40% - Ênfase6 5" xfId="757"/>
    <cellStyle name="40% - Ênfase6 5 2" xfId="758"/>
    <cellStyle name="40% - Ênfase6 6" xfId="759"/>
    <cellStyle name="40% - Ênfase6 6 2" xfId="760"/>
    <cellStyle name="40% - Ênfase6 7" xfId="761"/>
    <cellStyle name="40% - Ênfase6 7 2" xfId="762"/>
    <cellStyle name="40% - Ênfase6 8" xfId="763"/>
    <cellStyle name="40% - Ênfase6 8 2" xfId="764"/>
    <cellStyle name="40% - Ênfase6 9" xfId="765"/>
    <cellStyle name="40% - Ênfase6 9 2" xfId="766"/>
    <cellStyle name="Comma 2" xfId="1"/>
    <cellStyle name="Comma 2 2" xfId="2"/>
    <cellStyle name="Comma 2 2 2" xfId="31"/>
    <cellStyle name="Comma 2 2 2 2" xfId="60"/>
    <cellStyle name="Comma 2 2 3" xfId="51"/>
    <cellStyle name="Comma 2 3" xfId="3"/>
    <cellStyle name="Comma 2 3 2" xfId="32"/>
    <cellStyle name="Comma 2 3 2 2" xfId="61"/>
    <cellStyle name="Comma 2 3 3" xfId="52"/>
    <cellStyle name="Comma 2 4" xfId="4"/>
    <cellStyle name="Comma 2 4 2" xfId="33"/>
    <cellStyle name="Comma 2 4 2 2" xfId="62"/>
    <cellStyle name="Comma 2 4 3" xfId="53"/>
    <cellStyle name="Comma 2 5" xfId="30"/>
    <cellStyle name="Comma 2 5 2" xfId="59"/>
    <cellStyle name="Comma 2 6" xfId="50"/>
    <cellStyle name="Hiperlink" xfId="5" builtinId="8"/>
    <cellStyle name="Hyperlink 2" xfId="6"/>
    <cellStyle name="Moeda 2" xfId="34"/>
    <cellStyle name="Moeda 3" xfId="858"/>
    <cellStyle name="Normal" xfId="0" builtinId="0"/>
    <cellStyle name="Normal 10" xfId="25"/>
    <cellStyle name="Normal 10 2" xfId="767"/>
    <cellStyle name="Normal 11" xfId="768"/>
    <cellStyle name="Normal 11 2" xfId="769"/>
    <cellStyle name="Normal 12" xfId="770"/>
    <cellStyle name="Normal 13" xfId="771"/>
    <cellStyle name="Normal 14" xfId="772"/>
    <cellStyle name="Normal 15" xfId="773"/>
    <cellStyle name="Normal 16" xfId="774"/>
    <cellStyle name="Normal 17" xfId="69"/>
    <cellStyle name="Normal 18" xfId="860"/>
    <cellStyle name="Normal 19" xfId="861"/>
    <cellStyle name="Normal 2" xfId="7"/>
    <cellStyle name="Normal 2 2" xfId="8"/>
    <cellStyle name="Normal 2 2 2" xfId="36"/>
    <cellStyle name="Normal 2 2 2 2" xfId="777"/>
    <cellStyle name="Normal 2 2 3" xfId="776"/>
    <cellStyle name="Normal 2 3" xfId="35"/>
    <cellStyle name="Normal 2 3 2" xfId="63"/>
    <cellStyle name="Normal 2 3 3" xfId="778"/>
    <cellStyle name="Normal 2 4" xfId="54"/>
    <cellStyle name="Normal 2 5" xfId="775"/>
    <cellStyle name="Normal 26 2 2" xfId="26"/>
    <cellStyle name="Normal 26 2 2 2" xfId="49"/>
    <cellStyle name="Normal 26 2 2 2 2" xfId="68"/>
    <cellStyle name="Normal 26 2 2 3" xfId="56"/>
    <cellStyle name="Normal 3" xfId="29"/>
    <cellStyle name="Normal 3 2" xfId="9"/>
    <cellStyle name="Normal 3 2 2" xfId="37"/>
    <cellStyle name="Normal 3 3" xfId="10"/>
    <cellStyle name="Normal 3 3 2" xfId="38"/>
    <cellStyle name="Normal 3 4" xfId="11"/>
    <cellStyle name="Normal 3 4 2" xfId="39"/>
    <cellStyle name="Normal 4" xfId="27"/>
    <cellStyle name="Normal 4 2" xfId="57"/>
    <cellStyle name="Normal 4 2 2" xfId="780"/>
    <cellStyle name="Normal 4 3" xfId="779"/>
    <cellStyle name="Normal 5" xfId="781"/>
    <cellStyle name="Normal 5 2" xfId="782"/>
    <cellStyle name="Normal 6" xfId="783"/>
    <cellStyle name="Normal 6 2" xfId="784"/>
    <cellStyle name="Normal 7" xfId="785"/>
    <cellStyle name="Normal 7 2" xfId="786"/>
    <cellStyle name="Normal 8" xfId="787"/>
    <cellStyle name="Normal 8 2" xfId="788"/>
    <cellStyle name="Normal 9" xfId="789"/>
    <cellStyle name="Normal 9 2" xfId="790"/>
    <cellStyle name="Nota 10" xfId="791"/>
    <cellStyle name="Nota 10 2" xfId="792"/>
    <cellStyle name="Nota 11" xfId="793"/>
    <cellStyle name="Nota 11 2" xfId="794"/>
    <cellStyle name="Nota 12" xfId="795"/>
    <cellStyle name="Nota 12 2" xfId="796"/>
    <cellStyle name="Nota 13" xfId="797"/>
    <cellStyle name="Nota 13 2" xfId="798"/>
    <cellStyle name="Nota 14" xfId="799"/>
    <cellStyle name="Nota 14 2" xfId="800"/>
    <cellStyle name="Nota 15" xfId="801"/>
    <cellStyle name="Nota 15 2" xfId="802"/>
    <cellStyle name="Nota 16" xfId="803"/>
    <cellStyle name="Nota 16 2" xfId="804"/>
    <cellStyle name="Nota 17" xfId="805"/>
    <cellStyle name="Nota 17 2" xfId="806"/>
    <cellStyle name="Nota 18" xfId="807"/>
    <cellStyle name="Nota 18 2" xfId="808"/>
    <cellStyle name="Nota 19" xfId="809"/>
    <cellStyle name="Nota 19 2" xfId="810"/>
    <cellStyle name="Nota 2" xfId="811"/>
    <cellStyle name="Nota 20" xfId="812"/>
    <cellStyle name="Nota 20 2" xfId="813"/>
    <cellStyle name="Nota 21" xfId="814"/>
    <cellStyle name="Nota 21 2" xfId="815"/>
    <cellStyle name="Nota 22" xfId="816"/>
    <cellStyle name="Nota 22 2" xfId="817"/>
    <cellStyle name="Nota 23" xfId="818"/>
    <cellStyle name="Nota 23 2" xfId="819"/>
    <cellStyle name="Nota 24" xfId="820"/>
    <cellStyle name="Nota 24 2" xfId="821"/>
    <cellStyle name="Nota 25" xfId="822"/>
    <cellStyle name="Nota 25 2" xfId="823"/>
    <cellStyle name="Nota 26" xfId="824"/>
    <cellStyle name="Nota 26 2" xfId="825"/>
    <cellStyle name="Nota 27" xfId="826"/>
    <cellStyle name="Nota 28" xfId="827"/>
    <cellStyle name="Nota 29" xfId="828"/>
    <cellStyle name="Nota 3" xfId="829"/>
    <cellStyle name="Nota 3 2" xfId="830"/>
    <cellStyle name="Nota 30" xfId="831"/>
    <cellStyle name="Nota 31" xfId="832"/>
    <cellStyle name="Nota 32" xfId="833"/>
    <cellStyle name="Nota 33" xfId="834"/>
    <cellStyle name="Nota 34" xfId="835"/>
    <cellStyle name="Nota 35" xfId="836"/>
    <cellStyle name="Nota 36" xfId="837"/>
    <cellStyle name="Nota 37" xfId="838"/>
    <cellStyle name="Nota 4" xfId="839"/>
    <cellStyle name="Nota 4 2" xfId="840"/>
    <cellStyle name="Nota 5" xfId="841"/>
    <cellStyle name="Nota 5 2" xfId="842"/>
    <cellStyle name="Nota 6" xfId="843"/>
    <cellStyle name="Nota 6 2" xfId="844"/>
    <cellStyle name="Nota 7" xfId="845"/>
    <cellStyle name="Nota 7 2" xfId="846"/>
    <cellStyle name="Nota 8" xfId="847"/>
    <cellStyle name="Nota 8 2" xfId="848"/>
    <cellStyle name="Nota 9" xfId="849"/>
    <cellStyle name="Nota 9 2" xfId="850"/>
    <cellStyle name="Percent 2" xfId="12"/>
    <cellStyle name="Percent 2 2" xfId="13"/>
    <cellStyle name="Percent 2 3" xfId="14"/>
    <cellStyle name="Percent 2 4" xfId="15"/>
    <cellStyle name="Porcentagem" xfId="16" builtinId="5"/>
    <cellStyle name="Porcentagem 2" xfId="17"/>
    <cellStyle name="Porcentagem 2 2" xfId="18"/>
    <cellStyle name="Porcentagem 2 2 2" xfId="42"/>
    <cellStyle name="Porcentagem 2 3" xfId="19"/>
    <cellStyle name="Porcentagem 2 3 2" xfId="43"/>
    <cellStyle name="Porcentagem 2 4" xfId="20"/>
    <cellStyle name="Porcentagem 2 4 2" xfId="44"/>
    <cellStyle name="Porcentagem 2 5" xfId="41"/>
    <cellStyle name="Porcentagem 2 6" xfId="851"/>
    <cellStyle name="Porcentagem 3" xfId="40"/>
    <cellStyle name="Porcentagem 4" xfId="859"/>
    <cellStyle name="Separador de milhares 2" xfId="21"/>
    <cellStyle name="Separador de milhares 2 2" xfId="45"/>
    <cellStyle name="Separador de milhares 2 2 2" xfId="64"/>
    <cellStyle name="Separador de milhares 2 3" xfId="55"/>
    <cellStyle name="Separador de milhares 4" xfId="22"/>
    <cellStyle name="Separador de milhares 4 2" xfId="46"/>
    <cellStyle name="Separador de milhares 4 2 2" xfId="65"/>
    <cellStyle name="Vírgula" xfId="23" builtinId="3"/>
    <cellStyle name="Vírgula 2" xfId="47"/>
    <cellStyle name="Vírgula 2 2" xfId="66"/>
    <cellStyle name="Vírgula 2 2 2" xfId="853"/>
    <cellStyle name="Vírgula 2 3" xfId="854"/>
    <cellStyle name="Vírgula 2 4" xfId="852"/>
    <cellStyle name="Vírgula 3" xfId="24"/>
    <cellStyle name="Vírgula 3 2" xfId="48"/>
    <cellStyle name="Vírgula 3 2 2" xfId="67"/>
    <cellStyle name="Vírgula 3 2 3" xfId="856"/>
    <cellStyle name="Vírgula 3 3" xfId="855"/>
    <cellStyle name="Vírgula 4" xfId="28"/>
    <cellStyle name="Vírgula 4 2" xfId="58"/>
    <cellStyle name="Vírgula 4 3" xfId="857"/>
    <cellStyle name="Vírgula 5" xfId="70"/>
  </cellStyles>
  <dxfs count="34"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strike val="0"/>
        <color auto="1"/>
      </font>
      <fill>
        <patternFill>
          <fgColor rgb="FF00B050"/>
          <bgColor rgb="FF00B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strike val="0"/>
        <color auto="1"/>
      </font>
      <fill>
        <patternFill>
          <fgColor rgb="FF00B050"/>
          <bgColor rgb="FF00B050"/>
        </patternFill>
      </fill>
    </dxf>
    <dxf>
      <font>
        <strike val="0"/>
        <color auto="1"/>
      </font>
      <fill>
        <patternFill>
          <fgColor rgb="FF00B050"/>
          <bgColor rgb="FF00B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strike val="0"/>
        <color auto="1"/>
      </font>
      <fill>
        <patternFill>
          <fgColor rgb="FF00B050"/>
          <bgColor rgb="FF00B050"/>
        </patternFill>
      </fill>
    </dxf>
    <dxf>
      <font>
        <strike val="0"/>
        <color auto="1"/>
      </font>
      <fill>
        <patternFill>
          <fgColor rgb="FF00B050"/>
          <bgColor rgb="FF00B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strike val="0"/>
        <color auto="1"/>
      </font>
      <fill>
        <patternFill>
          <fgColor rgb="FF00B050"/>
          <bgColor rgb="FF00B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strike val="0"/>
        <color auto="1"/>
      </font>
      <fill>
        <patternFill>
          <fgColor rgb="FF00B050"/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  <color rgb="FFFF5050"/>
      <color rgb="FF92C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0</xdr:rowOff>
    </xdr:from>
    <xdr:to>
      <xdr:col>2</xdr:col>
      <xdr:colOff>1405778</xdr:colOff>
      <xdr:row>2</xdr:row>
      <xdr:rowOff>142875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0"/>
          <a:ext cx="567578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561975</xdr:colOff>
      <xdr:row>2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" y="0"/>
          <a:ext cx="561975" cy="5619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5</xdr:col>
      <xdr:colOff>294640</xdr:colOff>
      <xdr:row>29</xdr:row>
      <xdr:rowOff>49530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0A744C0-7219-4E2A-B25A-F5B15C5D798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" y="4057650"/>
          <a:ext cx="5400040" cy="8591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0</xdr:col>
      <xdr:colOff>714375</xdr:colOff>
      <xdr:row>3</xdr:row>
      <xdr:rowOff>147576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66675"/>
          <a:ext cx="561975" cy="5666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154782</xdr:colOff>
      <xdr:row>1</xdr:row>
      <xdr:rowOff>107155</xdr:rowOff>
    </xdr:from>
    <xdr:to>
      <xdr:col>12</xdr:col>
      <xdr:colOff>130969</xdr:colOff>
      <xdr:row>4</xdr:row>
      <xdr:rowOff>130968</xdr:rowOff>
    </xdr:to>
    <xdr:sp macro="" textlink="">
      <xdr:nvSpPr>
        <xdr:cNvPr id="3" name="Texto Explicativo Retangular com Cantos Arredondados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0882313" y="273843"/>
          <a:ext cx="1000125" cy="523875"/>
        </a:xfrm>
        <a:prstGeom prst="wedgeRoundRectCallout">
          <a:avLst>
            <a:gd name="adj1" fmla="val 99317"/>
            <a:gd name="adj2" fmla="val -58106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>
              <a:solidFill>
                <a:schemeClr val="tx2"/>
              </a:solidFill>
            </a:rPr>
            <a:t>INPUT NESTA</a:t>
          </a:r>
          <a:r>
            <a:rPr lang="pt-BR" sz="1100" baseline="0">
              <a:solidFill>
                <a:schemeClr val="tx2"/>
              </a:solidFill>
            </a:rPr>
            <a:t> TABELA!</a:t>
          </a:r>
          <a:endParaRPr lang="pt-BR" sz="1100">
            <a:solidFill>
              <a:schemeClr val="tx2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561975</xdr:colOff>
      <xdr:row>4</xdr:row>
      <xdr:rowOff>69644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561975" cy="57446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0</xdr:col>
      <xdr:colOff>714375</xdr:colOff>
      <xdr:row>3</xdr:row>
      <xdr:rowOff>147576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66675"/>
          <a:ext cx="561975" cy="5666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561975</xdr:colOff>
      <xdr:row>4</xdr:row>
      <xdr:rowOff>98219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750"/>
          <a:ext cx="561975" cy="5744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lveloso\Meus%20documentos\G&#225;s%20Natural\CPAC\Tarifa\Dad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aterial%20de%20Estudo\Modelagem%20Tarif&#225;ria\Receita%20Anual%20M&#225;xima%20(ANP)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https://tbgcombr.sharepoint.com/sites/GPETArquivos/Documentos%20Compartilhados/Reservado/Tarifa&#231;&#227;o/Novos%20Neg&#243;cios/Chamada%20P&#250;blica%20TSB/Calculo%20Tarifario/Calculo%20Tarifa%20%20-%20Modelo%20Classico_23-01-2012%20Proposta%20SULG&#193;S%20com%20RAMP-UP.xlsx?E9FBE16C" TargetMode="External"/><Relationship Id="rId1" Type="http://schemas.openxmlformats.org/officeDocument/2006/relationships/externalLinkPath" Target="file:///\\E9FBE16C\Calculo%20Tarifa%20%20-%20Modelo%20Classico_23-01-2012%20Proposta%20SULG&#193;S%20com%20RAMP-U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bgcombr.sharepoint.com/sites/GPETArquivos/Documentos%20Compartilhados/Reservado/Tarifa&#231;&#227;o/Novos%20Neg&#243;cios/Chamada%20P&#250;blica%20TSB/Calculo%20Tarifario/Planilha%20composi&#231;&#227;o%20do%20Ativo%20Imobilizado%20TSB%20dez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https://tbgcombr.sharepoint.com/sites/GPETArquivos/Documentos%20Compartilhados/Reservado/Tarifa&#231;&#227;o/Novos%20Neg&#243;cios/Chamada%20P&#250;blica%20TSB/Calculo%20Tarifario/Nova%20demanda%202023/Premissas%20TSB%20(Custeio%20e%20Investimentos)TSB%20(preenchida)%20V2%20Oficio%20ANP.xlsx?E3BDCB2D" TargetMode="External"/><Relationship Id="rId1" Type="http://schemas.openxmlformats.org/officeDocument/2006/relationships/externalLinkPath" Target="file:///\\E3BDCB2D\Premissas%20TSB%20(Custeio%20e%20Investimentos)TSB%20(preenchida)%20V2%20Oficio%20ANP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bgcombr.sharepoint.com/sites/GPETArquivos/Documentos%20Compartilhados/Reservado/Tarifa&#231;&#227;o/Novos%20Neg&#243;cios/Chamada%20P&#250;blica%20TSB/Calculo%20Tarifario/Premissas%20TSB%20(Custeio%20e%20Investimentos)TSB%20(preenchida)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Bill"/>
      <sheetName val="TIPS"/>
      <sheetName val="EMBI+"/>
      <sheetName val="Plan2"/>
      <sheetName val="Plan3"/>
    </sheetNames>
    <sheetDataSet>
      <sheetData sheetId="0"/>
      <sheetData sheetId="1" refreshError="1">
        <row r="20">
          <cell r="D20">
            <v>2.3399999999999997E-2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WACC"/>
      <sheetName val="Input (Assets)"/>
      <sheetName val="Assets"/>
      <sheetName val="Dívida BNDES"/>
      <sheetName val="Tarifa (FCLA)"/>
    </sheetNames>
    <sheetDataSet>
      <sheetData sheetId="0">
        <row r="4">
          <cell r="C4">
            <v>5138</v>
          </cell>
        </row>
        <row r="5">
          <cell r="C5">
            <v>20</v>
          </cell>
        </row>
        <row r="8">
          <cell r="C8">
            <v>4.7555936835712062E-2</v>
          </cell>
        </row>
        <row r="9">
          <cell r="C9">
            <v>1.3000000000000001E-2</v>
          </cell>
        </row>
        <row r="10">
          <cell r="C10">
            <v>0.01</v>
          </cell>
        </row>
        <row r="11">
          <cell r="C11">
            <v>5.8999999999999997E-2</v>
          </cell>
        </row>
        <row r="12">
          <cell r="C12">
            <v>0</v>
          </cell>
        </row>
        <row r="13">
          <cell r="C13">
            <v>0.6</v>
          </cell>
        </row>
        <row r="14">
          <cell r="C14">
            <v>0</v>
          </cell>
        </row>
        <row r="15">
          <cell r="C15">
            <v>0.62</v>
          </cell>
        </row>
      </sheetData>
      <sheetData sheetId="1">
        <row r="30">
          <cell r="E30">
            <v>0.12080333089268684</v>
          </cell>
        </row>
      </sheetData>
      <sheetData sheetId="2">
        <row r="7">
          <cell r="F7">
            <v>5138</v>
          </cell>
          <cell r="G7">
            <v>30</v>
          </cell>
          <cell r="H7">
            <v>30</v>
          </cell>
          <cell r="I7">
            <v>5138</v>
          </cell>
          <cell r="J7">
            <v>30</v>
          </cell>
          <cell r="K7">
            <v>30</v>
          </cell>
        </row>
        <row r="8">
          <cell r="F8">
            <v>0</v>
          </cell>
          <cell r="G8" t="str">
            <v>n/a</v>
          </cell>
          <cell r="H8" t="str">
            <v>n/a</v>
          </cell>
          <cell r="I8">
            <v>0</v>
          </cell>
          <cell r="J8" t="str">
            <v>n/a</v>
          </cell>
          <cell r="K8" t="str">
            <v>n/a</v>
          </cell>
        </row>
        <row r="9">
          <cell r="F9">
            <v>0</v>
          </cell>
          <cell r="G9" t="str">
            <v>n/a</v>
          </cell>
          <cell r="H9" t="str">
            <v>n/a</v>
          </cell>
          <cell r="I9">
            <v>0</v>
          </cell>
          <cell r="J9" t="str">
            <v>n/a</v>
          </cell>
          <cell r="K9" t="str">
            <v>n/a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ta"/>
      <sheetName val="Proposta (2)"/>
      <sheetName val="Composição Tarifas"/>
      <sheetName val="Faturamentos Anuais"/>
    </sheetNames>
    <sheetDataSet>
      <sheetData sheetId="0" refreshError="1"/>
      <sheetData sheetId="1">
        <row r="4">
          <cell r="B4">
            <v>29250</v>
          </cell>
        </row>
      </sheetData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 BALANCETE 12 2020"/>
      <sheetName val="Plan2"/>
      <sheetName val="Plan3"/>
    </sheetNames>
    <sheetDataSet>
      <sheetData sheetId="0">
        <row r="28">
          <cell r="F28">
            <v>1442836.16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- Orientações Gerais"/>
      <sheetName val="1-O&amp;M e G&amp;A"/>
      <sheetName val="2-Investimento Futuro"/>
    </sheetNames>
    <sheetDataSet>
      <sheetData sheetId="0"/>
      <sheetData sheetId="1">
        <row r="7">
          <cell r="E7">
            <v>2728.7598171002001</v>
          </cell>
          <cell r="F7">
            <v>2728.7598171002001</v>
          </cell>
          <cell r="G7">
            <v>2728.7598171002001</v>
          </cell>
          <cell r="H7">
            <v>2728.7598171002001</v>
          </cell>
          <cell r="I7">
            <v>2728.7598171002001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E10">
            <v>1740.3862902370779</v>
          </cell>
          <cell r="F10">
            <v>1740.3862902370779</v>
          </cell>
          <cell r="G10">
            <v>1740.3862902370779</v>
          </cell>
          <cell r="H10">
            <v>1740.3862902370779</v>
          </cell>
          <cell r="I10">
            <v>1740.3862902370779</v>
          </cell>
        </row>
        <row r="11">
          <cell r="E11">
            <v>614.50371422294404</v>
          </cell>
          <cell r="F11">
            <v>614.50371422294404</v>
          </cell>
          <cell r="G11">
            <v>614.50371422294404</v>
          </cell>
          <cell r="H11">
            <v>614.50371422294404</v>
          </cell>
          <cell r="I11">
            <v>614.50371422294404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E14">
            <v>12.832142353992001</v>
          </cell>
          <cell r="F14">
            <v>12.832142353992001</v>
          </cell>
          <cell r="G14">
            <v>12.832142353992001</v>
          </cell>
          <cell r="H14">
            <v>12.832142353992001</v>
          </cell>
          <cell r="I14">
            <v>12.832142353992001</v>
          </cell>
        </row>
        <row r="15">
          <cell r="E15">
            <v>1468.3437368929599</v>
          </cell>
          <cell r="F15">
            <v>1468.3437368929599</v>
          </cell>
          <cell r="G15">
            <v>1468.3437368929599</v>
          </cell>
          <cell r="H15">
            <v>1468.3437368929599</v>
          </cell>
          <cell r="I15">
            <v>1468.3437368929599</v>
          </cell>
        </row>
        <row r="16">
          <cell r="E16">
            <v>287.58689877038938</v>
          </cell>
          <cell r="F16">
            <v>287.58689877038938</v>
          </cell>
          <cell r="G16">
            <v>287.58689877038938</v>
          </cell>
          <cell r="H16">
            <v>287.58689877038938</v>
          </cell>
          <cell r="I16">
            <v>287.58689877038938</v>
          </cell>
        </row>
        <row r="17">
          <cell r="E17">
            <v>381.15003023527169</v>
          </cell>
          <cell r="F17">
            <v>381.15003023527169</v>
          </cell>
          <cell r="G17">
            <v>381.15003023527169</v>
          </cell>
          <cell r="H17">
            <v>381.15003023527169</v>
          </cell>
          <cell r="I17">
            <v>381.15003023527169</v>
          </cell>
        </row>
        <row r="18">
          <cell r="E18">
            <v>1155.2428103408836</v>
          </cell>
          <cell r="F18">
            <v>1155.2428103408836</v>
          </cell>
          <cell r="G18">
            <v>1155.2428103408836</v>
          </cell>
          <cell r="H18">
            <v>1155.2428103408836</v>
          </cell>
          <cell r="I18">
            <v>1155.2428103408836</v>
          </cell>
        </row>
        <row r="20">
          <cell r="C20">
            <v>2831.5242635111999</v>
          </cell>
          <cell r="D20">
            <v>2831.5242635111999</v>
          </cell>
          <cell r="E20">
            <v>3395.7497596409412</v>
          </cell>
          <cell r="F20">
            <v>3395.7497596409412</v>
          </cell>
          <cell r="G20">
            <v>3395.7497596409412</v>
          </cell>
        </row>
        <row r="21">
          <cell r="C21">
            <v>4320.3385575135344</v>
          </cell>
          <cell r="D21">
            <v>4174.0585575135337</v>
          </cell>
          <cell r="E21">
            <v>4993.0556805127762</v>
          </cell>
          <cell r="F21">
            <v>4993.0556805127762</v>
          </cell>
          <cell r="G21">
            <v>4993.0556805127762</v>
          </cell>
        </row>
        <row r="25">
          <cell r="E25">
            <v>488.25286780014198</v>
          </cell>
          <cell r="F25">
            <v>488.25286780014198</v>
          </cell>
          <cell r="G25">
            <v>488.25286780014198</v>
          </cell>
          <cell r="H25">
            <v>488.25286780014198</v>
          </cell>
          <cell r="I25">
            <v>488.25286780014198</v>
          </cell>
        </row>
        <row r="27">
          <cell r="E27">
            <v>2240.5069493000578</v>
          </cell>
          <cell r="F27">
            <v>2240.5069493000578</v>
          </cell>
          <cell r="G27">
            <v>2240.5069493000578</v>
          </cell>
          <cell r="H27">
            <v>2240.5069493000578</v>
          </cell>
          <cell r="I27">
            <v>2240.5069493000578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- Orientações Gerais"/>
      <sheetName val="1-O&amp;M e G&amp;A"/>
      <sheetName val="2-Investimento Futuro"/>
    </sheetNames>
    <sheetDataSet>
      <sheetData sheetId="0"/>
      <sheetData sheetId="1">
        <row r="7">
          <cell r="C7">
            <v>2275.3589570247336</v>
          </cell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4">
          <cell r="H14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theme="8"/>
  </sheetPr>
  <dimension ref="A1:H83"/>
  <sheetViews>
    <sheetView showGridLines="0" topLeftCell="A54" zoomScaleNormal="100" workbookViewId="0">
      <selection activeCell="B51" sqref="B51"/>
    </sheetView>
  </sheetViews>
  <sheetFormatPr defaultColWidth="8.77734375" defaultRowHeight="13.8" x14ac:dyDescent="0.3"/>
  <cols>
    <col min="1" max="1" width="67.44140625" style="31" customWidth="1"/>
    <col min="2" max="6" width="11.21875" style="31" customWidth="1"/>
    <col min="7" max="7" width="8.77734375" style="31"/>
    <col min="8" max="8" width="12.21875" style="31" bestFit="1" customWidth="1"/>
    <col min="9" max="16384" width="8.77734375" style="31"/>
  </cols>
  <sheetData>
    <row r="1" spans="1:7" s="29" customFormat="1" ht="15.6" x14ac:dyDescent="0.3">
      <c r="A1" s="28"/>
    </row>
    <row r="2" spans="1:7" ht="15" thickBot="1" x14ac:dyDescent="0.35">
      <c r="A2" s="30"/>
    </row>
    <row r="3" spans="1:7" s="29" customFormat="1" ht="16.2" thickBot="1" x14ac:dyDescent="0.35">
      <c r="A3" s="32" t="s">
        <v>0</v>
      </c>
      <c r="G3" s="31"/>
    </row>
    <row r="4" spans="1:7" s="29" customFormat="1" x14ac:dyDescent="0.3">
      <c r="G4" s="31"/>
    </row>
    <row r="5" spans="1:7" s="29" customFormat="1" x14ac:dyDescent="0.3">
      <c r="G5" s="31"/>
    </row>
    <row r="6" spans="1:7" s="29" customFormat="1" ht="18.75" customHeight="1" thickBot="1" x14ac:dyDescent="0.35">
      <c r="A6" s="173" t="s">
        <v>1</v>
      </c>
      <c r="B6" s="184">
        <v>2024</v>
      </c>
      <c r="C6" s="184">
        <f>B6+1</f>
        <v>2025</v>
      </c>
      <c r="D6" s="184">
        <f t="shared" ref="D6:F6" si="0">C6+1</f>
        <v>2026</v>
      </c>
      <c r="E6" s="184">
        <f t="shared" si="0"/>
        <v>2027</v>
      </c>
      <c r="F6" s="184">
        <f t="shared" si="0"/>
        <v>2028</v>
      </c>
      <c r="G6" s="438"/>
    </row>
    <row r="7" spans="1:7" s="29" customFormat="1" ht="18.75" customHeight="1" thickTop="1" x14ac:dyDescent="0.3">
      <c r="A7" s="222"/>
      <c r="B7" s="186"/>
      <c r="C7" s="186"/>
      <c r="D7" s="186"/>
      <c r="E7" s="186"/>
      <c r="F7" s="187"/>
      <c r="G7" s="438"/>
    </row>
    <row r="8" spans="1:7" s="29" customFormat="1" x14ac:dyDescent="0.3">
      <c r="A8" s="128" t="s">
        <v>2</v>
      </c>
      <c r="B8" s="223">
        <v>0.25</v>
      </c>
      <c r="C8" s="223">
        <v>0.25</v>
      </c>
      <c r="D8" s="223">
        <v>0.25</v>
      </c>
      <c r="E8" s="223">
        <v>0.25</v>
      </c>
      <c r="F8" s="224">
        <v>0.25</v>
      </c>
      <c r="G8" s="34"/>
    </row>
    <row r="9" spans="1:7" s="29" customFormat="1" x14ac:dyDescent="0.3">
      <c r="A9" s="142" t="s">
        <v>3</v>
      </c>
      <c r="B9" s="225">
        <v>0.09</v>
      </c>
      <c r="C9" s="225">
        <v>0.09</v>
      </c>
      <c r="D9" s="225">
        <v>0.09</v>
      </c>
      <c r="E9" s="225">
        <v>0.09</v>
      </c>
      <c r="F9" s="226">
        <v>0.09</v>
      </c>
      <c r="G9" s="34"/>
    </row>
    <row r="10" spans="1:7" s="29" customFormat="1" x14ac:dyDescent="0.3">
      <c r="A10" s="128" t="s">
        <v>4</v>
      </c>
      <c r="B10" s="223">
        <f>12%</f>
        <v>0.12</v>
      </c>
      <c r="C10" s="223">
        <f>B10</f>
        <v>0.12</v>
      </c>
      <c r="D10" s="223">
        <f t="shared" ref="D10:F10" si="1">C10</f>
        <v>0.12</v>
      </c>
      <c r="E10" s="223">
        <f t="shared" si="1"/>
        <v>0.12</v>
      </c>
      <c r="F10" s="224">
        <f t="shared" si="1"/>
        <v>0.12</v>
      </c>
      <c r="G10" s="34"/>
    </row>
    <row r="11" spans="1:7" s="29" customFormat="1" x14ac:dyDescent="0.3">
      <c r="A11" s="142" t="s">
        <v>5</v>
      </c>
      <c r="B11" s="225">
        <v>1.6500000000000001E-2</v>
      </c>
      <c r="C11" s="225">
        <v>1.6500000000000001E-2</v>
      </c>
      <c r="D11" s="225">
        <v>1.6500000000000001E-2</v>
      </c>
      <c r="E11" s="225">
        <v>1.6500000000000001E-2</v>
      </c>
      <c r="F11" s="226">
        <v>1.6500000000000001E-2</v>
      </c>
      <c r="G11" s="34"/>
    </row>
    <row r="12" spans="1:7" s="29" customFormat="1" x14ac:dyDescent="0.3">
      <c r="A12" s="128" t="s">
        <v>6</v>
      </c>
      <c r="B12" s="223">
        <v>7.5999999999999998E-2</v>
      </c>
      <c r="C12" s="223">
        <v>7.5999999999999998E-2</v>
      </c>
      <c r="D12" s="223">
        <v>7.5999999999999998E-2</v>
      </c>
      <c r="E12" s="223">
        <v>7.5999999999999998E-2</v>
      </c>
      <c r="F12" s="224">
        <v>7.5999999999999998E-2</v>
      </c>
      <c r="G12" s="34"/>
    </row>
    <row r="13" spans="1:7" s="29" customFormat="1" x14ac:dyDescent="0.3">
      <c r="A13" s="217" t="s">
        <v>7</v>
      </c>
      <c r="B13" s="227"/>
      <c r="C13" s="227"/>
      <c r="D13" s="227"/>
      <c r="E13" s="227"/>
      <c r="F13" s="228"/>
      <c r="G13" s="34"/>
    </row>
    <row r="14" spans="1:7" s="29" customFormat="1" ht="12.75" hidden="1" customHeight="1" x14ac:dyDescent="0.3">
      <c r="A14" s="33" t="s">
        <v>8</v>
      </c>
      <c r="B14" s="35">
        <v>0.3</v>
      </c>
      <c r="C14" s="35">
        <v>0.3</v>
      </c>
      <c r="D14" s="35">
        <v>0.3</v>
      </c>
      <c r="E14" s="35">
        <v>0.3</v>
      </c>
      <c r="F14" s="35">
        <v>0.3</v>
      </c>
      <c r="G14" s="34"/>
    </row>
    <row r="15" spans="1:7" s="29" customFormat="1" x14ac:dyDescent="0.3">
      <c r="G15" s="31"/>
    </row>
    <row r="16" spans="1:7" s="29" customFormat="1" ht="18.75" hidden="1" customHeight="1" x14ac:dyDescent="0.3">
      <c r="A16" s="436" t="s">
        <v>9</v>
      </c>
      <c r="B16" s="437"/>
      <c r="C16" s="365" t="s">
        <v>10</v>
      </c>
      <c r="D16" s="36"/>
      <c r="E16" s="36"/>
      <c r="F16" s="36"/>
      <c r="G16" s="31"/>
    </row>
    <row r="17" spans="1:7" s="29" customFormat="1" ht="28.5" hidden="1" customHeight="1" x14ac:dyDescent="0.3">
      <c r="A17" s="436" t="s">
        <v>11</v>
      </c>
      <c r="B17" s="437"/>
      <c r="C17" s="366"/>
      <c r="D17" s="36"/>
      <c r="E17" s="36"/>
      <c r="F17" s="36"/>
      <c r="G17" s="31"/>
    </row>
    <row r="18" spans="1:7" s="29" customFormat="1" ht="18.75" hidden="1" customHeight="1" x14ac:dyDescent="0.3">
      <c r="A18" s="37" t="s">
        <v>12</v>
      </c>
      <c r="B18" s="38" t="s">
        <v>13</v>
      </c>
      <c r="C18" s="38" t="s">
        <v>13</v>
      </c>
      <c r="D18" s="39"/>
      <c r="E18" s="39"/>
      <c r="F18" s="36"/>
    </row>
    <row r="19" spans="1:7" s="29" customFormat="1" ht="18.75" hidden="1" customHeight="1" x14ac:dyDescent="0.3">
      <c r="A19" s="40" t="s">
        <v>14</v>
      </c>
      <c r="B19" s="41"/>
      <c r="C19" s="41">
        <v>0.59978335140278816</v>
      </c>
      <c r="D19" s="42"/>
      <c r="E19" s="39"/>
      <c r="F19" s="36"/>
    </row>
    <row r="20" spans="1:7" s="29" customFormat="1" ht="12.75" hidden="1" customHeight="1" x14ac:dyDescent="0.3">
      <c r="A20" s="358" t="s">
        <v>15</v>
      </c>
      <c r="B20" s="43">
        <f>1/30</f>
        <v>3.3333333333333333E-2</v>
      </c>
      <c r="C20" s="43">
        <v>0.59978335140278816</v>
      </c>
      <c r="D20" s="44"/>
      <c r="E20" s="36"/>
      <c r="F20" s="36"/>
    </row>
    <row r="21" spans="1:7" s="29" customFormat="1" ht="12.75" hidden="1" customHeight="1" x14ac:dyDescent="0.3">
      <c r="A21" s="358" t="s">
        <v>16</v>
      </c>
      <c r="B21" s="43">
        <f t="shared" ref="B21:B38" si="2">1/30</f>
        <v>3.3333333333333333E-2</v>
      </c>
      <c r="C21" s="43">
        <v>0</v>
      </c>
      <c r="D21" s="44"/>
      <c r="E21" s="36"/>
      <c r="F21" s="36"/>
    </row>
    <row r="22" spans="1:7" s="29" customFormat="1" ht="12.75" hidden="1" customHeight="1" x14ac:dyDescent="0.3">
      <c r="A22" s="359" t="s">
        <v>17</v>
      </c>
      <c r="B22" s="43"/>
      <c r="C22" s="43">
        <v>0.25003684106291729</v>
      </c>
      <c r="D22" s="42"/>
      <c r="E22" s="36"/>
      <c r="F22" s="36"/>
    </row>
    <row r="23" spans="1:7" s="29" customFormat="1" ht="12.75" hidden="1" customHeight="1" x14ac:dyDescent="0.3">
      <c r="A23" s="358" t="s">
        <v>18</v>
      </c>
      <c r="B23" s="43">
        <f t="shared" si="2"/>
        <v>3.3333333333333333E-2</v>
      </c>
      <c r="C23" s="43">
        <v>7.636922534905527E-2</v>
      </c>
      <c r="D23" s="44"/>
      <c r="E23" s="36"/>
      <c r="F23" s="36"/>
    </row>
    <row r="24" spans="1:7" s="29" customFormat="1" ht="12.75" hidden="1" customHeight="1" x14ac:dyDescent="0.3">
      <c r="A24" s="358" t="s">
        <v>19</v>
      </c>
      <c r="B24" s="43">
        <f t="shared" si="2"/>
        <v>3.3333333333333333E-2</v>
      </c>
      <c r="C24" s="43">
        <v>5.3866624708873663E-2</v>
      </c>
      <c r="D24" s="44"/>
      <c r="E24" s="36"/>
      <c r="F24" s="36"/>
    </row>
    <row r="25" spans="1:7" s="29" customFormat="1" ht="12.75" hidden="1" customHeight="1" x14ac:dyDescent="0.3">
      <c r="A25" s="358" t="s">
        <v>20</v>
      </c>
      <c r="B25" s="43">
        <f t="shared" si="2"/>
        <v>3.3333333333333333E-2</v>
      </c>
      <c r="C25" s="43">
        <v>2.8829748636846383E-2</v>
      </c>
      <c r="D25" s="44"/>
      <c r="E25" s="36"/>
      <c r="F25" s="36"/>
    </row>
    <row r="26" spans="1:7" s="29" customFormat="1" ht="12.75" hidden="1" customHeight="1" x14ac:dyDescent="0.3">
      <c r="A26" s="358" t="s">
        <v>21</v>
      </c>
      <c r="B26" s="43">
        <f>1/5</f>
        <v>0.2</v>
      </c>
      <c r="C26" s="43">
        <v>9.0971242368141969E-2</v>
      </c>
      <c r="D26" s="44"/>
      <c r="E26" s="36"/>
      <c r="F26" s="36"/>
    </row>
    <row r="27" spans="1:7" s="29" customFormat="1" ht="12.75" hidden="1" customHeight="1" x14ac:dyDescent="0.3">
      <c r="A27" s="358" t="s">
        <v>22</v>
      </c>
      <c r="B27" s="43">
        <f t="shared" si="2"/>
        <v>3.3333333333333333E-2</v>
      </c>
      <c r="C27" s="43">
        <v>0</v>
      </c>
      <c r="D27" s="44"/>
      <c r="E27" s="36"/>
      <c r="F27" s="36"/>
    </row>
    <row r="28" spans="1:7" s="29" customFormat="1" ht="12.75" hidden="1" customHeight="1" x14ac:dyDescent="0.3">
      <c r="A28" s="359" t="s">
        <v>23</v>
      </c>
      <c r="B28" s="43"/>
      <c r="C28" s="43">
        <v>0.15017980753429461</v>
      </c>
      <c r="D28" s="42"/>
      <c r="E28" s="36"/>
      <c r="F28" s="36"/>
    </row>
    <row r="29" spans="1:7" s="29" customFormat="1" ht="12.75" hidden="1" customHeight="1" x14ac:dyDescent="0.3">
      <c r="A29" s="358" t="s">
        <v>24</v>
      </c>
      <c r="B29" s="43">
        <f t="shared" si="2"/>
        <v>3.3333333333333333E-2</v>
      </c>
      <c r="C29" s="43">
        <v>7.5089903767147304E-2</v>
      </c>
      <c r="D29" s="44"/>
      <c r="E29" s="36"/>
      <c r="F29" s="36"/>
    </row>
    <row r="30" spans="1:7" s="29" customFormat="1" ht="12.75" hidden="1" customHeight="1" x14ac:dyDescent="0.3">
      <c r="A30" s="358" t="s">
        <v>25</v>
      </c>
      <c r="B30" s="43">
        <f t="shared" si="2"/>
        <v>3.3333333333333333E-2</v>
      </c>
      <c r="C30" s="43">
        <v>7.5089903767147304E-2</v>
      </c>
      <c r="D30" s="44"/>
      <c r="E30" s="36"/>
      <c r="F30" s="36"/>
    </row>
    <row r="31" spans="1:7" s="29" customFormat="1" ht="12.75" hidden="1" customHeight="1" x14ac:dyDescent="0.3">
      <c r="A31" s="358" t="s">
        <v>26</v>
      </c>
      <c r="B31" s="43">
        <f t="shared" si="2"/>
        <v>3.3333333333333333E-2</v>
      </c>
      <c r="C31" s="43">
        <v>0</v>
      </c>
      <c r="D31" s="44"/>
      <c r="E31" s="36"/>
      <c r="F31" s="36"/>
    </row>
    <row r="32" spans="1:7" s="29" customFormat="1" ht="12.75" hidden="1" customHeight="1" x14ac:dyDescent="0.3">
      <c r="A32" s="358" t="s">
        <v>27</v>
      </c>
      <c r="B32" s="43">
        <f t="shared" si="2"/>
        <v>3.3333333333333333E-2</v>
      </c>
      <c r="C32" s="43">
        <v>0</v>
      </c>
      <c r="D32" s="44"/>
      <c r="E32" s="36"/>
      <c r="F32" s="36"/>
    </row>
    <row r="33" spans="1:6" s="29" customFormat="1" ht="12.75" hidden="1" customHeight="1" x14ac:dyDescent="0.3">
      <c r="A33" s="358" t="s">
        <v>28</v>
      </c>
      <c r="B33" s="43">
        <f t="shared" si="2"/>
        <v>3.3333333333333333E-2</v>
      </c>
      <c r="C33" s="43">
        <v>0</v>
      </c>
      <c r="D33" s="44"/>
      <c r="E33" s="36"/>
      <c r="F33" s="36"/>
    </row>
    <row r="34" spans="1:6" s="29" customFormat="1" ht="12.75" hidden="1" customHeight="1" x14ac:dyDescent="0.3">
      <c r="A34" s="358" t="s">
        <v>29</v>
      </c>
      <c r="B34" s="43">
        <f t="shared" si="2"/>
        <v>3.3333333333333333E-2</v>
      </c>
      <c r="C34" s="43">
        <v>0</v>
      </c>
      <c r="D34" s="44"/>
      <c r="E34" s="36"/>
      <c r="F34" s="36"/>
    </row>
    <row r="35" spans="1:6" s="29" customFormat="1" ht="12.75" hidden="1" customHeight="1" x14ac:dyDescent="0.3">
      <c r="A35" s="358" t="s">
        <v>30</v>
      </c>
      <c r="B35" s="43">
        <f>1/10</f>
        <v>0.1</v>
      </c>
      <c r="C35" s="43">
        <v>0</v>
      </c>
      <c r="D35" s="44"/>
      <c r="E35" s="36"/>
      <c r="F35" s="36"/>
    </row>
    <row r="36" spans="1:6" s="29" customFormat="1" ht="12.75" hidden="1" customHeight="1" x14ac:dyDescent="0.3">
      <c r="A36" s="358" t="s">
        <v>31</v>
      </c>
      <c r="B36" s="43">
        <v>0.1</v>
      </c>
      <c r="C36" s="43">
        <v>0</v>
      </c>
      <c r="D36" s="44"/>
      <c r="E36" s="36"/>
      <c r="F36" s="36"/>
    </row>
    <row r="37" spans="1:6" s="29" customFormat="1" ht="12.75" hidden="1" customHeight="1" x14ac:dyDescent="0.3">
      <c r="A37" s="359" t="s">
        <v>32</v>
      </c>
      <c r="B37" s="43"/>
      <c r="C37" s="43">
        <v>0</v>
      </c>
      <c r="D37" s="42"/>
      <c r="E37" s="36"/>
      <c r="F37" s="36"/>
    </row>
    <row r="38" spans="1:6" s="29" customFormat="1" ht="12.75" hidden="1" customHeight="1" x14ac:dyDescent="0.3">
      <c r="A38" s="358" t="s">
        <v>33</v>
      </c>
      <c r="B38" s="43">
        <f t="shared" si="2"/>
        <v>3.3333333333333333E-2</v>
      </c>
      <c r="C38" s="43">
        <v>0</v>
      </c>
      <c r="D38" s="44"/>
      <c r="E38" s="36"/>
      <c r="F38" s="36"/>
    </row>
    <row r="39" spans="1:6" s="29" customFormat="1" ht="12.75" hidden="1" customHeight="1" x14ac:dyDescent="0.3">
      <c r="A39" s="358" t="s">
        <v>34</v>
      </c>
      <c r="B39" s="43">
        <f>1/10</f>
        <v>0.1</v>
      </c>
      <c r="C39" s="43">
        <v>0</v>
      </c>
      <c r="D39" s="44"/>
      <c r="E39" s="36"/>
      <c r="F39" s="36"/>
    </row>
    <row r="40" spans="1:6" s="29" customFormat="1" ht="12.75" hidden="1" customHeight="1" x14ac:dyDescent="0.3">
      <c r="A40" s="358" t="s">
        <v>35</v>
      </c>
      <c r="B40" s="43">
        <f>1/5</f>
        <v>0.2</v>
      </c>
      <c r="C40" s="43">
        <v>0</v>
      </c>
      <c r="D40" s="44"/>
      <c r="E40" s="36"/>
      <c r="F40" s="36"/>
    </row>
    <row r="41" spans="1:6" s="29" customFormat="1" ht="12.75" hidden="1" customHeight="1" x14ac:dyDescent="0.3">
      <c r="A41" s="358" t="s">
        <v>36</v>
      </c>
      <c r="B41" s="43">
        <f>1/5</f>
        <v>0.2</v>
      </c>
      <c r="C41" s="43">
        <v>0</v>
      </c>
      <c r="D41" s="44"/>
      <c r="E41" s="36"/>
      <c r="F41" s="36"/>
    </row>
    <row r="42" spans="1:6" s="29" customFormat="1" ht="12.75" hidden="1" customHeight="1" x14ac:dyDescent="0.3">
      <c r="A42" s="358" t="s">
        <v>37</v>
      </c>
      <c r="B42" s="43">
        <f>1/20</f>
        <v>0.05</v>
      </c>
      <c r="C42" s="43">
        <v>0</v>
      </c>
      <c r="D42" s="44"/>
      <c r="E42" s="36"/>
      <c r="F42" s="36"/>
    </row>
    <row r="43" spans="1:6" s="29" customFormat="1" ht="12.75" hidden="1" customHeight="1" x14ac:dyDescent="0.3">
      <c r="A43" s="359" t="s">
        <v>38</v>
      </c>
      <c r="B43" s="43">
        <f>1/5</f>
        <v>0.2</v>
      </c>
      <c r="C43" s="43">
        <v>0</v>
      </c>
      <c r="D43" s="42"/>
      <c r="E43" s="36"/>
      <c r="F43" s="36"/>
    </row>
    <row r="44" spans="1:6" s="29" customFormat="1" ht="12.75" hidden="1" customHeight="1" x14ac:dyDescent="0.3">
      <c r="A44" s="359" t="s">
        <v>39</v>
      </c>
      <c r="B44" s="43"/>
      <c r="C44" s="43">
        <f>C19+C22+C28+C37+C43</f>
        <v>1</v>
      </c>
      <c r="D44" s="45"/>
      <c r="E44" s="45"/>
      <c r="F44" s="45"/>
    </row>
    <row r="45" spans="1:6" s="29" customFormat="1" x14ac:dyDescent="0.3"/>
    <row r="46" spans="1:6" s="29" customFormat="1" ht="29.4" thickBot="1" x14ac:dyDescent="0.35">
      <c r="A46" s="173" t="s">
        <v>40</v>
      </c>
      <c r="B46" s="175" t="s">
        <v>41</v>
      </c>
      <c r="C46" s="46"/>
      <c r="D46" s="46"/>
      <c r="E46" s="46"/>
      <c r="F46" s="46"/>
    </row>
    <row r="47" spans="1:6" s="29" customFormat="1" ht="18.75" customHeight="1" thickTop="1" x14ac:dyDescent="0.3">
      <c r="A47" s="218"/>
      <c r="B47" s="219"/>
      <c r="C47" s="46"/>
      <c r="D47" s="46"/>
      <c r="E47" s="46"/>
      <c r="F47" s="46"/>
    </row>
    <row r="48" spans="1:6" s="29" customFormat="1" x14ac:dyDescent="0.3">
      <c r="A48" s="128" t="s">
        <v>42</v>
      </c>
      <c r="B48" s="220"/>
      <c r="C48" s="31"/>
      <c r="D48" s="31"/>
      <c r="E48" s="31"/>
      <c r="F48" s="31"/>
    </row>
    <row r="49" spans="1:8" s="29" customFormat="1" x14ac:dyDescent="0.3">
      <c r="A49" s="142" t="s">
        <v>43</v>
      </c>
      <c r="B49" s="221"/>
      <c r="C49" s="31"/>
      <c r="D49" s="31"/>
      <c r="E49" s="31"/>
      <c r="F49" s="31"/>
    </row>
    <row r="50" spans="1:8" s="29" customFormat="1" x14ac:dyDescent="0.3">
      <c r="A50" s="353" t="s">
        <v>44</v>
      </c>
      <c r="B50" s="367">
        <v>7.25</v>
      </c>
      <c r="C50" s="31"/>
      <c r="D50" s="31"/>
      <c r="E50" s="31"/>
      <c r="F50" s="31"/>
    </row>
    <row r="51" spans="1:8" s="29" customFormat="1" x14ac:dyDescent="0.3">
      <c r="A51" s="354" t="s">
        <v>45</v>
      </c>
      <c r="B51" s="368">
        <f>'Investimento e Depreciação'!P11+'Investimento e Depreciação'!P25</f>
        <v>26785.73599307159</v>
      </c>
      <c r="C51" s="31"/>
      <c r="D51" s="31"/>
      <c r="E51" s="31"/>
      <c r="F51" s="31"/>
    </row>
    <row r="52" spans="1:8" s="29" customFormat="1" x14ac:dyDescent="0.3">
      <c r="B52"/>
      <c r="C52"/>
      <c r="H52" s="317"/>
    </row>
    <row r="53" spans="1:8" s="29" customFormat="1" ht="18.75" customHeight="1" thickBot="1" x14ac:dyDescent="0.35">
      <c r="A53" s="207" t="s">
        <v>46</v>
      </c>
      <c r="B53" s="184">
        <f>B6</f>
        <v>2024</v>
      </c>
      <c r="C53" s="184">
        <f>C6</f>
        <v>2025</v>
      </c>
      <c r="D53" s="184">
        <f>D6</f>
        <v>2026</v>
      </c>
      <c r="E53" s="184">
        <f>E6</f>
        <v>2027</v>
      </c>
      <c r="F53" s="184">
        <f>F6</f>
        <v>2028</v>
      </c>
    </row>
    <row r="54" spans="1:8" s="29" customFormat="1" ht="18.75" customHeight="1" thickTop="1" x14ac:dyDescent="0.3">
      <c r="A54" s="176"/>
      <c r="B54" s="186"/>
      <c r="C54" s="186"/>
      <c r="D54" s="186"/>
      <c r="E54" s="186"/>
      <c r="F54" s="187"/>
    </row>
    <row r="55" spans="1:8" s="29" customFormat="1" ht="15" x14ac:dyDescent="0.3">
      <c r="A55" s="128" t="s">
        <v>47</v>
      </c>
      <c r="B55" s="379">
        <v>9400</v>
      </c>
      <c r="C55" s="379">
        <f>+B55</f>
        <v>9400</v>
      </c>
      <c r="D55" s="379">
        <f>+C55</f>
        <v>9400</v>
      </c>
      <c r="E55" s="379">
        <f>+D55</f>
        <v>9400</v>
      </c>
      <c r="F55" s="380">
        <f>+E55</f>
        <v>9400</v>
      </c>
    </row>
    <row r="56" spans="1:8" s="29" customFormat="1" x14ac:dyDescent="0.3">
      <c r="A56" s="208" t="s">
        <v>48</v>
      </c>
      <c r="B56" s="381">
        <v>3.7302178999999998E-2</v>
      </c>
      <c r="C56" s="381">
        <f>C55/251996</f>
        <v>3.7302179399673008E-2</v>
      </c>
      <c r="D56" s="381">
        <f>D55/251996</f>
        <v>3.7302179399673008E-2</v>
      </c>
      <c r="E56" s="381">
        <f>E55/251996</f>
        <v>3.7302179399673008E-2</v>
      </c>
      <c r="F56" s="382">
        <f>F55/251996</f>
        <v>3.7302179399673008E-2</v>
      </c>
    </row>
    <row r="57" spans="1:8" s="29" customFormat="1" x14ac:dyDescent="0.3">
      <c r="A57" s="142" t="s">
        <v>49</v>
      </c>
      <c r="B57" s="434">
        <v>366</v>
      </c>
      <c r="C57" s="209">
        <v>365</v>
      </c>
      <c r="D57" s="209">
        <v>365</v>
      </c>
      <c r="E57" s="209">
        <v>365</v>
      </c>
      <c r="F57" s="435">
        <v>366</v>
      </c>
    </row>
    <row r="58" spans="1:8" s="29" customFormat="1" x14ac:dyDescent="0.3">
      <c r="A58" s="128" t="s">
        <v>50</v>
      </c>
      <c r="B58" s="210">
        <f>B57</f>
        <v>366</v>
      </c>
      <c r="C58" s="210">
        <f t="shared" ref="C58:F58" si="3">C57</f>
        <v>365</v>
      </c>
      <c r="D58" s="210">
        <f t="shared" si="3"/>
        <v>365</v>
      </c>
      <c r="E58" s="210">
        <f t="shared" si="3"/>
        <v>365</v>
      </c>
      <c r="F58" s="210">
        <f t="shared" si="3"/>
        <v>366</v>
      </c>
    </row>
    <row r="59" spans="1:8" s="29" customFormat="1" x14ac:dyDescent="0.3">
      <c r="A59" s="142" t="s">
        <v>51</v>
      </c>
      <c r="B59" s="211">
        <v>0.08</v>
      </c>
      <c r="C59" s="211">
        <v>0.08</v>
      </c>
      <c r="D59" s="211">
        <v>0.08</v>
      </c>
      <c r="E59" s="211">
        <v>0.08</v>
      </c>
      <c r="F59" s="212">
        <v>0.08</v>
      </c>
    </row>
    <row r="60" spans="1:8" s="29" customFormat="1" x14ac:dyDescent="0.3">
      <c r="A60" s="128" t="s">
        <v>52</v>
      </c>
      <c r="B60" s="213">
        <v>0.02</v>
      </c>
      <c r="C60" s="213">
        <f>+B60</f>
        <v>0.02</v>
      </c>
      <c r="D60" s="213">
        <f>+C60</f>
        <v>0.02</v>
      </c>
      <c r="E60" s="213">
        <f>+D60</f>
        <v>0.02</v>
      </c>
      <c r="F60" s="214">
        <f>+E60</f>
        <v>0.02</v>
      </c>
    </row>
    <row r="61" spans="1:8" s="29" customFormat="1" x14ac:dyDescent="0.3">
      <c r="A61" s="142" t="s">
        <v>53</v>
      </c>
      <c r="B61" s="215">
        <v>0.04</v>
      </c>
      <c r="C61" s="215">
        <v>0.04</v>
      </c>
      <c r="D61" s="215">
        <v>0.04</v>
      </c>
      <c r="E61" s="215">
        <v>0.04</v>
      </c>
      <c r="F61" s="216">
        <v>0.04</v>
      </c>
    </row>
    <row r="62" spans="1:8" s="29" customFormat="1" x14ac:dyDescent="0.3">
      <c r="A62" s="128" t="s">
        <v>54</v>
      </c>
      <c r="B62" s="128"/>
      <c r="C62" s="128"/>
      <c r="D62" s="128"/>
      <c r="E62" s="128"/>
      <c r="F62" s="127"/>
    </row>
    <row r="63" spans="1:8" s="29" customFormat="1" x14ac:dyDescent="0.3">
      <c r="A63" s="142" t="s">
        <v>55</v>
      </c>
      <c r="B63" s="393">
        <v>0</v>
      </c>
      <c r="C63" s="393">
        <f>+B63</f>
        <v>0</v>
      </c>
      <c r="D63" s="393">
        <f>+C63</f>
        <v>0</v>
      </c>
      <c r="E63" s="393">
        <f>+D63</f>
        <v>0</v>
      </c>
      <c r="F63" s="394">
        <f>+E63</f>
        <v>0</v>
      </c>
      <c r="G63" s="29" t="s">
        <v>288</v>
      </c>
    </row>
    <row r="64" spans="1:8" s="29" customFormat="1" x14ac:dyDescent="0.3">
      <c r="A64" s="217" t="s">
        <v>325</v>
      </c>
      <c r="B64" s="355">
        <v>5</v>
      </c>
      <c r="C64" s="355">
        <v>5.0999999999999996</v>
      </c>
      <c r="D64" s="355">
        <v>5.15</v>
      </c>
      <c r="E64" s="355">
        <f>D64</f>
        <v>5.15</v>
      </c>
      <c r="F64" s="355">
        <f>D64</f>
        <v>5.15</v>
      </c>
    </row>
    <row r="65" spans="1:6" s="29" customFormat="1" x14ac:dyDescent="0.3">
      <c r="B65" s="47"/>
      <c r="C65" s="47"/>
    </row>
    <row r="66" spans="1:6" s="29" customFormat="1" ht="18.75" hidden="1" customHeight="1" x14ac:dyDescent="0.3">
      <c r="A66" s="439" t="s">
        <v>56</v>
      </c>
      <c r="B66" s="441">
        <v>2020</v>
      </c>
      <c r="C66" s="441">
        <v>2021</v>
      </c>
      <c r="D66" s="441">
        <v>2022</v>
      </c>
      <c r="E66" s="441">
        <v>2023</v>
      </c>
      <c r="F66" s="441">
        <v>2024</v>
      </c>
    </row>
    <row r="67" spans="1:6" s="29" customFormat="1" ht="18.75" hidden="1" customHeight="1" x14ac:dyDescent="0.3">
      <c r="A67" s="440"/>
      <c r="B67" s="442"/>
      <c r="C67" s="442"/>
      <c r="D67" s="442"/>
      <c r="E67" s="442"/>
      <c r="F67" s="442"/>
    </row>
    <row r="68" spans="1:6" s="29" customFormat="1" ht="12.75" hidden="1" customHeight="1" x14ac:dyDescent="0.3">
      <c r="A68" s="48" t="s">
        <v>57</v>
      </c>
      <c r="B68" s="49">
        <v>0.37436844799572661</v>
      </c>
      <c r="C68" s="49">
        <v>0.37436844799572661</v>
      </c>
      <c r="D68" s="49">
        <v>0.37436844799572661</v>
      </c>
      <c r="E68" s="49">
        <v>0.37436844799572661</v>
      </c>
      <c r="F68" s="49">
        <v>0.37436844799572661</v>
      </c>
    </row>
    <row r="69" spans="1:6" s="29" customFormat="1" ht="12.75" hidden="1" customHeight="1" x14ac:dyDescent="0.3">
      <c r="A69" s="48" t="s">
        <v>58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</row>
    <row r="70" spans="1:6" s="29" customFormat="1" ht="12.75" hidden="1" customHeight="1" x14ac:dyDescent="0.3">
      <c r="A70" s="48" t="s">
        <v>59</v>
      </c>
      <c r="B70" s="49">
        <v>4.9856440161143139E-3</v>
      </c>
      <c r="C70" s="49">
        <v>4.9856440161143139E-3</v>
      </c>
      <c r="D70" s="49">
        <v>4.9856440161143139E-3</v>
      </c>
      <c r="E70" s="49">
        <v>4.9856440161143139E-3</v>
      </c>
      <c r="F70" s="49">
        <v>4.9856440161143139E-3</v>
      </c>
    </row>
    <row r="71" spans="1:6" s="29" customFormat="1" ht="12.75" hidden="1" customHeight="1" x14ac:dyDescent="0.3">
      <c r="A71" s="48" t="s">
        <v>60</v>
      </c>
      <c r="B71" s="49">
        <v>0.15402078835496005</v>
      </c>
      <c r="C71" s="49">
        <v>0.15402078835496005</v>
      </c>
      <c r="D71" s="49">
        <v>0.15402078835496005</v>
      </c>
      <c r="E71" s="49">
        <v>0.15402078835496005</v>
      </c>
      <c r="F71" s="49">
        <v>0.15402078835496005</v>
      </c>
    </row>
    <row r="72" spans="1:6" s="29" customFormat="1" ht="12.75" hidden="1" customHeight="1" x14ac:dyDescent="0.3">
      <c r="A72" s="48" t="s">
        <v>61</v>
      </c>
      <c r="B72" s="49">
        <v>1.53575641567807E-2</v>
      </c>
      <c r="C72" s="49">
        <v>1.53575641567807E-2</v>
      </c>
      <c r="D72" s="49">
        <v>1.53575641567807E-2</v>
      </c>
      <c r="E72" s="49">
        <v>1.53575641567807E-2</v>
      </c>
      <c r="F72" s="49">
        <v>1.53575641567807E-2</v>
      </c>
    </row>
    <row r="73" spans="1:6" s="29" customFormat="1" ht="12.75" hidden="1" customHeight="1" x14ac:dyDescent="0.3">
      <c r="A73" s="48" t="s">
        <v>62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</row>
    <row r="74" spans="1:6" s="29" customFormat="1" ht="12.75" hidden="1" customHeight="1" x14ac:dyDescent="0.3">
      <c r="A74" s="48" t="s">
        <v>63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</row>
    <row r="75" spans="1:6" s="29" customFormat="1" ht="12.75" hidden="1" customHeight="1" x14ac:dyDescent="0.3">
      <c r="A75" s="48" t="s">
        <v>64</v>
      </c>
      <c r="B75" s="49">
        <v>4.7853279618954355E-3</v>
      </c>
      <c r="C75" s="49">
        <v>4.7853279618954355E-3</v>
      </c>
      <c r="D75" s="49">
        <v>4.7853279618954355E-3</v>
      </c>
      <c r="E75" s="49">
        <v>4.7853279618954355E-3</v>
      </c>
      <c r="F75" s="49">
        <v>4.7853279618954355E-3</v>
      </c>
    </row>
    <row r="76" spans="1:6" s="29" customFormat="1" ht="12.75" hidden="1" customHeight="1" x14ac:dyDescent="0.3">
      <c r="A76" s="48" t="s">
        <v>65</v>
      </c>
      <c r="B76" s="49">
        <v>1.0683522891673531E-2</v>
      </c>
      <c r="C76" s="49">
        <v>1.0683522891673531E-2</v>
      </c>
      <c r="D76" s="49">
        <v>1.0683522891673531E-2</v>
      </c>
      <c r="E76" s="49">
        <v>1.0683522891673531E-2</v>
      </c>
      <c r="F76" s="49">
        <v>1.0683522891673531E-2</v>
      </c>
    </row>
    <row r="77" spans="1:6" s="29" customFormat="1" ht="12.75" hidden="1" customHeight="1" x14ac:dyDescent="0.3">
      <c r="A77" s="48" t="s">
        <v>66</v>
      </c>
      <c r="B77" s="49">
        <v>1.6247857731086827E-2</v>
      </c>
      <c r="C77" s="49">
        <v>1.6247857731086827E-2</v>
      </c>
      <c r="D77" s="49">
        <v>1.6247857731086827E-2</v>
      </c>
      <c r="E77" s="49">
        <v>1.6247857731086827E-2</v>
      </c>
      <c r="F77" s="49">
        <v>1.6247857731086827E-2</v>
      </c>
    </row>
    <row r="78" spans="1:6" s="29" customFormat="1" ht="12.75" hidden="1" customHeight="1" x14ac:dyDescent="0.3">
      <c r="A78" s="48" t="s">
        <v>67</v>
      </c>
      <c r="B78" s="49">
        <v>3.4498876004362439E-2</v>
      </c>
      <c r="C78" s="49">
        <v>3.4498876004362439E-2</v>
      </c>
      <c r="D78" s="49">
        <v>3.4498876004362439E-2</v>
      </c>
      <c r="E78" s="49">
        <v>3.4498876004362439E-2</v>
      </c>
      <c r="F78" s="49">
        <v>3.4498876004362439E-2</v>
      </c>
    </row>
    <row r="79" spans="1:6" s="29" customFormat="1" ht="12.75" hidden="1" customHeight="1" x14ac:dyDescent="0.3">
      <c r="A79" s="48" t="s">
        <v>68</v>
      </c>
      <c r="B79" s="49">
        <v>0.38505197088740017</v>
      </c>
      <c r="C79" s="49">
        <v>0.38505197088740017</v>
      </c>
      <c r="D79" s="49">
        <v>0.38505197088740017</v>
      </c>
      <c r="E79" s="49">
        <v>0.38505197088740017</v>
      </c>
      <c r="F79" s="49">
        <v>0.38505197088740017</v>
      </c>
    </row>
    <row r="80" spans="1:6" s="29" customFormat="1" ht="12.75" hidden="1" customHeight="1" x14ac:dyDescent="0.3">
      <c r="A80" s="48" t="s">
        <v>39</v>
      </c>
      <c r="B80" s="50">
        <f>SUM(B68:B79)</f>
        <v>1</v>
      </c>
      <c r="C80" s="50">
        <f t="shared" ref="C80:F80" si="4">SUM(C68:C79)</f>
        <v>1</v>
      </c>
      <c r="D80" s="50">
        <f t="shared" si="4"/>
        <v>1</v>
      </c>
      <c r="E80" s="50">
        <f t="shared" si="4"/>
        <v>1</v>
      </c>
      <c r="F80" s="50">
        <f t="shared" si="4"/>
        <v>1</v>
      </c>
    </row>
    <row r="81" spans="1:6" ht="13.5" customHeight="1" x14ac:dyDescent="0.3">
      <c r="B81" s="51"/>
      <c r="C81" s="51"/>
      <c r="D81" s="51"/>
      <c r="E81" s="51"/>
      <c r="F81" s="51"/>
    </row>
    <row r="82" spans="1:6" ht="13.5" customHeight="1" x14ac:dyDescent="0.3">
      <c r="A82" s="51"/>
      <c r="B82" s="51"/>
      <c r="C82" s="51"/>
      <c r="D82" s="51"/>
      <c r="E82" s="51"/>
      <c r="F82" s="51"/>
    </row>
    <row r="83" spans="1:6" ht="13.5" customHeight="1" x14ac:dyDescent="0.3">
      <c r="A83" s="51"/>
      <c r="B83" s="51"/>
      <c r="C83" s="51"/>
      <c r="D83" s="51"/>
      <c r="E83" s="51"/>
      <c r="F83" s="51"/>
    </row>
  </sheetData>
  <mergeCells count="9">
    <mergeCell ref="A17:B17"/>
    <mergeCell ref="A16:B16"/>
    <mergeCell ref="G6:G7"/>
    <mergeCell ref="A66:A67"/>
    <mergeCell ref="B66:B67"/>
    <mergeCell ref="C66:C67"/>
    <mergeCell ref="D66:D67"/>
    <mergeCell ref="E66:E67"/>
    <mergeCell ref="F66:F67"/>
  </mergeCells>
  <phoneticPr fontId="7" type="noConversion"/>
  <dataValidations disablePrompts="1" count="1">
    <dataValidation allowBlank="1" showInputMessage="1" showErrorMessage="1" error="Favor cadastrar item na Tabela 1" promptTitle="ERRO" sqref="A20:A44"/>
  </dataValidations>
  <printOptions gridLines="1"/>
  <pageMargins left="0.7" right="0.7" top="0.75" bottom="0.75" header="0.3" footer="0.3"/>
  <pageSetup paperSize="9" scale="80" fitToWidth="0" fitToHeight="0" orientation="landscape" r:id="rId1"/>
  <headerFooter alignWithMargins="0">
    <oddHeader>&amp;R&amp;"Calibri"&amp;14&amp;K0078D7NP-1&amp;1#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>
    <tabColor theme="8"/>
    <pageSetUpPr fitToPage="1"/>
  </sheetPr>
  <dimension ref="A1:O67"/>
  <sheetViews>
    <sheetView showGridLines="0" zoomScaleNormal="100" workbookViewId="0">
      <pane xSplit="2" ySplit="5" topLeftCell="C32" activePane="bottomRight" state="frozen"/>
      <selection pane="topRight" activeCell="I84" sqref="I84"/>
      <selection pane="bottomLeft" activeCell="I84" sqref="I84"/>
      <selection pane="bottomRight" activeCell="C39" sqref="C39"/>
    </sheetView>
  </sheetViews>
  <sheetFormatPr defaultColWidth="9.21875" defaultRowHeight="13.8" x14ac:dyDescent="0.3"/>
  <cols>
    <col min="1" max="1" width="10.5546875" style="31" bestFit="1" customWidth="1"/>
    <col min="2" max="2" width="75.77734375" style="31" bestFit="1" customWidth="1"/>
    <col min="3" max="3" width="15.5546875" style="31" bestFit="1" customWidth="1"/>
    <col min="4" max="4" width="15.21875" style="31" bestFit="1" customWidth="1"/>
    <col min="5" max="5" width="11.77734375" style="31" bestFit="1" customWidth="1"/>
    <col min="6" max="6" width="12.21875" style="31" bestFit="1" customWidth="1"/>
    <col min="7" max="7" width="11.77734375" style="31" bestFit="1" customWidth="1"/>
    <col min="8" max="12" width="11.77734375" style="31" hidden="1" customWidth="1"/>
    <col min="13" max="16384" width="9.21875" style="31"/>
  </cols>
  <sheetData>
    <row r="1" spans="1:12" ht="16.2" thickBot="1" x14ac:dyDescent="0.35">
      <c r="A1" s="28"/>
      <c r="B1" s="25"/>
    </row>
    <row r="2" spans="1:12" ht="14.4" thickBot="1" x14ac:dyDescent="0.35">
      <c r="B2" s="70" t="s">
        <v>171</v>
      </c>
    </row>
    <row r="3" spans="1:12" x14ac:dyDescent="0.3">
      <c r="B3" s="25"/>
    </row>
    <row r="4" spans="1:12" ht="15.75" customHeight="1" thickBot="1" x14ac:dyDescent="0.35">
      <c r="B4" s="130" t="s">
        <v>116</v>
      </c>
      <c r="C4" s="131">
        <f>'Fluxo de Caixa Regulado'!C4</f>
        <v>2024</v>
      </c>
      <c r="D4" s="131">
        <f>'Fluxo de Caixa Regulado'!D4</f>
        <v>2025</v>
      </c>
      <c r="E4" s="131">
        <f>'Fluxo de Caixa Regulado'!E4</f>
        <v>2026</v>
      </c>
      <c r="F4" s="131">
        <f>'Fluxo de Caixa Regulado'!F4</f>
        <v>2027</v>
      </c>
      <c r="G4" s="131">
        <f>'Fluxo de Caixa Regulado'!G4</f>
        <v>2028</v>
      </c>
      <c r="H4" s="132">
        <v>2025</v>
      </c>
      <c r="I4" s="132">
        <v>2026</v>
      </c>
      <c r="J4" s="132">
        <v>2027</v>
      </c>
      <c r="K4" s="132">
        <v>2028</v>
      </c>
      <c r="L4" s="133">
        <v>2029</v>
      </c>
    </row>
    <row r="5" spans="1:12" ht="15.75" customHeight="1" thickTop="1" x14ac:dyDescent="0.3">
      <c r="B5" s="134"/>
      <c r="C5" s="135"/>
      <c r="D5" s="135"/>
      <c r="E5" s="135"/>
      <c r="F5" s="135"/>
      <c r="G5" s="135"/>
      <c r="H5" s="136"/>
      <c r="I5" s="136"/>
      <c r="J5" s="136"/>
      <c r="K5" s="136"/>
      <c r="L5" s="137"/>
    </row>
    <row r="6" spans="1:12" x14ac:dyDescent="0.3">
      <c r="B6" s="138" t="s">
        <v>117</v>
      </c>
      <c r="C6" s="139">
        <f>C12/(1-Premissas!B10-Premissas!B11-Premissas!B12)</f>
        <v>20488.275496954604</v>
      </c>
      <c r="D6" s="139">
        <f>D12/(1-Premissas!C10-Premissas!C11-Premissas!C12)</f>
        <v>20432.296821075372</v>
      </c>
      <c r="E6" s="139">
        <f>E12/(1-Premissas!D10-Premissas!D11-Premissas!D12)</f>
        <v>20432.296821075372</v>
      </c>
      <c r="F6" s="139">
        <f>F12/(1-Premissas!E10-Premissas!E11-Premissas!E12)</f>
        <v>20432.296821075372</v>
      </c>
      <c r="G6" s="139">
        <f>G12/(1-Premissas!F10-Premissas!F11-Premissas!F12)</f>
        <v>20488.275716475579</v>
      </c>
      <c r="H6" s="140" t="e">
        <f>H12/(1-Premissas!#REF!-Premissas!#REF!-Premissas!#REF!)</f>
        <v>#REF!</v>
      </c>
      <c r="I6" s="140" t="e">
        <f>I12/(1-Premissas!#REF!-Premissas!#REF!-Premissas!#REF!)</f>
        <v>#REF!</v>
      </c>
      <c r="J6" s="140" t="e">
        <f>J12/(1-Premissas!#REF!-Premissas!#REF!-Premissas!#REF!)</f>
        <v>#REF!</v>
      </c>
      <c r="K6" s="140" t="e">
        <f>K12/(1-Premissas!#REF!-Premissas!#REF!-Premissas!#REF!)</f>
        <v>#REF!</v>
      </c>
      <c r="L6" s="141" t="e">
        <f>L12/(1-Premissas!#REF!-Premissas!#REF!-Premissas!#REF!)</f>
        <v>#REF!</v>
      </c>
    </row>
    <row r="7" spans="1:12" x14ac:dyDescent="0.3">
      <c r="B7" s="142" t="s">
        <v>118</v>
      </c>
      <c r="C7" s="143">
        <f>C6*Premissas!B$10</f>
        <v>2458.5930596345524</v>
      </c>
      <c r="D7" s="143">
        <f>D6*Premissas!C$10</f>
        <v>2451.8756185290445</v>
      </c>
      <c r="E7" s="143">
        <f>E6*Premissas!D$10</f>
        <v>2451.8756185290445</v>
      </c>
      <c r="F7" s="143">
        <f>F6*Premissas!E$10</f>
        <v>2451.8756185290445</v>
      </c>
      <c r="G7" s="143">
        <f>G6*Premissas!F$10</f>
        <v>2458.5930859770692</v>
      </c>
      <c r="H7" s="144" t="e">
        <f>H6*Premissas!#REF!</f>
        <v>#REF!</v>
      </c>
      <c r="I7" s="144" t="e">
        <f>I6*Premissas!#REF!</f>
        <v>#REF!</v>
      </c>
      <c r="J7" s="144" t="e">
        <f>J6*Premissas!#REF!</f>
        <v>#REF!</v>
      </c>
      <c r="K7" s="144" t="e">
        <f>K6*Premissas!#REF!</f>
        <v>#REF!</v>
      </c>
      <c r="L7" s="145" t="e">
        <f>L6*Premissas!#REF!</f>
        <v>#REF!</v>
      </c>
    </row>
    <row r="8" spans="1:12" x14ac:dyDescent="0.3">
      <c r="B8" s="128" t="s">
        <v>119</v>
      </c>
      <c r="C8" s="146">
        <f>C6*Premissas!B$11</f>
        <v>338.05654569975098</v>
      </c>
      <c r="D8" s="146">
        <f>D6*Premissas!C$11</f>
        <v>337.13289754774365</v>
      </c>
      <c r="E8" s="146">
        <f>E6*Premissas!D$11</f>
        <v>337.13289754774365</v>
      </c>
      <c r="F8" s="146">
        <f>F6*Premissas!E$11</f>
        <v>337.13289754774365</v>
      </c>
      <c r="G8" s="146">
        <f>G6*Premissas!F$11</f>
        <v>338.05654932184706</v>
      </c>
      <c r="H8" s="147" t="e">
        <f>H6*Premissas!#REF!</f>
        <v>#REF!</v>
      </c>
      <c r="I8" s="147" t="e">
        <f>I6*Premissas!#REF!</f>
        <v>#REF!</v>
      </c>
      <c r="J8" s="147" t="e">
        <f>J6*Premissas!#REF!</f>
        <v>#REF!</v>
      </c>
      <c r="K8" s="147" t="e">
        <f>K6*Premissas!#REF!</f>
        <v>#REF!</v>
      </c>
      <c r="L8" s="148" t="e">
        <f>L6*Premissas!#REF!</f>
        <v>#REF!</v>
      </c>
    </row>
    <row r="9" spans="1:12" x14ac:dyDescent="0.3">
      <c r="B9" s="142" t="s">
        <v>120</v>
      </c>
      <c r="C9" s="143">
        <f>C6*Premissas!B$12</f>
        <v>1557.1089377685498</v>
      </c>
      <c r="D9" s="143">
        <f>D6*Premissas!C$12</f>
        <v>1552.8545584017281</v>
      </c>
      <c r="E9" s="143">
        <f>E6*Premissas!D$12</f>
        <v>1552.8545584017281</v>
      </c>
      <c r="F9" s="143">
        <f>F6*Premissas!E$12</f>
        <v>1552.8545584017281</v>
      </c>
      <c r="G9" s="143">
        <f>G6*Premissas!F$12</f>
        <v>1557.108954452144</v>
      </c>
      <c r="H9" s="144" t="e">
        <f>H6*Premissas!#REF!</f>
        <v>#REF!</v>
      </c>
      <c r="I9" s="144" t="e">
        <f>I6*Premissas!#REF!</f>
        <v>#REF!</v>
      </c>
      <c r="J9" s="144" t="e">
        <f>J6*Premissas!#REF!</f>
        <v>#REF!</v>
      </c>
      <c r="K9" s="144" t="e">
        <f>K6*Premissas!#REF!</f>
        <v>#REF!</v>
      </c>
      <c r="L9" s="145" t="e">
        <f>L6*Premissas!#REF!</f>
        <v>#REF!</v>
      </c>
    </row>
    <row r="10" spans="1:12" x14ac:dyDescent="0.3">
      <c r="B10" s="128" t="s">
        <v>121</v>
      </c>
      <c r="C10" s="146">
        <v>0</v>
      </c>
      <c r="D10" s="146">
        <v>0</v>
      </c>
      <c r="E10" s="146">
        <v>0</v>
      </c>
      <c r="F10" s="146">
        <v>0</v>
      </c>
      <c r="G10" s="146">
        <v>0</v>
      </c>
      <c r="H10" s="147">
        <v>0</v>
      </c>
      <c r="I10" s="147">
        <v>0</v>
      </c>
      <c r="J10" s="147">
        <v>0</v>
      </c>
      <c r="K10" s="147">
        <v>0</v>
      </c>
      <c r="L10" s="148">
        <v>0</v>
      </c>
    </row>
    <row r="11" spans="1:12" x14ac:dyDescent="0.3">
      <c r="B11" s="142" t="s">
        <v>122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4">
        <v>0</v>
      </c>
      <c r="I11" s="144">
        <v>0</v>
      </c>
      <c r="J11" s="144">
        <v>0</v>
      </c>
      <c r="K11" s="144">
        <v>0</v>
      </c>
      <c r="L11" s="145">
        <v>0</v>
      </c>
    </row>
    <row r="12" spans="1:12" x14ac:dyDescent="0.3">
      <c r="B12" s="138" t="s">
        <v>123</v>
      </c>
      <c r="C12" s="149">
        <f t="shared" ref="C12:D12" si="0">($E$41*C49)</f>
        <v>16134.516953851751</v>
      </c>
      <c r="D12" s="149">
        <f t="shared" si="0"/>
        <v>16090.433746596857</v>
      </c>
      <c r="E12" s="149">
        <f>($E$41*E49)</f>
        <v>16090.433746596857</v>
      </c>
      <c r="F12" s="149">
        <f>($E$41*F49)</f>
        <v>16090.433746596857</v>
      </c>
      <c r="G12" s="149">
        <f>($E$41*G49)</f>
        <v>16134.51712672452</v>
      </c>
      <c r="H12" s="150" t="e">
        <f t="shared" ref="H12:L12" si="1">($E$41*H49)</f>
        <v>#REF!</v>
      </c>
      <c r="I12" s="150" t="e">
        <f t="shared" si="1"/>
        <v>#REF!</v>
      </c>
      <c r="J12" s="150" t="e">
        <f t="shared" si="1"/>
        <v>#REF!</v>
      </c>
      <c r="K12" s="150" t="e">
        <f t="shared" si="1"/>
        <v>#REF!</v>
      </c>
      <c r="L12" s="151" t="e">
        <f t="shared" si="1"/>
        <v>#REF!</v>
      </c>
    </row>
    <row r="13" spans="1:12" x14ac:dyDescent="0.3">
      <c r="B13" s="142" t="s">
        <v>124</v>
      </c>
      <c r="C13" s="152">
        <f>'FC E-S'!C13+'FC ECTL'!C13+'FC EM'!C13</f>
        <v>2728.7598171002001</v>
      </c>
      <c r="D13" s="152">
        <f>'FC E-S'!D13+'FC ECTL'!D13+'FC EM'!D13</f>
        <v>2728.7598171002001</v>
      </c>
      <c r="E13" s="152">
        <f>'FC E-S'!E13+'FC ECTL'!E13+'FC EM'!E13</f>
        <v>2728.7598171002001</v>
      </c>
      <c r="F13" s="152">
        <f>'FC E-S'!F13+'FC ECTL'!F13+'FC EM'!F13</f>
        <v>2728.7598171002001</v>
      </c>
      <c r="G13" s="152">
        <f>'FC E-S'!G13+'FC ECTL'!G13+'FC EM'!G13</f>
        <v>2728.7598171002001</v>
      </c>
      <c r="H13" s="153" t="e">
        <f>'FC E-S'!H13+'FC ECTL'!#REF!+'FC EM'!H13</f>
        <v>#REF!</v>
      </c>
      <c r="I13" s="153" t="e">
        <f>'FC E-S'!I13+'FC ECTL'!#REF!+'FC EM'!I13</f>
        <v>#REF!</v>
      </c>
      <c r="J13" s="153" t="e">
        <f>'FC E-S'!J13+'FC ECTL'!#REF!+'FC EM'!J13</f>
        <v>#REF!</v>
      </c>
      <c r="K13" s="153" t="e">
        <f>'FC E-S'!K13+'FC ECTL'!#REF!+'FC EM'!K13</f>
        <v>#REF!</v>
      </c>
      <c r="L13" s="154" t="e">
        <f>'FC E-S'!L13+'FC ECTL'!#REF!+'FC EM'!L13</f>
        <v>#REF!</v>
      </c>
    </row>
    <row r="14" spans="1:12" x14ac:dyDescent="0.3">
      <c r="B14" s="128" t="s">
        <v>125</v>
      </c>
      <c r="C14" s="155">
        <f>'FC E-S'!C14+'FC ECTL'!C14+'FC EM'!C14</f>
        <v>0</v>
      </c>
      <c r="D14" s="155">
        <f>'FC E-S'!D14+'FC ECTL'!D14+'FC EM'!D14</f>
        <v>0</v>
      </c>
      <c r="E14" s="155">
        <f>'FC E-S'!E14+'FC ECTL'!E14+'FC EM'!E14</f>
        <v>0</v>
      </c>
      <c r="F14" s="155">
        <f>'FC E-S'!F14+'FC ECTL'!F14+'FC EM'!F14</f>
        <v>0</v>
      </c>
      <c r="G14" s="155">
        <f>'FC E-S'!G14+'FC ECTL'!G14+'FC EM'!G14</f>
        <v>0</v>
      </c>
      <c r="H14" s="156" t="e">
        <f>'FC E-S'!H14+'FC ECTL'!#REF!+'FC EM'!H14</f>
        <v>#REF!</v>
      </c>
      <c r="I14" s="156" t="e">
        <f>'FC E-S'!I14+'FC ECTL'!#REF!+'FC EM'!I14</f>
        <v>#REF!</v>
      </c>
      <c r="J14" s="156" t="e">
        <f>'FC E-S'!J14+'FC ECTL'!#REF!+'FC EM'!J14</f>
        <v>#REF!</v>
      </c>
      <c r="K14" s="156" t="e">
        <f>'FC E-S'!K14+'FC ECTL'!#REF!+'FC EM'!K14</f>
        <v>#REF!</v>
      </c>
      <c r="L14" s="157" t="e">
        <f>'FC E-S'!L14+'FC ECTL'!#REF!+'FC EM'!L14</f>
        <v>#REF!</v>
      </c>
    </row>
    <row r="15" spans="1:12" x14ac:dyDescent="0.3">
      <c r="B15" s="142" t="s">
        <v>126</v>
      </c>
      <c r="C15" s="152">
        <f>'FC E-S'!C15+'FC ECTL'!C15+'FC EM'!C15</f>
        <v>0</v>
      </c>
      <c r="D15" s="152">
        <f>'FC E-S'!D15+'FC ECTL'!D15+'FC EM'!D15</f>
        <v>0</v>
      </c>
      <c r="E15" s="152">
        <f>'FC E-S'!E15+'FC ECTL'!E15+'FC EM'!E15</f>
        <v>0</v>
      </c>
      <c r="F15" s="152">
        <f>'FC E-S'!F15+'FC ECTL'!F15+'FC EM'!F15</f>
        <v>0</v>
      </c>
      <c r="G15" s="152">
        <f>'FC E-S'!G15+'FC ECTL'!G15+'FC EM'!G15</f>
        <v>0</v>
      </c>
      <c r="H15" s="153" t="e">
        <f>'FC E-S'!H15+'FC ECTL'!#REF!+'FC EM'!H15</f>
        <v>#REF!</v>
      </c>
      <c r="I15" s="153" t="e">
        <f>'FC E-S'!I15+'FC ECTL'!#REF!+'FC EM'!I15</f>
        <v>#REF!</v>
      </c>
      <c r="J15" s="153" t="e">
        <f>'FC E-S'!J15+'FC ECTL'!#REF!+'FC EM'!J15</f>
        <v>#REF!</v>
      </c>
      <c r="K15" s="153" t="e">
        <f>'FC E-S'!K15+'FC ECTL'!#REF!+'FC EM'!K15</f>
        <v>#REF!</v>
      </c>
      <c r="L15" s="154" t="e">
        <f>'FC E-S'!L15+'FC ECTL'!#REF!+'FC EM'!L15</f>
        <v>#REF!</v>
      </c>
    </row>
    <row r="16" spans="1:12" x14ac:dyDescent="0.3">
      <c r="B16" s="128" t="s">
        <v>127</v>
      </c>
      <c r="C16" s="155">
        <f>'FC E-S'!C16+'FC ECTL'!C16+'FC EM'!C16</f>
        <v>1740.3862902370779</v>
      </c>
      <c r="D16" s="155">
        <f>'FC E-S'!D16+'FC ECTL'!D16+'FC EM'!D16</f>
        <v>1740.3862902370779</v>
      </c>
      <c r="E16" s="155">
        <f>'FC E-S'!E16+'FC ECTL'!E16+'FC EM'!E16</f>
        <v>1740.3862902370779</v>
      </c>
      <c r="F16" s="155">
        <f>'FC E-S'!F16+'FC ECTL'!F16+'FC EM'!F16</f>
        <v>1740.3862902370779</v>
      </c>
      <c r="G16" s="155">
        <f>'FC E-S'!G16+'FC ECTL'!G16+'FC EM'!G16</f>
        <v>1740.3862902370779</v>
      </c>
      <c r="H16" s="156" t="e">
        <f>'FC E-S'!H16+'FC ECTL'!#REF!+'FC EM'!H16</f>
        <v>#REF!</v>
      </c>
      <c r="I16" s="156" t="e">
        <f>'FC E-S'!I16+'FC ECTL'!#REF!+'FC EM'!I16</f>
        <v>#REF!</v>
      </c>
      <c r="J16" s="156" t="e">
        <f>'FC E-S'!J16+'FC ECTL'!#REF!+'FC EM'!J16</f>
        <v>#REF!</v>
      </c>
      <c r="K16" s="156" t="e">
        <f>'FC E-S'!K16+'FC ECTL'!#REF!+'FC EM'!K16</f>
        <v>#REF!</v>
      </c>
      <c r="L16" s="157" t="e">
        <f>'FC E-S'!L16+'FC ECTL'!#REF!+'FC EM'!L16</f>
        <v>#REF!</v>
      </c>
    </row>
    <row r="17" spans="1:12" x14ac:dyDescent="0.3">
      <c r="B17" s="142" t="s">
        <v>128</v>
      </c>
      <c r="C17" s="152">
        <f>'FC E-S'!C17+'FC ECTL'!C17+'FC EM'!C17</f>
        <v>614.50371422294404</v>
      </c>
      <c r="D17" s="152">
        <f>'FC E-S'!D17+'FC ECTL'!D17+'FC EM'!D17</f>
        <v>614.50371422294404</v>
      </c>
      <c r="E17" s="152">
        <f>'FC E-S'!E17+'FC ECTL'!E17+'FC EM'!E17</f>
        <v>614.50371422294404</v>
      </c>
      <c r="F17" s="152">
        <f>'FC E-S'!F17+'FC ECTL'!F17+'FC EM'!F17</f>
        <v>614.50371422294404</v>
      </c>
      <c r="G17" s="152">
        <f>'FC E-S'!G17+'FC ECTL'!G17+'FC EM'!G17</f>
        <v>614.50371422294404</v>
      </c>
      <c r="H17" s="153" t="e">
        <f>'FC E-S'!H17+'FC ECTL'!#REF!+'FC EM'!H17</f>
        <v>#REF!</v>
      </c>
      <c r="I17" s="153" t="e">
        <f>'FC E-S'!I17+'FC ECTL'!#REF!+'FC EM'!I17</f>
        <v>#REF!</v>
      </c>
      <c r="J17" s="153" t="e">
        <f>'FC E-S'!J17+'FC ECTL'!#REF!+'FC EM'!J17</f>
        <v>#REF!</v>
      </c>
      <c r="K17" s="153" t="e">
        <f>'FC E-S'!K17+'FC ECTL'!#REF!+'FC EM'!K17</f>
        <v>#REF!</v>
      </c>
      <c r="L17" s="154" t="e">
        <f>'FC E-S'!L17+'FC ECTL'!#REF!+'FC EM'!L17</f>
        <v>#REF!</v>
      </c>
    </row>
    <row r="18" spans="1:12" x14ac:dyDescent="0.3">
      <c r="B18" s="128" t="s">
        <v>129</v>
      </c>
      <c r="C18" s="155">
        <f>'FC E-S'!C18+'FC ECTL'!C18+'FC EM'!C18</f>
        <v>0</v>
      </c>
      <c r="D18" s="155">
        <f>'FC E-S'!D18+'FC ECTL'!D18+'FC EM'!D18</f>
        <v>0</v>
      </c>
      <c r="E18" s="155">
        <f>'FC E-S'!E18+'FC ECTL'!E18+'FC EM'!E18</f>
        <v>0</v>
      </c>
      <c r="F18" s="155">
        <f>'FC E-S'!F18+'FC ECTL'!F18+'FC EM'!F18</f>
        <v>0</v>
      </c>
      <c r="G18" s="155">
        <f>'FC E-S'!G18+'FC ECTL'!G18+'FC EM'!G18</f>
        <v>0</v>
      </c>
      <c r="H18" s="156" t="e">
        <f>'FC E-S'!H18+'FC ECTL'!#REF!+'FC EM'!H18</f>
        <v>#REF!</v>
      </c>
      <c r="I18" s="156" t="e">
        <f>'FC E-S'!I18+'FC ECTL'!#REF!+'FC EM'!I18</f>
        <v>#REF!</v>
      </c>
      <c r="J18" s="156" t="e">
        <f>'FC E-S'!J18+'FC ECTL'!#REF!+'FC EM'!J18</f>
        <v>#REF!</v>
      </c>
      <c r="K18" s="156" t="e">
        <f>'FC E-S'!K18+'FC ECTL'!#REF!+'FC EM'!K18</f>
        <v>#REF!</v>
      </c>
      <c r="L18" s="157" t="e">
        <f>'FC E-S'!L18+'FC ECTL'!#REF!+'FC EM'!L18</f>
        <v>#REF!</v>
      </c>
    </row>
    <row r="19" spans="1:12" x14ac:dyDescent="0.3">
      <c r="B19" s="142" t="s">
        <v>130</v>
      </c>
      <c r="C19" s="152">
        <f>'FC E-S'!C19+'FC ECTL'!C19+'FC EM'!C19</f>
        <v>0</v>
      </c>
      <c r="D19" s="152">
        <f>'FC E-S'!D19+'FC ECTL'!D19+'FC EM'!D19</f>
        <v>0</v>
      </c>
      <c r="E19" s="152">
        <f>'FC E-S'!E19+'FC ECTL'!E19+'FC EM'!E19</f>
        <v>0</v>
      </c>
      <c r="F19" s="152">
        <f>'FC E-S'!F19+'FC ECTL'!F19+'FC EM'!F19</f>
        <v>0</v>
      </c>
      <c r="G19" s="152">
        <f>'FC E-S'!G19+'FC ECTL'!G19+'FC EM'!G19</f>
        <v>0</v>
      </c>
      <c r="H19" s="153" t="e">
        <f>'FC E-S'!H19+'FC ECTL'!#REF!+'FC EM'!H19</f>
        <v>#REF!</v>
      </c>
      <c r="I19" s="153" t="e">
        <f>'FC E-S'!I19+'FC ECTL'!#REF!+'FC EM'!I19</f>
        <v>#REF!</v>
      </c>
      <c r="J19" s="153" t="e">
        <f>'FC E-S'!J19+'FC ECTL'!#REF!+'FC EM'!J19</f>
        <v>#REF!</v>
      </c>
      <c r="K19" s="153" t="e">
        <f>'FC E-S'!K19+'FC ECTL'!#REF!+'FC EM'!K19</f>
        <v>#REF!</v>
      </c>
      <c r="L19" s="154" t="e">
        <f>'FC E-S'!L19+'FC ECTL'!#REF!+'FC EM'!L19</f>
        <v>#REF!</v>
      </c>
    </row>
    <row r="20" spans="1:12" x14ac:dyDescent="0.3">
      <c r="B20" s="128" t="s">
        <v>131</v>
      </c>
      <c r="C20" s="155">
        <f>'FC E-S'!C20+'FC ECTL'!C20+'FC EM'!C20</f>
        <v>12.832142353992001</v>
      </c>
      <c r="D20" s="155">
        <f>'FC E-S'!D20+'FC ECTL'!D20+'FC EM'!D20</f>
        <v>12.832142353992001</v>
      </c>
      <c r="E20" s="155">
        <f>'FC E-S'!E20+'FC ECTL'!E20+'FC EM'!E20</f>
        <v>12.832142353992001</v>
      </c>
      <c r="F20" s="155">
        <f>'FC E-S'!F20+'FC ECTL'!F20+'FC EM'!F20</f>
        <v>12.832142353992001</v>
      </c>
      <c r="G20" s="155">
        <f>'FC E-S'!G20+'FC ECTL'!G20+'FC EM'!G20</f>
        <v>12.832142353992001</v>
      </c>
      <c r="H20" s="156" t="e">
        <f>'FC E-S'!H20+'FC ECTL'!#REF!+'FC EM'!H20</f>
        <v>#REF!</v>
      </c>
      <c r="I20" s="156" t="e">
        <f>'FC E-S'!I20+'FC ECTL'!#REF!+'FC EM'!I20</f>
        <v>#REF!</v>
      </c>
      <c r="J20" s="156" t="e">
        <f>'FC E-S'!J20+'FC ECTL'!#REF!+'FC EM'!J20</f>
        <v>#REF!</v>
      </c>
      <c r="K20" s="156" t="e">
        <f>'FC E-S'!K20+'FC ECTL'!#REF!+'FC EM'!K20</f>
        <v>#REF!</v>
      </c>
      <c r="L20" s="157" t="e">
        <f>'FC E-S'!L20+'FC ECTL'!#REF!+'FC EM'!L20</f>
        <v>#REF!</v>
      </c>
    </row>
    <row r="21" spans="1:12" x14ac:dyDescent="0.3">
      <c r="B21" s="142" t="s">
        <v>132</v>
      </c>
      <c r="C21" s="152">
        <f>'FC E-S'!C21+'FC ECTL'!C21+'FC EM'!C21</f>
        <v>1468.3437368929599</v>
      </c>
      <c r="D21" s="152">
        <f>'FC E-S'!D21+'FC ECTL'!D21+'FC EM'!D21</f>
        <v>1468.3437368929599</v>
      </c>
      <c r="E21" s="152">
        <f>'FC E-S'!E21+'FC ECTL'!E21+'FC EM'!E21</f>
        <v>1468.3437368929599</v>
      </c>
      <c r="F21" s="152">
        <f>'FC E-S'!F21+'FC ECTL'!F21+'FC EM'!F21</f>
        <v>1468.3437368929599</v>
      </c>
      <c r="G21" s="152">
        <f>'FC E-S'!G21+'FC ECTL'!G21+'FC EM'!G21</f>
        <v>1468.3437368929599</v>
      </c>
      <c r="H21" s="153" t="e">
        <f>'FC E-S'!H21+'FC ECTL'!#REF!+'FC EM'!H21</f>
        <v>#REF!</v>
      </c>
      <c r="I21" s="153" t="e">
        <f>'FC E-S'!I21+'FC ECTL'!#REF!+'FC EM'!I21</f>
        <v>#REF!</v>
      </c>
      <c r="J21" s="153" t="e">
        <f>'FC E-S'!J21+'FC ECTL'!#REF!+'FC EM'!J21</f>
        <v>#REF!</v>
      </c>
      <c r="K21" s="153" t="e">
        <f>'FC E-S'!K21+'FC ECTL'!#REF!+'FC EM'!K21</f>
        <v>#REF!</v>
      </c>
      <c r="L21" s="154" t="e">
        <f>'FC E-S'!L21+'FC ECTL'!#REF!+'FC EM'!L21</f>
        <v>#REF!</v>
      </c>
    </row>
    <row r="22" spans="1:12" x14ac:dyDescent="0.3">
      <c r="B22" s="128" t="s">
        <v>133</v>
      </c>
      <c r="C22" s="155">
        <f>'FC E-S'!C22+'FC ECTL'!C22+'FC EM'!C22</f>
        <v>287.58689877038938</v>
      </c>
      <c r="D22" s="155">
        <f>'FC E-S'!D22+'FC ECTL'!D22+'FC EM'!D22</f>
        <v>287.58689877038938</v>
      </c>
      <c r="E22" s="155">
        <f>'FC E-S'!E22+'FC ECTL'!E22+'FC EM'!E22</f>
        <v>287.58689877038938</v>
      </c>
      <c r="F22" s="155">
        <f>'FC E-S'!F22+'FC ECTL'!F22+'FC EM'!F22</f>
        <v>287.58689877038938</v>
      </c>
      <c r="G22" s="155">
        <f>'FC E-S'!G22+'FC ECTL'!G22+'FC EM'!G22</f>
        <v>287.58689877038938</v>
      </c>
      <c r="H22" s="156" t="e">
        <f>'FC E-S'!H22+'FC ECTL'!#REF!+'FC EM'!H22</f>
        <v>#REF!</v>
      </c>
      <c r="I22" s="156" t="e">
        <f>'FC E-S'!I22+'FC ECTL'!#REF!+'FC EM'!I22</f>
        <v>#REF!</v>
      </c>
      <c r="J22" s="156" t="e">
        <f>'FC E-S'!J22+'FC ECTL'!#REF!+'FC EM'!J22</f>
        <v>#REF!</v>
      </c>
      <c r="K22" s="156" t="e">
        <f>'FC E-S'!K22+'FC ECTL'!#REF!+'FC EM'!K22</f>
        <v>#REF!</v>
      </c>
      <c r="L22" s="157" t="e">
        <f>'FC E-S'!L22+'FC ECTL'!#REF!+'FC EM'!L22</f>
        <v>#REF!</v>
      </c>
    </row>
    <row r="23" spans="1:12" x14ac:dyDescent="0.3">
      <c r="B23" s="142" t="s">
        <v>134</v>
      </c>
      <c r="C23" s="152">
        <f>'FC E-S'!C23+'FC ECTL'!C23+'FC EM'!C23</f>
        <v>381.15003023527169</v>
      </c>
      <c r="D23" s="152">
        <f>'FC E-S'!D23+'FC ECTL'!D23+'FC EM'!D23</f>
        <v>381.15003023527169</v>
      </c>
      <c r="E23" s="152">
        <f>'FC E-S'!E23+'FC ECTL'!E23+'FC EM'!E23</f>
        <v>381.15003023527169</v>
      </c>
      <c r="F23" s="152">
        <f>'FC E-S'!F23+'FC ECTL'!F23+'FC EM'!F23</f>
        <v>381.15003023527169</v>
      </c>
      <c r="G23" s="152">
        <f>'FC E-S'!G23+'FC ECTL'!G23+'FC EM'!G23</f>
        <v>381.15003023527169</v>
      </c>
      <c r="H23" s="153" t="e">
        <f>'FC E-S'!H23+'FC ECTL'!#REF!+'FC EM'!H23</f>
        <v>#REF!</v>
      </c>
      <c r="I23" s="153" t="e">
        <f>'FC E-S'!I23+'FC ECTL'!#REF!+'FC EM'!I23</f>
        <v>#REF!</v>
      </c>
      <c r="J23" s="153" t="e">
        <f>'FC E-S'!J23+'FC ECTL'!#REF!+'FC EM'!J23</f>
        <v>#REF!</v>
      </c>
      <c r="K23" s="153" t="e">
        <f>'FC E-S'!K23+'FC ECTL'!#REF!+'FC EM'!K23</f>
        <v>#REF!</v>
      </c>
      <c r="L23" s="154" t="e">
        <f>'FC E-S'!L23+'FC ECTL'!#REF!+'FC EM'!L23</f>
        <v>#REF!</v>
      </c>
    </row>
    <row r="24" spans="1:12" x14ac:dyDescent="0.3">
      <c r="B24" s="128" t="s">
        <v>135</v>
      </c>
      <c r="C24" s="155">
        <f>'FC E-S'!C24+'FC ECTL'!C24+'FC EM'!C24</f>
        <v>1155.2428103408836</v>
      </c>
      <c r="D24" s="155">
        <f>'FC E-S'!D24+'FC ECTL'!D24+'FC EM'!D24</f>
        <v>1155.2428103408836</v>
      </c>
      <c r="E24" s="155">
        <f>'FC E-S'!E24+'FC ECTL'!E24+'FC EM'!E24</f>
        <v>1155.2428103408836</v>
      </c>
      <c r="F24" s="155">
        <f>'FC E-S'!F24+'FC ECTL'!F24+'FC EM'!F24</f>
        <v>1155.2428103408836</v>
      </c>
      <c r="G24" s="155">
        <f>'FC E-S'!G24+'FC ECTL'!G24+'FC EM'!G24</f>
        <v>1155.2428103408836</v>
      </c>
      <c r="H24" s="156" t="e">
        <f>'FC E-S'!H24+'FC ECTL'!#REF!+'FC EM'!H24</f>
        <v>#REF!</v>
      </c>
      <c r="I24" s="156" t="e">
        <f>'FC E-S'!I24+'FC ECTL'!#REF!+'FC EM'!I24</f>
        <v>#REF!</v>
      </c>
      <c r="J24" s="156" t="e">
        <f>'FC E-S'!J24+'FC ECTL'!#REF!+'FC EM'!J24</f>
        <v>#REF!</v>
      </c>
      <c r="K24" s="156" t="e">
        <f>'FC E-S'!K24+'FC ECTL'!#REF!+'FC EM'!K24</f>
        <v>#REF!</v>
      </c>
      <c r="L24" s="157" t="e">
        <f>'FC E-S'!L24+'FC ECTL'!#REF!+'FC EM'!L24</f>
        <v>#REF!</v>
      </c>
    </row>
    <row r="25" spans="1:12" ht="15" x14ac:dyDescent="0.3">
      <c r="B25" s="158" t="s">
        <v>168</v>
      </c>
      <c r="C25" s="159">
        <f>C12-SUM(C13:C24)</f>
        <v>7745.7115136980337</v>
      </c>
      <c r="D25" s="159">
        <f t="shared" ref="D25:L25" si="2">D12-SUM(D13:D24)</f>
        <v>7701.6283064431391</v>
      </c>
      <c r="E25" s="159">
        <f t="shared" si="2"/>
        <v>7701.6283064431391</v>
      </c>
      <c r="F25" s="159">
        <f t="shared" si="2"/>
        <v>7701.6283064431391</v>
      </c>
      <c r="G25" s="159">
        <f t="shared" si="2"/>
        <v>7745.7116865708031</v>
      </c>
      <c r="H25" s="160" t="e">
        <f t="shared" si="2"/>
        <v>#REF!</v>
      </c>
      <c r="I25" s="160" t="e">
        <f t="shared" si="2"/>
        <v>#REF!</v>
      </c>
      <c r="J25" s="160" t="e">
        <f t="shared" si="2"/>
        <v>#REF!</v>
      </c>
      <c r="K25" s="160" t="e">
        <f t="shared" si="2"/>
        <v>#REF!</v>
      </c>
      <c r="L25" s="161" t="e">
        <f t="shared" si="2"/>
        <v>#REF!</v>
      </c>
    </row>
    <row r="26" spans="1:12" x14ac:dyDescent="0.3">
      <c r="B26" s="128" t="s">
        <v>137</v>
      </c>
      <c r="C26" s="155">
        <f>'FC E-S'!C26+'FC ECTL'!C26+'FC EM'!C26</f>
        <v>1673.536684791484</v>
      </c>
      <c r="D26" s="155">
        <f>'FC E-S'!D26+'FC ECTL'!D26+'FC EM'!D26</f>
        <v>1609.1698892225809</v>
      </c>
      <c r="E26" s="155">
        <f>'FC E-S'!E26+'FC ECTL'!E26+'FC EM'!E26</f>
        <v>1547.278739637097</v>
      </c>
      <c r="F26" s="155">
        <f>'FC E-S'!F26+'FC ECTL'!F26+'FC EM'!F26</f>
        <v>1487.768018881824</v>
      </c>
      <c r="G26" s="155">
        <f>'FC E-S'!G26+'FC ECTL'!G26+'FC EM'!G26</f>
        <v>1430.5461720017538</v>
      </c>
      <c r="H26" s="156" t="e">
        <f>'FC E-S'!H26+'FC ECTL'!#REF!+'FC EM'!H26</f>
        <v>#REF!</v>
      </c>
      <c r="I26" s="156" t="e">
        <f>'FC E-S'!I26+'FC ECTL'!#REF!+'FC EM'!I26</f>
        <v>#REF!</v>
      </c>
      <c r="J26" s="156" t="e">
        <f>'FC E-S'!J26+'FC ECTL'!#REF!+'FC EM'!J26</f>
        <v>#REF!</v>
      </c>
      <c r="K26" s="156" t="e">
        <f>'FC E-S'!K26+'FC ECTL'!#REF!+'FC EM'!K26</f>
        <v>#REF!</v>
      </c>
      <c r="L26" s="157" t="e">
        <f>'FC E-S'!L26+'FC ECTL'!#REF!+'FC EM'!L26</f>
        <v>#REF!</v>
      </c>
    </row>
    <row r="27" spans="1:12" x14ac:dyDescent="0.3">
      <c r="B27" s="142" t="s">
        <v>138</v>
      </c>
      <c r="C27" s="152">
        <f>(C14+C15+C16+C17)*(Premissas!B$11+Premissas!B$12)</f>
        <v>217.82732541255203</v>
      </c>
      <c r="D27" s="152">
        <f>(D14+D15+D16+D17)*(Premissas!C$11+Premissas!C$12)</f>
        <v>217.82732541255203</v>
      </c>
      <c r="E27" s="152">
        <f>(E14+E15+E16+E17)*(Premissas!D$11+Premissas!D$12)</f>
        <v>217.82732541255203</v>
      </c>
      <c r="F27" s="152">
        <f>(F14+F15+F16+F17)*(Premissas!E$11+Premissas!E$12)</f>
        <v>217.82732541255203</v>
      </c>
      <c r="G27" s="152">
        <f>(G14+G15+G16+G17)*(Premissas!F$11+Premissas!F$12)</f>
        <v>217.82732541255203</v>
      </c>
      <c r="H27" s="153" t="e">
        <f>(H14+H15+H16+H17)*(Premissas!#REF!+Premissas!#REF!)</f>
        <v>#REF!</v>
      </c>
      <c r="I27" s="153" t="e">
        <f>(I14+I15+I16+I17)*(Premissas!#REF!+Premissas!#REF!)</f>
        <v>#REF!</v>
      </c>
      <c r="J27" s="153" t="e">
        <f>(J14+J15+J16+J17)*(Premissas!#REF!+Premissas!#REF!)</f>
        <v>#REF!</v>
      </c>
      <c r="K27" s="153" t="e">
        <f>(K14+K15+K16+K17)*(Premissas!#REF!+Premissas!#REF!)</f>
        <v>#REF!</v>
      </c>
      <c r="L27" s="154" t="e">
        <f>(L14+L15+L16+L17)*(Premissas!#REF!+Premissas!#REF!)</f>
        <v>#REF!</v>
      </c>
    </row>
    <row r="28" spans="1:12" x14ac:dyDescent="0.3">
      <c r="B28" s="138" t="s">
        <v>139</v>
      </c>
      <c r="C28" s="149">
        <f>C25-C26+C27</f>
        <v>6290.0021543191024</v>
      </c>
      <c r="D28" s="149">
        <f t="shared" ref="D28:L28" si="3">D25-D26+D27</f>
        <v>6310.2857426331102</v>
      </c>
      <c r="E28" s="149">
        <f t="shared" si="3"/>
        <v>6372.1768922185947</v>
      </c>
      <c r="F28" s="149">
        <f t="shared" si="3"/>
        <v>6431.6876129738675</v>
      </c>
      <c r="G28" s="149">
        <f t="shared" si="3"/>
        <v>6532.9928399816017</v>
      </c>
      <c r="H28" s="150" t="e">
        <f t="shared" si="3"/>
        <v>#REF!</v>
      </c>
      <c r="I28" s="150" t="e">
        <f t="shared" si="3"/>
        <v>#REF!</v>
      </c>
      <c r="J28" s="150" t="e">
        <f t="shared" si="3"/>
        <v>#REF!</v>
      </c>
      <c r="K28" s="150" t="e">
        <f t="shared" si="3"/>
        <v>#REF!</v>
      </c>
      <c r="L28" s="151" t="e">
        <f t="shared" si="3"/>
        <v>#REF!</v>
      </c>
    </row>
    <row r="29" spans="1:12" x14ac:dyDescent="0.3">
      <c r="B29" s="142" t="s">
        <v>140</v>
      </c>
      <c r="C29" s="152">
        <f>MIN(0,C28)</f>
        <v>0</v>
      </c>
      <c r="D29" s="152">
        <f t="shared" ref="D29:L29" si="4">MIN(0,D28)</f>
        <v>0</v>
      </c>
      <c r="E29" s="152">
        <f t="shared" si="4"/>
        <v>0</v>
      </c>
      <c r="F29" s="152">
        <f t="shared" si="4"/>
        <v>0</v>
      </c>
      <c r="G29" s="152">
        <f t="shared" si="4"/>
        <v>0</v>
      </c>
      <c r="H29" s="153" t="e">
        <f t="shared" si="4"/>
        <v>#REF!</v>
      </c>
      <c r="I29" s="153" t="e">
        <f t="shared" si="4"/>
        <v>#REF!</v>
      </c>
      <c r="J29" s="153" t="e">
        <f t="shared" si="4"/>
        <v>#REF!</v>
      </c>
      <c r="K29" s="153" t="e">
        <f t="shared" si="4"/>
        <v>#REF!</v>
      </c>
      <c r="L29" s="154" t="e">
        <f t="shared" si="4"/>
        <v>#REF!</v>
      </c>
    </row>
    <row r="30" spans="1:12" x14ac:dyDescent="0.3">
      <c r="A30" s="71" t="s">
        <v>141</v>
      </c>
      <c r="B30" s="128" t="s">
        <v>142</v>
      </c>
      <c r="C30" s="155">
        <v>0</v>
      </c>
      <c r="D30" s="155">
        <v>0</v>
      </c>
      <c r="E30" s="155">
        <v>0</v>
      </c>
      <c r="F30" s="155">
        <v>0</v>
      </c>
      <c r="G30" s="155">
        <v>0</v>
      </c>
      <c r="H30" s="156">
        <v>0</v>
      </c>
      <c r="I30" s="156">
        <v>0</v>
      </c>
      <c r="J30" s="156">
        <v>0</v>
      </c>
      <c r="K30" s="156">
        <v>0</v>
      </c>
      <c r="L30" s="157">
        <v>0</v>
      </c>
    </row>
    <row r="31" spans="1:12" x14ac:dyDescent="0.3">
      <c r="B31" s="142" t="s">
        <v>143</v>
      </c>
      <c r="C31" s="152">
        <f>IF(C28&lt;0,0,(C28-C30)*Premissas!B$8)</f>
        <v>1572.5005385797756</v>
      </c>
      <c r="D31" s="152">
        <f>IF(D28&lt;0,0,(D28-D30)*Premissas!C$8)</f>
        <v>1577.5714356582776</v>
      </c>
      <c r="E31" s="152">
        <f>IF(E28&lt;0,0,(E28-E30)*Premissas!D$8)</f>
        <v>1593.0442230546487</v>
      </c>
      <c r="F31" s="152">
        <f>IF(F28&lt;0,0,(F28-F30)*Premissas!E$8)</f>
        <v>1607.9219032434669</v>
      </c>
      <c r="G31" s="152">
        <f>IF(G28&lt;0,0,(G28-G30)*Premissas!F$8)</f>
        <v>1633.2482099954004</v>
      </c>
      <c r="H31" s="153" t="e">
        <f>IF(H28&lt;0,0,(H28-H30)*Premissas!#REF!)</f>
        <v>#REF!</v>
      </c>
      <c r="I31" s="153" t="e">
        <f>IF(I28&lt;0,0,(I28-I30)*Premissas!#REF!)</f>
        <v>#REF!</v>
      </c>
      <c r="J31" s="153" t="e">
        <f>IF(J28&lt;0,0,(J28-J30)*Premissas!#REF!)</f>
        <v>#REF!</v>
      </c>
      <c r="K31" s="153" t="e">
        <f>IF(K28&lt;0,0,(K28-K30)*Premissas!#REF!)</f>
        <v>#REF!</v>
      </c>
      <c r="L31" s="154" t="e">
        <f>IF(L28&lt;0,0,(L28-L30)*Premissas!#REF!)</f>
        <v>#REF!</v>
      </c>
    </row>
    <row r="32" spans="1:12" x14ac:dyDescent="0.3">
      <c r="B32" s="128" t="s">
        <v>144</v>
      </c>
      <c r="C32" s="155">
        <f>IF(C28&lt;0,0,(C28-C30)*Premissas!B$9)</f>
        <v>566.10019388871922</v>
      </c>
      <c r="D32" s="155">
        <f>IF(D28&lt;0,0,(D28-D30)*Premissas!C$9)</f>
        <v>567.92571683697986</v>
      </c>
      <c r="E32" s="155">
        <f>IF(E28&lt;0,0,(E28-E30)*Premissas!D$9)</f>
        <v>573.49592029967346</v>
      </c>
      <c r="F32" s="155">
        <f>IF(F28&lt;0,0,(F28-F30)*Premissas!E$9)</f>
        <v>578.85188516764811</v>
      </c>
      <c r="G32" s="155">
        <f>IF(G28&lt;0,0,(G28-G30)*Premissas!F$9)</f>
        <v>587.96935559834412</v>
      </c>
      <c r="H32" s="156" t="e">
        <f>IF(H28&lt;0,0,(H28-H30)*Premissas!#REF!)</f>
        <v>#REF!</v>
      </c>
      <c r="I32" s="156" t="e">
        <f>IF(I28&lt;0,0,(I28-I30)*Premissas!#REF!)</f>
        <v>#REF!</v>
      </c>
      <c r="J32" s="156" t="e">
        <f>IF(J28&lt;0,0,(J28-J30)*Premissas!#REF!)</f>
        <v>#REF!</v>
      </c>
      <c r="K32" s="156" t="e">
        <f>IF(K28&lt;0,0,(K28-K30)*Premissas!#REF!)</f>
        <v>#REF!</v>
      </c>
      <c r="L32" s="157" t="e">
        <f>IF(L28&lt;0,0,(L28-L30)*Premissas!#REF!)</f>
        <v>#REF!</v>
      </c>
    </row>
    <row r="33" spans="2:15" x14ac:dyDescent="0.3">
      <c r="B33" s="158" t="s">
        <v>145</v>
      </c>
      <c r="C33" s="159">
        <f>C25-C31-C32-C35</f>
        <v>1722.4528126157948</v>
      </c>
      <c r="D33" s="159">
        <f t="shared" ref="D33:L33" si="5">D25-D31-D32-D35</f>
        <v>1820.8831072038975</v>
      </c>
      <c r="E33" s="159">
        <f t="shared" si="5"/>
        <v>1943.503502758063</v>
      </c>
      <c r="F33" s="159">
        <f t="shared" si="5"/>
        <v>2061.407729252453</v>
      </c>
      <c r="G33" s="159">
        <f t="shared" si="5"/>
        <v>2203.8722086890093</v>
      </c>
      <c r="H33" s="160" t="e">
        <f t="shared" si="5"/>
        <v>#REF!</v>
      </c>
      <c r="I33" s="160" t="e">
        <f t="shared" si="5"/>
        <v>#REF!</v>
      </c>
      <c r="J33" s="160" t="e">
        <f t="shared" si="5"/>
        <v>#REF!</v>
      </c>
      <c r="K33" s="160" t="e">
        <f t="shared" si="5"/>
        <v>#REF!</v>
      </c>
      <c r="L33" s="161" t="e">
        <f t="shared" si="5"/>
        <v>#REF!</v>
      </c>
    </row>
    <row r="34" spans="2:15" s="25" customFormat="1" x14ac:dyDescent="0.3">
      <c r="B34" s="128" t="s">
        <v>146</v>
      </c>
      <c r="C34" s="155">
        <f>'FC E-S'!C34+'FC ECTL'!C34+'FC EM'!C34</f>
        <v>406.86978722460003</v>
      </c>
      <c r="D34" s="155">
        <f>'FC E-S'!D34+'FC ECTL'!D34+'FC EM'!D34</f>
        <v>0</v>
      </c>
      <c r="E34" s="146">
        <f>'FC E-S'!E34+'FC ECTL'!E34+'FC EM'!E34</f>
        <v>0</v>
      </c>
      <c r="F34" s="155">
        <f>'FC E-S'!F34+'FC ECTL'!F34+'FC EM'!F34</f>
        <v>0</v>
      </c>
      <c r="G34" s="155">
        <f>'FC E-S'!G34+'FC ECTL'!G34+'FC EM'!G34</f>
        <v>0</v>
      </c>
      <c r="H34" s="156" t="e">
        <f>'FC E-S'!H34+'FC ECTL'!#REF!+'FC EM'!H34</f>
        <v>#REF!</v>
      </c>
      <c r="I34" s="156" t="e">
        <f>'FC E-S'!I34+'FC ECTL'!#REF!+'FC EM'!I34</f>
        <v>#REF!</v>
      </c>
      <c r="J34" s="156" t="e">
        <f>'FC E-S'!J34+'FC ECTL'!#REF!+'FC EM'!J34</f>
        <v>#REF!</v>
      </c>
      <c r="K34" s="156" t="e">
        <f>'FC E-S'!K34+'FC ECTL'!#REF!+'FC EM'!K34</f>
        <v>#REF!</v>
      </c>
      <c r="L34" s="157" t="e">
        <f>'FC E-S'!L34+'FC ECTL'!#REF!+'FC EM'!L34</f>
        <v>#REF!</v>
      </c>
      <c r="M34" s="31"/>
      <c r="N34" s="31"/>
      <c r="O34" s="31"/>
    </row>
    <row r="35" spans="2:15" x14ac:dyDescent="0.3">
      <c r="B35" s="142" t="s">
        <v>147</v>
      </c>
      <c r="C35" s="152">
        <f>'FC E-S'!C35+'FC ECTL'!C35+'FC EM'!C35</f>
        <v>3884.6579686137438</v>
      </c>
      <c r="D35" s="152">
        <f>'FC E-S'!D35+'FC ECTL'!D35+'FC EM'!D35</f>
        <v>3735.2480467439846</v>
      </c>
      <c r="E35" s="152">
        <f>'FC E-S'!E35+'FC ECTL'!E35+'FC EM'!E35</f>
        <v>3591.5846603307541</v>
      </c>
      <c r="F35" s="152">
        <f>'FC E-S'!F35+'FC ECTL'!F35+'FC EM'!F35</f>
        <v>3453.4467887795713</v>
      </c>
      <c r="G35" s="152">
        <f>'FC E-S'!G35+'FC ECTL'!G35+'FC EM'!G35</f>
        <v>3320.6219122880493</v>
      </c>
      <c r="H35" s="153" t="e">
        <f>'FC E-S'!H35+'FC ECTL'!#REF!+'FC EM'!H35</f>
        <v>#REF!</v>
      </c>
      <c r="I35" s="153" t="e">
        <f>'FC E-S'!I35+'FC ECTL'!#REF!+'FC EM'!I35</f>
        <v>#REF!</v>
      </c>
      <c r="J35" s="153" t="e">
        <f>'FC E-S'!J35+'FC ECTL'!#REF!+'FC EM'!J35</f>
        <v>#REF!</v>
      </c>
      <c r="K35" s="153" t="e">
        <f>'FC E-S'!K35+'FC ECTL'!#REF!+'FC EM'!K35</f>
        <v>#REF!</v>
      </c>
      <c r="L35" s="154" t="e">
        <f>'FC E-S'!L35+'FC ECTL'!#REF!+'FC EM'!L35</f>
        <v>#REF!</v>
      </c>
    </row>
    <row r="36" spans="2:15" x14ac:dyDescent="0.3">
      <c r="B36" s="128" t="s">
        <v>148</v>
      </c>
      <c r="C36" s="155">
        <f>'FC E-S'!C36+'FC ECTL'!C36+'FC EM'!C36</f>
        <v>0</v>
      </c>
      <c r="D36" s="155">
        <f>'FC E-S'!D36+'FC ECTL'!D36+'FC EM'!D36</f>
        <v>0</v>
      </c>
      <c r="E36" s="155">
        <f>'FC E-S'!E36+'FC ECTL'!E36+'FC EM'!E36</f>
        <v>0</v>
      </c>
      <c r="F36" s="155">
        <f>'FC E-S'!F36+'FC ECTL'!F36+'FC EM'!F36</f>
        <v>0</v>
      </c>
      <c r="G36" s="233">
        <f>'FC E-S'!G36+'FC ECTL'!G36+'FC EM'!G36</f>
        <v>7769.315937227474</v>
      </c>
      <c r="H36" s="156" t="e">
        <f>'FC E-S'!H36+'FC ECTL'!#REF!+'FC EM'!H36</f>
        <v>#REF!</v>
      </c>
      <c r="I36" s="156" t="e">
        <f>'FC E-S'!I36+'FC ECTL'!#REF!+'FC EM'!I36</f>
        <v>#REF!</v>
      </c>
      <c r="J36" s="156" t="e">
        <f>'FC E-S'!J36+'FC ECTL'!#REF!+'FC EM'!J36</f>
        <v>#REF!</v>
      </c>
      <c r="K36" s="156" t="e">
        <f>'FC E-S'!K36+'FC ECTL'!#REF!+'FC EM'!K36</f>
        <v>#REF!</v>
      </c>
      <c r="L36" s="157" t="e">
        <f>'FC E-S'!L36+'FC ECTL'!#REF!+'FC EM'!L36</f>
        <v>#REF!</v>
      </c>
    </row>
    <row r="37" spans="2:15" x14ac:dyDescent="0.3">
      <c r="B37" s="142" t="s">
        <v>149</v>
      </c>
      <c r="C37" s="152">
        <f>C13/12+SUM(C14:C23)/8+C24/6</f>
        <v>983.03747140424321</v>
      </c>
      <c r="D37" s="152">
        <f>D13/12+SUM(D14:D23)/8+D24/6-SUM($C$37:C37)</f>
        <v>0</v>
      </c>
      <c r="E37" s="152">
        <f>E13/12+SUM(E14:E23)/8+E24/6-SUM($C$37:D37)</f>
        <v>0</v>
      </c>
      <c r="F37" s="152">
        <f>F13/12+SUM(F14:F23)/8+F24/6-SUM($C$37:E37)</f>
        <v>0</v>
      </c>
      <c r="G37" s="152">
        <f>G13/12+SUM(G14:G23)/8+G24/6-SUM($C$37:F37)</f>
        <v>0</v>
      </c>
      <c r="H37" s="153" t="e">
        <f>H13/12+SUM(H14:H23)/8+H24/6-SUM($C$37:G37)</f>
        <v>#REF!</v>
      </c>
      <c r="I37" s="153" t="e">
        <f>I13/12+SUM(I14:I23)/8+I24/6-SUM($C$37:H37)</f>
        <v>#REF!</v>
      </c>
      <c r="J37" s="153" t="e">
        <f>J13/12+SUM(J14:J23)/8+J24/6-SUM($C$37:I37)</f>
        <v>#REF!</v>
      </c>
      <c r="K37" s="153" t="e">
        <f>K13/12+SUM(K14:K23)/8+K24/6-SUM($C$37:J37)</f>
        <v>#REF!</v>
      </c>
      <c r="L37" s="154" t="e">
        <f>L13/12+SUM(L14:L23)/8+L24/6-SUM($C$37:K37)</f>
        <v>#REF!</v>
      </c>
    </row>
    <row r="38" spans="2:15" x14ac:dyDescent="0.3">
      <c r="B38" s="162" t="s">
        <v>150</v>
      </c>
      <c r="C38" s="163">
        <f>C33-C34+C35+C36-C37</f>
        <v>4217.2035226006956</v>
      </c>
      <c r="D38" s="163">
        <f t="shared" ref="D38:L38" si="6">D33-D34+D35+D36-D37</f>
        <v>5556.131153947882</v>
      </c>
      <c r="E38" s="163">
        <f>E33-E34+E35+E36-E37</f>
        <v>5535.0881630888171</v>
      </c>
      <c r="F38" s="163">
        <f>F33-F34+F35+F36-F37</f>
        <v>5514.8545180320243</v>
      </c>
      <c r="G38" s="163">
        <f t="shared" si="6"/>
        <v>13293.810058204534</v>
      </c>
      <c r="H38" s="164" t="e">
        <f t="shared" si="6"/>
        <v>#REF!</v>
      </c>
      <c r="I38" s="164" t="e">
        <f t="shared" si="6"/>
        <v>#REF!</v>
      </c>
      <c r="J38" s="164" t="e">
        <f t="shared" si="6"/>
        <v>#REF!</v>
      </c>
      <c r="K38" s="164" t="e">
        <f t="shared" si="6"/>
        <v>#REF!</v>
      </c>
      <c r="L38" s="165" t="e">
        <f t="shared" si="6"/>
        <v>#REF!</v>
      </c>
    </row>
    <row r="39" spans="2:15" x14ac:dyDescent="0.3">
      <c r="B39" s="66" t="s">
        <v>151</v>
      </c>
      <c r="C39" s="403">
        <f>B66+NPV(C42,C38:G38)</f>
        <v>0</v>
      </c>
    </row>
    <row r="40" spans="2:15" ht="15.6" thickBot="1" x14ac:dyDescent="0.35">
      <c r="B40" s="234" t="s">
        <v>152</v>
      </c>
      <c r="C40" s="235" t="s">
        <v>169</v>
      </c>
      <c r="D40" s="236" t="s">
        <v>154</v>
      </c>
      <c r="E40" s="237" t="s">
        <v>155</v>
      </c>
      <c r="F40" s="238" t="s">
        <v>156</v>
      </c>
      <c r="G40" s="55"/>
    </row>
    <row r="41" spans="2:15" ht="14.4" thickTop="1" x14ac:dyDescent="0.3">
      <c r="B41" s="239"/>
      <c r="C41" s="240">
        <v>55.104224569165815</v>
      </c>
      <c r="D41" s="240"/>
      <c r="E41" s="242">
        <f>C41/(C52*1000)</f>
        <v>1.4772387577992647</v>
      </c>
      <c r="F41" s="241">
        <f>E41/Premissas!$B$64</f>
        <v>0.29544775155985292</v>
      </c>
      <c r="G41" s="72"/>
      <c r="H41" s="72"/>
    </row>
    <row r="42" spans="2:15" x14ac:dyDescent="0.3">
      <c r="B42" s="66" t="s">
        <v>157</v>
      </c>
      <c r="C42" s="73">
        <f>Premissas!$B$50/100</f>
        <v>7.2499999999999995E-2</v>
      </c>
      <c r="E42" s="72"/>
    </row>
    <row r="43" spans="2:15" x14ac:dyDescent="0.3">
      <c r="B43" s="66" t="s">
        <v>158</v>
      </c>
      <c r="C43" s="74">
        <f>IRR(B66:G66)</f>
        <v>7.2500000000000009E-2</v>
      </c>
      <c r="D43" s="55"/>
      <c r="E43" s="55"/>
      <c r="G43" s="72"/>
      <c r="H43" s="75"/>
    </row>
    <row r="44" spans="2:15" x14ac:dyDescent="0.3">
      <c r="B44" s="76" t="s">
        <v>159</v>
      </c>
    </row>
    <row r="46" spans="2:15" ht="14.4" x14ac:dyDescent="0.3">
      <c r="B46" s="77" t="s">
        <v>160</v>
      </c>
      <c r="C46" s="131">
        <f>'Fluxo de Caixa Regulado'!C46</f>
        <v>2024</v>
      </c>
      <c r="D46" s="131">
        <f>'Fluxo de Caixa Regulado'!D46</f>
        <v>2025</v>
      </c>
      <c r="E46" s="131">
        <f>'Fluxo de Caixa Regulado'!E46</f>
        <v>2026</v>
      </c>
      <c r="F46" s="131">
        <f>'Fluxo de Caixa Regulado'!F46</f>
        <v>2027</v>
      </c>
      <c r="G46" s="131">
        <f>'Fluxo de Caixa Regulado'!G46</f>
        <v>2028</v>
      </c>
      <c r="H46" s="67">
        <v>2025</v>
      </c>
      <c r="I46" s="67">
        <v>2026</v>
      </c>
      <c r="J46" s="67">
        <v>2027</v>
      </c>
      <c r="K46" s="67">
        <v>2028</v>
      </c>
      <c r="L46" s="67">
        <v>2029</v>
      </c>
    </row>
    <row r="47" spans="2:15" x14ac:dyDescent="0.3">
      <c r="B47" s="78" t="s">
        <v>161</v>
      </c>
      <c r="C47" s="79">
        <f>+(C56*C59)+(C57*C60)</f>
        <v>800</v>
      </c>
      <c r="D47" s="79">
        <f t="shared" ref="D47:L47" si="7">+(D56*D59)+(D57*D60)</f>
        <v>800</v>
      </c>
      <c r="E47" s="79">
        <f t="shared" si="7"/>
        <v>800</v>
      </c>
      <c r="F47" s="79">
        <f t="shared" si="7"/>
        <v>800</v>
      </c>
      <c r="G47" s="79">
        <f t="shared" si="7"/>
        <v>800</v>
      </c>
      <c r="H47" s="79" t="e">
        <f t="shared" si="7"/>
        <v>#REF!</v>
      </c>
      <c r="I47" s="79" t="e">
        <f t="shared" si="7"/>
        <v>#REF!</v>
      </c>
      <c r="J47" s="79" t="e">
        <f t="shared" si="7"/>
        <v>#REF!</v>
      </c>
      <c r="K47" s="79" t="e">
        <f t="shared" si="7"/>
        <v>#REF!</v>
      </c>
      <c r="L47" s="79" t="e">
        <f t="shared" si="7"/>
        <v>#REF!</v>
      </c>
    </row>
    <row r="48" spans="2:15" x14ac:dyDescent="0.3">
      <c r="B48" s="80" t="s">
        <v>79</v>
      </c>
      <c r="C48" s="100">
        <f>C47*C51</f>
        <v>292800</v>
      </c>
      <c r="D48" s="101">
        <f>D47*D51</f>
        <v>292000</v>
      </c>
      <c r="E48" s="101">
        <f>E47*E51</f>
        <v>292000</v>
      </c>
      <c r="F48" s="101">
        <f t="shared" ref="F48:L48" si="8">F47*F51</f>
        <v>292000</v>
      </c>
      <c r="G48" s="101">
        <f t="shared" si="8"/>
        <v>292800</v>
      </c>
      <c r="H48" s="101" t="e">
        <f t="shared" si="8"/>
        <v>#REF!</v>
      </c>
      <c r="I48" s="101" t="e">
        <f t="shared" si="8"/>
        <v>#REF!</v>
      </c>
      <c r="J48" s="101" t="e">
        <f t="shared" si="8"/>
        <v>#REF!</v>
      </c>
      <c r="K48" s="101" t="e">
        <f t="shared" si="8"/>
        <v>#REF!</v>
      </c>
      <c r="L48" s="101" t="e">
        <f t="shared" si="8"/>
        <v>#REF!</v>
      </c>
    </row>
    <row r="49" spans="2:12" x14ac:dyDescent="0.3">
      <c r="B49" s="80" t="s">
        <v>80</v>
      </c>
      <c r="C49" s="100">
        <f>C48*C52</f>
        <v>10922.078011199999</v>
      </c>
      <c r="D49" s="101">
        <f t="shared" ref="D49:L49" si="9">D48*D52</f>
        <v>10892.236384704518</v>
      </c>
      <c r="E49" s="101">
        <f t="shared" si="9"/>
        <v>10892.236384704518</v>
      </c>
      <c r="F49" s="101">
        <f t="shared" si="9"/>
        <v>10892.236384704518</v>
      </c>
      <c r="G49" s="101">
        <f t="shared" si="9"/>
        <v>10922.078128224257</v>
      </c>
      <c r="H49" s="101" t="e">
        <f>H48*H52</f>
        <v>#REF!</v>
      </c>
      <c r="I49" s="101" t="e">
        <f t="shared" si="9"/>
        <v>#REF!</v>
      </c>
      <c r="J49" s="101" t="e">
        <f t="shared" si="9"/>
        <v>#REF!</v>
      </c>
      <c r="K49" s="101" t="e">
        <f t="shared" si="9"/>
        <v>#REF!</v>
      </c>
      <c r="L49" s="101" t="e">
        <f t="shared" si="9"/>
        <v>#REF!</v>
      </c>
    </row>
    <row r="50" spans="2:12" x14ac:dyDescent="0.3">
      <c r="B50" s="80" t="s">
        <v>81</v>
      </c>
      <c r="C50" s="102">
        <f>Premissas!B57</f>
        <v>366</v>
      </c>
      <c r="D50" s="103">
        <f>Premissas!C57</f>
        <v>365</v>
      </c>
      <c r="E50" s="103">
        <f>Premissas!D57</f>
        <v>365</v>
      </c>
      <c r="F50" s="103">
        <f>Premissas!E57</f>
        <v>365</v>
      </c>
      <c r="G50" s="103">
        <f>Premissas!F57</f>
        <v>366</v>
      </c>
      <c r="H50" s="103" t="e">
        <f>Premissas!#REF!</f>
        <v>#REF!</v>
      </c>
      <c r="I50" s="103" t="e">
        <f>Premissas!#REF!</f>
        <v>#REF!</v>
      </c>
      <c r="J50" s="103" t="e">
        <f>Premissas!#REF!</f>
        <v>#REF!</v>
      </c>
      <c r="K50" s="103" t="e">
        <f>Premissas!#REF!</f>
        <v>#REF!</v>
      </c>
      <c r="L50" s="103" t="e">
        <f>Premissas!#REF!</f>
        <v>#REF!</v>
      </c>
    </row>
    <row r="51" spans="2:12" x14ac:dyDescent="0.3">
      <c r="B51" s="80" t="s">
        <v>50</v>
      </c>
      <c r="C51" s="102">
        <f>Premissas!B58</f>
        <v>366</v>
      </c>
      <c r="D51" s="103">
        <f>Premissas!C58</f>
        <v>365</v>
      </c>
      <c r="E51" s="103">
        <f>Premissas!D58</f>
        <v>365</v>
      </c>
      <c r="F51" s="103">
        <f>Premissas!E58</f>
        <v>365</v>
      </c>
      <c r="G51" s="103">
        <f>Premissas!F58</f>
        <v>366</v>
      </c>
      <c r="H51" s="103" t="e">
        <f>Premissas!#REF!</f>
        <v>#REF!</v>
      </c>
      <c r="I51" s="103" t="e">
        <f>Premissas!#REF!</f>
        <v>#REF!</v>
      </c>
      <c r="J51" s="103" t="e">
        <f>Premissas!#REF!</f>
        <v>#REF!</v>
      </c>
      <c r="K51" s="103" t="e">
        <f>Premissas!#REF!</f>
        <v>#REF!</v>
      </c>
      <c r="L51" s="103" t="e">
        <f>Premissas!#REF!</f>
        <v>#REF!</v>
      </c>
    </row>
    <row r="52" spans="2:12" x14ac:dyDescent="0.3">
      <c r="B52" s="81" t="s">
        <v>48</v>
      </c>
      <c r="C52" s="104">
        <f>Premissas!B56</f>
        <v>3.7302178999999998E-2</v>
      </c>
      <c r="D52" s="105">
        <f>Premissas!C56</f>
        <v>3.7302179399673008E-2</v>
      </c>
      <c r="E52" s="105">
        <f>Premissas!D56</f>
        <v>3.7302179399673008E-2</v>
      </c>
      <c r="F52" s="105">
        <f>Premissas!E56</f>
        <v>3.7302179399673008E-2</v>
      </c>
      <c r="G52" s="105">
        <f>Premissas!F56</f>
        <v>3.7302179399673008E-2</v>
      </c>
      <c r="H52" s="105" t="e">
        <f>Premissas!#REF!</f>
        <v>#REF!</v>
      </c>
      <c r="I52" s="105" t="e">
        <f>Premissas!#REF!</f>
        <v>#REF!</v>
      </c>
      <c r="J52" s="105" t="e">
        <f>Premissas!#REF!</f>
        <v>#REF!</v>
      </c>
      <c r="K52" s="105" t="e">
        <f>Premissas!#REF!</f>
        <v>#REF!</v>
      </c>
      <c r="L52" s="105" t="e">
        <f>Premissas!#REF!</f>
        <v>#REF!</v>
      </c>
    </row>
    <row r="55" spans="2:12" ht="14.4" x14ac:dyDescent="0.3">
      <c r="C55" s="131">
        <f>'Fluxo de Caixa Regulado'!C55</f>
        <v>2024</v>
      </c>
      <c r="D55" s="131">
        <f>'Fluxo de Caixa Regulado'!D55</f>
        <v>2025</v>
      </c>
      <c r="E55" s="131">
        <f>'Fluxo de Caixa Regulado'!E55</f>
        <v>2026</v>
      </c>
      <c r="F55" s="131">
        <f>'Fluxo de Caixa Regulado'!F55</f>
        <v>2027</v>
      </c>
      <c r="G55" s="131">
        <f>'Fluxo de Caixa Regulado'!G55</f>
        <v>2028</v>
      </c>
      <c r="H55" s="53">
        <v>2025</v>
      </c>
      <c r="I55" s="53">
        <v>2026</v>
      </c>
      <c r="J55" s="53">
        <v>2027</v>
      </c>
      <c r="K55" s="53">
        <v>2028</v>
      </c>
      <c r="L55" s="53">
        <v>2029</v>
      </c>
    </row>
    <row r="56" spans="2:12" x14ac:dyDescent="0.3">
      <c r="B56" s="3" t="s">
        <v>75</v>
      </c>
      <c r="C56" s="314">
        <f>'Fluxo de Caixa Regulado'!C56</f>
        <v>800</v>
      </c>
      <c r="D56" s="314">
        <f>'Fluxo de Caixa Regulado'!D56</f>
        <v>800</v>
      </c>
      <c r="E56" s="314">
        <f>'Fluxo de Caixa Regulado'!E56</f>
        <v>800</v>
      </c>
      <c r="F56" s="314">
        <f>'Fluxo de Caixa Regulado'!F56</f>
        <v>800</v>
      </c>
      <c r="G56" s="314">
        <f>'Fluxo de Caixa Regulado'!G56</f>
        <v>800</v>
      </c>
      <c r="H56" s="8" t="e">
        <f>+#REF!</f>
        <v>#REF!</v>
      </c>
      <c r="I56" s="8" t="e">
        <f>+#REF!</f>
        <v>#REF!</v>
      </c>
      <c r="J56" s="8" t="e">
        <f>+#REF!</f>
        <v>#REF!</v>
      </c>
      <c r="K56" s="8" t="e">
        <f>+#REF!</f>
        <v>#REF!</v>
      </c>
      <c r="L56" s="8" t="e">
        <f>+#REF!</f>
        <v>#REF!</v>
      </c>
    </row>
    <row r="57" spans="2:12" x14ac:dyDescent="0.3">
      <c r="B57" s="4" t="s">
        <v>76</v>
      </c>
      <c r="C57" s="315">
        <f>'Fluxo de Caixa Regulado'!C57</f>
        <v>800</v>
      </c>
      <c r="D57" s="315">
        <f>'Fluxo de Caixa Regulado'!D57</f>
        <v>800</v>
      </c>
      <c r="E57" s="315">
        <f>'Fluxo de Caixa Regulado'!E57</f>
        <v>800</v>
      </c>
      <c r="F57" s="315">
        <f>'Fluxo de Caixa Regulado'!F57</f>
        <v>800</v>
      </c>
      <c r="G57" s="315">
        <f>'Fluxo de Caixa Regulado'!G57</f>
        <v>800</v>
      </c>
      <c r="H57" s="12" t="e">
        <f>+#REF!</f>
        <v>#REF!</v>
      </c>
      <c r="I57" s="12" t="e">
        <f>+#REF!</f>
        <v>#REF!</v>
      </c>
      <c r="J57" s="12" t="e">
        <f>+#REF!</f>
        <v>#REF!</v>
      </c>
      <c r="K57" s="12" t="e">
        <f>+#REF!</f>
        <v>#REF!</v>
      </c>
      <c r="L57" s="12" t="e">
        <f>+#REF!</f>
        <v>#REF!</v>
      </c>
    </row>
    <row r="58" spans="2:12" x14ac:dyDescent="0.3">
      <c r="C58" s="52"/>
      <c r="D58" s="52"/>
      <c r="E58" s="52"/>
      <c r="F58" s="52"/>
      <c r="G58" s="52"/>
      <c r="H58" s="52"/>
      <c r="I58" s="52"/>
      <c r="J58" s="52"/>
      <c r="K58" s="52"/>
      <c r="L58" s="52"/>
    </row>
    <row r="59" spans="2:12" x14ac:dyDescent="0.3">
      <c r="B59" s="7" t="s">
        <v>163</v>
      </c>
      <c r="C59" s="24">
        <f>+'Cálculo Encargos ECE, ECT e ECS'!I43</f>
        <v>0.7</v>
      </c>
      <c r="D59" s="24">
        <f>+C59</f>
        <v>0.7</v>
      </c>
      <c r="E59" s="24">
        <f t="shared" ref="E59:L60" si="10">+D59</f>
        <v>0.7</v>
      </c>
      <c r="F59" s="24">
        <f t="shared" si="10"/>
        <v>0.7</v>
      </c>
      <c r="G59" s="24">
        <f t="shared" si="10"/>
        <v>0.7</v>
      </c>
      <c r="H59" s="24">
        <f t="shared" si="10"/>
        <v>0.7</v>
      </c>
      <c r="I59" s="24">
        <f t="shared" si="10"/>
        <v>0.7</v>
      </c>
      <c r="J59" s="24">
        <f t="shared" si="10"/>
        <v>0.7</v>
      </c>
      <c r="K59" s="24">
        <f t="shared" si="10"/>
        <v>0.7</v>
      </c>
      <c r="L59" s="24">
        <f t="shared" si="10"/>
        <v>0.7</v>
      </c>
    </row>
    <row r="60" spans="2:12" x14ac:dyDescent="0.3">
      <c r="B60" s="7" t="s">
        <v>164</v>
      </c>
      <c r="C60" s="24">
        <f>+'Cálculo Encargos ECE, ECT e ECS'!I44</f>
        <v>0.30000000000000004</v>
      </c>
      <c r="D60" s="24">
        <f>+C60</f>
        <v>0.30000000000000004</v>
      </c>
      <c r="E60" s="24">
        <f t="shared" si="10"/>
        <v>0.30000000000000004</v>
      </c>
      <c r="F60" s="24">
        <f t="shared" si="10"/>
        <v>0.30000000000000004</v>
      </c>
      <c r="G60" s="24">
        <f t="shared" si="10"/>
        <v>0.30000000000000004</v>
      </c>
      <c r="H60" s="24">
        <f t="shared" si="10"/>
        <v>0.30000000000000004</v>
      </c>
      <c r="I60" s="24">
        <f t="shared" si="10"/>
        <v>0.30000000000000004</v>
      </c>
      <c r="J60" s="24">
        <f t="shared" si="10"/>
        <v>0.30000000000000004</v>
      </c>
      <c r="K60" s="24">
        <f t="shared" si="10"/>
        <v>0.30000000000000004</v>
      </c>
      <c r="L60" s="24">
        <f t="shared" si="10"/>
        <v>0.30000000000000004</v>
      </c>
    </row>
    <row r="65" spans="1:12" x14ac:dyDescent="0.3">
      <c r="B65" s="83"/>
      <c r="C65" s="84"/>
    </row>
    <row r="66" spans="1:12" x14ac:dyDescent="0.3">
      <c r="A66" s="85" t="s">
        <v>165</v>
      </c>
      <c r="B66" s="86">
        <f>'FC E-S'!B66+'FC ECTL'!B66+'FC EM'!B66</f>
        <v>-26785.73599307159</v>
      </c>
      <c r="C66" s="87">
        <f>+C38</f>
        <v>4217.2035226006956</v>
      </c>
      <c r="D66" s="87">
        <f t="shared" ref="D66:L66" si="11">+D38</f>
        <v>5556.131153947882</v>
      </c>
      <c r="E66" s="87">
        <f t="shared" si="11"/>
        <v>5535.0881630888171</v>
      </c>
      <c r="F66" s="87">
        <f t="shared" si="11"/>
        <v>5514.8545180320243</v>
      </c>
      <c r="G66" s="87">
        <f t="shared" si="11"/>
        <v>13293.810058204534</v>
      </c>
      <c r="H66" s="87" t="e">
        <f t="shared" si="11"/>
        <v>#REF!</v>
      </c>
      <c r="I66" s="87" t="e">
        <f t="shared" si="11"/>
        <v>#REF!</v>
      </c>
      <c r="J66" s="87" t="e">
        <f t="shared" si="11"/>
        <v>#REF!</v>
      </c>
      <c r="K66" s="87" t="e">
        <f t="shared" si="11"/>
        <v>#REF!</v>
      </c>
      <c r="L66" s="87" t="e">
        <f t="shared" si="11"/>
        <v>#REF!</v>
      </c>
    </row>
    <row r="67" spans="1:12" x14ac:dyDescent="0.3">
      <c r="B67" s="55"/>
      <c r="C67" s="84"/>
    </row>
  </sheetData>
  <pageMargins left="0.51181102362204722" right="0.51181102362204722" top="0.78740157480314965" bottom="0.78740157480314965" header="0.31496062992125984" footer="0.31496062992125984"/>
  <pageSetup paperSize="9" scale="75" fitToHeight="2" orientation="landscape" r:id="rId1"/>
  <headerFooter>
    <oddHeader>&amp;R&amp;"Calibri"&amp;14&amp;K0078D7NP-1&amp;1#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>
    <tabColor theme="4"/>
    <pageSetUpPr fitToPage="1"/>
  </sheetPr>
  <dimension ref="B2:N47"/>
  <sheetViews>
    <sheetView showGridLines="0" topLeftCell="A36" zoomScale="110" zoomScaleNormal="110" workbookViewId="0">
      <selection activeCell="B11" sqref="B11:G13"/>
    </sheetView>
  </sheetViews>
  <sheetFormatPr defaultColWidth="9.21875" defaultRowHeight="13.8" x14ac:dyDescent="0.3"/>
  <cols>
    <col min="1" max="1" width="20.21875" style="25" bestFit="1" customWidth="1"/>
    <col min="2" max="2" width="31.21875" style="25" customWidth="1"/>
    <col min="3" max="7" width="10.77734375" style="25" customWidth="1"/>
    <col min="8" max="8" width="12.77734375" style="25" bestFit="1" customWidth="1"/>
    <col min="9" max="9" width="6.5546875" style="25" bestFit="1" customWidth="1"/>
    <col min="10" max="10" width="12" style="25" bestFit="1" customWidth="1"/>
    <col min="11" max="16384" width="9.21875" style="25"/>
  </cols>
  <sheetData>
    <row r="2" spans="2:10" x14ac:dyDescent="0.3">
      <c r="B2" s="11" t="s">
        <v>172</v>
      </c>
    </row>
    <row r="3" spans="2:10" x14ac:dyDescent="0.3">
      <c r="B3" s="5" t="s">
        <v>173</v>
      </c>
    </row>
    <row r="4" spans="2:10" x14ac:dyDescent="0.3">
      <c r="B4" s="247"/>
      <c r="C4" s="113">
        <f>'Fluxo de Caixa Regulado'!C4</f>
        <v>2024</v>
      </c>
      <c r="D4" s="113">
        <f>'Fluxo de Caixa Regulado'!D4</f>
        <v>2025</v>
      </c>
      <c r="E4" s="113">
        <f>'Fluxo de Caixa Regulado'!E4</f>
        <v>2026</v>
      </c>
      <c r="F4" s="113">
        <f>'Fluxo de Caixa Regulado'!F4</f>
        <v>2027</v>
      </c>
      <c r="G4" s="113">
        <f>'Fluxo de Caixa Regulado'!G4</f>
        <v>2028</v>
      </c>
      <c r="H4" s="114" t="s">
        <v>77</v>
      </c>
      <c r="I4" s="64" t="s">
        <v>13</v>
      </c>
      <c r="J4" s="114" t="s">
        <v>78</v>
      </c>
    </row>
    <row r="5" spans="2:10" x14ac:dyDescent="0.3">
      <c r="B5" s="110" t="s">
        <v>174</v>
      </c>
      <c r="C5" s="248">
        <f>SUM(C6:C8)</f>
        <v>800</v>
      </c>
      <c r="D5" s="248">
        <f t="shared" ref="D5:G5" si="0">SUM(D6:D8)</f>
        <v>800</v>
      </c>
      <c r="E5" s="248">
        <f t="shared" si="0"/>
        <v>800</v>
      </c>
      <c r="F5" s="248">
        <f t="shared" si="0"/>
        <v>800</v>
      </c>
      <c r="G5" s="248">
        <f t="shared" si="0"/>
        <v>800</v>
      </c>
      <c r="H5" s="248">
        <f>SUM(C5:G5)</f>
        <v>4000</v>
      </c>
      <c r="I5" s="251">
        <f>H5/H5</f>
        <v>1</v>
      </c>
      <c r="J5" s="248">
        <f>AVERAGE(C5:G5)</f>
        <v>800</v>
      </c>
    </row>
    <row r="6" spans="2:10" x14ac:dyDescent="0.3">
      <c r="B6" s="111" t="s">
        <v>293</v>
      </c>
      <c r="C6" s="249">
        <v>800</v>
      </c>
      <c r="D6" s="249">
        <f>C6</f>
        <v>800</v>
      </c>
      <c r="E6" s="249">
        <f t="shared" ref="E6:G6" si="1">D6</f>
        <v>800</v>
      </c>
      <c r="F6" s="249">
        <f t="shared" si="1"/>
        <v>800</v>
      </c>
      <c r="G6" s="249">
        <f t="shared" si="1"/>
        <v>800</v>
      </c>
      <c r="H6" s="249">
        <f>SUM(C6:G6)</f>
        <v>4000</v>
      </c>
      <c r="I6" s="251">
        <f>H6/H5</f>
        <v>1</v>
      </c>
      <c r="J6" s="249">
        <f>AVERAGE(C6:G6)</f>
        <v>800</v>
      </c>
    </row>
    <row r="7" spans="2:10" x14ac:dyDescent="0.3">
      <c r="B7" s="111"/>
      <c r="C7" s="249"/>
      <c r="D7" s="249"/>
      <c r="E7" s="249"/>
      <c r="F7" s="249"/>
      <c r="G7" s="249"/>
      <c r="H7" s="249">
        <f>SUM(C7:G7)</f>
        <v>0</v>
      </c>
      <c r="I7" s="251">
        <f>H7/H5</f>
        <v>0</v>
      </c>
      <c r="J7" s="249" t="e">
        <f>AVERAGE(C7:G7)</f>
        <v>#DIV/0!</v>
      </c>
    </row>
    <row r="8" spans="2:10" x14ac:dyDescent="0.3">
      <c r="B8" s="111"/>
      <c r="C8" s="249"/>
      <c r="D8" s="249"/>
      <c r="E8" s="249"/>
      <c r="F8" s="249"/>
      <c r="G8" s="249"/>
      <c r="H8" s="249">
        <f>SUM(C8:G8)</f>
        <v>0</v>
      </c>
      <c r="I8" s="251">
        <f>H8/H5</f>
        <v>0</v>
      </c>
      <c r="J8" s="249" t="e">
        <f>AVERAGE(C8:G8)</f>
        <v>#DIV/0!</v>
      </c>
    </row>
    <row r="10" spans="2:10" x14ac:dyDescent="0.3">
      <c r="B10" s="25" t="s">
        <v>175</v>
      </c>
    </row>
    <row r="11" spans="2:10" x14ac:dyDescent="0.3">
      <c r="B11" s="247"/>
      <c r="C11" s="113">
        <f>C$4</f>
        <v>2024</v>
      </c>
      <c r="D11" s="113">
        <f t="shared" ref="D11:G11" si="2">D$4</f>
        <v>2025</v>
      </c>
      <c r="E11" s="113">
        <f t="shared" si="2"/>
        <v>2026</v>
      </c>
      <c r="F11" s="113">
        <f t="shared" si="2"/>
        <v>2027</v>
      </c>
      <c r="G11" s="113">
        <f t="shared" si="2"/>
        <v>2028</v>
      </c>
      <c r="H11" s="114" t="s">
        <v>77</v>
      </c>
      <c r="I11" s="64" t="s">
        <v>13</v>
      </c>
      <c r="J11" s="114" t="s">
        <v>78</v>
      </c>
    </row>
    <row r="12" spans="2:10" x14ac:dyDescent="0.3">
      <c r="B12" s="110" t="s">
        <v>176</v>
      </c>
      <c r="C12" s="248">
        <f>SUM(C13:C14)</f>
        <v>800</v>
      </c>
      <c r="D12" s="248">
        <f>SUM(D13:D14)</f>
        <v>800</v>
      </c>
      <c r="E12" s="248">
        <f>SUM(E13:E14)</f>
        <v>800</v>
      </c>
      <c r="F12" s="248">
        <f>SUM(F13:F14)</f>
        <v>800</v>
      </c>
      <c r="G12" s="248">
        <f>SUM(G13:G14)</f>
        <v>800</v>
      </c>
      <c r="H12" s="248">
        <f>SUM(C12:G12)</f>
        <v>4000</v>
      </c>
      <c r="I12" s="251">
        <f>+H12/$H$12</f>
        <v>1</v>
      </c>
      <c r="J12" s="248">
        <f>AVERAGE(C12:G12)</f>
        <v>800</v>
      </c>
    </row>
    <row r="13" spans="2:10" x14ac:dyDescent="0.3">
      <c r="B13" s="111" t="str">
        <f>'C. Demanda'!B41</f>
        <v>Ponto de Saída Triunfo</v>
      </c>
      <c r="C13" s="249">
        <f>C6</f>
        <v>800</v>
      </c>
      <c r="D13" s="249">
        <f>C13</f>
        <v>800</v>
      </c>
      <c r="E13" s="249">
        <f t="shared" ref="E13:G13" si="3">D13</f>
        <v>800</v>
      </c>
      <c r="F13" s="249">
        <f t="shared" si="3"/>
        <v>800</v>
      </c>
      <c r="G13" s="249">
        <f t="shared" si="3"/>
        <v>800</v>
      </c>
      <c r="H13" s="249">
        <f t="shared" ref="H13:H14" si="4">SUM(C13:G13)</f>
        <v>4000</v>
      </c>
      <c r="I13" s="251">
        <f>+H13/$H$12</f>
        <v>1</v>
      </c>
      <c r="J13" s="249">
        <f>AVERAGE(C13:G13)</f>
        <v>800</v>
      </c>
    </row>
    <row r="14" spans="2:10" x14ac:dyDescent="0.3">
      <c r="B14" s="111"/>
      <c r="C14" s="249"/>
      <c r="D14" s="249"/>
      <c r="E14" s="249"/>
      <c r="F14" s="249"/>
      <c r="G14" s="249"/>
      <c r="H14" s="249">
        <f t="shared" si="4"/>
        <v>0</v>
      </c>
      <c r="I14" s="251">
        <f t="shared" ref="I14" si="5">+H14/$H$12</f>
        <v>0</v>
      </c>
      <c r="J14" s="249" t="e">
        <f>AVERAGE(C14:G14)</f>
        <v>#DIV/0!</v>
      </c>
    </row>
    <row r="16" spans="2:10" x14ac:dyDescent="0.3">
      <c r="B16" s="11" t="s">
        <v>172</v>
      </c>
    </row>
    <row r="17" spans="2:14" x14ac:dyDescent="0.3">
      <c r="B17" s="5" t="s">
        <v>173</v>
      </c>
    </row>
    <row r="18" spans="2:14" s="31" customFormat="1" x14ac:dyDescent="0.3">
      <c r="B18" s="247"/>
      <c r="C18" s="113">
        <f>C$4</f>
        <v>2024</v>
      </c>
      <c r="D18" s="113">
        <f t="shared" ref="D18:G18" si="6">D$4</f>
        <v>2025</v>
      </c>
      <c r="E18" s="113">
        <f t="shared" si="6"/>
        <v>2026</v>
      </c>
      <c r="F18" s="113">
        <f t="shared" si="6"/>
        <v>2027</v>
      </c>
      <c r="G18" s="113">
        <f t="shared" si="6"/>
        <v>2028</v>
      </c>
      <c r="H18" s="64" t="s">
        <v>77</v>
      </c>
      <c r="I18" s="64" t="s">
        <v>13</v>
      </c>
      <c r="J18" s="64" t="s">
        <v>78</v>
      </c>
      <c r="K18" s="25"/>
      <c r="L18" s="25"/>
      <c r="M18" s="25"/>
      <c r="N18" s="25"/>
    </row>
    <row r="19" spans="2:14" s="31" customFormat="1" ht="13.5" customHeight="1" x14ac:dyDescent="0.3">
      <c r="B19" s="110" t="s">
        <v>177</v>
      </c>
      <c r="C19" s="248">
        <f>SUM(C20:C22)</f>
        <v>292800</v>
      </c>
      <c r="D19" s="248">
        <f t="shared" ref="D19:G19" si="7">SUM(D20:D22)</f>
        <v>292000</v>
      </c>
      <c r="E19" s="248">
        <f t="shared" si="7"/>
        <v>292000</v>
      </c>
      <c r="F19" s="248">
        <f t="shared" si="7"/>
        <v>292000</v>
      </c>
      <c r="G19" s="248">
        <f t="shared" si="7"/>
        <v>292800</v>
      </c>
      <c r="H19" s="250">
        <f>SUM(C19:G19)</f>
        <v>1461600</v>
      </c>
      <c r="I19" s="251">
        <f>H19/H19</f>
        <v>1</v>
      </c>
      <c r="J19" s="126">
        <f>AVERAGE(C19:G19)</f>
        <v>292320</v>
      </c>
      <c r="K19" s="25"/>
      <c r="L19" s="25"/>
      <c r="M19" s="25"/>
      <c r="N19" s="25"/>
    </row>
    <row r="20" spans="2:14" s="31" customFormat="1" x14ac:dyDescent="0.3">
      <c r="B20" s="111" t="str">
        <f>B6</f>
        <v>Recebimento de Canoas</v>
      </c>
      <c r="C20" s="249">
        <f t="shared" ref="C20:G22" si="8">C6*C$46</f>
        <v>292800</v>
      </c>
      <c r="D20" s="249">
        <f t="shared" si="8"/>
        <v>292000</v>
      </c>
      <c r="E20" s="249">
        <f t="shared" si="8"/>
        <v>292000</v>
      </c>
      <c r="F20" s="249">
        <f t="shared" si="8"/>
        <v>292000</v>
      </c>
      <c r="G20" s="249">
        <f t="shared" si="8"/>
        <v>292800</v>
      </c>
      <c r="H20" s="250">
        <f>SUM(C20:G20)</f>
        <v>1461600</v>
      </c>
      <c r="I20" s="251">
        <f>H20/H19</f>
        <v>1</v>
      </c>
      <c r="J20" s="126">
        <f>AVERAGE(C20:G20)</f>
        <v>292320</v>
      </c>
      <c r="K20" s="54"/>
      <c r="L20" s="25"/>
      <c r="M20" s="25"/>
      <c r="N20" s="25"/>
    </row>
    <row r="21" spans="2:14" s="31" customFormat="1" x14ac:dyDescent="0.3">
      <c r="B21" s="111">
        <f t="shared" ref="B21:B22" si="9">B7</f>
        <v>0</v>
      </c>
      <c r="C21" s="249">
        <f t="shared" si="8"/>
        <v>0</v>
      </c>
      <c r="D21" s="249">
        <f t="shared" si="8"/>
        <v>0</v>
      </c>
      <c r="E21" s="249">
        <f t="shared" si="8"/>
        <v>0</v>
      </c>
      <c r="F21" s="249">
        <f t="shared" si="8"/>
        <v>0</v>
      </c>
      <c r="G21" s="249">
        <f t="shared" si="8"/>
        <v>0</v>
      </c>
      <c r="H21" s="250">
        <f>SUM(C21:G21)</f>
        <v>0</v>
      </c>
      <c r="I21" s="251">
        <f>H21/H19</f>
        <v>0</v>
      </c>
      <c r="J21" s="126">
        <f>AVERAGE(C21:G21)</f>
        <v>0</v>
      </c>
      <c r="K21" s="54"/>
      <c r="L21" s="25"/>
      <c r="M21" s="25"/>
      <c r="N21" s="25"/>
    </row>
    <row r="22" spans="2:14" s="31" customFormat="1" x14ac:dyDescent="0.3">
      <c r="B22" s="111">
        <f t="shared" si="9"/>
        <v>0</v>
      </c>
      <c r="C22" s="249">
        <f t="shared" si="8"/>
        <v>0</v>
      </c>
      <c r="D22" s="249">
        <f t="shared" si="8"/>
        <v>0</v>
      </c>
      <c r="E22" s="249">
        <f t="shared" si="8"/>
        <v>0</v>
      </c>
      <c r="F22" s="249">
        <f t="shared" si="8"/>
        <v>0</v>
      </c>
      <c r="G22" s="249">
        <f t="shared" si="8"/>
        <v>0</v>
      </c>
      <c r="H22" s="250">
        <f>SUM(C22:G22)</f>
        <v>0</v>
      </c>
      <c r="I22" s="251">
        <f>H22/H19</f>
        <v>0</v>
      </c>
      <c r="J22" s="126">
        <f>AVERAGE(C22:G22)</f>
        <v>0</v>
      </c>
      <c r="K22" s="54"/>
      <c r="L22" s="25"/>
      <c r="M22" s="25"/>
      <c r="N22" s="25"/>
    </row>
    <row r="23" spans="2:14" s="31" customFormat="1" x14ac:dyDescent="0.3">
      <c r="K23" s="25"/>
      <c r="L23" s="25"/>
      <c r="M23" s="25"/>
      <c r="N23" s="25"/>
    </row>
    <row r="24" spans="2:14" s="31" customFormat="1" x14ac:dyDescent="0.3">
      <c r="B24" s="25" t="s">
        <v>175</v>
      </c>
      <c r="K24" s="25"/>
      <c r="L24" s="25"/>
      <c r="M24" s="25"/>
      <c r="N24" s="25"/>
    </row>
    <row r="25" spans="2:14" s="31" customFormat="1" x14ac:dyDescent="0.3">
      <c r="B25" s="247"/>
      <c r="C25" s="113">
        <f>C$4</f>
        <v>2024</v>
      </c>
      <c r="D25" s="113">
        <f t="shared" ref="D25:G25" si="10">D$4</f>
        <v>2025</v>
      </c>
      <c r="E25" s="113">
        <f t="shared" si="10"/>
        <v>2026</v>
      </c>
      <c r="F25" s="113">
        <f t="shared" si="10"/>
        <v>2027</v>
      </c>
      <c r="G25" s="113">
        <f t="shared" si="10"/>
        <v>2028</v>
      </c>
      <c r="H25" s="64" t="s">
        <v>77</v>
      </c>
      <c r="I25" s="64" t="s">
        <v>13</v>
      </c>
      <c r="J25" s="64" t="s">
        <v>78</v>
      </c>
      <c r="K25" s="25"/>
      <c r="L25" s="25"/>
      <c r="M25" s="25"/>
      <c r="N25" s="25"/>
    </row>
    <row r="26" spans="2:14" s="31" customFormat="1" x14ac:dyDescent="0.3">
      <c r="B26" s="110" t="s">
        <v>178</v>
      </c>
      <c r="C26" s="248">
        <f>SUM(C27:C28)</f>
        <v>292800</v>
      </c>
      <c r="D26" s="248">
        <f>SUM(D27:D28)</f>
        <v>292000</v>
      </c>
      <c r="E26" s="248">
        <f>SUM(E27:E28)</f>
        <v>292000</v>
      </c>
      <c r="F26" s="248">
        <f>SUM(F27:F28)</f>
        <v>292000</v>
      </c>
      <c r="G26" s="248">
        <f>SUM(G27:G28)</f>
        <v>292800</v>
      </c>
      <c r="H26" s="250">
        <f t="shared" ref="H26:H28" si="11">SUM(C26:G26)</f>
        <v>1461600</v>
      </c>
      <c r="I26" s="251">
        <f t="shared" ref="I26:I28" si="12">+H26/$H$26</f>
        <v>1</v>
      </c>
      <c r="J26" s="126">
        <f>AVERAGE(C26:G26)</f>
        <v>292320</v>
      </c>
      <c r="K26" s="25"/>
      <c r="L26" s="25"/>
      <c r="M26" s="25"/>
      <c r="N26" s="25"/>
    </row>
    <row r="27" spans="2:14" s="31" customFormat="1" x14ac:dyDescent="0.3">
      <c r="B27" s="111" t="str">
        <f>+B13</f>
        <v>Ponto de Saída Triunfo</v>
      </c>
      <c r="C27" s="249">
        <f t="shared" ref="C27:G28" si="13">C13*C$46</f>
        <v>292800</v>
      </c>
      <c r="D27" s="249">
        <f t="shared" si="13"/>
        <v>292000</v>
      </c>
      <c r="E27" s="249">
        <f t="shared" si="13"/>
        <v>292000</v>
      </c>
      <c r="F27" s="249">
        <f t="shared" si="13"/>
        <v>292000</v>
      </c>
      <c r="G27" s="249">
        <f t="shared" si="13"/>
        <v>292800</v>
      </c>
      <c r="H27" s="250">
        <f>SUM(C27:G27)</f>
        <v>1461600</v>
      </c>
      <c r="I27" s="251">
        <f t="shared" si="12"/>
        <v>1</v>
      </c>
      <c r="J27" s="126">
        <f>AVERAGE(C27:G27)</f>
        <v>292320</v>
      </c>
      <c r="K27" s="25"/>
      <c r="L27" s="25"/>
      <c r="M27" s="25"/>
      <c r="N27" s="25"/>
    </row>
    <row r="28" spans="2:14" s="31" customFormat="1" x14ac:dyDescent="0.3">
      <c r="B28" s="111">
        <f>+B14</f>
        <v>0</v>
      </c>
      <c r="C28" s="249">
        <f t="shared" si="13"/>
        <v>0</v>
      </c>
      <c r="D28" s="249">
        <f t="shared" si="13"/>
        <v>0</v>
      </c>
      <c r="E28" s="249">
        <f t="shared" si="13"/>
        <v>0</v>
      </c>
      <c r="F28" s="249">
        <f t="shared" si="13"/>
        <v>0</v>
      </c>
      <c r="G28" s="249">
        <f t="shared" si="13"/>
        <v>0</v>
      </c>
      <c r="H28" s="250">
        <f t="shared" si="11"/>
        <v>0</v>
      </c>
      <c r="I28" s="251">
        <f t="shared" si="12"/>
        <v>0</v>
      </c>
      <c r="J28" s="126">
        <f t="shared" ref="J28" si="14">AVERAGE(C28:G28)</f>
        <v>0</v>
      </c>
      <c r="K28" s="25"/>
      <c r="L28" s="25"/>
      <c r="M28" s="25"/>
      <c r="N28" s="25"/>
    </row>
    <row r="29" spans="2:14" x14ac:dyDescent="0.3">
      <c r="C29" s="52"/>
      <c r="D29" s="52"/>
      <c r="E29" s="52"/>
      <c r="F29" s="52"/>
      <c r="G29" s="52"/>
    </row>
    <row r="30" spans="2:14" x14ac:dyDescent="0.3">
      <c r="B30" s="11" t="s">
        <v>172</v>
      </c>
    </row>
    <row r="31" spans="2:14" x14ac:dyDescent="0.3">
      <c r="B31" s="5" t="s">
        <v>173</v>
      </c>
    </row>
    <row r="32" spans="2:14" x14ac:dyDescent="0.3">
      <c r="B32" s="247"/>
      <c r="C32" s="113">
        <f>C$4</f>
        <v>2024</v>
      </c>
      <c r="D32" s="113">
        <f t="shared" ref="D32:G32" si="15">D$4</f>
        <v>2025</v>
      </c>
      <c r="E32" s="113">
        <f t="shared" si="15"/>
        <v>2026</v>
      </c>
      <c r="F32" s="113">
        <f t="shared" si="15"/>
        <v>2027</v>
      </c>
      <c r="G32" s="113">
        <f t="shared" si="15"/>
        <v>2028</v>
      </c>
      <c r="H32" s="64" t="s">
        <v>77</v>
      </c>
      <c r="I32" s="64" t="s">
        <v>13</v>
      </c>
      <c r="J32" s="64" t="s">
        <v>78</v>
      </c>
    </row>
    <row r="33" spans="2:13" x14ac:dyDescent="0.3">
      <c r="B33" s="110" t="s">
        <v>179</v>
      </c>
      <c r="C33" s="248">
        <f>SUM(C34:C36)</f>
        <v>10922078.011199998</v>
      </c>
      <c r="D33" s="248">
        <f t="shared" ref="D33:F33" si="16">SUM(D34:D36)</f>
        <v>10892236.267999999</v>
      </c>
      <c r="E33" s="248">
        <f t="shared" si="16"/>
        <v>10892236.267999999</v>
      </c>
      <c r="F33" s="248">
        <f t="shared" si="16"/>
        <v>10892236.267999999</v>
      </c>
      <c r="G33" s="248">
        <f>SUM(G34:G36)</f>
        <v>10922078.011199998</v>
      </c>
      <c r="H33" s="250">
        <f>SUM(C33:G33)</f>
        <v>54520864.826399989</v>
      </c>
      <c r="I33" s="251">
        <f>H33/H33</f>
        <v>1</v>
      </c>
      <c r="J33" s="126">
        <f>AVERAGE(C33:G33)</f>
        <v>10904172.965279998</v>
      </c>
    </row>
    <row r="34" spans="2:13" x14ac:dyDescent="0.3">
      <c r="B34" s="111" t="str">
        <f>B20</f>
        <v>Recebimento de Canoas</v>
      </c>
      <c r="C34" s="249">
        <f>+C20*'C. Demanda'!$M$34</f>
        <v>10922078.011199998</v>
      </c>
      <c r="D34" s="249">
        <f>+D20*'C. Demanda'!$M$34</f>
        <v>10892236.267999999</v>
      </c>
      <c r="E34" s="249">
        <f>+E20*'C. Demanda'!$M$34</f>
        <v>10892236.267999999</v>
      </c>
      <c r="F34" s="249">
        <f>+F20*'C. Demanda'!$M$34</f>
        <v>10892236.267999999</v>
      </c>
      <c r="G34" s="249">
        <f>+G20*'C. Demanda'!$M$34</f>
        <v>10922078.011199998</v>
      </c>
      <c r="H34" s="250">
        <f>SUM(C34:G34)</f>
        <v>54520864.826399989</v>
      </c>
      <c r="I34" s="251">
        <f>H34/H33</f>
        <v>1</v>
      </c>
      <c r="J34" s="126">
        <f>AVERAGE(C34:G34)</f>
        <v>10904172.965279998</v>
      </c>
      <c r="K34" s="54"/>
    </row>
    <row r="35" spans="2:13" x14ac:dyDescent="0.3">
      <c r="B35" s="111">
        <f t="shared" ref="B35:B36" si="17">B21</f>
        <v>0</v>
      </c>
      <c r="C35" s="249">
        <f>+C21*'C. Demanda'!$M$34</f>
        <v>0</v>
      </c>
      <c r="D35" s="249">
        <f>+D21*'C. Demanda'!$M$34</f>
        <v>0</v>
      </c>
      <c r="E35" s="249">
        <f>+E21*'C. Demanda'!$M$34</f>
        <v>0</v>
      </c>
      <c r="F35" s="249">
        <f>+F21*'C. Demanda'!$M$34</f>
        <v>0</v>
      </c>
      <c r="G35" s="249">
        <f>+G21*'C. Demanda'!$M$34</f>
        <v>0</v>
      </c>
      <c r="H35" s="250">
        <f>SUM(C35:G35)</f>
        <v>0</v>
      </c>
      <c r="I35" s="251">
        <f>H35/H33</f>
        <v>0</v>
      </c>
      <c r="J35" s="126">
        <f>AVERAGE(C35:G35)</f>
        <v>0</v>
      </c>
      <c r="K35" s="54"/>
    </row>
    <row r="36" spans="2:13" x14ac:dyDescent="0.3">
      <c r="B36" s="111">
        <f t="shared" si="17"/>
        <v>0</v>
      </c>
      <c r="C36" s="249">
        <f>+C22*'C. Demanda'!$M$34</f>
        <v>0</v>
      </c>
      <c r="D36" s="249">
        <f>+D22*'C. Demanda'!$M$34</f>
        <v>0</v>
      </c>
      <c r="E36" s="249">
        <f>+E22*'C. Demanda'!$M$34</f>
        <v>0</v>
      </c>
      <c r="F36" s="249">
        <f>+F22*'C. Demanda'!$M$34</f>
        <v>0</v>
      </c>
      <c r="G36" s="249">
        <f>+G22*'C. Demanda'!$M$34</f>
        <v>0</v>
      </c>
      <c r="H36" s="250">
        <f>SUM(C36:G36)</f>
        <v>0</v>
      </c>
      <c r="I36" s="251">
        <f>H36/H33</f>
        <v>0</v>
      </c>
      <c r="J36" s="126">
        <f>AVERAGE(C36:G36)</f>
        <v>0</v>
      </c>
      <c r="K36" s="54"/>
    </row>
    <row r="37" spans="2:13" x14ac:dyDescent="0.3">
      <c r="B37" s="31"/>
      <c r="C37" s="31"/>
      <c r="D37" s="31"/>
      <c r="E37" s="31"/>
      <c r="F37" s="31"/>
      <c r="G37" s="31"/>
      <c r="H37" s="31"/>
      <c r="I37" s="31"/>
      <c r="J37" s="31"/>
    </row>
    <row r="38" spans="2:13" x14ac:dyDescent="0.3">
      <c r="B38" s="25" t="s">
        <v>175</v>
      </c>
      <c r="C38" s="31"/>
      <c r="D38" s="31"/>
      <c r="E38" s="31"/>
      <c r="F38" s="31"/>
      <c r="G38" s="31"/>
      <c r="H38" s="31"/>
      <c r="I38" s="31"/>
      <c r="J38" s="31"/>
    </row>
    <row r="39" spans="2:13" x14ac:dyDescent="0.3">
      <c r="B39" s="247"/>
      <c r="C39" s="113">
        <f>C$4</f>
        <v>2024</v>
      </c>
      <c r="D39" s="113">
        <f t="shared" ref="D39:G39" si="18">D$4</f>
        <v>2025</v>
      </c>
      <c r="E39" s="113">
        <f t="shared" si="18"/>
        <v>2026</v>
      </c>
      <c r="F39" s="113">
        <f t="shared" si="18"/>
        <v>2027</v>
      </c>
      <c r="G39" s="113">
        <f t="shared" si="18"/>
        <v>2028</v>
      </c>
      <c r="H39" s="64" t="s">
        <v>77</v>
      </c>
      <c r="I39" s="64" t="s">
        <v>13</v>
      </c>
      <c r="J39" s="64" t="s">
        <v>78</v>
      </c>
      <c r="L39" s="26"/>
      <c r="M39" s="27"/>
    </row>
    <row r="40" spans="2:13" x14ac:dyDescent="0.3">
      <c r="B40" s="110" t="s">
        <v>180</v>
      </c>
      <c r="C40" s="248">
        <f>SUM(C41:C42)</f>
        <v>10922078.011199998</v>
      </c>
      <c r="D40" s="248">
        <f>SUM(D41:D42)</f>
        <v>10892236.267999999</v>
      </c>
      <c r="E40" s="248">
        <f>SUM(E41:E42)</f>
        <v>10892236.267999999</v>
      </c>
      <c r="F40" s="248">
        <f>SUM(F41:F42)</f>
        <v>10892236.267999999</v>
      </c>
      <c r="G40" s="248">
        <f>SUM(G41:G42)</f>
        <v>10922078.011199998</v>
      </c>
      <c r="H40" s="250">
        <f t="shared" ref="H40" si="19">SUM(C40:G40)</f>
        <v>54520864.826399989</v>
      </c>
      <c r="I40" s="251">
        <f t="shared" ref="I40:I42" si="20">+H40/$H$40</f>
        <v>1</v>
      </c>
      <c r="J40" s="126">
        <f>AVERAGE(C40:G40)</f>
        <v>10904172.965279998</v>
      </c>
      <c r="L40" s="26"/>
      <c r="M40" s="27"/>
    </row>
    <row r="41" spans="2:13" x14ac:dyDescent="0.3">
      <c r="B41" s="111" t="str">
        <f>+B27</f>
        <v>Ponto de Saída Triunfo</v>
      </c>
      <c r="C41" s="249">
        <f>+C27*'C. Demanda'!$M$34</f>
        <v>10922078.011199998</v>
      </c>
      <c r="D41" s="249">
        <f>+D27*'C. Demanda'!$M$34</f>
        <v>10892236.267999999</v>
      </c>
      <c r="E41" s="249">
        <f>+E27*'C. Demanda'!$M$34</f>
        <v>10892236.267999999</v>
      </c>
      <c r="F41" s="249">
        <f>+F27*'C. Demanda'!$M$34</f>
        <v>10892236.267999999</v>
      </c>
      <c r="G41" s="249">
        <f>+G27*'C. Demanda'!$M$34</f>
        <v>10922078.011199998</v>
      </c>
      <c r="H41" s="250">
        <f>SUM(C41:G41)</f>
        <v>54520864.826399989</v>
      </c>
      <c r="I41" s="251">
        <f>+H41/$H$40</f>
        <v>1</v>
      </c>
      <c r="J41" s="126">
        <f t="shared" ref="J41:J42" si="21">AVERAGE(C41:G41)</f>
        <v>10904172.965279998</v>
      </c>
      <c r="L41" s="26"/>
      <c r="M41" s="27"/>
    </row>
    <row r="42" spans="2:13" x14ac:dyDescent="0.3">
      <c r="B42" s="111">
        <f>+B28</f>
        <v>0</v>
      </c>
      <c r="C42" s="249">
        <f>+C28*'C. Demanda'!$M$34</f>
        <v>0</v>
      </c>
      <c r="D42" s="249">
        <f>+D28*'C. Demanda'!$M$34</f>
        <v>0</v>
      </c>
      <c r="E42" s="249">
        <f>+E28*'C. Demanda'!$M$34</f>
        <v>0</v>
      </c>
      <c r="F42" s="249">
        <f>+F28*'C. Demanda'!$M$34</f>
        <v>0</v>
      </c>
      <c r="G42" s="249">
        <f>+G28*'C. Demanda'!$M$34</f>
        <v>0</v>
      </c>
      <c r="H42" s="250">
        <f t="shared" ref="H42" si="22">SUM(C42:G42)</f>
        <v>0</v>
      </c>
      <c r="I42" s="251">
        <f t="shared" si="20"/>
        <v>0</v>
      </c>
      <c r="J42" s="126">
        <f t="shared" si="21"/>
        <v>0</v>
      </c>
      <c r="L42" s="26"/>
      <c r="M42" s="27"/>
    </row>
    <row r="43" spans="2:13" x14ac:dyDescent="0.3">
      <c r="C43" s="52"/>
      <c r="D43" s="52"/>
      <c r="E43" s="52"/>
      <c r="F43" s="52"/>
      <c r="G43" s="52"/>
    </row>
    <row r="44" spans="2:13" x14ac:dyDescent="0.3">
      <c r="B44" s="11" t="s">
        <v>186</v>
      </c>
      <c r="C44" s="52"/>
      <c r="D44" s="52"/>
      <c r="E44" s="52"/>
      <c r="F44" s="52"/>
      <c r="G44" s="52"/>
    </row>
    <row r="45" spans="2:13" x14ac:dyDescent="0.3">
      <c r="B45" s="65"/>
      <c r="C45" s="113">
        <f>C$4</f>
        <v>2024</v>
      </c>
      <c r="D45" s="113">
        <f t="shared" ref="D45:G45" si="23">D$4</f>
        <v>2025</v>
      </c>
      <c r="E45" s="113">
        <f t="shared" si="23"/>
        <v>2026</v>
      </c>
      <c r="F45" s="113">
        <f t="shared" si="23"/>
        <v>2027</v>
      </c>
      <c r="G45" s="113">
        <f t="shared" si="23"/>
        <v>2028</v>
      </c>
      <c r="H45" s="64" t="s">
        <v>77</v>
      </c>
      <c r="I45" s="64" t="s">
        <v>13</v>
      </c>
      <c r="J45" s="64" t="s">
        <v>78</v>
      </c>
    </row>
    <row r="46" spans="2:13" x14ac:dyDescent="0.3">
      <c r="B46" s="4" t="s">
        <v>187</v>
      </c>
      <c r="C46" s="13">
        <f>Premissas!B58</f>
        <v>366</v>
      </c>
      <c r="D46" s="13">
        <f>Premissas!C58</f>
        <v>365</v>
      </c>
      <c r="E46" s="13">
        <f>Premissas!D58</f>
        <v>365</v>
      </c>
      <c r="F46" s="13">
        <f>Premissas!E58</f>
        <v>365</v>
      </c>
      <c r="G46" s="13">
        <f>Premissas!F58</f>
        <v>366</v>
      </c>
      <c r="H46" s="97">
        <f>SUM(C46:G46)</f>
        <v>1827</v>
      </c>
      <c r="I46" s="82"/>
      <c r="J46" s="109">
        <f>AVERAGE(C46:G46)</f>
        <v>365.4</v>
      </c>
    </row>
    <row r="47" spans="2:13" x14ac:dyDescent="0.3">
      <c r="C47" s="52"/>
      <c r="D47" s="52"/>
      <c r="E47" s="52"/>
      <c r="F47" s="52"/>
      <c r="G47" s="52"/>
    </row>
  </sheetData>
  <pageMargins left="0.23622047244094491" right="0.23622047244094491" top="0.74803149606299213" bottom="0.74803149606299213" header="0.31496062992125984" footer="0.31496062992125984"/>
  <pageSetup paperSize="9" scale="61" orientation="portrait" r:id="rId1"/>
  <headerFooter>
    <oddHeader>&amp;R&amp;"Calibri"&amp;14&amp;K0078D7NP-1&amp;1#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>
    <tabColor theme="4"/>
  </sheetPr>
  <dimension ref="A2:Y54"/>
  <sheetViews>
    <sheetView showGridLines="0" topLeftCell="B31" zoomScaleNormal="100" workbookViewId="0">
      <selection activeCell="B3" sqref="B3:G13"/>
    </sheetView>
  </sheetViews>
  <sheetFormatPr defaultColWidth="9.21875" defaultRowHeight="13.8" x14ac:dyDescent="0.3"/>
  <cols>
    <col min="1" max="1" width="14.77734375" style="25" customWidth="1"/>
    <col min="2" max="2" width="33" style="25" customWidth="1"/>
    <col min="3" max="10" width="12.77734375" style="25" customWidth="1"/>
    <col min="11" max="11" width="8.77734375" style="25" customWidth="1"/>
    <col min="12" max="12" width="15.21875" style="25" bestFit="1" customWidth="1"/>
    <col min="13" max="13" width="10.77734375" style="25" customWidth="1"/>
    <col min="14" max="14" width="35.77734375" style="25" customWidth="1"/>
    <col min="15" max="19" width="11.21875" style="25" bestFit="1" customWidth="1"/>
    <col min="20" max="20" width="15.5546875" style="25" customWidth="1"/>
    <col min="21" max="21" width="9.77734375" style="25" bestFit="1" customWidth="1"/>
    <col min="22" max="22" width="12" style="25" bestFit="1" customWidth="1"/>
    <col min="23" max="16384" width="9.21875" style="25"/>
  </cols>
  <sheetData>
    <row r="2" spans="2:25" x14ac:dyDescent="0.3">
      <c r="B2" s="11" t="s">
        <v>188</v>
      </c>
      <c r="N2" s="11" t="s">
        <v>189</v>
      </c>
    </row>
    <row r="3" spans="2:25" x14ac:dyDescent="0.3">
      <c r="B3" s="5" t="s">
        <v>190</v>
      </c>
      <c r="N3" s="5" t="s">
        <v>190</v>
      </c>
    </row>
    <row r="4" spans="2:25" x14ac:dyDescent="0.3">
      <c r="B4" s="247"/>
      <c r="C4" s="113">
        <f>'C. Capacidade'!C4</f>
        <v>2024</v>
      </c>
      <c r="D4" s="113">
        <f>'C. Capacidade'!D4</f>
        <v>2025</v>
      </c>
      <c r="E4" s="113">
        <f>'C. Capacidade'!E4</f>
        <v>2026</v>
      </c>
      <c r="F4" s="113">
        <f>'C. Capacidade'!F4</f>
        <v>2027</v>
      </c>
      <c r="G4" s="113">
        <f>'C. Capacidade'!G4</f>
        <v>2028</v>
      </c>
      <c r="H4" s="64" t="s">
        <v>77</v>
      </c>
      <c r="I4" s="64" t="s">
        <v>13</v>
      </c>
      <c r="J4" s="64" t="s">
        <v>78</v>
      </c>
      <c r="N4" s="247"/>
      <c r="O4" s="113">
        <f>C4</f>
        <v>2024</v>
      </c>
      <c r="P4" s="113">
        <f t="shared" ref="P4:S4" si="0">D4</f>
        <v>2025</v>
      </c>
      <c r="Q4" s="113">
        <f t="shared" si="0"/>
        <v>2026</v>
      </c>
      <c r="R4" s="113">
        <f t="shared" si="0"/>
        <v>2027</v>
      </c>
      <c r="S4" s="113">
        <f t="shared" si="0"/>
        <v>2028</v>
      </c>
      <c r="T4" s="64" t="s">
        <v>77</v>
      </c>
      <c r="U4" s="64" t="s">
        <v>13</v>
      </c>
      <c r="V4" s="64" t="s">
        <v>78</v>
      </c>
    </row>
    <row r="5" spans="2:25" x14ac:dyDescent="0.3">
      <c r="B5" s="110" t="s">
        <v>191</v>
      </c>
      <c r="C5" s="248">
        <f>SUM(C6:C8)</f>
        <v>800</v>
      </c>
      <c r="D5" s="248">
        <f t="shared" ref="D5:G5" si="1">SUM(D6:D8)</f>
        <v>800</v>
      </c>
      <c r="E5" s="248">
        <f t="shared" si="1"/>
        <v>800</v>
      </c>
      <c r="F5" s="248">
        <f t="shared" si="1"/>
        <v>800</v>
      </c>
      <c r="G5" s="248">
        <f t="shared" si="1"/>
        <v>800</v>
      </c>
      <c r="H5" s="250">
        <f>SUM(C5:G5)</f>
        <v>4000</v>
      </c>
      <c r="I5" s="251">
        <f>H5/H5</f>
        <v>1</v>
      </c>
      <c r="J5" s="126">
        <f>AVERAGE(C5:G5)</f>
        <v>800</v>
      </c>
      <c r="K5" s="27"/>
      <c r="L5" s="27"/>
      <c r="N5" s="110" t="s">
        <v>191</v>
      </c>
      <c r="O5" s="248">
        <f>O6+O7+O8</f>
        <v>800</v>
      </c>
      <c r="P5" s="248">
        <f t="shared" ref="P5:S5" si="2">P6+P7+P8</f>
        <v>800</v>
      </c>
      <c r="Q5" s="248">
        <f t="shared" si="2"/>
        <v>800</v>
      </c>
      <c r="R5" s="248">
        <f t="shared" si="2"/>
        <v>800</v>
      </c>
      <c r="S5" s="248">
        <f t="shared" si="2"/>
        <v>800</v>
      </c>
      <c r="T5" s="250">
        <f>SUM(O5:S5)</f>
        <v>4000</v>
      </c>
      <c r="U5" s="251">
        <f>T5/T5</f>
        <v>1</v>
      </c>
      <c r="V5" s="126">
        <f>AVERAGE(O5:S5)</f>
        <v>800</v>
      </c>
      <c r="W5" s="27"/>
      <c r="X5" s="27"/>
    </row>
    <row r="6" spans="2:25" x14ac:dyDescent="0.3">
      <c r="B6" s="111" t="s">
        <v>293</v>
      </c>
      <c r="C6" s="249">
        <f>+O6</f>
        <v>800</v>
      </c>
      <c r="D6" s="249">
        <f t="shared" ref="D6:D7" si="3">+P6</f>
        <v>800</v>
      </c>
      <c r="E6" s="249">
        <f t="shared" ref="E6:E7" si="4">+Q6</f>
        <v>800</v>
      </c>
      <c r="F6" s="249">
        <f t="shared" ref="F6:F7" si="5">+R6</f>
        <v>800</v>
      </c>
      <c r="G6" s="249">
        <f t="shared" ref="G6:G7" si="6">+S6</f>
        <v>800</v>
      </c>
      <c r="H6" s="250">
        <f>SUM(C6:G6)</f>
        <v>4000</v>
      </c>
      <c r="I6" s="251">
        <f>H6/H5</f>
        <v>1</v>
      </c>
      <c r="J6" s="126">
        <f>AVERAGE(C6:G6)</f>
        <v>800</v>
      </c>
      <c r="K6" s="54"/>
      <c r="L6" s="54"/>
      <c r="N6" s="378" t="str">
        <f t="shared" ref="N6:N7" si="7">+B6</f>
        <v>Recebimento de Canoas</v>
      </c>
      <c r="O6" s="405">
        <v>800</v>
      </c>
      <c r="P6" s="376">
        <f>O6</f>
        <v>800</v>
      </c>
      <c r="Q6" s="376">
        <f t="shared" ref="Q6:S6" si="8">P6</f>
        <v>800</v>
      </c>
      <c r="R6" s="376">
        <f t="shared" si="8"/>
        <v>800</v>
      </c>
      <c r="S6" s="376">
        <f t="shared" si="8"/>
        <v>800</v>
      </c>
      <c r="T6" s="250">
        <f>SUM(O6:S6)</f>
        <v>4000</v>
      </c>
      <c r="U6" s="251">
        <f>T6/T5</f>
        <v>1</v>
      </c>
      <c r="V6" s="126">
        <f>AVERAGE(O6:S6)</f>
        <v>800</v>
      </c>
      <c r="W6" s="54"/>
      <c r="X6" s="54"/>
    </row>
    <row r="7" spans="2:25" hidden="1" x14ac:dyDescent="0.3">
      <c r="B7" s="111"/>
      <c r="C7" s="249">
        <f t="shared" ref="C7" si="9">+O7</f>
        <v>0</v>
      </c>
      <c r="D7" s="249">
        <f t="shared" si="3"/>
        <v>0</v>
      </c>
      <c r="E7" s="249">
        <f t="shared" si="4"/>
        <v>0</v>
      </c>
      <c r="F7" s="249">
        <f t="shared" si="5"/>
        <v>0</v>
      </c>
      <c r="G7" s="249">
        <f t="shared" si="6"/>
        <v>0</v>
      </c>
      <c r="H7" s="250">
        <f>SUM(C7:G7)</f>
        <v>0</v>
      </c>
      <c r="I7" s="251">
        <f>H7/H5</f>
        <v>0</v>
      </c>
      <c r="J7" s="126">
        <f>AVERAGE(C7:G7)</f>
        <v>0</v>
      </c>
      <c r="K7" s="54"/>
      <c r="L7" s="54"/>
      <c r="N7" s="111">
        <f t="shared" si="7"/>
        <v>0</v>
      </c>
      <c r="O7" s="377"/>
      <c r="P7" s="377"/>
      <c r="Q7" s="377"/>
      <c r="R7" s="377"/>
      <c r="S7" s="377"/>
      <c r="T7" s="250">
        <f>SUM(O7:S7)</f>
        <v>0</v>
      </c>
      <c r="U7" s="251">
        <f>T7/T5</f>
        <v>0</v>
      </c>
      <c r="V7" s="126"/>
      <c r="W7" s="54"/>
      <c r="X7" s="54"/>
    </row>
    <row r="8" spans="2:25" hidden="1" x14ac:dyDescent="0.3">
      <c r="B8" s="111"/>
      <c r="C8" s="249">
        <f t="shared" ref="C8" si="10">+O8</f>
        <v>0</v>
      </c>
      <c r="D8" s="249">
        <f t="shared" ref="D8" si="11">+P8</f>
        <v>0</v>
      </c>
      <c r="E8" s="249">
        <f t="shared" ref="E8" si="12">+Q8</f>
        <v>0</v>
      </c>
      <c r="F8" s="249">
        <f t="shared" ref="F8" si="13">+R8</f>
        <v>0</v>
      </c>
      <c r="G8" s="249">
        <f t="shared" ref="G8" si="14">+S8</f>
        <v>0</v>
      </c>
      <c r="H8" s="250">
        <f>SUM(C8:G8)</f>
        <v>0</v>
      </c>
      <c r="I8" s="251">
        <f>H8/H5</f>
        <v>0</v>
      </c>
      <c r="J8" s="126">
        <f>AVERAGE(C8:G8)</f>
        <v>0</v>
      </c>
      <c r="K8" s="54"/>
      <c r="L8" s="54"/>
      <c r="N8" s="111">
        <f>+B8</f>
        <v>0</v>
      </c>
      <c r="O8" s="377"/>
      <c r="P8" s="377"/>
      <c r="Q8" s="377"/>
      <c r="R8" s="377"/>
      <c r="S8" s="377"/>
      <c r="T8" s="250">
        <f>SUM(O8:S8)</f>
        <v>0</v>
      </c>
      <c r="U8" s="251">
        <f>T8/T5</f>
        <v>0</v>
      </c>
      <c r="V8" s="126"/>
      <c r="W8" s="54"/>
      <c r="X8" s="54"/>
    </row>
    <row r="9" spans="2:25" x14ac:dyDescent="0.3">
      <c r="H9" s="31"/>
      <c r="I9" s="31"/>
      <c r="J9" s="31"/>
      <c r="Q9" s="95"/>
      <c r="R9" s="95"/>
      <c r="S9" s="95"/>
      <c r="T9" s="31"/>
      <c r="U9" s="31"/>
      <c r="V9" s="31"/>
    </row>
    <row r="10" spans="2:25" x14ac:dyDescent="0.3">
      <c r="B10" s="25" t="s">
        <v>192</v>
      </c>
      <c r="H10" s="31"/>
      <c r="I10" s="31"/>
      <c r="J10" s="31"/>
      <c r="N10" s="25" t="s">
        <v>192</v>
      </c>
      <c r="T10" s="31"/>
      <c r="U10" s="31"/>
      <c r="V10" s="31"/>
    </row>
    <row r="11" spans="2:25" x14ac:dyDescent="0.3">
      <c r="B11" s="247"/>
      <c r="C11" s="113">
        <f>O11</f>
        <v>2024</v>
      </c>
      <c r="D11" s="113">
        <f t="shared" ref="D11" si="15">P11</f>
        <v>2025</v>
      </c>
      <c r="E11" s="113">
        <f t="shared" ref="E11" si="16">Q11</f>
        <v>2026</v>
      </c>
      <c r="F11" s="113">
        <f t="shared" ref="F11" si="17">R11</f>
        <v>2027</v>
      </c>
      <c r="G11" s="113">
        <f t="shared" ref="G11" si="18">S11</f>
        <v>2028</v>
      </c>
      <c r="H11" s="64" t="s">
        <v>77</v>
      </c>
      <c r="I11" s="64" t="s">
        <v>13</v>
      </c>
      <c r="J11" s="64" t="s">
        <v>78</v>
      </c>
      <c r="N11" s="247"/>
      <c r="O11" s="113">
        <f>O4</f>
        <v>2024</v>
      </c>
      <c r="P11" s="113">
        <f t="shared" ref="P11:S11" si="19">P4</f>
        <v>2025</v>
      </c>
      <c r="Q11" s="113">
        <f t="shared" si="19"/>
        <v>2026</v>
      </c>
      <c r="R11" s="113">
        <f t="shared" si="19"/>
        <v>2027</v>
      </c>
      <c r="S11" s="113">
        <f t="shared" si="19"/>
        <v>2028</v>
      </c>
      <c r="T11" s="64" t="s">
        <v>77</v>
      </c>
      <c r="U11" s="64" t="s">
        <v>13</v>
      </c>
      <c r="V11" s="64" t="s">
        <v>78</v>
      </c>
    </row>
    <row r="12" spans="2:25" x14ac:dyDescent="0.3">
      <c r="B12" s="110" t="s">
        <v>193</v>
      </c>
      <c r="C12" s="248">
        <f>SUM(C13:C14)</f>
        <v>800</v>
      </c>
      <c r="D12" s="248">
        <f>SUM(D13:D14)</f>
        <v>800</v>
      </c>
      <c r="E12" s="248">
        <f>SUM(E13:E14)</f>
        <v>800</v>
      </c>
      <c r="F12" s="248">
        <f>SUM(F13:F14)</f>
        <v>800</v>
      </c>
      <c r="G12" s="248">
        <f>SUM(G13:G14)</f>
        <v>800</v>
      </c>
      <c r="H12" s="250">
        <f t="shared" ref="H12" si="20">SUM(C12:G12)</f>
        <v>4000</v>
      </c>
      <c r="I12" s="251">
        <f t="shared" ref="I12" si="21">+H12/$H$12</f>
        <v>1</v>
      </c>
      <c r="J12" s="126">
        <f t="shared" ref="J12" si="22">AVERAGE(C12:G12)</f>
        <v>800</v>
      </c>
      <c r="N12" s="110" t="s">
        <v>193</v>
      </c>
      <c r="O12" s="248">
        <f>SUM(O13:O14)</f>
        <v>800</v>
      </c>
      <c r="P12" s="248">
        <f>SUM(P13:P14)</f>
        <v>800</v>
      </c>
      <c r="Q12" s="248">
        <f>SUM(Q13:Q14)</f>
        <v>800</v>
      </c>
      <c r="R12" s="248">
        <f>SUM(R13:R14)</f>
        <v>800</v>
      </c>
      <c r="S12" s="248">
        <f>SUM(S13:S14)</f>
        <v>800</v>
      </c>
      <c r="T12" s="250">
        <f>SUM(O12:S12)</f>
        <v>4000</v>
      </c>
      <c r="U12" s="251">
        <f t="shared" ref="U12" si="23">+T12/$H$12</f>
        <v>1</v>
      </c>
      <c r="V12" s="126">
        <f>AVERAGE(O12:S12)</f>
        <v>800</v>
      </c>
    </row>
    <row r="13" spans="2:25" x14ac:dyDescent="0.3">
      <c r="B13" s="111" t="s">
        <v>326</v>
      </c>
      <c r="C13" s="249">
        <f t="shared" ref="C13:C14" si="24">+O13</f>
        <v>800</v>
      </c>
      <c r="D13" s="249">
        <f t="shared" ref="D13:D14" si="25">+P13</f>
        <v>800</v>
      </c>
      <c r="E13" s="249">
        <f t="shared" ref="E13:E14" si="26">+Q13</f>
        <v>800</v>
      </c>
      <c r="F13" s="249">
        <f t="shared" ref="F13:F14" si="27">+R13</f>
        <v>800</v>
      </c>
      <c r="G13" s="249">
        <f t="shared" ref="G13:G14" si="28">+S13</f>
        <v>800</v>
      </c>
      <c r="H13" s="250">
        <f t="shared" ref="H13" si="29">SUM(C13:G13)</f>
        <v>4000</v>
      </c>
      <c r="I13" s="251">
        <f t="shared" ref="I13" si="30">+H13/$H$12</f>
        <v>1</v>
      </c>
      <c r="J13" s="126">
        <f t="shared" ref="J13:J14" si="31">AVERAGE(C13:G13)</f>
        <v>800</v>
      </c>
      <c r="N13" s="378" t="str">
        <f t="shared" ref="N13" si="32">+B13</f>
        <v>Ponto de Saída Triunfo</v>
      </c>
      <c r="O13" s="405">
        <v>800</v>
      </c>
      <c r="P13" s="376">
        <f>O13</f>
        <v>800</v>
      </c>
      <c r="Q13" s="376">
        <f t="shared" ref="Q13:S13" si="33">P13</f>
        <v>800</v>
      </c>
      <c r="R13" s="376">
        <f t="shared" si="33"/>
        <v>800</v>
      </c>
      <c r="S13" s="376">
        <f t="shared" si="33"/>
        <v>800</v>
      </c>
      <c r="T13" s="250">
        <f t="shared" ref="T13" si="34">SUM(O13:S13)</f>
        <v>4000</v>
      </c>
      <c r="U13" s="251">
        <f t="shared" ref="U13" si="35">+T13/$T$12</f>
        <v>1</v>
      </c>
      <c r="V13" s="126">
        <f t="shared" ref="V13" si="36">AVERAGE(O13:S13)</f>
        <v>800</v>
      </c>
      <c r="Y13" s="26"/>
    </row>
    <row r="14" spans="2:25" hidden="1" x14ac:dyDescent="0.3">
      <c r="B14" s="111"/>
      <c r="C14" s="249">
        <f t="shared" si="24"/>
        <v>0</v>
      </c>
      <c r="D14" s="249">
        <f t="shared" si="25"/>
        <v>0</v>
      </c>
      <c r="E14" s="249">
        <f t="shared" si="26"/>
        <v>0</v>
      </c>
      <c r="F14" s="249">
        <f t="shared" si="27"/>
        <v>0</v>
      </c>
      <c r="G14" s="249">
        <f t="shared" si="28"/>
        <v>0</v>
      </c>
      <c r="H14" s="250">
        <f>SUM(C14:G14)</f>
        <v>0</v>
      </c>
      <c r="I14" s="251">
        <f>+H14/$H$12</f>
        <v>0</v>
      </c>
      <c r="J14" s="126">
        <f t="shared" si="31"/>
        <v>0</v>
      </c>
      <c r="N14" s="111">
        <f>+B14</f>
        <v>0</v>
      </c>
      <c r="O14" s="360"/>
      <c r="P14" s="360"/>
      <c r="Q14" s="360"/>
      <c r="R14" s="360"/>
      <c r="S14" s="360"/>
      <c r="T14" s="250">
        <f>SUM(O14:S14)</f>
        <v>0</v>
      </c>
      <c r="U14" s="251">
        <f>+T14/$T$12</f>
        <v>0</v>
      </c>
      <c r="V14" s="126"/>
      <c r="Y14" s="26"/>
    </row>
    <row r="15" spans="2:25" x14ac:dyDescent="0.3">
      <c r="C15" s="6"/>
      <c r="D15" s="6"/>
      <c r="E15" s="6"/>
      <c r="F15" s="6"/>
      <c r="G15" s="6"/>
      <c r="H15" s="95"/>
      <c r="I15" s="96"/>
      <c r="J15" s="322"/>
      <c r="T15" s="95"/>
      <c r="U15" s="96"/>
      <c r="V15" s="322"/>
      <c r="Y15" s="26"/>
    </row>
    <row r="16" spans="2:25" x14ac:dyDescent="0.3">
      <c r="B16" s="11" t="s">
        <v>188</v>
      </c>
      <c r="N16" s="11" t="s">
        <v>188</v>
      </c>
    </row>
    <row r="17" spans="1:25" ht="15" x14ac:dyDescent="0.35">
      <c r="B17" s="31" t="s">
        <v>194</v>
      </c>
      <c r="N17" s="31" t="s">
        <v>194</v>
      </c>
    </row>
    <row r="18" spans="1:25" x14ac:dyDescent="0.3">
      <c r="B18" s="247"/>
      <c r="C18" s="113">
        <f>O18</f>
        <v>2024</v>
      </c>
      <c r="D18" s="113">
        <f t="shared" ref="D18" si="37">P18</f>
        <v>2025</v>
      </c>
      <c r="E18" s="113">
        <f t="shared" ref="E18" si="38">Q18</f>
        <v>2026</v>
      </c>
      <c r="F18" s="113">
        <f t="shared" ref="F18" si="39">R18</f>
        <v>2027</v>
      </c>
      <c r="G18" s="113">
        <f t="shared" ref="G18" si="40">S18</f>
        <v>2028</v>
      </c>
      <c r="H18" s="64" t="s">
        <v>77</v>
      </c>
      <c r="I18" s="64" t="s">
        <v>13</v>
      </c>
      <c r="J18" s="64" t="s">
        <v>78</v>
      </c>
      <c r="N18" s="247"/>
      <c r="O18" s="113">
        <f>O4</f>
        <v>2024</v>
      </c>
      <c r="P18" s="113">
        <f>P4</f>
        <v>2025</v>
      </c>
      <c r="Q18" s="113">
        <f>Q4</f>
        <v>2026</v>
      </c>
      <c r="R18" s="113">
        <f>R4</f>
        <v>2027</v>
      </c>
      <c r="S18" s="113">
        <f>S4</f>
        <v>2028</v>
      </c>
      <c r="T18" s="64" t="s">
        <v>77</v>
      </c>
      <c r="U18" s="64" t="s">
        <v>13</v>
      </c>
      <c r="V18" s="64" t="s">
        <v>78</v>
      </c>
    </row>
    <row r="19" spans="1:25" x14ac:dyDescent="0.3">
      <c r="B19" s="110" t="s">
        <v>195</v>
      </c>
      <c r="C19" s="248">
        <f>SUM(C20:C22)</f>
        <v>292800</v>
      </c>
      <c r="D19" s="248">
        <f t="shared" ref="D19:G19" si="41">SUM(D20:D22)</f>
        <v>292000</v>
      </c>
      <c r="E19" s="248">
        <f t="shared" si="41"/>
        <v>292000</v>
      </c>
      <c r="F19" s="248">
        <f t="shared" si="41"/>
        <v>292000</v>
      </c>
      <c r="G19" s="248">
        <f t="shared" si="41"/>
        <v>292800</v>
      </c>
      <c r="H19" s="250">
        <f>SUM(C19:G19)</f>
        <v>1461600</v>
      </c>
      <c r="I19" s="251">
        <f>H19/H19</f>
        <v>1</v>
      </c>
      <c r="J19" s="126">
        <f>AVERAGE(C19:G19)</f>
        <v>292320</v>
      </c>
      <c r="N19" s="110" t="s">
        <v>195</v>
      </c>
      <c r="O19" s="248">
        <f>SUM(O20:O22)</f>
        <v>292800</v>
      </c>
      <c r="P19" s="248">
        <f t="shared" ref="P19:S19" si="42">SUM(P20:P22)</f>
        <v>292000</v>
      </c>
      <c r="Q19" s="248">
        <f t="shared" si="42"/>
        <v>292000</v>
      </c>
      <c r="R19" s="248">
        <f t="shared" si="42"/>
        <v>292000</v>
      </c>
      <c r="S19" s="248">
        <f t="shared" si="42"/>
        <v>292800</v>
      </c>
      <c r="T19" s="250">
        <f>SUM(O19:S19)</f>
        <v>1461600</v>
      </c>
      <c r="U19" s="251">
        <f>T19/T19</f>
        <v>1</v>
      </c>
      <c r="V19" s="126">
        <f>AVERAGE(O19:S19)</f>
        <v>292320</v>
      </c>
    </row>
    <row r="20" spans="1:25" x14ac:dyDescent="0.3">
      <c r="B20" s="111" t="str">
        <f>+B6</f>
        <v>Recebimento de Canoas</v>
      </c>
      <c r="C20" s="249">
        <f>'C. Demanda'!C6*C$46</f>
        <v>292800</v>
      </c>
      <c r="D20" s="249">
        <f>'C. Demanda'!D6*D$46</f>
        <v>292000</v>
      </c>
      <c r="E20" s="249">
        <f>'C. Demanda'!E6*E$46</f>
        <v>292000</v>
      </c>
      <c r="F20" s="249">
        <f>'C. Demanda'!F6*F$46</f>
        <v>292000</v>
      </c>
      <c r="G20" s="249">
        <f>'C. Demanda'!G6*G$46</f>
        <v>292800</v>
      </c>
      <c r="H20" s="250">
        <f>SUM(C20:G20)</f>
        <v>1461600</v>
      </c>
      <c r="I20" s="251">
        <f>H20/H19</f>
        <v>1</v>
      </c>
      <c r="J20" s="126">
        <f>AVERAGE(C20:G20)</f>
        <v>292320</v>
      </c>
      <c r="K20" s="54"/>
      <c r="N20" s="111" t="str">
        <f>+N6</f>
        <v>Recebimento de Canoas</v>
      </c>
      <c r="O20" s="249">
        <f>'C. Demanda'!O6*O$46</f>
        <v>292800</v>
      </c>
      <c r="P20" s="249">
        <f>'C. Demanda'!P6*P$46</f>
        <v>292000</v>
      </c>
      <c r="Q20" s="249">
        <f>'C. Demanda'!Q6*Q$46</f>
        <v>292000</v>
      </c>
      <c r="R20" s="249">
        <f>'C. Demanda'!R6*R$46</f>
        <v>292000</v>
      </c>
      <c r="S20" s="249">
        <f>'C. Demanda'!S6*S$46</f>
        <v>292800</v>
      </c>
      <c r="T20" s="250">
        <f>SUM(O20:S20)</f>
        <v>1461600</v>
      </c>
      <c r="U20" s="251">
        <f>T20/T19</f>
        <v>1</v>
      </c>
      <c r="V20" s="126">
        <f>AVERAGE(O20:S20)</f>
        <v>292320</v>
      </c>
      <c r="W20" s="54"/>
    </row>
    <row r="21" spans="1:25" x14ac:dyDescent="0.3">
      <c r="B21" s="111">
        <f>+B7</f>
        <v>0</v>
      </c>
      <c r="C21" s="249">
        <f>'C. Demanda'!C7*C$46</f>
        <v>0</v>
      </c>
      <c r="D21" s="249">
        <f>'C. Demanda'!D7*D$46</f>
        <v>0</v>
      </c>
      <c r="E21" s="249">
        <f>'C. Demanda'!E7*E$46</f>
        <v>0</v>
      </c>
      <c r="F21" s="249">
        <f>'C. Demanda'!F7*F$46</f>
        <v>0</v>
      </c>
      <c r="G21" s="249">
        <f>'C. Demanda'!G7*G$46</f>
        <v>0</v>
      </c>
      <c r="H21" s="250">
        <f>SUM(C21:G21)</f>
        <v>0</v>
      </c>
      <c r="I21" s="251">
        <f>H21/H19</f>
        <v>0</v>
      </c>
      <c r="J21" s="126">
        <f>AVERAGE(C21:G21)</f>
        <v>0</v>
      </c>
      <c r="K21" s="54"/>
      <c r="N21" s="111">
        <f>+N7</f>
        <v>0</v>
      </c>
      <c r="O21" s="249">
        <f>'C. Demanda'!O7*O$46</f>
        <v>0</v>
      </c>
      <c r="P21" s="249">
        <f>'C. Demanda'!P7*P$46</f>
        <v>0</v>
      </c>
      <c r="Q21" s="249">
        <f>'C. Demanda'!Q7*Q$46</f>
        <v>0</v>
      </c>
      <c r="R21" s="249">
        <f>'C. Demanda'!R7*R$46</f>
        <v>0</v>
      </c>
      <c r="S21" s="249">
        <f>'C. Demanda'!S7*S$46</f>
        <v>0</v>
      </c>
      <c r="T21" s="250">
        <f>SUM(O21:S21)</f>
        <v>0</v>
      </c>
      <c r="U21" s="251">
        <f>T21/T19</f>
        <v>0</v>
      </c>
      <c r="V21" s="126">
        <f>AVERAGE(O21:S21)</f>
        <v>0</v>
      </c>
      <c r="W21" s="54"/>
    </row>
    <row r="22" spans="1:25" x14ac:dyDescent="0.3">
      <c r="B22" s="111">
        <f>+B8</f>
        <v>0</v>
      </c>
      <c r="C22" s="249">
        <f>'C. Demanda'!C8*C$46</f>
        <v>0</v>
      </c>
      <c r="D22" s="249">
        <f>'C. Demanda'!D8*D$46</f>
        <v>0</v>
      </c>
      <c r="E22" s="249">
        <f>'C. Demanda'!E8*E$46</f>
        <v>0</v>
      </c>
      <c r="F22" s="249">
        <f>'C. Demanda'!F8*F$46</f>
        <v>0</v>
      </c>
      <c r="G22" s="249">
        <f>'C. Demanda'!G8*G$46</f>
        <v>0</v>
      </c>
      <c r="H22" s="250">
        <f>SUM(C22:G22)</f>
        <v>0</v>
      </c>
      <c r="I22" s="251">
        <f>H22/H19</f>
        <v>0</v>
      </c>
      <c r="J22" s="126">
        <f>AVERAGE(C22:G22)</f>
        <v>0</v>
      </c>
      <c r="K22" s="54"/>
      <c r="L22" s="54"/>
      <c r="N22" s="111">
        <f>+N8</f>
        <v>0</v>
      </c>
      <c r="O22" s="249">
        <f>'C. Demanda'!O8*O$46</f>
        <v>0</v>
      </c>
      <c r="P22" s="249">
        <f>'C. Demanda'!P8*P$46</f>
        <v>0</v>
      </c>
      <c r="Q22" s="249">
        <f>'C. Demanda'!Q8*Q$46</f>
        <v>0</v>
      </c>
      <c r="R22" s="249">
        <f>'C. Demanda'!R8*R$46</f>
        <v>0</v>
      </c>
      <c r="S22" s="249">
        <f>'C. Demanda'!S8*S$46</f>
        <v>0</v>
      </c>
      <c r="T22" s="250">
        <f>SUM(O22:S22)</f>
        <v>0</v>
      </c>
      <c r="U22" s="251">
        <f>T22/T19</f>
        <v>0</v>
      </c>
      <c r="V22" s="126">
        <f>AVERAGE(O22:S22)</f>
        <v>0</v>
      </c>
      <c r="W22" s="54"/>
      <c r="X22" s="54"/>
    </row>
    <row r="23" spans="1:25" x14ac:dyDescent="0.3">
      <c r="B23" s="31"/>
      <c r="C23" s="31"/>
      <c r="D23" s="31"/>
      <c r="E23" s="31"/>
      <c r="F23" s="31"/>
      <c r="G23" s="31"/>
      <c r="H23" s="31"/>
      <c r="I23" s="31"/>
      <c r="J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1:25" ht="15" x14ac:dyDescent="0.35">
      <c r="B24" s="31" t="s">
        <v>196</v>
      </c>
      <c r="C24" s="31"/>
      <c r="D24" s="31"/>
      <c r="E24" s="31"/>
      <c r="F24" s="31"/>
      <c r="G24" s="31"/>
      <c r="H24" s="31"/>
      <c r="I24" s="31"/>
      <c r="J24" s="31"/>
      <c r="N24" s="31" t="s">
        <v>196</v>
      </c>
      <c r="O24" s="31"/>
      <c r="P24" s="31"/>
      <c r="Q24" s="31"/>
      <c r="R24" s="31"/>
      <c r="S24" s="31"/>
      <c r="T24" s="31"/>
      <c r="U24" s="31"/>
      <c r="V24" s="31"/>
    </row>
    <row r="25" spans="1:25" x14ac:dyDescent="0.3">
      <c r="B25" s="247"/>
      <c r="C25" s="113">
        <f>O25</f>
        <v>2024</v>
      </c>
      <c r="D25" s="113">
        <f t="shared" ref="D25" si="43">P25</f>
        <v>2025</v>
      </c>
      <c r="E25" s="113">
        <f t="shared" ref="E25" si="44">Q25</f>
        <v>2026</v>
      </c>
      <c r="F25" s="113">
        <f t="shared" ref="F25" si="45">R25</f>
        <v>2027</v>
      </c>
      <c r="G25" s="113">
        <f t="shared" ref="G25" si="46">S25</f>
        <v>2028</v>
      </c>
      <c r="H25" s="64" t="s">
        <v>77</v>
      </c>
      <c r="I25" s="64" t="s">
        <v>13</v>
      </c>
      <c r="J25" s="64" t="s">
        <v>78</v>
      </c>
      <c r="N25" s="247"/>
      <c r="O25" s="113">
        <f>O18</f>
        <v>2024</v>
      </c>
      <c r="P25" s="113">
        <f t="shared" ref="P25:S25" si="47">P18</f>
        <v>2025</v>
      </c>
      <c r="Q25" s="113">
        <f t="shared" si="47"/>
        <v>2026</v>
      </c>
      <c r="R25" s="113">
        <f t="shared" si="47"/>
        <v>2027</v>
      </c>
      <c r="S25" s="113">
        <f t="shared" si="47"/>
        <v>2028</v>
      </c>
      <c r="T25" s="64" t="s">
        <v>77</v>
      </c>
      <c r="U25" s="64" t="s">
        <v>13</v>
      </c>
      <c r="V25" s="64" t="s">
        <v>78</v>
      </c>
    </row>
    <row r="26" spans="1:25" x14ac:dyDescent="0.3">
      <c r="B26" s="110" t="s">
        <v>197</v>
      </c>
      <c r="C26" s="248">
        <f>SUM(C27:C28)</f>
        <v>292800</v>
      </c>
      <c r="D26" s="248">
        <f>SUM(D27:D28)</f>
        <v>292000</v>
      </c>
      <c r="E26" s="248">
        <f>SUM(E27:E28)</f>
        <v>292000</v>
      </c>
      <c r="F26" s="248">
        <f>SUM(F27:F28)</f>
        <v>292000</v>
      </c>
      <c r="G26" s="248">
        <f>SUM(G27:G28)</f>
        <v>292800</v>
      </c>
      <c r="H26" s="250">
        <f t="shared" ref="H26:H28" si="48">SUM(C26:G26)</f>
        <v>1461600</v>
      </c>
      <c r="I26" s="251">
        <f t="shared" ref="I26:I27" si="49">+H26/$H$26</f>
        <v>1</v>
      </c>
      <c r="J26" s="126">
        <f t="shared" ref="J26:J28" si="50">AVERAGE(C26:G26)</f>
        <v>292320</v>
      </c>
      <c r="N26" s="110" t="s">
        <v>197</v>
      </c>
      <c r="O26" s="248">
        <f>SUM(O27:O28)</f>
        <v>292800</v>
      </c>
      <c r="P26" s="248">
        <f>SUM(P27:P28)</f>
        <v>292000</v>
      </c>
      <c r="Q26" s="248">
        <f>SUM(Q27:Q28)</f>
        <v>292000</v>
      </c>
      <c r="R26" s="248">
        <f>SUM(R27:R28)</f>
        <v>292000</v>
      </c>
      <c r="S26" s="248">
        <f>SUM(S27:S28)</f>
        <v>292800</v>
      </c>
      <c r="T26" s="250">
        <f t="shared" ref="T26" si="51">SUM(O26:S26)</f>
        <v>1461600</v>
      </c>
      <c r="U26" s="251">
        <f>+T26/$T$26</f>
        <v>1</v>
      </c>
      <c r="V26" s="126">
        <f t="shared" ref="V26" si="52">AVERAGE(O26:S26)</f>
        <v>292320</v>
      </c>
    </row>
    <row r="27" spans="1:25" x14ac:dyDescent="0.3">
      <c r="A27" s="326"/>
      <c r="B27" s="111" t="str">
        <f>+B13</f>
        <v>Ponto de Saída Triunfo</v>
      </c>
      <c r="C27" s="249">
        <f>'C. Demanda'!C13*C$46</f>
        <v>292800</v>
      </c>
      <c r="D27" s="249">
        <f>'C. Demanda'!D13*D$46</f>
        <v>292000</v>
      </c>
      <c r="E27" s="249">
        <f>'C. Demanda'!E13*E$46</f>
        <v>292000</v>
      </c>
      <c r="F27" s="249">
        <f>'C. Demanda'!F13*F$46</f>
        <v>292000</v>
      </c>
      <c r="G27" s="249">
        <f>'C. Demanda'!G13*G$46</f>
        <v>292800</v>
      </c>
      <c r="H27" s="250">
        <f t="shared" si="48"/>
        <v>1461600</v>
      </c>
      <c r="I27" s="251">
        <f t="shared" si="49"/>
        <v>1</v>
      </c>
      <c r="J27" s="126">
        <f t="shared" si="50"/>
        <v>292320</v>
      </c>
      <c r="K27" s="27"/>
      <c r="N27" s="111" t="str">
        <f>+N13</f>
        <v>Ponto de Saída Triunfo</v>
      </c>
      <c r="O27" s="249">
        <f>'C. Demanda'!O13*O$46</f>
        <v>292800</v>
      </c>
      <c r="P27" s="249">
        <f>'C. Demanda'!P13*P$46</f>
        <v>292000</v>
      </c>
      <c r="Q27" s="249">
        <f>'C. Demanda'!Q13*Q$46</f>
        <v>292000</v>
      </c>
      <c r="R27" s="249">
        <f>'C. Demanda'!R13*R$46</f>
        <v>292000</v>
      </c>
      <c r="S27" s="249">
        <f>'C. Demanda'!S13*S$46</f>
        <v>292800</v>
      </c>
      <c r="T27" s="250">
        <f t="shared" ref="T27" si="53">SUM(O27:S27)</f>
        <v>1461600</v>
      </c>
      <c r="U27" s="251">
        <f t="shared" ref="U27" si="54">+T27/$T$26</f>
        <v>1</v>
      </c>
      <c r="V27" s="126">
        <f t="shared" ref="V27:V28" si="55">AVERAGE(O27:S27)</f>
        <v>292320</v>
      </c>
    </row>
    <row r="28" spans="1:25" x14ac:dyDescent="0.3">
      <c r="A28" s="326"/>
      <c r="B28" s="111">
        <f>+B14</f>
        <v>0</v>
      </c>
      <c r="C28" s="249">
        <f>'C. Demanda'!C14*C$46</f>
        <v>0</v>
      </c>
      <c r="D28" s="249">
        <f>'C. Demanda'!D14*D$46</f>
        <v>0</v>
      </c>
      <c r="E28" s="249">
        <f>'C. Demanda'!E14*E$46</f>
        <v>0</v>
      </c>
      <c r="F28" s="249">
        <f>'C. Demanda'!F14*F$46</f>
        <v>0</v>
      </c>
      <c r="G28" s="249">
        <f>'C. Demanda'!G14*G$46</f>
        <v>0</v>
      </c>
      <c r="H28" s="250">
        <f t="shared" si="48"/>
        <v>0</v>
      </c>
      <c r="I28" s="251">
        <f>+H28/$H$26</f>
        <v>0</v>
      </c>
      <c r="J28" s="126">
        <f t="shared" si="50"/>
        <v>0</v>
      </c>
      <c r="K28" s="27"/>
      <c r="N28" s="111">
        <f>+N14</f>
        <v>0</v>
      </c>
      <c r="O28" s="249">
        <f>'C. Demanda'!O14*O$46</f>
        <v>0</v>
      </c>
      <c r="P28" s="249">
        <f>'C. Demanda'!P14*P$46</f>
        <v>0</v>
      </c>
      <c r="Q28" s="249">
        <f>'C. Demanda'!Q14*Q$46</f>
        <v>0</v>
      </c>
      <c r="R28" s="249">
        <f>'C. Demanda'!R14*R$46</f>
        <v>0</v>
      </c>
      <c r="S28" s="249">
        <f>'C. Demanda'!S14*S$46</f>
        <v>0</v>
      </c>
      <c r="T28" s="250">
        <f>SUM(O28:S28)</f>
        <v>0</v>
      </c>
      <c r="U28" s="251">
        <f>+T28/$T$26</f>
        <v>0</v>
      </c>
      <c r="V28" s="126">
        <f t="shared" si="55"/>
        <v>0</v>
      </c>
    </row>
    <row r="29" spans="1:25" x14ac:dyDescent="0.3">
      <c r="A29" s="327"/>
      <c r="C29" s="52">
        <f>(C19-C26)/'Cálculo Encargos ECE, ECT e ECS'!C5</f>
        <v>0</v>
      </c>
      <c r="D29" s="52">
        <f>(D19-D26)/'Cálculo Encargos ECE, ECT e ECS'!D5</f>
        <v>0</v>
      </c>
      <c r="E29" s="52">
        <f>(E19-E26)/'Cálculo Encargos ECE, ECT e ECS'!E5</f>
        <v>0</v>
      </c>
      <c r="F29" s="52">
        <f>(F19-F26)/'Cálculo Encargos ECE, ECT e ECS'!F5</f>
        <v>0</v>
      </c>
      <c r="G29" s="52">
        <f>(G19-G26)/'Cálculo Encargos ECE, ECT e ECS'!G5</f>
        <v>0</v>
      </c>
      <c r="K29" s="27"/>
      <c r="O29" s="52"/>
      <c r="P29" s="52"/>
      <c r="Q29" s="52"/>
      <c r="R29" s="52"/>
      <c r="S29" s="52"/>
    </row>
    <row r="30" spans="1:25" ht="14.4" thickBot="1" x14ac:dyDescent="0.35">
      <c r="A30" s="326"/>
      <c r="B30" s="11" t="s">
        <v>188</v>
      </c>
      <c r="K30" s="27"/>
      <c r="N30" s="11" t="s">
        <v>188</v>
      </c>
    </row>
    <row r="31" spans="1:25" ht="15" x14ac:dyDescent="0.35">
      <c r="A31" s="326"/>
      <c r="B31" s="31" t="s">
        <v>194</v>
      </c>
      <c r="K31" s="27"/>
      <c r="L31" s="88" t="s">
        <v>181</v>
      </c>
      <c r="M31" s="89"/>
      <c r="N31" s="31" t="s">
        <v>194</v>
      </c>
      <c r="X31" s="88" t="s">
        <v>181</v>
      </c>
      <c r="Y31" s="89"/>
    </row>
    <row r="32" spans="1:25" x14ac:dyDescent="0.3">
      <c r="A32" s="326"/>
      <c r="B32" s="247"/>
      <c r="C32" s="113">
        <f>O32</f>
        <v>2024</v>
      </c>
      <c r="D32" s="113">
        <f t="shared" ref="D32" si="56">P32</f>
        <v>2025</v>
      </c>
      <c r="E32" s="113">
        <f t="shared" ref="E32" si="57">Q32</f>
        <v>2026</v>
      </c>
      <c r="F32" s="113">
        <f t="shared" ref="F32" si="58">R32</f>
        <v>2027</v>
      </c>
      <c r="G32" s="113">
        <f t="shared" ref="G32" si="59">S32</f>
        <v>2028</v>
      </c>
      <c r="H32" s="64" t="s">
        <v>77</v>
      </c>
      <c r="I32" s="64" t="s">
        <v>13</v>
      </c>
      <c r="J32" s="64" t="s">
        <v>78</v>
      </c>
      <c r="K32" s="27"/>
      <c r="L32" s="90" t="s">
        <v>182</v>
      </c>
      <c r="M32" s="91"/>
      <c r="N32" s="247"/>
      <c r="O32" s="113">
        <f>O25</f>
        <v>2024</v>
      </c>
      <c r="P32" s="113">
        <f>P25</f>
        <v>2025</v>
      </c>
      <c r="Q32" s="113">
        <f>Q25</f>
        <v>2026</v>
      </c>
      <c r="R32" s="113">
        <f>R25</f>
        <v>2027</v>
      </c>
      <c r="S32" s="113">
        <f>S25</f>
        <v>2028</v>
      </c>
      <c r="T32" s="64" t="s">
        <v>77</v>
      </c>
      <c r="U32" s="64" t="s">
        <v>13</v>
      </c>
      <c r="V32" s="64" t="s">
        <v>78</v>
      </c>
      <c r="X32" s="90" t="s">
        <v>182</v>
      </c>
      <c r="Y32" s="91"/>
    </row>
    <row r="33" spans="1:25" x14ac:dyDescent="0.3">
      <c r="A33" s="326"/>
      <c r="B33" s="110" t="s">
        <v>198</v>
      </c>
      <c r="C33" s="248">
        <f>SUM(C34:C36)</f>
        <v>10922078.011199998</v>
      </c>
      <c r="D33" s="248">
        <f t="shared" ref="D33:G33" si="60">SUM(D34:D36)</f>
        <v>10892236.267999999</v>
      </c>
      <c r="E33" s="248">
        <f t="shared" si="60"/>
        <v>10892236.267999999</v>
      </c>
      <c r="F33" s="248">
        <f t="shared" si="60"/>
        <v>10892236.267999999</v>
      </c>
      <c r="G33" s="248">
        <f t="shared" si="60"/>
        <v>10922078.011199998</v>
      </c>
      <c r="H33" s="250">
        <f>SUM(C33:G33)</f>
        <v>54520864.826399989</v>
      </c>
      <c r="I33" s="251">
        <f>H33/H33</f>
        <v>1</v>
      </c>
      <c r="J33" s="126">
        <f>AVERAGE(C33:G33)</f>
        <v>10904172.965279998</v>
      </c>
      <c r="K33" s="27"/>
      <c r="L33" s="90" t="s">
        <v>183</v>
      </c>
      <c r="M33" s="91">
        <f>1/26.8</f>
        <v>3.7313432835820892E-2</v>
      </c>
      <c r="N33" s="110" t="s">
        <v>198</v>
      </c>
      <c r="O33" s="248">
        <f>SUM(O34:O36)</f>
        <v>10922078.011199998</v>
      </c>
      <c r="P33" s="248">
        <f t="shared" ref="P33:S33" si="61">SUM(P34:P36)</f>
        <v>10892236.267999999</v>
      </c>
      <c r="Q33" s="248">
        <f t="shared" si="61"/>
        <v>10892236.267999999</v>
      </c>
      <c r="R33" s="248">
        <f t="shared" si="61"/>
        <v>10892236.267999999</v>
      </c>
      <c r="S33" s="248">
        <f t="shared" si="61"/>
        <v>10922078.011199998</v>
      </c>
      <c r="T33" s="250">
        <f>SUM(O33:S33)</f>
        <v>54520864.826399989</v>
      </c>
      <c r="U33" s="251">
        <f>T33/T33</f>
        <v>1</v>
      </c>
      <c r="V33" s="126">
        <f>AVERAGE(O33:S33)</f>
        <v>10904172.965279998</v>
      </c>
      <c r="X33" s="90" t="s">
        <v>183</v>
      </c>
      <c r="Y33" s="91">
        <f>1/26.8</f>
        <v>3.7313432835820892E-2</v>
      </c>
    </row>
    <row r="34" spans="1:25" x14ac:dyDescent="0.3">
      <c r="A34" s="326"/>
      <c r="B34" s="111" t="str">
        <f>+B20</f>
        <v>Recebimento de Canoas</v>
      </c>
      <c r="C34" s="249">
        <f>+C20*$M$34</f>
        <v>10922078.011199998</v>
      </c>
      <c r="D34" s="249">
        <f t="shared" ref="C34:G36" si="62">+D20*$M$34</f>
        <v>10892236.267999999</v>
      </c>
      <c r="E34" s="249">
        <f t="shared" si="62"/>
        <v>10892236.267999999</v>
      </c>
      <c r="F34" s="249">
        <f t="shared" si="62"/>
        <v>10892236.267999999</v>
      </c>
      <c r="G34" s="249">
        <f t="shared" si="62"/>
        <v>10922078.011199998</v>
      </c>
      <c r="H34" s="250">
        <f>SUM(C34:G34)</f>
        <v>54520864.826399989</v>
      </c>
      <c r="I34" s="251">
        <f>H34/H33</f>
        <v>1</v>
      </c>
      <c r="J34" s="126">
        <f>AVERAGE(C34:G34)</f>
        <v>10904172.965279998</v>
      </c>
      <c r="K34" s="27"/>
      <c r="L34" s="124" t="s">
        <v>184</v>
      </c>
      <c r="M34" s="125">
        <f>Premissas!B56*1000</f>
        <v>37.302178999999995</v>
      </c>
      <c r="N34" s="111" t="str">
        <f>+N20</f>
        <v>Recebimento de Canoas</v>
      </c>
      <c r="O34" s="249">
        <f t="shared" ref="O34:S36" si="63">+O20*$M$34</f>
        <v>10922078.011199998</v>
      </c>
      <c r="P34" s="249">
        <f t="shared" si="63"/>
        <v>10892236.267999999</v>
      </c>
      <c r="Q34" s="249">
        <f t="shared" si="63"/>
        <v>10892236.267999999</v>
      </c>
      <c r="R34" s="249">
        <f t="shared" si="63"/>
        <v>10892236.267999999</v>
      </c>
      <c r="S34" s="249">
        <f t="shared" si="63"/>
        <v>10922078.011199998</v>
      </c>
      <c r="T34" s="250">
        <f>SUM(O34:S34)</f>
        <v>54520864.826399989</v>
      </c>
      <c r="U34" s="251">
        <f>T34/T33</f>
        <v>1</v>
      </c>
      <c r="V34" s="126">
        <f>AVERAGE(O34:S34)</f>
        <v>10904172.965279998</v>
      </c>
      <c r="X34" s="124" t="s">
        <v>184</v>
      </c>
      <c r="Y34" s="125" t="e">
        <f>Premissas!#REF!*1000</f>
        <v>#REF!</v>
      </c>
    </row>
    <row r="35" spans="1:25" ht="14.4" thickBot="1" x14ac:dyDescent="0.35">
      <c r="A35" s="326"/>
      <c r="B35" s="111">
        <f>+B21</f>
        <v>0</v>
      </c>
      <c r="C35" s="249">
        <f t="shared" si="62"/>
        <v>0</v>
      </c>
      <c r="D35" s="249">
        <f t="shared" si="62"/>
        <v>0</v>
      </c>
      <c r="E35" s="249">
        <f t="shared" si="62"/>
        <v>0</v>
      </c>
      <c r="F35" s="249">
        <f t="shared" si="62"/>
        <v>0</v>
      </c>
      <c r="G35" s="249">
        <f t="shared" si="62"/>
        <v>0</v>
      </c>
      <c r="H35" s="250">
        <f>SUM(C35:G35)</f>
        <v>0</v>
      </c>
      <c r="I35" s="251">
        <f>H35/H33</f>
        <v>0</v>
      </c>
      <c r="J35" s="126">
        <f>AVERAGE(C35:G35)</f>
        <v>0</v>
      </c>
      <c r="K35" s="27"/>
      <c r="L35" s="92" t="s">
        <v>185</v>
      </c>
      <c r="M35" s="93">
        <f>+M34*1000</f>
        <v>37302.178999999996</v>
      </c>
      <c r="N35" s="111">
        <f>+N21</f>
        <v>0</v>
      </c>
      <c r="O35" s="249">
        <f t="shared" si="63"/>
        <v>0</v>
      </c>
      <c r="P35" s="249">
        <f t="shared" si="63"/>
        <v>0</v>
      </c>
      <c r="Q35" s="249">
        <f t="shared" si="63"/>
        <v>0</v>
      </c>
      <c r="R35" s="249">
        <f t="shared" si="63"/>
        <v>0</v>
      </c>
      <c r="S35" s="249">
        <f t="shared" si="63"/>
        <v>0</v>
      </c>
      <c r="T35" s="250">
        <f>SUM(O35:S35)</f>
        <v>0</v>
      </c>
      <c r="U35" s="251">
        <f>T35/T33</f>
        <v>0</v>
      </c>
      <c r="V35" s="126">
        <f>AVERAGE(O35:S35)</f>
        <v>0</v>
      </c>
      <c r="X35" s="92" t="s">
        <v>185</v>
      </c>
      <c r="Y35" s="93" t="e">
        <f>+Y34*1000</f>
        <v>#REF!</v>
      </c>
    </row>
    <row r="36" spans="1:25" x14ac:dyDescent="0.3">
      <c r="A36" s="326"/>
      <c r="B36" s="111">
        <f>+B22</f>
        <v>0</v>
      </c>
      <c r="C36" s="249">
        <f t="shared" si="62"/>
        <v>0</v>
      </c>
      <c r="D36" s="249">
        <f t="shared" si="62"/>
        <v>0</v>
      </c>
      <c r="E36" s="249">
        <f t="shared" si="62"/>
        <v>0</v>
      </c>
      <c r="F36" s="249">
        <f t="shared" si="62"/>
        <v>0</v>
      </c>
      <c r="G36" s="249">
        <f t="shared" si="62"/>
        <v>0</v>
      </c>
      <c r="H36" s="250">
        <f>SUM(C36:G36)</f>
        <v>0</v>
      </c>
      <c r="I36" s="251">
        <f>H36/H33</f>
        <v>0</v>
      </c>
      <c r="J36" s="126">
        <f>AVERAGE(C36:G36)</f>
        <v>0</v>
      </c>
      <c r="K36" s="27"/>
      <c r="N36" s="111">
        <f>+N22</f>
        <v>0</v>
      </c>
      <c r="O36" s="249">
        <f t="shared" si="63"/>
        <v>0</v>
      </c>
      <c r="P36" s="249">
        <f t="shared" si="63"/>
        <v>0</v>
      </c>
      <c r="Q36" s="249">
        <f t="shared" si="63"/>
        <v>0</v>
      </c>
      <c r="R36" s="249">
        <f t="shared" si="63"/>
        <v>0</v>
      </c>
      <c r="S36" s="249">
        <f t="shared" si="63"/>
        <v>0</v>
      </c>
      <c r="T36" s="250">
        <f>SUM(O36:S36)</f>
        <v>0</v>
      </c>
      <c r="U36" s="251">
        <f>T36/T33</f>
        <v>0</v>
      </c>
      <c r="V36" s="126">
        <f>AVERAGE(O36:S36)</f>
        <v>0</v>
      </c>
    </row>
    <row r="37" spans="1:25" x14ac:dyDescent="0.3">
      <c r="A37" s="326"/>
      <c r="B37" s="31"/>
      <c r="C37" s="31"/>
      <c r="D37" s="31"/>
      <c r="E37" s="31"/>
      <c r="F37" s="31"/>
      <c r="G37" s="31"/>
      <c r="H37" s="31"/>
      <c r="I37" s="31"/>
      <c r="J37" s="31"/>
      <c r="K37" s="27"/>
      <c r="N37" s="31"/>
      <c r="O37" s="31"/>
      <c r="P37" s="31"/>
      <c r="Q37" s="31"/>
      <c r="R37" s="31"/>
      <c r="S37" s="31"/>
      <c r="T37" s="31"/>
      <c r="U37" s="31"/>
      <c r="V37" s="31"/>
    </row>
    <row r="38" spans="1:25" ht="15" x14ac:dyDescent="0.35">
      <c r="B38" s="31" t="s">
        <v>196</v>
      </c>
      <c r="C38" s="31"/>
      <c r="D38" s="31"/>
      <c r="E38" s="31"/>
      <c r="F38" s="31"/>
      <c r="G38" s="31"/>
      <c r="H38" s="31"/>
      <c r="I38" s="31"/>
      <c r="J38" s="31"/>
      <c r="N38" s="31" t="s">
        <v>196</v>
      </c>
      <c r="O38" s="31"/>
      <c r="P38" s="31"/>
      <c r="Q38" s="31"/>
      <c r="R38" s="31"/>
      <c r="S38" s="31"/>
      <c r="T38" s="31"/>
      <c r="U38" s="31"/>
      <c r="V38" s="31"/>
    </row>
    <row r="39" spans="1:25" x14ac:dyDescent="0.3">
      <c r="B39" s="247"/>
      <c r="C39" s="113">
        <f>O39</f>
        <v>2024</v>
      </c>
      <c r="D39" s="113">
        <f t="shared" ref="D39" si="64">P39</f>
        <v>2025</v>
      </c>
      <c r="E39" s="113">
        <f t="shared" ref="E39" si="65">Q39</f>
        <v>2026</v>
      </c>
      <c r="F39" s="113">
        <f t="shared" ref="F39" si="66">R39</f>
        <v>2027</v>
      </c>
      <c r="G39" s="113">
        <f t="shared" ref="G39" si="67">S39</f>
        <v>2028</v>
      </c>
      <c r="H39" s="64" t="s">
        <v>77</v>
      </c>
      <c r="I39" s="64" t="s">
        <v>13</v>
      </c>
      <c r="J39" s="64" t="s">
        <v>78</v>
      </c>
      <c r="N39" s="247"/>
      <c r="O39" s="113">
        <f>O32</f>
        <v>2024</v>
      </c>
      <c r="P39" s="113">
        <f t="shared" ref="P39:S39" si="68">P32</f>
        <v>2025</v>
      </c>
      <c r="Q39" s="113">
        <f t="shared" si="68"/>
        <v>2026</v>
      </c>
      <c r="R39" s="113">
        <f t="shared" si="68"/>
        <v>2027</v>
      </c>
      <c r="S39" s="113">
        <f t="shared" si="68"/>
        <v>2028</v>
      </c>
      <c r="T39" s="64" t="s">
        <v>77</v>
      </c>
      <c r="U39" s="64" t="s">
        <v>13</v>
      </c>
      <c r="V39" s="64" t="s">
        <v>78</v>
      </c>
    </row>
    <row r="40" spans="1:25" x14ac:dyDescent="0.3">
      <c r="B40" s="110" t="s">
        <v>199</v>
      </c>
      <c r="C40" s="248">
        <f>SUM(C41:C42)</f>
        <v>10922078.011199998</v>
      </c>
      <c r="D40" s="248">
        <f>SUM(D41:D42)</f>
        <v>10892236.267999999</v>
      </c>
      <c r="E40" s="248">
        <f>SUM(E41:E42)</f>
        <v>10892236.267999999</v>
      </c>
      <c r="F40" s="248">
        <f>SUM(F41:F42)</f>
        <v>10892236.267999999</v>
      </c>
      <c r="G40" s="248">
        <f>SUM(G41:G42)</f>
        <v>10922078.011199998</v>
      </c>
      <c r="H40" s="250">
        <f t="shared" ref="H40" si="69">SUM(C40:G40)</f>
        <v>54520864.826399989</v>
      </c>
      <c r="I40" s="251">
        <f>+H40/$H$40</f>
        <v>1</v>
      </c>
      <c r="J40" s="126">
        <f t="shared" ref="J40" si="70">AVERAGE(C40:G40)</f>
        <v>10904172.965279998</v>
      </c>
      <c r="N40" s="110" t="s">
        <v>199</v>
      </c>
      <c r="O40" s="248">
        <f>SUM(O41:O42)</f>
        <v>10922078.011199998</v>
      </c>
      <c r="P40" s="248">
        <f>SUM(P41:P42)</f>
        <v>10892236.267999999</v>
      </c>
      <c r="Q40" s="248">
        <f>SUM(Q41:Q42)</f>
        <v>10892236.267999999</v>
      </c>
      <c r="R40" s="248">
        <f>SUM(R41:R42)</f>
        <v>10892236.267999999</v>
      </c>
      <c r="S40" s="248">
        <f>SUM(S41:S42)</f>
        <v>10922078.011199998</v>
      </c>
      <c r="T40" s="250">
        <f t="shared" ref="T40" si="71">SUM(O40:S40)</f>
        <v>54520864.826399989</v>
      </c>
      <c r="U40" s="251">
        <f t="shared" ref="U40:U41" si="72">+T40/$T$40</f>
        <v>1</v>
      </c>
      <c r="V40" s="126">
        <f t="shared" ref="V40" si="73">AVERAGE(O40:S40)</f>
        <v>10904172.965279998</v>
      </c>
    </row>
    <row r="41" spans="1:25" x14ac:dyDescent="0.3">
      <c r="B41" s="111" t="str">
        <f>+B27</f>
        <v>Ponto de Saída Triunfo</v>
      </c>
      <c r="C41" s="249">
        <f t="shared" ref="C41:G42" si="74">+C27*$M$34</f>
        <v>10922078.011199998</v>
      </c>
      <c r="D41" s="249">
        <f t="shared" si="74"/>
        <v>10892236.267999999</v>
      </c>
      <c r="E41" s="249">
        <f t="shared" si="74"/>
        <v>10892236.267999999</v>
      </c>
      <c r="F41" s="249">
        <f t="shared" si="74"/>
        <v>10892236.267999999</v>
      </c>
      <c r="G41" s="249">
        <f t="shared" si="74"/>
        <v>10922078.011199998</v>
      </c>
      <c r="H41" s="250">
        <f t="shared" ref="H41:H42" si="75">SUM(C41:G41)</f>
        <v>54520864.826399989</v>
      </c>
      <c r="I41" s="251">
        <f>+H41/$H$40</f>
        <v>1</v>
      </c>
      <c r="J41" s="126">
        <f t="shared" ref="J41:J42" si="76">AVERAGE(C41:G41)</f>
        <v>10904172.965279998</v>
      </c>
      <c r="N41" s="111" t="str">
        <f>+N27</f>
        <v>Ponto de Saída Triunfo</v>
      </c>
      <c r="O41" s="249">
        <f t="shared" ref="O41:S42" si="77">+O27*$M$34</f>
        <v>10922078.011199998</v>
      </c>
      <c r="P41" s="249">
        <f t="shared" si="77"/>
        <v>10892236.267999999</v>
      </c>
      <c r="Q41" s="249">
        <f t="shared" si="77"/>
        <v>10892236.267999999</v>
      </c>
      <c r="R41" s="249">
        <f t="shared" si="77"/>
        <v>10892236.267999999</v>
      </c>
      <c r="S41" s="249">
        <f t="shared" si="77"/>
        <v>10922078.011199998</v>
      </c>
      <c r="T41" s="250">
        <f t="shared" ref="T41:T42" si="78">SUM(O41:S41)</f>
        <v>54520864.826399989</v>
      </c>
      <c r="U41" s="251">
        <f t="shared" si="72"/>
        <v>1</v>
      </c>
      <c r="V41" s="126">
        <f t="shared" ref="V41:V42" si="79">AVERAGE(O41:S41)</f>
        <v>10904172.965279998</v>
      </c>
    </row>
    <row r="42" spans="1:25" x14ac:dyDescent="0.3">
      <c r="B42" s="111">
        <f>+B28</f>
        <v>0</v>
      </c>
      <c r="C42" s="249">
        <f t="shared" si="74"/>
        <v>0</v>
      </c>
      <c r="D42" s="249">
        <f t="shared" si="74"/>
        <v>0</v>
      </c>
      <c r="E42" s="249">
        <f t="shared" si="74"/>
        <v>0</v>
      </c>
      <c r="F42" s="249">
        <f t="shared" si="74"/>
        <v>0</v>
      </c>
      <c r="G42" s="249">
        <f t="shared" si="74"/>
        <v>0</v>
      </c>
      <c r="H42" s="250">
        <f t="shared" si="75"/>
        <v>0</v>
      </c>
      <c r="I42" s="251">
        <f>+H42/$H$40</f>
        <v>0</v>
      </c>
      <c r="J42" s="126">
        <f t="shared" si="76"/>
        <v>0</v>
      </c>
      <c r="N42" s="111">
        <f>+N28</f>
        <v>0</v>
      </c>
      <c r="O42" s="249">
        <f t="shared" si="77"/>
        <v>0</v>
      </c>
      <c r="P42" s="249">
        <f t="shared" si="77"/>
        <v>0</v>
      </c>
      <c r="Q42" s="249">
        <f t="shared" si="77"/>
        <v>0</v>
      </c>
      <c r="R42" s="249">
        <f t="shared" si="77"/>
        <v>0</v>
      </c>
      <c r="S42" s="249">
        <f t="shared" si="77"/>
        <v>0</v>
      </c>
      <c r="T42" s="250">
        <f t="shared" si="78"/>
        <v>0</v>
      </c>
      <c r="U42" s="251">
        <f>+T42/$T$40</f>
        <v>0</v>
      </c>
      <c r="V42" s="126">
        <f t="shared" si="79"/>
        <v>0</v>
      </c>
    </row>
    <row r="43" spans="1:25" x14ac:dyDescent="0.3">
      <c r="C43" s="52"/>
      <c r="D43" s="52"/>
      <c r="E43" s="52"/>
      <c r="F43" s="52"/>
      <c r="G43" s="52"/>
      <c r="K43" s="54"/>
      <c r="O43" s="52"/>
      <c r="P43" s="52"/>
      <c r="Q43" s="52"/>
      <c r="R43" s="52"/>
      <c r="S43" s="52"/>
      <c r="W43" s="54"/>
    </row>
    <row r="44" spans="1:25" x14ac:dyDescent="0.3">
      <c r="B44" s="11" t="s">
        <v>186</v>
      </c>
      <c r="C44" s="52"/>
      <c r="D44" s="52"/>
      <c r="E44" s="52"/>
      <c r="F44" s="52"/>
      <c r="G44" s="52"/>
      <c r="K44" s="54"/>
      <c r="N44" s="11" t="s">
        <v>186</v>
      </c>
      <c r="O44" s="52"/>
      <c r="P44" s="52"/>
      <c r="Q44" s="52"/>
      <c r="R44" s="52"/>
      <c r="S44" s="52"/>
      <c r="W44" s="54"/>
    </row>
    <row r="45" spans="1:25" x14ac:dyDescent="0.3">
      <c r="B45" s="65"/>
      <c r="C45" s="113">
        <f>O45</f>
        <v>2024</v>
      </c>
      <c r="D45" s="113">
        <f t="shared" ref="D45" si="80">P45</f>
        <v>2025</v>
      </c>
      <c r="E45" s="113">
        <f t="shared" ref="E45" si="81">Q45</f>
        <v>2026</v>
      </c>
      <c r="F45" s="113">
        <f t="shared" ref="F45" si="82">R45</f>
        <v>2027</v>
      </c>
      <c r="G45" s="113">
        <f t="shared" ref="G45" si="83">S45</f>
        <v>2028</v>
      </c>
      <c r="H45" s="64" t="s">
        <v>77</v>
      </c>
      <c r="I45" s="64" t="s">
        <v>13</v>
      </c>
      <c r="J45" s="64" t="s">
        <v>78</v>
      </c>
      <c r="K45" s="54"/>
      <c r="L45" s="54"/>
      <c r="N45" s="65"/>
      <c r="O45" s="113">
        <f>O39</f>
        <v>2024</v>
      </c>
      <c r="P45" s="113">
        <f>P39</f>
        <v>2025</v>
      </c>
      <c r="Q45" s="113">
        <f>Q39</f>
        <v>2026</v>
      </c>
      <c r="R45" s="113">
        <f>R39</f>
        <v>2027</v>
      </c>
      <c r="S45" s="113">
        <f>S39</f>
        <v>2028</v>
      </c>
      <c r="T45" s="64" t="s">
        <v>77</v>
      </c>
      <c r="U45" s="64" t="s">
        <v>13</v>
      </c>
      <c r="V45" s="64" t="s">
        <v>78</v>
      </c>
      <c r="W45" s="54"/>
      <c r="X45" s="54"/>
    </row>
    <row r="46" spans="1:25" x14ac:dyDescent="0.3">
      <c r="B46" s="4" t="s">
        <v>187</v>
      </c>
      <c r="C46" s="13">
        <f>+Premissas!B58</f>
        <v>366</v>
      </c>
      <c r="D46" s="13">
        <f>+Premissas!C58</f>
        <v>365</v>
      </c>
      <c r="E46" s="13">
        <f>+Premissas!D58</f>
        <v>365</v>
      </c>
      <c r="F46" s="13">
        <f>+Premissas!E58</f>
        <v>365</v>
      </c>
      <c r="G46" s="13">
        <f>+Premissas!F58</f>
        <v>366</v>
      </c>
      <c r="H46" s="97">
        <f>SUM(C46:G46)</f>
        <v>1827</v>
      </c>
      <c r="I46" s="82"/>
      <c r="J46" s="109">
        <f>AVERAGE(C46:G46)</f>
        <v>365.4</v>
      </c>
      <c r="N46" s="4" t="s">
        <v>187</v>
      </c>
      <c r="O46" s="13">
        <f>+C46</f>
        <v>366</v>
      </c>
      <c r="P46" s="13">
        <f t="shared" ref="P46:S46" si="84">+D46</f>
        <v>365</v>
      </c>
      <c r="Q46" s="13">
        <f t="shared" si="84"/>
        <v>365</v>
      </c>
      <c r="R46" s="13">
        <f t="shared" si="84"/>
        <v>365</v>
      </c>
      <c r="S46" s="14">
        <f t="shared" si="84"/>
        <v>366</v>
      </c>
      <c r="T46" s="97">
        <f>SUM(O46:S46)</f>
        <v>1827</v>
      </c>
      <c r="U46" s="82"/>
      <c r="V46" s="109">
        <f>AVERAGE(O46:S46)</f>
        <v>365.4</v>
      </c>
    </row>
    <row r="47" spans="1:25" x14ac:dyDescent="0.3">
      <c r="C47" s="52"/>
      <c r="D47" s="52"/>
      <c r="E47" s="52"/>
      <c r="F47" s="52"/>
      <c r="G47" s="52"/>
      <c r="O47" s="52"/>
      <c r="P47" s="52"/>
      <c r="Q47" s="52"/>
      <c r="R47" s="52"/>
      <c r="S47" s="52"/>
    </row>
    <row r="48" spans="1:25" x14ac:dyDescent="0.3">
      <c r="C48" s="95"/>
      <c r="L48" s="26"/>
      <c r="M48" s="27"/>
      <c r="X48" s="26"/>
      <c r="Y48" s="27"/>
    </row>
    <row r="49" spans="3:25" x14ac:dyDescent="0.3">
      <c r="C49" s="95"/>
      <c r="L49" s="26"/>
      <c r="M49" s="27"/>
      <c r="X49" s="26"/>
      <c r="Y49" s="27"/>
    </row>
    <row r="50" spans="3:25" x14ac:dyDescent="0.3">
      <c r="L50" s="26"/>
      <c r="M50" s="27"/>
      <c r="X50" s="26"/>
      <c r="Y50" s="27"/>
    </row>
    <row r="51" spans="3:25" x14ac:dyDescent="0.3">
      <c r="L51" s="26"/>
      <c r="M51" s="27"/>
      <c r="X51" s="26"/>
      <c r="Y51" s="27"/>
    </row>
    <row r="52" spans="3:25" x14ac:dyDescent="0.3">
      <c r="L52" s="26"/>
      <c r="M52" s="27"/>
      <c r="X52" s="26"/>
      <c r="Y52" s="27"/>
    </row>
    <row r="53" spans="3:25" x14ac:dyDescent="0.3">
      <c r="L53" s="26"/>
      <c r="M53" s="27"/>
      <c r="X53" s="26"/>
      <c r="Y53" s="27"/>
    </row>
    <row r="54" spans="3:25" x14ac:dyDescent="0.3">
      <c r="L54" s="26"/>
      <c r="M54" s="27"/>
      <c r="X54" s="26"/>
      <c r="Y54" s="27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&amp;R&amp;"Calibri"&amp;14&amp;K0078D7NP-1&amp;1#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3:K33"/>
  <sheetViews>
    <sheetView showGridLines="0" workbookViewId="0">
      <selection activeCell="C29" sqref="C29:G29"/>
    </sheetView>
  </sheetViews>
  <sheetFormatPr defaultRowHeight="13.2" x14ac:dyDescent="0.25"/>
  <cols>
    <col min="2" max="2" width="31.21875" customWidth="1"/>
    <col min="3" max="10" width="10.77734375" customWidth="1"/>
  </cols>
  <sheetData>
    <row r="3" spans="2:11" s="25" customFormat="1" ht="15" x14ac:dyDescent="0.3">
      <c r="B3" s="11" t="s">
        <v>200</v>
      </c>
      <c r="C3" s="319"/>
    </row>
    <row r="4" spans="2:11" s="25" customFormat="1" ht="13.8" x14ac:dyDescent="0.3">
      <c r="B4" s="247"/>
      <c r="C4" s="113">
        <v>2024</v>
      </c>
      <c r="D4" s="113">
        <f>C4+1</f>
        <v>2025</v>
      </c>
      <c r="E4" s="113">
        <f t="shared" ref="E4:G4" si="0">D4+1</f>
        <v>2026</v>
      </c>
      <c r="F4" s="113">
        <f t="shared" si="0"/>
        <v>2027</v>
      </c>
      <c r="G4" s="113">
        <f t="shared" si="0"/>
        <v>2028</v>
      </c>
      <c r="H4" s="64" t="s">
        <v>77</v>
      </c>
      <c r="I4" s="64" t="s">
        <v>13</v>
      </c>
      <c r="J4" s="64" t="s">
        <v>78</v>
      </c>
    </row>
    <row r="5" spans="2:11" s="25" customFormat="1" ht="13.8" x14ac:dyDescent="0.3">
      <c r="B5" s="110"/>
      <c r="C5" s="252">
        <f t="shared" ref="C5:J5" si="1">SUM(C6:C8)</f>
        <v>1</v>
      </c>
      <c r="D5" s="252">
        <f t="shared" si="1"/>
        <v>1</v>
      </c>
      <c r="E5" s="252">
        <f t="shared" si="1"/>
        <v>1</v>
      </c>
      <c r="F5" s="252">
        <f t="shared" si="1"/>
        <v>1</v>
      </c>
      <c r="G5" s="252">
        <f t="shared" si="1"/>
        <v>1</v>
      </c>
      <c r="H5" s="252">
        <f t="shared" si="1"/>
        <v>1</v>
      </c>
      <c r="I5" s="252">
        <f t="shared" si="1"/>
        <v>1</v>
      </c>
      <c r="J5" s="252">
        <f t="shared" si="1"/>
        <v>1</v>
      </c>
    </row>
    <row r="6" spans="2:11" s="25" customFormat="1" ht="13.8" x14ac:dyDescent="0.3">
      <c r="B6" s="111" t="str">
        <f>'C. Demanda'!B6</f>
        <v>Recebimento de Canoas</v>
      </c>
      <c r="C6" s="253">
        <f>'C. Demanda'!C6/'C. Demanda'!C$5</f>
        <v>1</v>
      </c>
      <c r="D6" s="253">
        <f>'C. Demanda'!D6/'C. Demanda'!D$5</f>
        <v>1</v>
      </c>
      <c r="E6" s="253">
        <f>'C. Demanda'!E6/'C. Demanda'!E$5</f>
        <v>1</v>
      </c>
      <c r="F6" s="253">
        <f>'C. Demanda'!F6/'C. Demanda'!F$5</f>
        <v>1</v>
      </c>
      <c r="G6" s="253">
        <f>'C. Demanda'!G6/'C. Demanda'!G$5</f>
        <v>1</v>
      </c>
      <c r="H6" s="253">
        <f>'C. Demanda'!H6/'C. Demanda'!H$5</f>
        <v>1</v>
      </c>
      <c r="I6" s="253">
        <f>'C. Demanda'!I6/'C. Demanda'!I$5</f>
        <v>1</v>
      </c>
      <c r="J6" s="253">
        <f>'C. Demanda'!J6/'C. Demanda'!J$5</f>
        <v>1</v>
      </c>
      <c r="K6" s="54"/>
    </row>
    <row r="7" spans="2:11" s="25" customFormat="1" ht="13.8" x14ac:dyDescent="0.3">
      <c r="B7" s="111">
        <f>'C. Demanda'!B7</f>
        <v>0</v>
      </c>
      <c r="C7" s="253">
        <f>'C. Demanda'!C7/'C. Demanda'!C$5</f>
        <v>0</v>
      </c>
      <c r="D7" s="253">
        <f>'C. Demanda'!D7/'C. Demanda'!D$5</f>
        <v>0</v>
      </c>
      <c r="E7" s="253">
        <f>'C. Demanda'!E7/'C. Demanda'!E$5</f>
        <v>0</v>
      </c>
      <c r="F7" s="253">
        <f>'C. Demanda'!F7/'C. Demanda'!F$5</f>
        <v>0</v>
      </c>
      <c r="G7" s="253">
        <f>'C. Demanda'!G7/'C. Demanda'!G$5</f>
        <v>0</v>
      </c>
      <c r="H7" s="253">
        <f>'C. Demanda'!H7/'C. Demanda'!H$5</f>
        <v>0</v>
      </c>
      <c r="I7" s="253">
        <f>'C. Demanda'!I7/'C. Demanda'!I$5</f>
        <v>0</v>
      </c>
      <c r="J7" s="253">
        <f>'C. Demanda'!J7/'C. Demanda'!J$5</f>
        <v>0</v>
      </c>
      <c r="K7" s="54"/>
    </row>
    <row r="8" spans="2:11" s="25" customFormat="1" ht="13.8" x14ac:dyDescent="0.3">
      <c r="B8" s="111">
        <f>'C. Demanda'!B8</f>
        <v>0</v>
      </c>
      <c r="C8" s="253">
        <f>'C. Demanda'!C8/'C. Demanda'!C$5</f>
        <v>0</v>
      </c>
      <c r="D8" s="253">
        <f>'C. Demanda'!D8/'C. Demanda'!D$5</f>
        <v>0</v>
      </c>
      <c r="E8" s="253">
        <f>'C. Demanda'!E8/'C. Demanda'!E$5</f>
        <v>0</v>
      </c>
      <c r="F8" s="253">
        <f>'C. Demanda'!F8/'C. Demanda'!F$5</f>
        <v>0</v>
      </c>
      <c r="G8" s="253">
        <f>'C. Demanda'!G8/'C. Demanda'!G$5</f>
        <v>0</v>
      </c>
      <c r="H8" s="253">
        <f>'C. Demanda'!H8/'C. Demanda'!H$5</f>
        <v>0</v>
      </c>
      <c r="I8" s="253">
        <f>'C. Demanda'!I8/'C. Demanda'!I$5</f>
        <v>0</v>
      </c>
      <c r="J8" s="253">
        <f>'C. Demanda'!J8/'C. Demanda'!J$5</f>
        <v>0</v>
      </c>
      <c r="K8" s="54"/>
    </row>
    <row r="9" spans="2:11" s="25" customFormat="1" ht="13.8" x14ac:dyDescent="0.3">
      <c r="B9" s="31"/>
      <c r="C9" s="31"/>
      <c r="D9" s="31"/>
      <c r="E9" s="31"/>
      <c r="F9" s="31"/>
      <c r="G9" s="31"/>
      <c r="H9" s="31"/>
      <c r="I9" s="31"/>
      <c r="J9" s="31"/>
    </row>
    <row r="10" spans="2:11" s="25" customFormat="1" ht="15" x14ac:dyDescent="0.3">
      <c r="B10" s="11" t="s">
        <v>201</v>
      </c>
      <c r="C10" s="319"/>
    </row>
    <row r="11" spans="2:11" s="25" customFormat="1" ht="13.8" x14ac:dyDescent="0.3">
      <c r="B11" s="247"/>
      <c r="C11" s="113">
        <f>C4</f>
        <v>2024</v>
      </c>
      <c r="D11" s="113">
        <f t="shared" ref="D11:G11" si="2">D4</f>
        <v>2025</v>
      </c>
      <c r="E11" s="113">
        <f t="shared" si="2"/>
        <v>2026</v>
      </c>
      <c r="F11" s="113">
        <f t="shared" si="2"/>
        <v>2027</v>
      </c>
      <c r="G11" s="113">
        <f t="shared" si="2"/>
        <v>2028</v>
      </c>
      <c r="H11" s="64" t="s">
        <v>77</v>
      </c>
      <c r="I11" s="64" t="s">
        <v>13</v>
      </c>
      <c r="J11" s="64" t="s">
        <v>78</v>
      </c>
    </row>
    <row r="12" spans="2:11" s="25" customFormat="1" ht="13.8" x14ac:dyDescent="0.3">
      <c r="B12" s="110" t="s">
        <v>39</v>
      </c>
      <c r="C12" s="252">
        <f t="shared" ref="C12:J12" si="3">SUM(C13:C14)</f>
        <v>1</v>
      </c>
      <c r="D12" s="252">
        <f t="shared" si="3"/>
        <v>1</v>
      </c>
      <c r="E12" s="252">
        <f t="shared" si="3"/>
        <v>1</v>
      </c>
      <c r="F12" s="252">
        <f t="shared" si="3"/>
        <v>1</v>
      </c>
      <c r="G12" s="252">
        <f t="shared" si="3"/>
        <v>1</v>
      </c>
      <c r="H12" s="252">
        <f t="shared" si="3"/>
        <v>1</v>
      </c>
      <c r="I12" s="252">
        <f t="shared" si="3"/>
        <v>1</v>
      </c>
      <c r="J12" s="252">
        <f t="shared" si="3"/>
        <v>1</v>
      </c>
    </row>
    <row r="13" spans="2:11" s="25" customFormat="1" ht="13.8" x14ac:dyDescent="0.3">
      <c r="B13" s="112" t="str">
        <f>'C. Demanda'!B13</f>
        <v>Ponto de Saída Triunfo</v>
      </c>
      <c r="C13" s="253">
        <f>'C. Demanda'!C13/'C. Demanda'!C$12</f>
        <v>1</v>
      </c>
      <c r="D13" s="253">
        <f>'C. Demanda'!D13/'C. Demanda'!D$12</f>
        <v>1</v>
      </c>
      <c r="E13" s="253">
        <f>'C. Demanda'!E13/'C. Demanda'!E$12</f>
        <v>1</v>
      </c>
      <c r="F13" s="253">
        <f>'C. Demanda'!F13/'C. Demanda'!F$12</f>
        <v>1</v>
      </c>
      <c r="G13" s="253">
        <f>'C. Demanda'!G13/'C. Demanda'!G$12</f>
        <v>1</v>
      </c>
      <c r="H13" s="253">
        <f>'C. Demanda'!H13/'C. Demanda'!H$12</f>
        <v>1</v>
      </c>
      <c r="I13" s="253">
        <f>'C. Demanda'!I13/'C. Demanda'!I$12</f>
        <v>1</v>
      </c>
      <c r="J13" s="253">
        <f>'C. Demanda'!J13/'C. Demanda'!J$12</f>
        <v>1</v>
      </c>
    </row>
    <row r="14" spans="2:11" s="25" customFormat="1" ht="13.8" x14ac:dyDescent="0.3">
      <c r="B14" s="112">
        <f>'C. Demanda'!B14</f>
        <v>0</v>
      </c>
      <c r="C14" s="253">
        <f>'C. Demanda'!C14/'C. Demanda'!C$12</f>
        <v>0</v>
      </c>
      <c r="D14" s="253">
        <f>'C. Demanda'!D14/'C. Demanda'!D$12</f>
        <v>0</v>
      </c>
      <c r="E14" s="253">
        <f>'C. Demanda'!E14/'C. Demanda'!E$12</f>
        <v>0</v>
      </c>
      <c r="F14" s="253">
        <f>'C. Demanda'!F14/'C. Demanda'!F$12</f>
        <v>0</v>
      </c>
      <c r="G14" s="253">
        <f>'C. Demanda'!G14/'C. Demanda'!G$12</f>
        <v>0</v>
      </c>
      <c r="H14" s="253">
        <f>'C. Demanda'!H14/'C. Demanda'!H$12</f>
        <v>0</v>
      </c>
      <c r="I14" s="253">
        <f>'C. Demanda'!I14/'C. Demanda'!I$12</f>
        <v>0</v>
      </c>
      <c r="J14" s="253">
        <f>'C. Demanda'!J14/'C. Demanda'!J$12</f>
        <v>0</v>
      </c>
    </row>
    <row r="15" spans="2:11" s="25" customFormat="1" ht="13.8" x14ac:dyDescent="0.3">
      <c r="B15" s="15"/>
      <c r="C15" s="16"/>
      <c r="D15" s="16"/>
      <c r="E15" s="16"/>
      <c r="F15" s="16"/>
      <c r="G15" s="16"/>
      <c r="H15" s="96"/>
      <c r="I15" s="96"/>
      <c r="J15" s="96"/>
    </row>
    <row r="16" spans="2:11" s="25" customFormat="1" ht="15" x14ac:dyDescent="0.3">
      <c r="B16" s="11" t="s">
        <v>300</v>
      </c>
    </row>
    <row r="17" spans="2:10" s="25" customFormat="1" ht="13.8" x14ac:dyDescent="0.3">
      <c r="B17" s="247"/>
      <c r="C17" s="113">
        <f>C4</f>
        <v>2024</v>
      </c>
      <c r="D17" s="113">
        <f t="shared" ref="D17:G17" si="4">D4</f>
        <v>2025</v>
      </c>
      <c r="E17" s="113">
        <f t="shared" si="4"/>
        <v>2026</v>
      </c>
      <c r="F17" s="113">
        <f t="shared" si="4"/>
        <v>2027</v>
      </c>
      <c r="G17" s="113">
        <f t="shared" si="4"/>
        <v>2028</v>
      </c>
      <c r="H17" s="64" t="s">
        <v>77</v>
      </c>
      <c r="I17" s="64" t="s">
        <v>13</v>
      </c>
      <c r="J17" s="64" t="s">
        <v>78</v>
      </c>
    </row>
    <row r="18" spans="2:10" s="25" customFormat="1" ht="13.8" x14ac:dyDescent="0.3">
      <c r="B18" s="110"/>
      <c r="C18" s="248">
        <f t="shared" ref="C18:J18" si="5">SUM(C19:C20)</f>
        <v>25</v>
      </c>
      <c r="D18" s="248">
        <f t="shared" si="5"/>
        <v>25</v>
      </c>
      <c r="E18" s="248">
        <f t="shared" si="5"/>
        <v>25</v>
      </c>
      <c r="F18" s="248">
        <f t="shared" si="5"/>
        <v>25</v>
      </c>
      <c r="G18" s="248">
        <f t="shared" si="5"/>
        <v>25</v>
      </c>
      <c r="H18" s="248">
        <f t="shared" si="5"/>
        <v>25</v>
      </c>
      <c r="I18" s="251">
        <f t="shared" si="5"/>
        <v>1</v>
      </c>
      <c r="J18" s="248">
        <f t="shared" si="5"/>
        <v>25</v>
      </c>
    </row>
    <row r="19" spans="2:10" s="25" customFormat="1" ht="13.8" x14ac:dyDescent="0.3">
      <c r="B19" s="112" t="str">
        <f>B13</f>
        <v>Ponto de Saída Triunfo</v>
      </c>
      <c r="C19" s="249">
        <f>C13*'Cálculo Encargos ECE, ECT e ECS'!$C11</f>
        <v>25</v>
      </c>
      <c r="D19" s="249">
        <f>D13*'Cálculo Encargos ECE, ECT e ECS'!$C11</f>
        <v>25</v>
      </c>
      <c r="E19" s="249">
        <f>E13*'Cálculo Encargos ECE, ECT e ECS'!$C11</f>
        <v>25</v>
      </c>
      <c r="F19" s="249">
        <f>F13*'Cálculo Encargos ECE, ECT e ECS'!$C11</f>
        <v>25</v>
      </c>
      <c r="G19" s="249">
        <f>G13*'Cálculo Encargos ECE, ECT e ECS'!$C11</f>
        <v>25</v>
      </c>
      <c r="H19" s="250">
        <f>H13*'Cálculo Encargos ECE, ECT e ECS'!$C11</f>
        <v>25</v>
      </c>
      <c r="I19" s="251">
        <f t="shared" ref="I19:I20" si="6">+H19/$H$18</f>
        <v>1</v>
      </c>
      <c r="J19" s="250">
        <f>J13*'Cálculo Encargos ECE, ECT e ECS'!$C11</f>
        <v>25</v>
      </c>
    </row>
    <row r="20" spans="2:10" s="25" customFormat="1" ht="13.8" x14ac:dyDescent="0.3">
      <c r="B20" s="112">
        <f>B14</f>
        <v>0</v>
      </c>
      <c r="C20" s="249">
        <f>C14*'Cálculo Encargos ECE, ECT e ECS'!$C12</f>
        <v>0</v>
      </c>
      <c r="D20" s="249">
        <f>D14*'Cálculo Encargos ECE, ECT e ECS'!$C12</f>
        <v>0</v>
      </c>
      <c r="E20" s="249">
        <f>E14*'Cálculo Encargos ECE, ECT e ECS'!$C12</f>
        <v>0</v>
      </c>
      <c r="F20" s="249">
        <f>F14*'Cálculo Encargos ECE, ECT e ECS'!$C12</f>
        <v>0</v>
      </c>
      <c r="G20" s="249">
        <f>G14*'Cálculo Encargos ECE, ECT e ECS'!$C12</f>
        <v>0</v>
      </c>
      <c r="H20" s="250">
        <f>H14*'Cálculo Encargos ECE, ECT e ECS'!$C12</f>
        <v>0</v>
      </c>
      <c r="I20" s="251">
        <f t="shared" si="6"/>
        <v>0</v>
      </c>
      <c r="J20" s="250">
        <f>J14*'Cálculo Encargos ECE, ECT e ECS'!$C12</f>
        <v>0</v>
      </c>
    </row>
    <row r="21" spans="2:10" s="25" customFormat="1" ht="13.8" x14ac:dyDescent="0.3"/>
    <row r="22" spans="2:10" s="25" customFormat="1" ht="15" x14ac:dyDescent="0.3">
      <c r="B22" s="11" t="s">
        <v>202</v>
      </c>
    </row>
    <row r="23" spans="2:10" s="25" customFormat="1" ht="13.8" x14ac:dyDescent="0.3">
      <c r="B23" s="247"/>
      <c r="C23" s="113">
        <f>C4</f>
        <v>2024</v>
      </c>
      <c r="D23" s="113">
        <f t="shared" ref="D23:G23" si="7">D4</f>
        <v>2025</v>
      </c>
      <c r="E23" s="113">
        <f t="shared" si="7"/>
        <v>2026</v>
      </c>
      <c r="F23" s="113">
        <f t="shared" si="7"/>
        <v>2027</v>
      </c>
      <c r="G23" s="113">
        <f t="shared" si="7"/>
        <v>2028</v>
      </c>
      <c r="H23" s="64" t="s">
        <v>77</v>
      </c>
      <c r="I23" s="64" t="s">
        <v>13</v>
      </c>
      <c r="J23" s="64" t="s">
        <v>78</v>
      </c>
    </row>
    <row r="24" spans="2:10" s="25" customFormat="1" ht="13.8" x14ac:dyDescent="0.3">
      <c r="B24" s="110"/>
      <c r="C24" s="248">
        <f t="shared" ref="C24:J24" si="8">SUM(C25:C26)</f>
        <v>0</v>
      </c>
      <c r="D24" s="248">
        <f t="shared" si="8"/>
        <v>0</v>
      </c>
      <c r="E24" s="248">
        <f t="shared" si="8"/>
        <v>0</v>
      </c>
      <c r="F24" s="248">
        <f t="shared" si="8"/>
        <v>0</v>
      </c>
      <c r="G24" s="248">
        <f t="shared" si="8"/>
        <v>0</v>
      </c>
      <c r="H24" s="250">
        <f t="shared" si="8"/>
        <v>0</v>
      </c>
      <c r="I24" s="251" t="e">
        <f t="shared" si="8"/>
        <v>#DIV/0!</v>
      </c>
      <c r="J24" s="126">
        <f t="shared" si="8"/>
        <v>0</v>
      </c>
    </row>
    <row r="25" spans="2:10" s="25" customFormat="1" ht="13.8" x14ac:dyDescent="0.3">
      <c r="B25" s="112" t="str">
        <f>B13</f>
        <v>Ponto de Saída Triunfo</v>
      </c>
      <c r="C25" s="249">
        <f>C13*'Cálculo Encargos ECE, ECT e ECS'!$D11</f>
        <v>0</v>
      </c>
      <c r="D25" s="249">
        <f>D13*'Cálculo Encargos ECE, ECT e ECS'!$D11</f>
        <v>0</v>
      </c>
      <c r="E25" s="249">
        <f>E13*'Cálculo Encargos ECE, ECT e ECS'!$D11</f>
        <v>0</v>
      </c>
      <c r="F25" s="249">
        <f>F13*'Cálculo Encargos ECE, ECT e ECS'!$D11</f>
        <v>0</v>
      </c>
      <c r="G25" s="249">
        <f>G13*'Cálculo Encargos ECE, ECT e ECS'!$D11</f>
        <v>0</v>
      </c>
      <c r="H25" s="250">
        <f>H13*'Cálculo Encargos ECE, ECT e ECS'!$D11</f>
        <v>0</v>
      </c>
      <c r="I25" s="251" t="e">
        <f t="shared" ref="I25:I26" si="9">+H25/$H$24</f>
        <v>#DIV/0!</v>
      </c>
      <c r="J25" s="250">
        <f>J13*'Cálculo Encargos ECE, ECT e ECS'!$D11</f>
        <v>0</v>
      </c>
    </row>
    <row r="26" spans="2:10" s="25" customFormat="1" ht="13.8" x14ac:dyDescent="0.3">
      <c r="B26" s="112">
        <f>B14</f>
        <v>0</v>
      </c>
      <c r="C26" s="249">
        <f>C14*'Cálculo Encargos ECE, ECT e ECS'!$D12</f>
        <v>0</v>
      </c>
      <c r="D26" s="249">
        <f>D14*'Cálculo Encargos ECE, ECT e ECS'!$D12</f>
        <v>0</v>
      </c>
      <c r="E26" s="249">
        <f>E14*'Cálculo Encargos ECE, ECT e ECS'!$D12</f>
        <v>0</v>
      </c>
      <c r="F26" s="249">
        <f>F14*'Cálculo Encargos ECE, ECT e ECS'!$D12</f>
        <v>0</v>
      </c>
      <c r="G26" s="249">
        <f>G14*'Cálculo Encargos ECE, ECT e ECS'!$D12</f>
        <v>0</v>
      </c>
      <c r="H26" s="250">
        <f>H14*'Cálculo Encargos ECE, ECT e ECS'!$D12</f>
        <v>0</v>
      </c>
      <c r="I26" s="251" t="e">
        <f t="shared" si="9"/>
        <v>#DIV/0!</v>
      </c>
      <c r="J26" s="250">
        <f>J14*'Cálculo Encargos ECE, ECT e ECS'!$D12</f>
        <v>0</v>
      </c>
    </row>
    <row r="27" spans="2:10" s="25" customFormat="1" ht="13.8" x14ac:dyDescent="0.3"/>
    <row r="28" spans="2:10" s="25" customFormat="1" ht="15" x14ac:dyDescent="0.3">
      <c r="B28" s="11" t="s">
        <v>203</v>
      </c>
    </row>
    <row r="29" spans="2:10" s="25" customFormat="1" ht="13.8" x14ac:dyDescent="0.3">
      <c r="B29" s="247"/>
      <c r="C29" s="113">
        <f>C4</f>
        <v>2024</v>
      </c>
      <c r="D29" s="113">
        <f t="shared" ref="D29:G29" si="10">D4</f>
        <v>2025</v>
      </c>
      <c r="E29" s="113">
        <f t="shared" si="10"/>
        <v>2026</v>
      </c>
      <c r="F29" s="113">
        <f t="shared" si="10"/>
        <v>2027</v>
      </c>
      <c r="G29" s="113">
        <f t="shared" si="10"/>
        <v>2028</v>
      </c>
      <c r="H29" s="64" t="s">
        <v>77</v>
      </c>
      <c r="I29" s="64" t="s">
        <v>13</v>
      </c>
      <c r="J29" s="64" t="s">
        <v>78</v>
      </c>
    </row>
    <row r="30" spans="2:10" s="25" customFormat="1" ht="13.8" x14ac:dyDescent="0.3">
      <c r="B30" s="110"/>
      <c r="C30" s="248">
        <f t="shared" ref="C30:J30" si="11">SUM(C31:C32)</f>
        <v>0</v>
      </c>
      <c r="D30" s="248">
        <f t="shared" si="11"/>
        <v>0</v>
      </c>
      <c r="E30" s="248">
        <f t="shared" si="11"/>
        <v>0</v>
      </c>
      <c r="F30" s="248">
        <f t="shared" si="11"/>
        <v>0</v>
      </c>
      <c r="G30" s="248">
        <f t="shared" si="11"/>
        <v>0</v>
      </c>
      <c r="H30" s="248">
        <f t="shared" si="11"/>
        <v>0</v>
      </c>
      <c r="I30" s="251" t="e">
        <f t="shared" si="11"/>
        <v>#DIV/0!</v>
      </c>
      <c r="J30" s="248">
        <f t="shared" si="11"/>
        <v>0</v>
      </c>
    </row>
    <row r="31" spans="2:10" s="25" customFormat="1" ht="13.8" x14ac:dyDescent="0.3">
      <c r="B31" s="112" t="str">
        <f>B13</f>
        <v>Ponto de Saída Triunfo</v>
      </c>
      <c r="C31" s="330">
        <f>C13*'Cálculo Encargos ECE, ECT e ECS'!$E11</f>
        <v>0</v>
      </c>
      <c r="D31" s="330">
        <f>D13*'Cálculo Encargos ECE, ECT e ECS'!$E11</f>
        <v>0</v>
      </c>
      <c r="E31" s="330">
        <f>E13*'Cálculo Encargos ECE, ECT e ECS'!$E11</f>
        <v>0</v>
      </c>
      <c r="F31" s="330">
        <f>F13*'Cálculo Encargos ECE, ECT e ECS'!$E11</f>
        <v>0</v>
      </c>
      <c r="G31" s="330">
        <f>G13*'Cálculo Encargos ECE, ECT e ECS'!$E11</f>
        <v>0</v>
      </c>
      <c r="H31" s="330">
        <f>H13*'Cálculo Encargos ECE, ECT e ECS'!$E11</f>
        <v>0</v>
      </c>
      <c r="I31" s="331" t="e">
        <f t="shared" ref="I31:I32" si="12">+H31/$H$30</f>
        <v>#DIV/0!</v>
      </c>
      <c r="J31" s="330">
        <f>J13*'Cálculo Encargos ECE, ECT e ECS'!$E11</f>
        <v>0</v>
      </c>
    </row>
    <row r="32" spans="2:10" s="25" customFormat="1" ht="13.8" x14ac:dyDescent="0.3">
      <c r="B32" s="112">
        <f>B14</f>
        <v>0</v>
      </c>
      <c r="C32" s="330">
        <f>C14*'Cálculo Encargos ECE, ECT e ECS'!$E12</f>
        <v>0</v>
      </c>
      <c r="D32" s="330">
        <f>D14*'Cálculo Encargos ECE, ECT e ECS'!$E12</f>
        <v>0</v>
      </c>
      <c r="E32" s="330">
        <f>E14*'Cálculo Encargos ECE, ECT e ECS'!$E12</f>
        <v>0</v>
      </c>
      <c r="F32" s="330">
        <f>F14*'Cálculo Encargos ECE, ECT e ECS'!$E12</f>
        <v>0</v>
      </c>
      <c r="G32" s="330">
        <f>G14*'Cálculo Encargos ECE, ECT e ECS'!$E12</f>
        <v>0</v>
      </c>
      <c r="H32" s="330">
        <f>H14*'Cálculo Encargos ECE, ECT e ECS'!$E12</f>
        <v>0</v>
      </c>
      <c r="I32" s="331" t="e">
        <f t="shared" si="12"/>
        <v>#DIV/0!</v>
      </c>
      <c r="J32" s="330">
        <f>J14*'Cálculo Encargos ECE, ECT e ECS'!$E12</f>
        <v>0</v>
      </c>
    </row>
    <row r="33" s="25" customFormat="1" ht="13.8" x14ac:dyDescent="0.3"/>
  </sheetData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&amp;R&amp;"Calibri"&amp;14&amp;K0078D7NP-1&amp;1#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>
    <tabColor rgb="FF92D050"/>
  </sheetPr>
  <dimension ref="A2:L105"/>
  <sheetViews>
    <sheetView showGridLines="0" tabSelected="1" topLeftCell="A92" zoomScaleNormal="100" workbookViewId="0">
      <selection activeCell="B3" sqref="B3"/>
    </sheetView>
  </sheetViews>
  <sheetFormatPr defaultColWidth="9.21875" defaultRowHeight="13.8" x14ac:dyDescent="0.3"/>
  <cols>
    <col min="1" max="1" width="20.21875" style="25" bestFit="1" customWidth="1"/>
    <col min="2" max="2" width="25.77734375" style="25" customWidth="1"/>
    <col min="3" max="3" width="15.44140625" style="25" customWidth="1"/>
    <col min="4" max="7" width="10.77734375" style="25" customWidth="1"/>
    <col min="8" max="10" width="14.77734375" style="25" customWidth="1"/>
    <col min="11" max="11" width="10.77734375" style="25" customWidth="1"/>
    <col min="12" max="12" width="15.21875" style="25" bestFit="1" customWidth="1"/>
    <col min="13" max="13" width="10.77734375" style="25" customWidth="1"/>
    <col min="14" max="14" width="15.21875" style="25" bestFit="1" customWidth="1"/>
    <col min="15" max="16384" width="9.21875" style="25"/>
  </cols>
  <sheetData>
    <row r="2" spans="2:10" x14ac:dyDescent="0.3">
      <c r="C2" s="52"/>
      <c r="D2" s="52"/>
      <c r="E2" s="52"/>
      <c r="F2" s="52"/>
      <c r="G2" s="52"/>
    </row>
    <row r="3" spans="2:10" x14ac:dyDescent="0.3">
      <c r="B3" s="11" t="s">
        <v>186</v>
      </c>
      <c r="C3" s="52"/>
      <c r="D3" s="52"/>
      <c r="E3" s="52"/>
      <c r="F3" s="52"/>
      <c r="G3" s="52"/>
    </row>
    <row r="4" spans="2:10" x14ac:dyDescent="0.3">
      <c r="B4" s="65"/>
      <c r="C4" s="113">
        <f>'Fluxo de Caixa Regulado'!C4</f>
        <v>2024</v>
      </c>
      <c r="D4" s="113">
        <f>'Fluxo de Caixa Regulado'!D4</f>
        <v>2025</v>
      </c>
      <c r="E4" s="113">
        <f>'Fluxo de Caixa Regulado'!E4</f>
        <v>2026</v>
      </c>
      <c r="F4" s="113">
        <f>'Fluxo de Caixa Regulado'!F4</f>
        <v>2027</v>
      </c>
      <c r="G4" s="113">
        <f>'Fluxo de Caixa Regulado'!G4</f>
        <v>2028</v>
      </c>
      <c r="H4" s="64" t="s">
        <v>77</v>
      </c>
      <c r="I4" s="64" t="s">
        <v>13</v>
      </c>
      <c r="J4" s="64" t="s">
        <v>78</v>
      </c>
    </row>
    <row r="5" spans="2:10" x14ac:dyDescent="0.3">
      <c r="B5" s="111" t="s">
        <v>187</v>
      </c>
      <c r="C5" s="268">
        <f>Premissas!B57</f>
        <v>366</v>
      </c>
      <c r="D5" s="268">
        <f>Premissas!C57</f>
        <v>365</v>
      </c>
      <c r="E5" s="268">
        <f>Premissas!D57</f>
        <v>365</v>
      </c>
      <c r="F5" s="268">
        <f>Premissas!E57</f>
        <v>365</v>
      </c>
      <c r="G5" s="268">
        <f>Premissas!F57</f>
        <v>366</v>
      </c>
      <c r="H5" s="250">
        <f>SUM(C5:G5)</f>
        <v>1827</v>
      </c>
      <c r="I5" s="251"/>
      <c r="J5" s="269">
        <f>AVERAGE(C5:G5)</f>
        <v>365.4</v>
      </c>
    </row>
    <row r="6" spans="2:10" x14ac:dyDescent="0.3">
      <c r="C6" s="52"/>
      <c r="D6" s="52"/>
      <c r="E6" s="52"/>
      <c r="F6" s="52"/>
      <c r="G6" s="52"/>
    </row>
    <row r="7" spans="2:10" x14ac:dyDescent="0.3">
      <c r="C7" s="52"/>
      <c r="D7" s="52"/>
      <c r="E7" s="52"/>
      <c r="F7" s="52"/>
      <c r="G7" s="52"/>
    </row>
    <row r="8" spans="2:10" ht="15" x14ac:dyDescent="0.3">
      <c r="B8" s="11" t="s">
        <v>204</v>
      </c>
      <c r="G8" s="94"/>
    </row>
    <row r="9" spans="2:10" x14ac:dyDescent="0.3">
      <c r="B9" s="31" t="s">
        <v>205</v>
      </c>
      <c r="C9" s="52"/>
      <c r="D9" s="52"/>
    </row>
    <row r="10" spans="2:10" x14ac:dyDescent="0.3">
      <c r="B10" s="4" t="s">
        <v>206</v>
      </c>
      <c r="C10" s="265" t="str">
        <f>'C. Demanda'!N6</f>
        <v>Recebimento de Canoas</v>
      </c>
      <c r="D10" s="265"/>
      <c r="E10" s="265"/>
    </row>
    <row r="11" spans="2:10" x14ac:dyDescent="0.3">
      <c r="B11" s="112" t="s">
        <v>319</v>
      </c>
      <c r="C11" s="383">
        <v>25</v>
      </c>
      <c r="D11" s="249"/>
      <c r="E11" s="330"/>
      <c r="G11" s="27"/>
      <c r="H11" s="27"/>
    </row>
    <row r="12" spans="2:10" x14ac:dyDescent="0.3">
      <c r="B12" s="112">
        <f>Proporções!B14</f>
        <v>0</v>
      </c>
      <c r="C12" s="330"/>
      <c r="D12" s="330"/>
      <c r="E12" s="330"/>
      <c r="G12" s="27"/>
      <c r="H12" s="27"/>
    </row>
    <row r="14" spans="2:10" ht="15" x14ac:dyDescent="0.3">
      <c r="B14" s="11" t="s">
        <v>207</v>
      </c>
    </row>
    <row r="15" spans="2:10" x14ac:dyDescent="0.3">
      <c r="B15" s="247"/>
      <c r="C15" s="113">
        <f>C4</f>
        <v>2024</v>
      </c>
      <c r="D15" s="113">
        <f t="shared" ref="D15:G15" si="0">D4</f>
        <v>2025</v>
      </c>
      <c r="E15" s="113">
        <f t="shared" si="0"/>
        <v>2026</v>
      </c>
      <c r="F15" s="113">
        <f t="shared" si="0"/>
        <v>2027</v>
      </c>
      <c r="G15" s="113">
        <f t="shared" si="0"/>
        <v>2028</v>
      </c>
      <c r="H15" s="64" t="s">
        <v>77</v>
      </c>
      <c r="I15" s="64" t="s">
        <v>13</v>
      </c>
      <c r="J15" s="64" t="s">
        <v>78</v>
      </c>
    </row>
    <row r="16" spans="2:10" x14ac:dyDescent="0.3">
      <c r="B16" s="110"/>
      <c r="C16" s="248">
        <f>SUM(C17:C19)</f>
        <v>25</v>
      </c>
      <c r="D16" s="248">
        <f t="shared" ref="D16:I16" si="1">SUM(D17:D19)</f>
        <v>25</v>
      </c>
      <c r="E16" s="248">
        <f t="shared" si="1"/>
        <v>25</v>
      </c>
      <c r="F16" s="248">
        <f t="shared" si="1"/>
        <v>25</v>
      </c>
      <c r="G16" s="248">
        <f t="shared" si="1"/>
        <v>25</v>
      </c>
      <c r="H16" s="248">
        <f t="shared" ref="H16" si="2">SUM(H17:H19)</f>
        <v>25</v>
      </c>
      <c r="I16" s="251">
        <f t="shared" si="1"/>
        <v>1</v>
      </c>
      <c r="J16" s="248">
        <f>SUM(J17:J19)</f>
        <v>25</v>
      </c>
    </row>
    <row r="17" spans="2:12" x14ac:dyDescent="0.3">
      <c r="B17" s="111" t="str">
        <f>Proporções!B6</f>
        <v>Recebimento de Canoas</v>
      </c>
      <c r="C17" s="249">
        <f>Proporções!C18</f>
        <v>25</v>
      </c>
      <c r="D17" s="249">
        <f>Proporções!D18</f>
        <v>25</v>
      </c>
      <c r="E17" s="249">
        <f>Proporções!E18</f>
        <v>25</v>
      </c>
      <c r="F17" s="249">
        <f>Proporções!F18</f>
        <v>25</v>
      </c>
      <c r="G17" s="249">
        <f>Proporções!G18</f>
        <v>25</v>
      </c>
      <c r="H17" s="249">
        <f>Proporções!H18</f>
        <v>25</v>
      </c>
      <c r="I17" s="251">
        <f>H17/H16</f>
        <v>1</v>
      </c>
      <c r="J17" s="249">
        <f>Proporções!J18</f>
        <v>25</v>
      </c>
    </row>
    <row r="18" spans="2:12" hidden="1" x14ac:dyDescent="0.3">
      <c r="B18" s="111">
        <f>Proporções!B7</f>
        <v>0</v>
      </c>
      <c r="C18" s="249">
        <f>Proporções!C24</f>
        <v>0</v>
      </c>
      <c r="D18" s="249">
        <f>Proporções!D24</f>
        <v>0</v>
      </c>
      <c r="E18" s="249">
        <f>Proporções!E24</f>
        <v>0</v>
      </c>
      <c r="F18" s="249">
        <f>Proporções!F24</f>
        <v>0</v>
      </c>
      <c r="G18" s="249">
        <f>Proporções!G24</f>
        <v>0</v>
      </c>
      <c r="H18" s="249">
        <f>Proporções!H24</f>
        <v>0</v>
      </c>
      <c r="I18" s="251">
        <f>H18/H16</f>
        <v>0</v>
      </c>
      <c r="J18" s="249">
        <f>Proporções!J24</f>
        <v>0</v>
      </c>
    </row>
    <row r="19" spans="2:12" hidden="1" x14ac:dyDescent="0.3">
      <c r="B19" s="111">
        <f>Proporções!B8</f>
        <v>0</v>
      </c>
      <c r="C19" s="330">
        <f>Proporções!C30</f>
        <v>0</v>
      </c>
      <c r="D19" s="330">
        <f>Proporções!D30</f>
        <v>0</v>
      </c>
      <c r="E19" s="330">
        <f>Proporções!E30</f>
        <v>0</v>
      </c>
      <c r="F19" s="330">
        <f>Proporções!F30</f>
        <v>0</v>
      </c>
      <c r="G19" s="330">
        <f>Proporções!G30</f>
        <v>0</v>
      </c>
      <c r="H19" s="330">
        <f>Proporções!H30</f>
        <v>0</v>
      </c>
      <c r="I19" s="331">
        <f>H19/H16</f>
        <v>0</v>
      </c>
      <c r="J19" s="330">
        <f>Proporções!J30</f>
        <v>0</v>
      </c>
    </row>
    <row r="20" spans="2:12" x14ac:dyDescent="0.3">
      <c r="B20" s="31"/>
      <c r="C20" s="31"/>
      <c r="D20" s="31"/>
      <c r="E20" s="31"/>
      <c r="F20" s="31"/>
      <c r="G20" s="31"/>
      <c r="H20" s="31"/>
      <c r="I20" s="31"/>
      <c r="J20" s="31"/>
    </row>
    <row r="21" spans="2:12" ht="15" x14ac:dyDescent="0.3">
      <c r="B21" s="11" t="s">
        <v>208</v>
      </c>
      <c r="C21" s="31"/>
      <c r="D21" s="31"/>
      <c r="E21" s="31"/>
      <c r="F21" s="31"/>
      <c r="G21" s="31"/>
      <c r="H21" s="31"/>
      <c r="I21" s="31"/>
      <c r="J21" s="31"/>
    </row>
    <row r="22" spans="2:12" x14ac:dyDescent="0.3">
      <c r="B22" s="247"/>
      <c r="C22" s="113">
        <f>C4</f>
        <v>2024</v>
      </c>
      <c r="D22" s="113">
        <f t="shared" ref="D22:G22" si="3">D4</f>
        <v>2025</v>
      </c>
      <c r="E22" s="113">
        <f t="shared" si="3"/>
        <v>2026</v>
      </c>
      <c r="F22" s="113">
        <f t="shared" si="3"/>
        <v>2027</v>
      </c>
      <c r="G22" s="113">
        <f t="shared" si="3"/>
        <v>2028</v>
      </c>
      <c r="H22" s="64" t="s">
        <v>77</v>
      </c>
      <c r="I22" s="64" t="s">
        <v>13</v>
      </c>
      <c r="J22" s="64" t="s">
        <v>78</v>
      </c>
    </row>
    <row r="23" spans="2:12" x14ac:dyDescent="0.3">
      <c r="B23" s="110"/>
      <c r="C23" s="248">
        <f t="shared" ref="C23:J23" si="4">SUM(C24:C25)</f>
        <v>25</v>
      </c>
      <c r="D23" s="248">
        <f t="shared" si="4"/>
        <v>25</v>
      </c>
      <c r="E23" s="248">
        <f t="shared" si="4"/>
        <v>25</v>
      </c>
      <c r="F23" s="248">
        <f t="shared" si="4"/>
        <v>25</v>
      </c>
      <c r="G23" s="248">
        <f t="shared" si="4"/>
        <v>25</v>
      </c>
      <c r="H23" s="248">
        <f t="shared" si="4"/>
        <v>25</v>
      </c>
      <c r="I23" s="251">
        <f t="shared" si="4"/>
        <v>1</v>
      </c>
      <c r="J23" s="248">
        <f t="shared" si="4"/>
        <v>25</v>
      </c>
    </row>
    <row r="24" spans="2:12" x14ac:dyDescent="0.3">
      <c r="B24" s="112" t="str">
        <f>Proporções!B13</f>
        <v>Ponto de Saída Triunfo</v>
      </c>
      <c r="C24" s="249">
        <f>+(Proporções!C$6*$C11)+(Proporções!C$7*$D11)+(Proporções!C$8*$E11)</f>
        <v>25</v>
      </c>
      <c r="D24" s="249">
        <f>+(Proporções!D$6*$C11)+(Proporções!D$7*$D11)+(Proporções!D$8*$E11)</f>
        <v>25</v>
      </c>
      <c r="E24" s="249">
        <f>+(Proporções!E$6*$C11)+(Proporções!E$7*$D11)+(Proporções!E$8*$E11)</f>
        <v>25</v>
      </c>
      <c r="F24" s="249">
        <f>+(Proporções!F$6*$C11)+(Proporções!F$7*$D11)+(Proporções!F$8*$E11)</f>
        <v>25</v>
      </c>
      <c r="G24" s="249">
        <f>+(Proporções!G$6*$C11)+(Proporções!G$7*$D11)+(Proporções!G$8*$E11)</f>
        <v>25</v>
      </c>
      <c r="H24" s="249">
        <f>+(Proporções!H$6*$C11)+(Proporções!H$7*$D11)+(Proporções!H$8*$E11)</f>
        <v>25</v>
      </c>
      <c r="I24" s="251">
        <f>+H24/$H$23</f>
        <v>1</v>
      </c>
      <c r="J24" s="249">
        <f>+(Proporções!J$6*$C11)+(Proporções!J$7*$D11)+(Proporções!J$8*$E11)</f>
        <v>25</v>
      </c>
    </row>
    <row r="25" spans="2:12" hidden="1" x14ac:dyDescent="0.3">
      <c r="B25" s="112">
        <f>Proporções!B14</f>
        <v>0</v>
      </c>
      <c r="C25" s="330">
        <f>+(Proporções!C$6*$C12)+(Proporções!C$7*$D12)+(Proporções!C$8*$E12)</f>
        <v>0</v>
      </c>
      <c r="D25" s="330">
        <f>+(Proporções!D$6*$C12)+(Proporções!D$7*$D12)+(Proporções!D$8*$E12)</f>
        <v>0</v>
      </c>
      <c r="E25" s="330">
        <f>+(Proporções!E$6*$C12)+(Proporções!E$7*$D12)+(Proporções!E$8*$E12)</f>
        <v>0</v>
      </c>
      <c r="F25" s="330">
        <f>+(Proporções!F$6*$C12)+(Proporções!F$7*$D12)+(Proporções!F$8*$E12)</f>
        <v>0</v>
      </c>
      <c r="G25" s="330">
        <f>+(Proporções!G$6*$C12)+(Proporções!G$7*$D12)+(Proporções!G$8*$E12)</f>
        <v>0</v>
      </c>
      <c r="H25" s="330">
        <f>+(Proporções!H$6*$C12)+(Proporções!H$7*$D12)+(Proporções!H$8*$E12)</f>
        <v>0</v>
      </c>
      <c r="I25" s="331">
        <f>+H25/$H$23</f>
        <v>0</v>
      </c>
      <c r="J25" s="330">
        <f>+(Proporções!J$6*$C12)+(Proporções!J$7*$D12)+(Proporções!J$8*$E12)</f>
        <v>0</v>
      </c>
    </row>
    <row r="27" spans="2:12" ht="15" x14ac:dyDescent="0.3">
      <c r="B27" s="11" t="s">
        <v>209</v>
      </c>
    </row>
    <row r="28" spans="2:12" x14ac:dyDescent="0.3">
      <c r="B28" s="247"/>
      <c r="C28" s="113">
        <f>C4</f>
        <v>2024</v>
      </c>
      <c r="D28" s="113">
        <f t="shared" ref="D28:G28" si="5">D4</f>
        <v>2025</v>
      </c>
      <c r="E28" s="113">
        <f t="shared" si="5"/>
        <v>2026</v>
      </c>
      <c r="F28" s="113">
        <f t="shared" si="5"/>
        <v>2027</v>
      </c>
      <c r="G28" s="113">
        <f t="shared" si="5"/>
        <v>2028</v>
      </c>
      <c r="H28" s="64" t="s">
        <v>77</v>
      </c>
      <c r="I28" s="64" t="s">
        <v>13</v>
      </c>
      <c r="J28" s="64" t="s">
        <v>78</v>
      </c>
    </row>
    <row r="29" spans="2:12" x14ac:dyDescent="0.3">
      <c r="B29" s="110"/>
      <c r="C29" s="252">
        <f t="shared" ref="C29:H29" si="6">SUM(C30:C31)</f>
        <v>1</v>
      </c>
      <c r="D29" s="252">
        <f t="shared" si="6"/>
        <v>1</v>
      </c>
      <c r="E29" s="252">
        <f t="shared" si="6"/>
        <v>1</v>
      </c>
      <c r="F29" s="252">
        <f t="shared" si="6"/>
        <v>1</v>
      </c>
      <c r="G29" s="252">
        <f t="shared" si="6"/>
        <v>1</v>
      </c>
      <c r="H29" s="323">
        <f t="shared" si="6"/>
        <v>1</v>
      </c>
      <c r="I29" s="324">
        <f>H29/H29</f>
        <v>1</v>
      </c>
      <c r="J29" s="323">
        <f>SUM(J30:J31)</f>
        <v>1</v>
      </c>
    </row>
    <row r="30" spans="2:12" x14ac:dyDescent="0.3">
      <c r="B30" s="111" t="str">
        <f>+Proporções!B6</f>
        <v>Recebimento de Canoas</v>
      </c>
      <c r="C30" s="253">
        <f>('C. Demanda'!C20*C17)/(('C. Demanda'!C20*C17)+('C. Demanda'!C21*C18)+('C. Demanda'!C22*C19))</f>
        <v>1</v>
      </c>
      <c r="D30" s="253">
        <f>('C. Demanda'!D20*D17)/(('C. Demanda'!D20*D17)+('C. Demanda'!D21*D18)+('C. Demanda'!D22*D19))</f>
        <v>1</v>
      </c>
      <c r="E30" s="253">
        <f>('C. Demanda'!E20*E17)/(('C. Demanda'!E20*E17)+('C. Demanda'!E21*E18)+('C. Demanda'!E22*E19))</f>
        <v>1</v>
      </c>
      <c r="F30" s="253">
        <f>('C. Demanda'!F20*F17)/(('C. Demanda'!F20*F17)+('C. Demanda'!F21*F18)+('C. Demanda'!F22*F19))</f>
        <v>1</v>
      </c>
      <c r="G30" s="253">
        <f>('C. Demanda'!G20*G17)/(('C. Demanda'!G20*G17)+('C. Demanda'!G21*G18)+('C. Demanda'!G22*G19))</f>
        <v>1</v>
      </c>
      <c r="H30" s="253">
        <f>('C. Demanda'!H20*H17)/(('C. Demanda'!H20*H17)+('C. Demanda'!H21*H18)+('C. Demanda'!H22*H19))</f>
        <v>1</v>
      </c>
      <c r="I30" s="251">
        <f>H30/H29</f>
        <v>1</v>
      </c>
      <c r="J30" s="253">
        <f>('C. Demanda'!J20*J17)/(('C. Demanda'!J20*J17)+('C. Demanda'!J21*J18)+('C. Demanda'!J22*J19))</f>
        <v>1</v>
      </c>
      <c r="L30" s="27"/>
    </row>
    <row r="31" spans="2:12" hidden="1" x14ac:dyDescent="0.3">
      <c r="B31" s="111">
        <f>+Proporções!B7</f>
        <v>0</v>
      </c>
      <c r="C31" s="253">
        <f>('C. Demanda'!C21*C18)/(('C. Demanda'!C20*C17)+('C. Demanda'!C21*C18)+('C. Demanda'!C22*C19))</f>
        <v>0</v>
      </c>
      <c r="D31" s="253">
        <f>('C. Demanda'!D21*D18)/(('C. Demanda'!D20*D17)+('C. Demanda'!D21*D18)+('C. Demanda'!D22*D19))</f>
        <v>0</v>
      </c>
      <c r="E31" s="253">
        <f>('C. Demanda'!E21*E18)/(('C. Demanda'!E20*E17)+('C. Demanda'!E21*E18)+('C. Demanda'!E22*E19))</f>
        <v>0</v>
      </c>
      <c r="F31" s="253">
        <f>('C. Demanda'!F21*F18)/(('C. Demanda'!F20*F17)+('C. Demanda'!F21*F18)+('C. Demanda'!F22*F19))</f>
        <v>0</v>
      </c>
      <c r="G31" s="253">
        <f>('C. Demanda'!G21*G18)/(('C. Demanda'!G20*G17)+('C. Demanda'!G21*G18)+('C. Demanda'!G22*G19))</f>
        <v>0</v>
      </c>
      <c r="H31" s="253">
        <f>('C. Demanda'!H21*H18)/(('C. Demanda'!H20*H17)+('C. Demanda'!H21*H18)+('C. Demanda'!H22*H19))</f>
        <v>0</v>
      </c>
      <c r="I31" s="251">
        <f>H31/H29</f>
        <v>0</v>
      </c>
      <c r="J31" s="253">
        <f>('C. Demanda'!J21*J18)/(('C. Demanda'!J20*J17)+('C. Demanda'!J21*J18)+('C. Demanda'!J22*J19))</f>
        <v>0</v>
      </c>
      <c r="L31" s="27"/>
    </row>
    <row r="32" spans="2:12" hidden="1" x14ac:dyDescent="0.3">
      <c r="B32" s="111">
        <f>+Proporções!B8</f>
        <v>0</v>
      </c>
      <c r="C32" s="332">
        <f>('C. Demanda'!C22*C19)/(('C. Demanda'!C20*C17)+('C. Demanda'!C21*C18)+('C. Demanda'!C22*C19))</f>
        <v>0</v>
      </c>
      <c r="D32" s="332">
        <f>('C. Demanda'!D22*D19)/(('C. Demanda'!D20*D17)+('C. Demanda'!D21*D18)+('C. Demanda'!D22*D19))</f>
        <v>0</v>
      </c>
      <c r="E32" s="332">
        <f>('C. Demanda'!E22*E19)/(('C. Demanda'!E20*E17)+('C. Demanda'!E21*E18)+('C. Demanda'!E22*E19))</f>
        <v>0</v>
      </c>
      <c r="F32" s="332">
        <f>('C. Demanda'!F22*F19)/(('C. Demanda'!F20*F17)+('C. Demanda'!F21*F18)+('C. Demanda'!F22*F19))</f>
        <v>0</v>
      </c>
      <c r="G32" s="332">
        <f>('C. Demanda'!G22*G19)/(('C. Demanda'!G20*G17)+('C. Demanda'!G21*G18)+('C. Demanda'!G22*G19))</f>
        <v>0</v>
      </c>
      <c r="H32" s="332">
        <f>('C. Demanda'!H22*H19)/(('C. Demanda'!H20*H17)+('C. Demanda'!H21*H18)+('C. Demanda'!H22*H19))</f>
        <v>0</v>
      </c>
      <c r="I32" s="331">
        <f>H32/H29</f>
        <v>0</v>
      </c>
      <c r="J32" s="332">
        <f>('C. Demanda'!J22*J19)/(('C. Demanda'!J20*J17)+('C. Demanda'!J21*J18)+('C. Demanda'!J22*J19))</f>
        <v>0</v>
      </c>
      <c r="L32" s="27"/>
    </row>
    <row r="33" spans="1:11" x14ac:dyDescent="0.3">
      <c r="B33" s="31"/>
      <c r="C33" s="31"/>
      <c r="D33" s="31"/>
      <c r="E33" s="31"/>
      <c r="F33" s="31"/>
      <c r="G33" s="31"/>
      <c r="H33" s="31"/>
      <c r="I33" s="31"/>
      <c r="J33" s="31"/>
    </row>
    <row r="34" spans="1:11" ht="15" x14ac:dyDescent="0.3">
      <c r="B34" s="11" t="s">
        <v>210</v>
      </c>
      <c r="C34" s="31"/>
      <c r="D34" s="31"/>
      <c r="E34" s="31"/>
      <c r="F34" s="31"/>
      <c r="G34" s="31"/>
      <c r="H34" s="31"/>
      <c r="I34" s="31"/>
      <c r="J34" s="31"/>
    </row>
    <row r="35" spans="1:11" x14ac:dyDescent="0.3">
      <c r="B35" s="247"/>
      <c r="C35" s="113">
        <f>C4</f>
        <v>2024</v>
      </c>
      <c r="D35" s="113">
        <f t="shared" ref="D35:G35" si="7">D4</f>
        <v>2025</v>
      </c>
      <c r="E35" s="113">
        <f t="shared" si="7"/>
        <v>2026</v>
      </c>
      <c r="F35" s="113">
        <f t="shared" si="7"/>
        <v>2027</v>
      </c>
      <c r="G35" s="113">
        <f t="shared" si="7"/>
        <v>2028</v>
      </c>
      <c r="H35" s="64" t="s">
        <v>77</v>
      </c>
      <c r="I35" s="64" t="s">
        <v>13</v>
      </c>
      <c r="J35" s="64" t="s">
        <v>78</v>
      </c>
    </row>
    <row r="36" spans="1:11" x14ac:dyDescent="0.3">
      <c r="B36" s="110"/>
      <c r="C36" s="252">
        <f t="shared" ref="C36:J36" si="8">SUM(C37:C38)</f>
        <v>1</v>
      </c>
      <c r="D36" s="252">
        <f t="shared" si="8"/>
        <v>1</v>
      </c>
      <c r="E36" s="252">
        <f t="shared" si="8"/>
        <v>1</v>
      </c>
      <c r="F36" s="252">
        <f t="shared" si="8"/>
        <v>1</v>
      </c>
      <c r="G36" s="252">
        <f t="shared" si="8"/>
        <v>1</v>
      </c>
      <c r="H36" s="252">
        <f t="shared" si="8"/>
        <v>1</v>
      </c>
      <c r="I36" s="252">
        <f t="shared" si="8"/>
        <v>1</v>
      </c>
      <c r="J36" s="252">
        <f t="shared" si="8"/>
        <v>1</v>
      </c>
    </row>
    <row r="37" spans="1:11" x14ac:dyDescent="0.3">
      <c r="B37" s="112" t="str">
        <f>+Proporções!B13</f>
        <v>Ponto de Saída Triunfo</v>
      </c>
      <c r="C37" s="253">
        <f>('C. Demanda'!C27*C24)/(('C. Demanda'!C$27*C$24)+('C. Demanda'!C$28*C$25))</f>
        <v>1</v>
      </c>
      <c r="D37" s="253">
        <f>('C. Demanda'!D27*D24)/(('C. Demanda'!D$27*D$24)+('C. Demanda'!D$28*D$25))</f>
        <v>1</v>
      </c>
      <c r="E37" s="253">
        <f>('C. Demanda'!E27*E24)/(('C. Demanda'!E$27*E$24)+('C. Demanda'!E$28*E$25))</f>
        <v>1</v>
      </c>
      <c r="F37" s="253">
        <f>('C. Demanda'!F27*F24)/(('C. Demanda'!F$27*F$24)+('C. Demanda'!F$28*F$25))</f>
        <v>1</v>
      </c>
      <c r="G37" s="253">
        <f>('C. Demanda'!G27*G24)/(('C. Demanda'!G$27*G$24)+('C. Demanda'!G$28*G$25))</f>
        <v>1</v>
      </c>
      <c r="H37" s="253">
        <f>('C. Demanda'!H27*H24)/(('C. Demanda'!H$27*H$24)+('C. Demanda'!H$28*H$25))</f>
        <v>1</v>
      </c>
      <c r="I37" s="253">
        <f>('C. Demanda'!I27*I24)/(('C. Demanda'!I$27*I$24)+('C. Demanda'!I$28*I$25))</f>
        <v>1</v>
      </c>
      <c r="J37" s="253">
        <f>('C. Demanda'!J27*J24)/(('C. Demanda'!J$27*J$24)+('C. Demanda'!J$28*J$25))</f>
        <v>1</v>
      </c>
      <c r="K37" s="54"/>
    </row>
    <row r="38" spans="1:11" hidden="1" x14ac:dyDescent="0.3">
      <c r="B38" s="112">
        <f>+Proporções!B14</f>
        <v>0</v>
      </c>
      <c r="C38" s="253">
        <f>('C. Demanda'!C28*C25)/(('C. Demanda'!C$27*C$24)+('C. Demanda'!C$28*C$25))</f>
        <v>0</v>
      </c>
      <c r="D38" s="253">
        <f>('C. Demanda'!D28*D25)/(('C. Demanda'!D$27*D$24)+('C. Demanda'!D$28*D$25))</f>
        <v>0</v>
      </c>
      <c r="E38" s="253">
        <f>('C. Demanda'!E28*E25)/(('C. Demanda'!E$27*E$24)+('C. Demanda'!E$28*E$25))</f>
        <v>0</v>
      </c>
      <c r="F38" s="253">
        <f>('C. Demanda'!F28*F25)/(('C. Demanda'!F$27*F$24)+('C. Demanda'!F$28*F$25))</f>
        <v>0</v>
      </c>
      <c r="G38" s="253">
        <f>('C. Demanda'!G28*G25)/(('C. Demanda'!G$27*G$24)+('C. Demanda'!G$28*G$25))</f>
        <v>0</v>
      </c>
      <c r="H38" s="253">
        <f>('C. Demanda'!H28*H25)/(('C. Demanda'!H$27*H$24)+('C. Demanda'!H$28*H$25))</f>
        <v>0</v>
      </c>
      <c r="I38" s="253">
        <f>('C. Demanda'!I28*I25)/(('C. Demanda'!I$27*I$24)+('C. Demanda'!I$28*I$25))</f>
        <v>0</v>
      </c>
      <c r="J38" s="253">
        <f>('C. Demanda'!J28*J25)/(('C. Demanda'!J$27*J$24)+('C. Demanda'!J$28*J$25))</f>
        <v>0</v>
      </c>
      <c r="K38" s="54"/>
    </row>
    <row r="40" spans="1:11" x14ac:dyDescent="0.3">
      <c r="B40" s="11" t="s">
        <v>211</v>
      </c>
    </row>
    <row r="41" spans="1:11" ht="14.4" thickBot="1" x14ac:dyDescent="0.35">
      <c r="B41" s="244"/>
      <c r="C41" s="245">
        <f>C4</f>
        <v>2024</v>
      </c>
      <c r="D41" s="245">
        <f t="shared" ref="D41:G41" si="9">D4</f>
        <v>2025</v>
      </c>
      <c r="E41" s="245">
        <f t="shared" si="9"/>
        <v>2026</v>
      </c>
      <c r="F41" s="245">
        <f t="shared" si="9"/>
        <v>2027</v>
      </c>
      <c r="G41" s="245">
        <f t="shared" si="9"/>
        <v>2028</v>
      </c>
      <c r="H41" s="246" t="s">
        <v>77</v>
      </c>
      <c r="I41" s="254" t="s">
        <v>13</v>
      </c>
      <c r="J41" s="246" t="s">
        <v>78</v>
      </c>
    </row>
    <row r="42" spans="1:11" ht="14.4" thickBot="1" x14ac:dyDescent="0.35">
      <c r="A42" s="329">
        <v>1</v>
      </c>
      <c r="B42" s="255" t="s">
        <v>39</v>
      </c>
      <c r="C42" s="328">
        <f>'FC E-S'!C12*$A$42</f>
        <v>16051.608301392995</v>
      </c>
      <c r="D42" s="328">
        <f>'FC E-S'!D12*$A$42</f>
        <v>16007.751619625044</v>
      </c>
      <c r="E42" s="328">
        <f>'FC E-S'!E12*$A$42</f>
        <v>16007.751619625044</v>
      </c>
      <c r="F42" s="328">
        <f>'FC E-S'!F12*$A$42</f>
        <v>16007.751619625044</v>
      </c>
      <c r="G42" s="328">
        <f>'FC E-S'!G12*$A$42</f>
        <v>16051.608473377441</v>
      </c>
      <c r="H42" s="258">
        <f>SUM(C42:G42)</f>
        <v>80126.47163364556</v>
      </c>
      <c r="I42" s="107">
        <f>SUM(I43:I44)</f>
        <v>1</v>
      </c>
      <c r="J42" s="259">
        <f>AVERAGE(C42:G42)</f>
        <v>16025.294326729112</v>
      </c>
    </row>
    <row r="43" spans="1:11" ht="15.6" thickBot="1" x14ac:dyDescent="0.35">
      <c r="B43" s="256" t="s">
        <v>212</v>
      </c>
      <c r="C43" s="260">
        <f>C$42*'Cálculo Encargos ECE, ECT e ECS'!$I43</f>
        <v>11236.125810975096</v>
      </c>
      <c r="D43" s="260">
        <f>D$42*'Cálculo Encargos ECE, ECT e ECS'!$I43</f>
        <v>11205.42613373753</v>
      </c>
      <c r="E43" s="260">
        <f>E$42*'Cálculo Encargos ECE, ECT e ECS'!$I43</f>
        <v>11205.42613373753</v>
      </c>
      <c r="F43" s="260">
        <f>F$42*'Cálculo Encargos ECE, ECT e ECS'!$I43</f>
        <v>11205.42613373753</v>
      </c>
      <c r="G43" s="260">
        <f>G$42*'Cálculo Encargos ECE, ECT e ECS'!$I43</f>
        <v>11236.125931364208</v>
      </c>
      <c r="H43" s="258">
        <f>SUM(C43:G43)</f>
        <v>56088.530143551892</v>
      </c>
      <c r="I43" s="261">
        <v>0.7</v>
      </c>
      <c r="J43" s="259">
        <f>AVERAGE(C43:G43)</f>
        <v>11217.706028710378</v>
      </c>
    </row>
    <row r="44" spans="1:11" ht="15" x14ac:dyDescent="0.3">
      <c r="B44" s="256" t="s">
        <v>213</v>
      </c>
      <c r="C44" s="260">
        <f>C$42*'Cálculo Encargos ECE, ECT e ECS'!$I44</f>
        <v>4815.4824904178995</v>
      </c>
      <c r="D44" s="260">
        <f>D$42*'Cálculo Encargos ECE, ECT e ECS'!$I44</f>
        <v>4802.3254858875134</v>
      </c>
      <c r="E44" s="260">
        <f>E$42*'Cálculo Encargos ECE, ECT e ECS'!$I44</f>
        <v>4802.3254858875134</v>
      </c>
      <c r="F44" s="260">
        <f>F$42*'Cálculo Encargos ECE, ECT e ECS'!$I44</f>
        <v>4802.3254858875134</v>
      </c>
      <c r="G44" s="260">
        <f>G$42*'Cálculo Encargos ECE, ECT e ECS'!$I44</f>
        <v>4815.4825420132329</v>
      </c>
      <c r="H44" s="258">
        <f>SUM(C44:G44)</f>
        <v>24037.941490093672</v>
      </c>
      <c r="I44" s="275">
        <f>1-I43</f>
        <v>0.30000000000000004</v>
      </c>
      <c r="J44" s="259">
        <f>AVERAGE(C44:G44)</f>
        <v>4807.5882980187343</v>
      </c>
    </row>
    <row r="45" spans="1:11" x14ac:dyDescent="0.3">
      <c r="F45" s="26"/>
      <c r="G45" s="26"/>
      <c r="H45" s="26"/>
      <c r="I45" s="26"/>
      <c r="J45" s="26"/>
    </row>
    <row r="46" spans="1:11" ht="15" x14ac:dyDescent="0.3">
      <c r="B46" s="11" t="s">
        <v>214</v>
      </c>
      <c r="F46" s="26"/>
      <c r="G46" s="26"/>
      <c r="H46" s="26"/>
      <c r="I46" s="26"/>
      <c r="J46" s="26"/>
    </row>
    <row r="47" spans="1:11" x14ac:dyDescent="0.3">
      <c r="B47" s="244"/>
      <c r="C47" s="245">
        <f>C4</f>
        <v>2024</v>
      </c>
      <c r="D47" s="245">
        <f t="shared" ref="D47:G47" si="10">D4</f>
        <v>2025</v>
      </c>
      <c r="E47" s="245">
        <f t="shared" si="10"/>
        <v>2026</v>
      </c>
      <c r="F47" s="245">
        <f t="shared" si="10"/>
        <v>2027</v>
      </c>
      <c r="G47" s="245">
        <f t="shared" si="10"/>
        <v>2028</v>
      </c>
      <c r="H47" s="246" t="s">
        <v>77</v>
      </c>
      <c r="I47" s="246" t="s">
        <v>13</v>
      </c>
      <c r="J47" s="246" t="s">
        <v>78</v>
      </c>
    </row>
    <row r="48" spans="1:11" x14ac:dyDescent="0.3">
      <c r="B48" s="255"/>
      <c r="C48" s="257">
        <f>SUM(C49:C51)</f>
        <v>11236.125810975096</v>
      </c>
      <c r="D48" s="257">
        <f t="shared" ref="D48:G48" si="11">SUM(D49:D51)</f>
        <v>11205.42613373753</v>
      </c>
      <c r="E48" s="257">
        <f t="shared" si="11"/>
        <v>11205.42613373753</v>
      </c>
      <c r="F48" s="257">
        <f t="shared" si="11"/>
        <v>11205.42613373753</v>
      </c>
      <c r="G48" s="257">
        <f t="shared" si="11"/>
        <v>11236.125931364208</v>
      </c>
      <c r="H48" s="250">
        <f>SUM(C48:G48)</f>
        <v>56088.530143551892</v>
      </c>
      <c r="I48" s="251">
        <f>H48/H48</f>
        <v>1</v>
      </c>
      <c r="J48" s="126">
        <f>AVERAGE(C48:G48)</f>
        <v>11217.706028710378</v>
      </c>
    </row>
    <row r="49" spans="2:10" x14ac:dyDescent="0.3">
      <c r="B49" s="256" t="str">
        <f>+Proporções!B6</f>
        <v>Recebimento de Canoas</v>
      </c>
      <c r="C49" s="260">
        <f t="shared" ref="C49:G51" si="12">C$43*C30</f>
        <v>11236.125810975096</v>
      </c>
      <c r="D49" s="260">
        <f t="shared" si="12"/>
        <v>11205.42613373753</v>
      </c>
      <c r="E49" s="260">
        <f t="shared" si="12"/>
        <v>11205.42613373753</v>
      </c>
      <c r="F49" s="260">
        <f t="shared" si="12"/>
        <v>11205.42613373753</v>
      </c>
      <c r="G49" s="260">
        <f t="shared" si="12"/>
        <v>11236.125931364208</v>
      </c>
      <c r="H49" s="250">
        <f>SUM(C49:G49)</f>
        <v>56088.530143551892</v>
      </c>
      <c r="I49" s="251">
        <f>H49/H48</f>
        <v>1</v>
      </c>
      <c r="J49" s="126">
        <f>AVERAGE(C49:G49)</f>
        <v>11217.706028710378</v>
      </c>
    </row>
    <row r="50" spans="2:10" hidden="1" x14ac:dyDescent="0.3">
      <c r="B50" s="256">
        <f>+Proporções!B7</f>
        <v>0</v>
      </c>
      <c r="C50" s="260">
        <f t="shared" si="12"/>
        <v>0</v>
      </c>
      <c r="D50" s="260">
        <f t="shared" si="12"/>
        <v>0</v>
      </c>
      <c r="E50" s="260">
        <f t="shared" si="12"/>
        <v>0</v>
      </c>
      <c r="F50" s="260">
        <f t="shared" si="12"/>
        <v>0</v>
      </c>
      <c r="G50" s="260">
        <f t="shared" si="12"/>
        <v>0</v>
      </c>
      <c r="H50" s="250">
        <f>SUM(C50:G50)</f>
        <v>0</v>
      </c>
      <c r="I50" s="251">
        <f>H50/H48</f>
        <v>0</v>
      </c>
      <c r="J50" s="126">
        <f>AVERAGE(C50:G50)</f>
        <v>0</v>
      </c>
    </row>
    <row r="51" spans="2:10" hidden="1" x14ac:dyDescent="0.3">
      <c r="B51" s="256">
        <f>+Proporções!B8</f>
        <v>0</v>
      </c>
      <c r="C51" s="333">
        <f t="shared" si="12"/>
        <v>0</v>
      </c>
      <c r="D51" s="333">
        <f t="shared" si="12"/>
        <v>0</v>
      </c>
      <c r="E51" s="333">
        <f t="shared" si="12"/>
        <v>0</v>
      </c>
      <c r="F51" s="333">
        <f t="shared" si="12"/>
        <v>0</v>
      </c>
      <c r="G51" s="333">
        <f t="shared" si="12"/>
        <v>0</v>
      </c>
      <c r="H51" s="98">
        <f>SUM(C51:G51)</f>
        <v>0</v>
      </c>
      <c r="I51" s="331">
        <f>H51/H48</f>
        <v>0</v>
      </c>
      <c r="J51" s="334">
        <f>AVERAGE(C51:G51)</f>
        <v>0</v>
      </c>
    </row>
    <row r="52" spans="2:10" x14ac:dyDescent="0.3">
      <c r="B52" s="31"/>
      <c r="C52" s="31"/>
      <c r="D52" s="31"/>
      <c r="E52" s="31"/>
      <c r="F52" s="31"/>
      <c r="G52" s="31"/>
      <c r="H52" s="31"/>
      <c r="I52" s="31"/>
      <c r="J52" s="31"/>
    </row>
    <row r="53" spans="2:10" ht="15" x14ac:dyDescent="0.3">
      <c r="B53" s="11" t="s">
        <v>215</v>
      </c>
      <c r="C53" s="31"/>
      <c r="D53" s="31"/>
      <c r="E53" s="31"/>
      <c r="F53" s="31"/>
      <c r="G53" s="31"/>
      <c r="H53" s="31"/>
      <c r="I53" s="31"/>
      <c r="J53" s="31"/>
    </row>
    <row r="54" spans="2:10" x14ac:dyDescent="0.3">
      <c r="B54" s="244"/>
      <c r="C54" s="245">
        <f>C4</f>
        <v>2024</v>
      </c>
      <c r="D54" s="245">
        <f t="shared" ref="D54:G54" si="13">D4</f>
        <v>2025</v>
      </c>
      <c r="E54" s="245">
        <f t="shared" si="13"/>
        <v>2026</v>
      </c>
      <c r="F54" s="245">
        <f t="shared" si="13"/>
        <v>2027</v>
      </c>
      <c r="G54" s="245">
        <f t="shared" si="13"/>
        <v>2028</v>
      </c>
      <c r="H54" s="246" t="s">
        <v>77</v>
      </c>
      <c r="I54" s="246" t="s">
        <v>13</v>
      </c>
      <c r="J54" s="246" t="s">
        <v>78</v>
      </c>
    </row>
    <row r="55" spans="2:10" x14ac:dyDescent="0.3">
      <c r="B55" s="262"/>
      <c r="C55" s="263">
        <f>SUM(C56:C57)</f>
        <v>4815.4824904178995</v>
      </c>
      <c r="D55" s="263">
        <f>SUM(D56:D57)</f>
        <v>4802.3254858875134</v>
      </c>
      <c r="E55" s="263">
        <f>SUM(E56:E57)</f>
        <v>4802.3254858875134</v>
      </c>
      <c r="F55" s="263">
        <f>SUM(F56:F57)</f>
        <v>4802.3254858875134</v>
      </c>
      <c r="G55" s="263">
        <f>SUM(G56:G57)</f>
        <v>4815.4825420132329</v>
      </c>
      <c r="H55" s="250">
        <f>SUM(C55:G55)</f>
        <v>24037.941490093672</v>
      </c>
      <c r="I55" s="251">
        <f>+H55/$H$55</f>
        <v>1</v>
      </c>
      <c r="J55" s="126">
        <f>AVERAGE(C55:G55)</f>
        <v>4807.5882980187343</v>
      </c>
    </row>
    <row r="56" spans="2:10" x14ac:dyDescent="0.3">
      <c r="B56" s="325" t="str">
        <f>+Proporções!B13</f>
        <v>Ponto de Saída Triunfo</v>
      </c>
      <c r="C56" s="264">
        <f t="shared" ref="C56:G57" si="14">C$44*C37</f>
        <v>4815.4824904178995</v>
      </c>
      <c r="D56" s="264">
        <f t="shared" si="14"/>
        <v>4802.3254858875134</v>
      </c>
      <c r="E56" s="264">
        <f t="shared" si="14"/>
        <v>4802.3254858875134</v>
      </c>
      <c r="F56" s="264">
        <f t="shared" si="14"/>
        <v>4802.3254858875134</v>
      </c>
      <c r="G56" s="264">
        <f t="shared" si="14"/>
        <v>4815.4825420132329</v>
      </c>
      <c r="H56" s="250">
        <f t="shared" ref="H56" si="15">SUM(C56:G56)</f>
        <v>24037.941490093672</v>
      </c>
      <c r="I56" s="251">
        <f t="shared" ref="I56:I57" si="16">+H56/$H$55</f>
        <v>1</v>
      </c>
      <c r="J56" s="126">
        <f t="shared" ref="J56:J57" si="17">AVERAGE(C56:G56)</f>
        <v>4807.5882980187343</v>
      </c>
    </row>
    <row r="57" spans="2:10" hidden="1" x14ac:dyDescent="0.3">
      <c r="B57" s="325">
        <f>+Proporções!B14</f>
        <v>0</v>
      </c>
      <c r="C57" s="335">
        <f t="shared" si="14"/>
        <v>0</v>
      </c>
      <c r="D57" s="335">
        <f t="shared" si="14"/>
        <v>0</v>
      </c>
      <c r="E57" s="335">
        <f t="shared" si="14"/>
        <v>0</v>
      </c>
      <c r="F57" s="335">
        <f t="shared" si="14"/>
        <v>0</v>
      </c>
      <c r="G57" s="335">
        <f t="shared" si="14"/>
        <v>0</v>
      </c>
      <c r="H57" s="98">
        <f>SUM(C57:G57)</f>
        <v>0</v>
      </c>
      <c r="I57" s="331">
        <f t="shared" si="16"/>
        <v>0</v>
      </c>
      <c r="J57" s="334">
        <f t="shared" si="17"/>
        <v>0</v>
      </c>
    </row>
    <row r="59" spans="2:10" ht="14.4" thickBot="1" x14ac:dyDescent="0.35"/>
    <row r="60" spans="2:10" ht="14.4" thickBot="1" x14ac:dyDescent="0.35">
      <c r="B60" s="23" t="s">
        <v>216</v>
      </c>
      <c r="C60" s="320">
        <f>C4</f>
        <v>2024</v>
      </c>
      <c r="D60" s="320">
        <f t="shared" ref="D60:G60" si="18">D4</f>
        <v>2025</v>
      </c>
      <c r="E60" s="320">
        <f t="shared" si="18"/>
        <v>2026</v>
      </c>
      <c r="F60" s="320">
        <f t="shared" si="18"/>
        <v>2027</v>
      </c>
      <c r="G60" s="320">
        <f t="shared" si="18"/>
        <v>2028</v>
      </c>
    </row>
    <row r="61" spans="2:10" ht="14.4" thickBot="1" x14ac:dyDescent="0.35">
      <c r="B61" s="23" t="s">
        <v>217</v>
      </c>
      <c r="C61" s="267">
        <v>0.5</v>
      </c>
      <c r="D61" s="267">
        <v>0.5</v>
      </c>
      <c r="E61" s="267">
        <v>0.5</v>
      </c>
      <c r="F61" s="267">
        <v>0.5</v>
      </c>
      <c r="G61" s="267">
        <v>0.5</v>
      </c>
    </row>
    <row r="62" spans="2:10" ht="14.4" thickBot="1" x14ac:dyDescent="0.35">
      <c r="B62" s="321" t="s">
        <v>218</v>
      </c>
      <c r="C62" s="108">
        <f>1-C61</f>
        <v>0.5</v>
      </c>
      <c r="D62" s="108">
        <f t="shared" ref="D62:G62" si="19">1-D61</f>
        <v>0.5</v>
      </c>
      <c r="E62" s="108">
        <f t="shared" si="19"/>
        <v>0.5</v>
      </c>
      <c r="F62" s="108">
        <f t="shared" si="19"/>
        <v>0.5</v>
      </c>
      <c r="G62" s="108">
        <f t="shared" si="19"/>
        <v>0.5</v>
      </c>
    </row>
    <row r="63" spans="2:10" ht="14.4" thickBot="1" x14ac:dyDescent="0.35">
      <c r="B63" s="118"/>
      <c r="C63" s="118"/>
    </row>
    <row r="64" spans="2:10" ht="14.4" thickBot="1" x14ac:dyDescent="0.35">
      <c r="B64" s="23" t="s">
        <v>219</v>
      </c>
      <c r="C64" s="320">
        <f>C4</f>
        <v>2024</v>
      </c>
      <c r="D64" s="320">
        <f t="shared" ref="D64:G64" si="20">D4</f>
        <v>2025</v>
      </c>
      <c r="E64" s="320">
        <f t="shared" si="20"/>
        <v>2026</v>
      </c>
      <c r="F64" s="320">
        <f t="shared" si="20"/>
        <v>2027</v>
      </c>
      <c r="G64" s="320">
        <f t="shared" si="20"/>
        <v>2028</v>
      </c>
    </row>
    <row r="65" spans="2:9" ht="14.4" thickBot="1" x14ac:dyDescent="0.35">
      <c r="B65" s="23" t="s">
        <v>217</v>
      </c>
      <c r="C65" s="267">
        <f>C61</f>
        <v>0.5</v>
      </c>
      <c r="D65" s="267">
        <f t="shared" ref="D65:G65" si="21">D61</f>
        <v>0.5</v>
      </c>
      <c r="E65" s="267">
        <f t="shared" si="21"/>
        <v>0.5</v>
      </c>
      <c r="F65" s="267">
        <f t="shared" si="21"/>
        <v>0.5</v>
      </c>
      <c r="G65" s="267">
        <f t="shared" si="21"/>
        <v>0.5</v>
      </c>
    </row>
    <row r="66" spans="2:9" ht="14.4" thickBot="1" x14ac:dyDescent="0.35">
      <c r="B66" s="321" t="s">
        <v>218</v>
      </c>
      <c r="C66" s="108">
        <f>1-C65</f>
        <v>0.5</v>
      </c>
      <c r="D66" s="108">
        <f t="shared" ref="D66:G66" si="22">1-D65</f>
        <v>0.5</v>
      </c>
      <c r="E66" s="108">
        <f t="shared" si="22"/>
        <v>0.5</v>
      </c>
      <c r="F66" s="108">
        <f t="shared" si="22"/>
        <v>0.5</v>
      </c>
      <c r="G66" s="108">
        <f t="shared" si="22"/>
        <v>0.5</v>
      </c>
    </row>
    <row r="67" spans="2:9" x14ac:dyDescent="0.3">
      <c r="B67" s="118"/>
      <c r="C67" s="118"/>
    </row>
    <row r="68" spans="2:9" x14ac:dyDescent="0.3">
      <c r="B68" s="118"/>
      <c r="C68" s="118"/>
    </row>
    <row r="69" spans="2:9" ht="15.6" x14ac:dyDescent="0.3">
      <c r="B69" s="352" t="s">
        <v>220</v>
      </c>
      <c r="C69" s="118"/>
    </row>
    <row r="70" spans="2:9" ht="15" x14ac:dyDescent="0.3">
      <c r="B70" s="11" t="s">
        <v>221</v>
      </c>
    </row>
    <row r="71" spans="2:9" x14ac:dyDescent="0.3">
      <c r="B71" s="247"/>
      <c r="C71" s="113">
        <f>C4</f>
        <v>2024</v>
      </c>
      <c r="D71" s="113">
        <f t="shared" ref="D71:G71" si="23">D4</f>
        <v>2025</v>
      </c>
      <c r="E71" s="113">
        <f t="shared" si="23"/>
        <v>2026</v>
      </c>
      <c r="F71" s="113">
        <f t="shared" si="23"/>
        <v>2027</v>
      </c>
      <c r="G71" s="113">
        <f t="shared" si="23"/>
        <v>2028</v>
      </c>
    </row>
    <row r="72" spans="2:9" x14ac:dyDescent="0.3">
      <c r="B72" s="110" t="s">
        <v>222</v>
      </c>
      <c r="C72" s="318"/>
      <c r="D72" s="318"/>
      <c r="E72" s="318"/>
      <c r="F72" s="318"/>
      <c r="G72" s="318"/>
    </row>
    <row r="73" spans="2:9" x14ac:dyDescent="0.3">
      <c r="B73" s="111" t="str">
        <f>+B49</f>
        <v>Recebimento de Canoas</v>
      </c>
      <c r="C73" s="274">
        <f>(C$62*C49*1000)/('C. Demanda'!C34)</f>
        <v>0.5143767422029516</v>
      </c>
      <c r="D73" s="274">
        <f>(D$62*D49*1000)/('C. Demanda'!D34)</f>
        <v>0.51437674771422481</v>
      </c>
      <c r="E73" s="274">
        <f>(E$62*E49*1000)/('C. Demanda'!E34)</f>
        <v>0.51437674771422481</v>
      </c>
      <c r="F73" s="274">
        <f>(F$62*F49*1000)/('C. Demanda'!F34)</f>
        <v>0.51437674771422481</v>
      </c>
      <c r="G73" s="274">
        <f>(G$62*G49*1000)/('C. Demanda'!G34)</f>
        <v>0.51437674771422492</v>
      </c>
    </row>
    <row r="74" spans="2:9" hidden="1" x14ac:dyDescent="0.3">
      <c r="B74" s="111"/>
      <c r="C74" s="274"/>
      <c r="D74" s="274"/>
      <c r="E74" s="274"/>
      <c r="F74" s="274"/>
      <c r="G74" s="274"/>
    </row>
    <row r="75" spans="2:9" hidden="1" x14ac:dyDescent="0.3">
      <c r="B75" s="111">
        <f>+B51</f>
        <v>0</v>
      </c>
      <c r="C75" s="336">
        <f>IF('C. Demanda'!C8&gt;0,((C$62*C51*1000)/('C. Demanda'!C36)),0)</f>
        <v>0</v>
      </c>
      <c r="D75" s="336">
        <f>IF('C. Demanda'!D8&gt;0,((D$62*D51*1000)/('C. Demanda'!D36)),0)</f>
        <v>0</v>
      </c>
      <c r="E75" s="336">
        <f>IF('C. Demanda'!E8&gt;0,((E$62*E51*1000)/('C. Demanda'!E36)),0)</f>
        <v>0</v>
      </c>
      <c r="F75" s="336">
        <f>IF('C. Demanda'!F8&gt;0,((F$62*F51*1000)/('C. Demanda'!F36)),0)</f>
        <v>0</v>
      </c>
      <c r="G75" s="336">
        <f>IF('C. Demanda'!G8&gt;0,((G$62*G51*1000)/('C. Demanda'!G36)),0)</f>
        <v>0</v>
      </c>
    </row>
    <row r="76" spans="2:9" x14ac:dyDescent="0.3">
      <c r="B76" s="31"/>
      <c r="C76" s="31"/>
      <c r="D76" s="31"/>
      <c r="E76" s="31"/>
      <c r="F76" s="31"/>
      <c r="G76" s="31"/>
      <c r="H76" s="31"/>
      <c r="I76" s="31"/>
    </row>
    <row r="77" spans="2:9" ht="15" x14ac:dyDescent="0.3">
      <c r="B77" s="11" t="s">
        <v>223</v>
      </c>
      <c r="C77" s="31"/>
      <c r="D77" s="31"/>
      <c r="E77" s="31"/>
      <c r="F77" s="31"/>
      <c r="G77" s="31"/>
      <c r="H77" s="31"/>
      <c r="I77" s="31"/>
    </row>
    <row r="78" spans="2:9" x14ac:dyDescent="0.3">
      <c r="B78" s="247"/>
      <c r="C78" s="113">
        <f>C4</f>
        <v>2024</v>
      </c>
      <c r="D78" s="113">
        <f t="shared" ref="D78:G78" si="24">D4</f>
        <v>2025</v>
      </c>
      <c r="E78" s="113">
        <f t="shared" si="24"/>
        <v>2026</v>
      </c>
      <c r="F78" s="113">
        <f t="shared" si="24"/>
        <v>2027</v>
      </c>
      <c r="G78" s="113">
        <f t="shared" si="24"/>
        <v>2028</v>
      </c>
    </row>
    <row r="79" spans="2:9" x14ac:dyDescent="0.3">
      <c r="B79" s="110" t="s">
        <v>224</v>
      </c>
      <c r="C79" s="318"/>
      <c r="D79" s="318"/>
      <c r="E79" s="318"/>
      <c r="F79" s="318"/>
      <c r="G79" s="318"/>
    </row>
    <row r="80" spans="2:9" x14ac:dyDescent="0.3">
      <c r="B80" s="112" t="str">
        <f>+B56</f>
        <v>Ponto de Saída Triunfo</v>
      </c>
      <c r="C80" s="274">
        <f>(C$66*C56*1000)/('C. Demanda'!C41)</f>
        <v>0.22044717522983648</v>
      </c>
      <c r="D80" s="274">
        <f>(D$66*D56*1000)/('C. Demanda'!D41)</f>
        <v>0.22044717759181065</v>
      </c>
      <c r="E80" s="274">
        <f>(E$66*E56*1000)/('C. Demanda'!E41)</f>
        <v>0.22044717759181065</v>
      </c>
      <c r="F80" s="274">
        <f>(F$66*F56*1000)/('C. Demanda'!F41)</f>
        <v>0.22044717759181065</v>
      </c>
      <c r="G80" s="274">
        <f>(G$66*G56*1000)/('C. Demanda'!G41)</f>
        <v>0.22044717759181068</v>
      </c>
    </row>
    <row r="81" spans="2:7" hidden="1" x14ac:dyDescent="0.3">
      <c r="B81" s="112">
        <f>+B57</f>
        <v>0</v>
      </c>
      <c r="C81" s="336">
        <f>IF('C. Demanda'!C14&gt;0,((C$66*C57*1000)/('C. Demanda'!C42)),0)</f>
        <v>0</v>
      </c>
      <c r="D81" s="336">
        <f>IF('C. Demanda'!D14&gt;0,((D$66*D57*1000)/('C. Demanda'!D42)),0)</f>
        <v>0</v>
      </c>
      <c r="E81" s="336">
        <f>IF('C. Demanda'!E14&gt;0,((E$66*E57*1000)/('C. Demanda'!E42)),0)</f>
        <v>0</v>
      </c>
      <c r="F81" s="336">
        <f>IF('C. Demanda'!F14&gt;0,((F$66*F57*1000)/('C. Demanda'!F42)),0)</f>
        <v>0</v>
      </c>
      <c r="G81" s="336">
        <f>IF('C. Demanda'!G14&gt;0,((G$66*G57*1000)/('C. Demanda'!G42)),0)</f>
        <v>0</v>
      </c>
    </row>
    <row r="84" spans="2:7" ht="15.6" x14ac:dyDescent="0.3">
      <c r="B84" s="352" t="s">
        <v>225</v>
      </c>
    </row>
    <row r="85" spans="2:7" ht="15" x14ac:dyDescent="0.3">
      <c r="B85" s="11" t="s">
        <v>226</v>
      </c>
    </row>
    <row r="86" spans="2:7" x14ac:dyDescent="0.3">
      <c r="B86" s="65" t="s">
        <v>227</v>
      </c>
      <c r="C86" s="113">
        <f>C4</f>
        <v>2024</v>
      </c>
      <c r="D86" s="113">
        <f t="shared" ref="D86:G86" si="25">D4</f>
        <v>2025</v>
      </c>
      <c r="E86" s="113">
        <f t="shared" si="25"/>
        <v>2026</v>
      </c>
      <c r="F86" s="113">
        <f t="shared" si="25"/>
        <v>2027</v>
      </c>
      <c r="G86" s="113">
        <f t="shared" si="25"/>
        <v>2028</v>
      </c>
    </row>
    <row r="87" spans="2:7" x14ac:dyDescent="0.3">
      <c r="B87" s="17" t="s">
        <v>228</v>
      </c>
      <c r="C87" s="351">
        <f>((C$61*C43))/((('C. Demanda'!C19)*Premissas!B$56))</f>
        <v>0.5143767422029516</v>
      </c>
      <c r="D87" s="351">
        <f>((D$61*D43))/((('C. Demanda'!D19)*Premissas!C$56))</f>
        <v>0.5143767422029516</v>
      </c>
      <c r="E87" s="351">
        <f>((E$61*E43))/((('C. Demanda'!E19)*Premissas!D$56))</f>
        <v>0.5143767422029516</v>
      </c>
      <c r="F87" s="351">
        <f>((F$61*F43))/((('C. Demanda'!F19)*Premissas!E$56))</f>
        <v>0.5143767422029516</v>
      </c>
      <c r="G87" s="351">
        <f>((G$61*G43))/((('C. Demanda'!G19)*Premissas!F$56))</f>
        <v>0.51437674220295149</v>
      </c>
    </row>
    <row r="89" spans="2:7" ht="15" x14ac:dyDescent="0.3">
      <c r="B89" s="11" t="s">
        <v>229</v>
      </c>
    </row>
    <row r="90" spans="2:7" x14ac:dyDescent="0.3">
      <c r="B90" s="65" t="s">
        <v>230</v>
      </c>
      <c r="C90" s="113">
        <f>C4</f>
        <v>2024</v>
      </c>
      <c r="D90" s="113">
        <f t="shared" ref="D90:G90" si="26">D4</f>
        <v>2025</v>
      </c>
      <c r="E90" s="113">
        <f t="shared" si="26"/>
        <v>2026</v>
      </c>
      <c r="F90" s="113">
        <f t="shared" si="26"/>
        <v>2027</v>
      </c>
      <c r="G90" s="113">
        <f t="shared" si="26"/>
        <v>2028</v>
      </c>
    </row>
    <row r="91" spans="2:7" x14ac:dyDescent="0.3">
      <c r="B91" s="17" t="s">
        <v>228</v>
      </c>
      <c r="C91" s="351">
        <f>((C$65*C44))/(('C. Demanda'!C26)*Premissas!B$56)</f>
        <v>0.22044717522983645</v>
      </c>
      <c r="D91" s="351">
        <f>((D$65*D44))/(('C. Demanda'!D26)*Premissas!C$56)</f>
        <v>0.2204471752298364</v>
      </c>
      <c r="E91" s="351">
        <f>((E$65*E44))/(('C. Demanda'!E26)*Premissas!D$56)</f>
        <v>0.2204471752298364</v>
      </c>
      <c r="F91" s="351">
        <f>((F$65*F44))/(('C. Demanda'!F26)*Premissas!E$56)</f>
        <v>0.2204471752298364</v>
      </c>
      <c r="G91" s="351">
        <f>((G$65*G44))/(('C. Demanda'!G26)*Premissas!F$56)</f>
        <v>0.22044717522983642</v>
      </c>
    </row>
    <row r="94" spans="2:7" ht="15" x14ac:dyDescent="0.3">
      <c r="B94" s="11" t="s">
        <v>231</v>
      </c>
    </row>
    <row r="95" spans="2:7" x14ac:dyDescent="0.3">
      <c r="B95" s="119"/>
      <c r="C95" s="120">
        <f>C4</f>
        <v>2024</v>
      </c>
      <c r="D95" s="120">
        <f t="shared" ref="D95:G95" si="27">D4</f>
        <v>2025</v>
      </c>
      <c r="E95" s="120">
        <f t="shared" si="27"/>
        <v>2026</v>
      </c>
      <c r="F95" s="120">
        <f t="shared" si="27"/>
        <v>2027</v>
      </c>
      <c r="G95" s="120">
        <f t="shared" si="27"/>
        <v>2028</v>
      </c>
    </row>
    <row r="96" spans="2:7" x14ac:dyDescent="0.3">
      <c r="B96" s="262" t="s">
        <v>222</v>
      </c>
      <c r="C96" s="263"/>
      <c r="D96" s="263"/>
      <c r="E96" s="263"/>
      <c r="F96" s="263"/>
      <c r="G96" s="263"/>
    </row>
    <row r="97" spans="2:7" x14ac:dyDescent="0.3">
      <c r="B97" s="262" t="str">
        <f>B73</f>
        <v>Recebimento de Canoas</v>
      </c>
      <c r="C97" s="266">
        <f t="shared" ref="C97:G97" si="28">C$87+C73</f>
        <v>1.0287534844059032</v>
      </c>
      <c r="D97" s="266">
        <f t="shared" si="28"/>
        <v>1.0287534899171764</v>
      </c>
      <c r="E97" s="266">
        <f t="shared" si="28"/>
        <v>1.0287534899171764</v>
      </c>
      <c r="F97" s="266">
        <f t="shared" si="28"/>
        <v>1.0287534899171764</v>
      </c>
      <c r="G97" s="266">
        <f t="shared" si="28"/>
        <v>1.0287534899171764</v>
      </c>
    </row>
    <row r="98" spans="2:7" hidden="1" x14ac:dyDescent="0.3">
      <c r="B98" s="262">
        <f>B74</f>
        <v>0</v>
      </c>
      <c r="C98" s="266"/>
      <c r="D98" s="266"/>
      <c r="E98" s="266"/>
      <c r="F98" s="266"/>
      <c r="G98" s="266"/>
    </row>
    <row r="99" spans="2:7" hidden="1" x14ac:dyDescent="0.3">
      <c r="B99" s="262"/>
      <c r="C99" s="337"/>
      <c r="D99" s="337"/>
      <c r="E99" s="337"/>
      <c r="F99" s="337"/>
      <c r="G99" s="337"/>
    </row>
    <row r="100" spans="2:7" x14ac:dyDescent="0.3">
      <c r="B100" s="31"/>
      <c r="C100" s="31"/>
      <c r="D100" s="31"/>
      <c r="E100" s="31"/>
      <c r="F100" s="31"/>
      <c r="G100" s="31"/>
    </row>
    <row r="101" spans="2:7" ht="15" x14ac:dyDescent="0.3">
      <c r="B101" s="11" t="s">
        <v>232</v>
      </c>
      <c r="C101" s="31"/>
      <c r="D101" s="31"/>
      <c r="E101" s="31"/>
      <c r="F101" s="31"/>
      <c r="G101" s="31"/>
    </row>
    <row r="102" spans="2:7" x14ac:dyDescent="0.3">
      <c r="B102" s="119"/>
      <c r="C102" s="120">
        <f>C4</f>
        <v>2024</v>
      </c>
      <c r="D102" s="120">
        <f t="shared" ref="D102:G102" si="29">D4</f>
        <v>2025</v>
      </c>
      <c r="E102" s="120">
        <f t="shared" si="29"/>
        <v>2026</v>
      </c>
      <c r="F102" s="120">
        <f t="shared" si="29"/>
        <v>2027</v>
      </c>
      <c r="G102" s="120">
        <f t="shared" si="29"/>
        <v>2028</v>
      </c>
    </row>
    <row r="103" spans="2:7" x14ac:dyDescent="0.3">
      <c r="B103" s="262" t="s">
        <v>222</v>
      </c>
      <c r="C103" s="263"/>
      <c r="D103" s="263"/>
      <c r="E103" s="263"/>
      <c r="F103" s="263"/>
      <c r="G103" s="263"/>
    </row>
    <row r="104" spans="2:7" x14ac:dyDescent="0.3">
      <c r="B104" s="325" t="str">
        <f t="shared" ref="B104" si="30">B80</f>
        <v>Ponto de Saída Triunfo</v>
      </c>
      <c r="C104" s="266">
        <f t="shared" ref="C104:G104" si="31">C$91+C80</f>
        <v>0.44089435045967296</v>
      </c>
      <c r="D104" s="266">
        <f t="shared" si="31"/>
        <v>0.44089435282164702</v>
      </c>
      <c r="E104" s="266">
        <f t="shared" si="31"/>
        <v>0.44089435282164702</v>
      </c>
      <c r="F104" s="266">
        <f t="shared" si="31"/>
        <v>0.44089435282164702</v>
      </c>
      <c r="G104" s="266">
        <f t="shared" si="31"/>
        <v>0.44089435282164713</v>
      </c>
    </row>
    <row r="105" spans="2:7" hidden="1" x14ac:dyDescent="0.3">
      <c r="B105" s="325"/>
      <c r="C105" s="337"/>
      <c r="D105" s="337"/>
      <c r="E105" s="337"/>
      <c r="F105" s="337"/>
      <c r="G105" s="337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&amp;R&amp;"Calibri"&amp;14&amp;K0078D7NP-1&amp;1#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3">
    <tabColor rgb="FF92D050"/>
    <pageSetUpPr fitToPage="1"/>
  </sheetPr>
  <dimension ref="B5:K24"/>
  <sheetViews>
    <sheetView showGridLines="0" topLeftCell="A7" zoomScale="90" zoomScaleNormal="90" workbookViewId="0">
      <selection activeCell="K17" sqref="K17"/>
    </sheetView>
  </sheetViews>
  <sheetFormatPr defaultColWidth="9.21875" defaultRowHeight="13.8" x14ac:dyDescent="0.3"/>
  <cols>
    <col min="1" max="2" width="9.21875" style="19"/>
    <col min="3" max="3" width="30.77734375" style="19" customWidth="1"/>
    <col min="4" max="8" width="10.77734375" style="19" customWidth="1"/>
    <col min="9" max="11" width="12.77734375" style="19" customWidth="1"/>
    <col min="12" max="15" width="16.77734375" style="19" customWidth="1"/>
    <col min="16" max="16" width="12.44140625" style="19" bestFit="1" customWidth="1"/>
    <col min="17" max="17" width="9.21875" style="19"/>
    <col min="18" max="20" width="16.77734375" style="19" customWidth="1"/>
    <col min="21" max="21" width="10" style="19" bestFit="1" customWidth="1"/>
    <col min="22" max="16384" width="9.21875" style="19"/>
  </cols>
  <sheetData>
    <row r="5" spans="2:11" x14ac:dyDescent="0.3">
      <c r="C5" s="123" t="s">
        <v>233</v>
      </c>
      <c r="D5" s="25"/>
      <c r="E5" s="25"/>
      <c r="F5" s="25"/>
      <c r="G5" s="25"/>
      <c r="H5" s="25"/>
      <c r="I5" s="25"/>
      <c r="J5" s="25"/>
      <c r="K5" s="25"/>
    </row>
    <row r="6" spans="2:11" x14ac:dyDescent="0.3">
      <c r="C6" s="11" t="s">
        <v>234</v>
      </c>
      <c r="D6" s="25"/>
      <c r="E6" s="25"/>
      <c r="F6" s="25"/>
      <c r="G6" s="25"/>
      <c r="H6" s="25"/>
      <c r="I6" s="25"/>
    </row>
    <row r="7" spans="2:11" x14ac:dyDescent="0.3">
      <c r="C7" s="115"/>
      <c r="D7" s="116">
        <v>2024</v>
      </c>
      <c r="E7" s="116">
        <v>2025</v>
      </c>
      <c r="F7" s="116">
        <v>2026</v>
      </c>
      <c r="G7" s="116">
        <v>2027</v>
      </c>
      <c r="H7" s="116">
        <v>2028</v>
      </c>
      <c r="I7" s="117" t="s">
        <v>77</v>
      </c>
    </row>
    <row r="8" spans="2:11" x14ac:dyDescent="0.3">
      <c r="B8" s="350">
        <v>1</v>
      </c>
      <c r="C8" s="18" t="s">
        <v>39</v>
      </c>
      <c r="D8" s="257">
        <f>'FC ECTL'!C12*$B$8</f>
        <v>82.908648732584453</v>
      </c>
      <c r="E8" s="257">
        <f>'FC ECTL'!D12*$B$8</f>
        <v>82.682123255822091</v>
      </c>
      <c r="F8" s="257">
        <f>'FC ECTL'!E12*$B$8</f>
        <v>82.682123255822091</v>
      </c>
      <c r="G8" s="257">
        <f>'FC ECTL'!F12*$B$8</f>
        <v>82.682123255822091</v>
      </c>
      <c r="H8" s="257">
        <f>'FC ECTL'!G12*$B$8</f>
        <v>82.908649620906544</v>
      </c>
      <c r="I8" s="106">
        <f>SUM(D8:H8)</f>
        <v>413.8636681209573</v>
      </c>
    </row>
    <row r="9" spans="2:11" x14ac:dyDescent="0.3">
      <c r="C9" s="25"/>
      <c r="D9" s="25"/>
      <c r="E9" s="25"/>
      <c r="F9" s="25"/>
      <c r="G9" s="25"/>
      <c r="H9" s="25"/>
      <c r="I9" s="25"/>
    </row>
    <row r="10" spans="2:11" x14ac:dyDescent="0.3">
      <c r="C10" s="11" t="s">
        <v>233</v>
      </c>
      <c r="D10" s="25"/>
      <c r="E10" s="25"/>
      <c r="F10" s="25"/>
      <c r="G10" s="25"/>
      <c r="H10" s="25"/>
      <c r="I10" s="25"/>
    </row>
    <row r="11" spans="2:11" x14ac:dyDescent="0.3">
      <c r="C11" s="119"/>
      <c r="D11" s="120">
        <f>D7</f>
        <v>2024</v>
      </c>
      <c r="E11" s="120">
        <f t="shared" ref="E11:H11" si="0">E7</f>
        <v>2025</v>
      </c>
      <c r="F11" s="120">
        <f t="shared" si="0"/>
        <v>2026</v>
      </c>
      <c r="G11" s="120">
        <f t="shared" si="0"/>
        <v>2027</v>
      </c>
      <c r="H11" s="120">
        <f t="shared" si="0"/>
        <v>2028</v>
      </c>
      <c r="I11" s="121" t="s">
        <v>77</v>
      </c>
    </row>
    <row r="12" spans="2:11" x14ac:dyDescent="0.3">
      <c r="C12" s="22" t="s">
        <v>222</v>
      </c>
      <c r="D12" s="257"/>
      <c r="E12" s="257"/>
      <c r="F12" s="257"/>
      <c r="G12" s="257"/>
      <c r="H12" s="257"/>
      <c r="I12" s="98"/>
    </row>
    <row r="13" spans="2:11" x14ac:dyDescent="0.3">
      <c r="C13" s="349" t="s">
        <v>235</v>
      </c>
      <c r="D13" s="274">
        <f>D8*1000/('C. Demanda'!O33+'C. Demanda'!O40)</f>
        <v>3.7954612962645996E-3</v>
      </c>
      <c r="E13" s="274">
        <f>E8*1000/('C. Demanda'!P33+'C. Demanda'!P40)</f>
        <v>3.7954613369309488E-3</v>
      </c>
      <c r="F13" s="274">
        <f>F8*1000/('C. Demanda'!Q33+'C. Demanda'!Q40)</f>
        <v>3.7954613369309488E-3</v>
      </c>
      <c r="G13" s="274">
        <f>G8*1000/('C. Demanda'!R33+'C. Demanda'!R40)</f>
        <v>3.7954613369309488E-3</v>
      </c>
      <c r="H13" s="274">
        <f>H8*1000/('C. Demanda'!S33+'C. Demanda'!S40)</f>
        <v>3.7954613369309493E-3</v>
      </c>
      <c r="I13" s="122">
        <f>I8*1000/('C. Demanda'!T33+'C. Demanda'!T40)</f>
        <v>3.7954613287843248E-3</v>
      </c>
    </row>
    <row r="14" spans="2:11" x14ac:dyDescent="0.3">
      <c r="C14" s="25"/>
      <c r="D14" s="25"/>
      <c r="E14" s="25"/>
      <c r="F14" s="25"/>
      <c r="G14" s="25"/>
      <c r="H14" s="25"/>
      <c r="I14" s="25"/>
    </row>
    <row r="15" spans="2:11" x14ac:dyDescent="0.3">
      <c r="C15" s="123" t="s">
        <v>236</v>
      </c>
      <c r="D15" s="25"/>
      <c r="E15" s="25"/>
      <c r="F15" s="25"/>
      <c r="G15" s="25"/>
      <c r="H15" s="25"/>
      <c r="I15" s="25"/>
    </row>
    <row r="16" spans="2:11" x14ac:dyDescent="0.3">
      <c r="C16" s="11" t="s">
        <v>237</v>
      </c>
      <c r="D16" s="25"/>
      <c r="E16" s="25"/>
      <c r="F16" s="25"/>
      <c r="G16" s="25"/>
      <c r="H16" s="25"/>
      <c r="I16" s="25"/>
    </row>
    <row r="17" spans="2:11" x14ac:dyDescent="0.3">
      <c r="C17" s="115"/>
      <c r="D17" s="116">
        <f>D7</f>
        <v>2024</v>
      </c>
      <c r="E17" s="116">
        <f t="shared" ref="E17:H17" si="1">E7</f>
        <v>2025</v>
      </c>
      <c r="F17" s="116">
        <f t="shared" si="1"/>
        <v>2026</v>
      </c>
      <c r="G17" s="116">
        <f t="shared" si="1"/>
        <v>2027</v>
      </c>
      <c r="H17" s="116">
        <f t="shared" si="1"/>
        <v>2028</v>
      </c>
      <c r="I17" s="117" t="s">
        <v>77</v>
      </c>
    </row>
    <row r="18" spans="2:11" x14ac:dyDescent="0.3">
      <c r="B18" s="350">
        <v>1</v>
      </c>
      <c r="C18" s="18" t="s">
        <v>39</v>
      </c>
      <c r="D18" s="257">
        <f>'FC EM'!C12*$B$18</f>
        <v>-1.0158540675320183E-15</v>
      </c>
      <c r="E18" s="257">
        <f>'FC EM'!D12*$B$18</f>
        <v>-1.0130785208250528E-15</v>
      </c>
      <c r="F18" s="257">
        <f>'FC EM'!E12*$B$18</f>
        <v>-1.0130785208250528E-15</v>
      </c>
      <c r="G18" s="257">
        <f>'FC EM'!F12*$B$18</f>
        <v>-1.0130785208250528E-15</v>
      </c>
      <c r="H18" s="257">
        <f>'FC EM'!G12*$B$18</f>
        <v>-1.0158540784163544E-15</v>
      </c>
      <c r="I18" s="106">
        <f>SUM(D18:H18)</f>
        <v>-5.0709437084235305E-15</v>
      </c>
    </row>
    <row r="19" spans="2:11" x14ac:dyDescent="0.3">
      <c r="C19" s="25"/>
      <c r="D19" s="25"/>
      <c r="E19" s="25"/>
      <c r="F19" s="25"/>
      <c r="G19" s="25"/>
      <c r="H19" s="25"/>
      <c r="I19" s="25"/>
    </row>
    <row r="20" spans="2:11" x14ac:dyDescent="0.3">
      <c r="C20" s="11" t="s">
        <v>236</v>
      </c>
      <c r="D20" s="25"/>
      <c r="E20" s="25"/>
      <c r="F20" s="25"/>
      <c r="G20" s="25"/>
      <c r="H20" s="25"/>
      <c r="I20" s="25"/>
      <c r="J20" s="25"/>
      <c r="K20" s="25"/>
    </row>
    <row r="21" spans="2:11" x14ac:dyDescent="0.3">
      <c r="C21" s="119"/>
      <c r="D21" s="120">
        <f>D7</f>
        <v>2024</v>
      </c>
      <c r="E21" s="120">
        <f t="shared" ref="E21:H21" si="2">E7</f>
        <v>2025</v>
      </c>
      <c r="F21" s="120">
        <f t="shared" si="2"/>
        <v>2026</v>
      </c>
      <c r="G21" s="120">
        <f t="shared" si="2"/>
        <v>2027</v>
      </c>
      <c r="H21" s="120">
        <f t="shared" si="2"/>
        <v>2028</v>
      </c>
      <c r="I21" s="121" t="s">
        <v>77</v>
      </c>
      <c r="J21" s="25"/>
      <c r="K21" s="25"/>
    </row>
    <row r="22" spans="2:11" x14ac:dyDescent="0.3">
      <c r="C22" s="22" t="s">
        <v>222</v>
      </c>
      <c r="D22" s="257"/>
      <c r="E22" s="257"/>
      <c r="F22" s="257"/>
      <c r="G22" s="257"/>
      <c r="H22" s="257"/>
      <c r="I22" s="98"/>
      <c r="J22" s="25"/>
      <c r="K22" s="25"/>
    </row>
    <row r="23" spans="2:11" x14ac:dyDescent="0.3">
      <c r="C23" s="349" t="s">
        <v>238</v>
      </c>
      <c r="D23" s="274">
        <f>D18*1000/('C. Demanda'!O33+'C. Demanda'!O40)</f>
        <v>-4.6504615078298977E-20</v>
      </c>
      <c r="E23" s="274">
        <f>E18*1000/('C. Demanda'!P33+'C. Demanda'!P40)</f>
        <v>-4.6504615576571185E-20</v>
      </c>
      <c r="F23" s="274">
        <f>F18*1000/('C. Demanda'!Q33+'C. Demanda'!Q40)</f>
        <v>-4.6504615576571185E-20</v>
      </c>
      <c r="G23" s="274">
        <f>G18*1000/('C. Demanda'!R33+'C. Demanda'!R40)</f>
        <v>-4.6504615576571185E-20</v>
      </c>
      <c r="H23" s="274">
        <f>H18*1000/('C. Demanda'!S33+'C. Demanda'!S40)</f>
        <v>-4.6504615576571197E-20</v>
      </c>
      <c r="I23" s="122">
        <f>I18*1000/('C. Demanda'!T33+'C. Demanda'!T40)</f>
        <v>-4.6504615476753107E-20</v>
      </c>
      <c r="J23" s="27"/>
      <c r="K23" s="25"/>
    </row>
    <row r="24" spans="2:11" x14ac:dyDescent="0.3">
      <c r="C24" s="25"/>
      <c r="D24" s="25"/>
      <c r="E24" s="25"/>
      <c r="F24" s="25"/>
      <c r="G24" s="25"/>
      <c r="H24" s="25"/>
      <c r="I24" s="25"/>
      <c r="J24" s="25"/>
      <c r="K24" s="25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&amp;R&amp;"Calibri"&amp;14&amp;K0078D7NP-1&amp;1#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P61"/>
  <sheetViews>
    <sheetView showGridLines="0" topLeftCell="A53" zoomScaleNormal="100" workbookViewId="0">
      <selection activeCell="B3" sqref="B3:H60"/>
    </sheetView>
  </sheetViews>
  <sheetFormatPr defaultColWidth="9.21875" defaultRowHeight="13.8" x14ac:dyDescent="0.3"/>
  <cols>
    <col min="1" max="1" width="16.77734375" style="19" customWidth="1"/>
    <col min="2" max="2" width="30.77734375" style="19" customWidth="1"/>
    <col min="3" max="8" width="10.77734375" style="19" customWidth="1"/>
    <col min="9" max="9" width="9.21875" customWidth="1"/>
    <col min="10" max="10" width="19.5546875" customWidth="1"/>
    <col min="11" max="12" width="8.77734375"/>
    <col min="13" max="24" width="10.77734375" style="19" customWidth="1"/>
    <col min="25" max="26" width="12.77734375" style="19" customWidth="1"/>
    <col min="27" max="16384" width="9.21875" style="19"/>
  </cols>
  <sheetData>
    <row r="2" spans="2:16" x14ac:dyDescent="0.3">
      <c r="J2" t="s">
        <v>307</v>
      </c>
    </row>
    <row r="3" spans="2:16" x14ac:dyDescent="0.3">
      <c r="B3" s="420" t="s">
        <v>324</v>
      </c>
      <c r="C3" s="21"/>
      <c r="D3" s="21"/>
      <c r="J3" s="420" t="s">
        <v>324</v>
      </c>
    </row>
    <row r="4" spans="2:16" ht="15" x14ac:dyDescent="0.3">
      <c r="B4" s="20" t="s">
        <v>239</v>
      </c>
      <c r="J4" s="20" t="s">
        <v>239</v>
      </c>
      <c r="K4" s="19"/>
      <c r="L4" s="19"/>
    </row>
    <row r="5" spans="2:16" x14ac:dyDescent="0.3">
      <c r="B5" s="270" t="s">
        <v>222</v>
      </c>
      <c r="C5" s="443">
        <v>2024</v>
      </c>
      <c r="D5" s="443"/>
      <c r="E5" s="443"/>
      <c r="F5" s="443"/>
      <c r="G5" s="443"/>
      <c r="H5" s="444"/>
      <c r="J5" s="270" t="s">
        <v>222</v>
      </c>
      <c r="K5" s="443">
        <f>C5</f>
        <v>2024</v>
      </c>
      <c r="L5" s="443"/>
      <c r="M5" s="443"/>
      <c r="N5" s="443"/>
      <c r="O5" s="443"/>
      <c r="P5" s="444"/>
    </row>
    <row r="6" spans="2:16" x14ac:dyDescent="0.3">
      <c r="B6" s="271"/>
      <c r="C6" s="272" t="s">
        <v>240</v>
      </c>
      <c r="D6" s="272" t="s">
        <v>241</v>
      </c>
      <c r="E6" s="272" t="s">
        <v>242</v>
      </c>
      <c r="F6" s="272" t="s">
        <v>243</v>
      </c>
      <c r="G6" s="272" t="s">
        <v>244</v>
      </c>
      <c r="H6" s="272" t="s">
        <v>39</v>
      </c>
      <c r="J6" s="271"/>
      <c r="K6" s="272" t="s">
        <v>240</v>
      </c>
      <c r="L6" s="272" t="s">
        <v>241</v>
      </c>
      <c r="M6" s="272" t="s">
        <v>242</v>
      </c>
      <c r="N6" s="272" t="s">
        <v>243</v>
      </c>
      <c r="O6" s="272" t="s">
        <v>244</v>
      </c>
      <c r="P6" s="272" t="s">
        <v>39</v>
      </c>
    </row>
    <row r="7" spans="2:16" x14ac:dyDescent="0.3">
      <c r="B7" s="273" t="str">
        <f>+'Cálculo Encargos ECE, ECT e ECS'!B73</f>
        <v>Recebimento de Canoas</v>
      </c>
      <c r="C7" s="274">
        <f>+'Cálculo Encargos ECE, ECT e ECS'!C73</f>
        <v>0.5143767422029516</v>
      </c>
      <c r="D7" s="274">
        <f>+'Cálculo Encargos ECE, ECT e ECS'!C$87</f>
        <v>0.5143767422029516</v>
      </c>
      <c r="E7" s="274">
        <v>0</v>
      </c>
      <c r="F7" s="274">
        <f>+'Calculo Encargos EM e ECEmp'!D$13</f>
        <v>3.7954612962645996E-3</v>
      </c>
      <c r="G7" s="274">
        <f>+'Calculo Encargos EM e ECEmp'!D$23</f>
        <v>-4.6504615078298977E-20</v>
      </c>
      <c r="H7" s="274">
        <f>SUM(C7:G7)</f>
        <v>1.0325489457021677</v>
      </c>
      <c r="J7" s="273" t="str">
        <f>B7</f>
        <v>Recebimento de Canoas</v>
      </c>
      <c r="K7" s="274">
        <f>ROUND(C7,4)</f>
        <v>0.51439999999999997</v>
      </c>
      <c r="L7" s="274">
        <f t="shared" ref="L7:O7" si="0">ROUND(D7,4)</f>
        <v>0.51439999999999997</v>
      </c>
      <c r="M7" s="274">
        <f t="shared" si="0"/>
        <v>0</v>
      </c>
      <c r="N7" s="274">
        <f t="shared" si="0"/>
        <v>3.8E-3</v>
      </c>
      <c r="O7" s="274">
        <f t="shared" si="0"/>
        <v>0</v>
      </c>
      <c r="P7" s="274">
        <f>SUM(K7:O7)</f>
        <v>1.0326</v>
      </c>
    </row>
    <row r="8" spans="2:16" x14ac:dyDescent="0.3">
      <c r="B8" s="21"/>
      <c r="C8" s="308"/>
      <c r="D8" s="309"/>
      <c r="E8" s="309"/>
      <c r="F8" s="309"/>
      <c r="G8" s="309"/>
      <c r="H8" s="309"/>
      <c r="J8" s="21"/>
      <c r="K8" s="308"/>
      <c r="L8" s="309"/>
      <c r="M8" s="309"/>
      <c r="N8" s="309"/>
      <c r="O8" s="309"/>
      <c r="P8" s="309"/>
    </row>
    <row r="9" spans="2:16" ht="15" x14ac:dyDescent="0.3">
      <c r="B9" s="20" t="s">
        <v>245</v>
      </c>
      <c r="C9" s="308"/>
      <c r="D9" s="309"/>
      <c r="E9" s="309"/>
      <c r="F9" s="309"/>
      <c r="G9" s="309"/>
      <c r="H9" s="309"/>
      <c r="J9" s="20" t="s">
        <v>245</v>
      </c>
      <c r="K9" s="308"/>
      <c r="L9" s="309"/>
      <c r="M9" s="309"/>
      <c r="N9" s="309"/>
      <c r="O9" s="309"/>
      <c r="P9" s="309"/>
    </row>
    <row r="10" spans="2:16" x14ac:dyDescent="0.3">
      <c r="B10" s="270" t="s">
        <v>222</v>
      </c>
      <c r="C10" s="443">
        <f>C5</f>
        <v>2024</v>
      </c>
      <c r="D10" s="443"/>
      <c r="E10" s="443"/>
      <c r="F10" s="443"/>
      <c r="G10" s="443"/>
      <c r="H10" s="444"/>
      <c r="J10" s="270" t="s">
        <v>222</v>
      </c>
      <c r="K10" s="443">
        <f>K5</f>
        <v>2024</v>
      </c>
      <c r="L10" s="443"/>
      <c r="M10" s="443"/>
      <c r="N10" s="443"/>
      <c r="O10" s="443"/>
      <c r="P10" s="444"/>
    </row>
    <row r="11" spans="2:16" x14ac:dyDescent="0.3">
      <c r="B11" s="271"/>
      <c r="C11" s="310" t="str">
        <f t="shared" ref="C11:H11" si="1">+C6</f>
        <v>ECE</v>
      </c>
      <c r="D11" s="310" t="str">
        <f t="shared" si="1"/>
        <v>ECT</v>
      </c>
      <c r="E11" s="310" t="str">
        <f t="shared" si="1"/>
        <v>ECS</v>
      </c>
      <c r="F11" s="310" t="str">
        <f t="shared" si="1"/>
        <v>ECEmp</v>
      </c>
      <c r="G11" s="310" t="str">
        <f t="shared" si="1"/>
        <v>EM</v>
      </c>
      <c r="H11" s="310" t="str">
        <f t="shared" si="1"/>
        <v>TOTAL</v>
      </c>
      <c r="J11" s="271"/>
      <c r="K11" s="310" t="str">
        <f t="shared" ref="K11:P11" si="2">+K6</f>
        <v>ECE</v>
      </c>
      <c r="L11" s="310" t="str">
        <f t="shared" si="2"/>
        <v>ECT</v>
      </c>
      <c r="M11" s="310" t="str">
        <f t="shared" si="2"/>
        <v>ECS</v>
      </c>
      <c r="N11" s="310" t="str">
        <f t="shared" si="2"/>
        <v>ECEmp</v>
      </c>
      <c r="O11" s="310" t="str">
        <f t="shared" si="2"/>
        <v>EM</v>
      </c>
      <c r="P11" s="310" t="str">
        <f t="shared" si="2"/>
        <v>TOTAL</v>
      </c>
    </row>
    <row r="12" spans="2:16" x14ac:dyDescent="0.3">
      <c r="B12" s="338" t="str">
        <f>+'Cálculo Encargos ECE, ECT e ECS'!B80</f>
        <v>Ponto de Saída Triunfo</v>
      </c>
      <c r="C12" s="274">
        <v>0</v>
      </c>
      <c r="D12" s="274">
        <f>+'Cálculo Encargos ECE, ECT e ECS'!C$91</f>
        <v>0.22044717522983645</v>
      </c>
      <c r="E12" s="274">
        <f>+'Cálculo Encargos ECE, ECT e ECS'!C80</f>
        <v>0.22044717522983648</v>
      </c>
      <c r="F12" s="274">
        <f>+'Calculo Encargos EM e ECEmp'!D$13</f>
        <v>3.7954612962645996E-3</v>
      </c>
      <c r="G12" s="274">
        <f>+'Calculo Encargos EM e ECEmp'!D$23</f>
        <v>-4.6504615078298977E-20</v>
      </c>
      <c r="H12" s="274">
        <f t="shared" ref="H12" si="3">SUM(C12:G12)</f>
        <v>0.44468981175593758</v>
      </c>
      <c r="J12" s="338" t="str">
        <f>B12</f>
        <v>Ponto de Saída Triunfo</v>
      </c>
      <c r="K12" s="274">
        <f>ROUND(C12,4)</f>
        <v>0</v>
      </c>
      <c r="L12" s="274">
        <f t="shared" ref="L12" si="4">ROUND(D12,4)</f>
        <v>0.22040000000000001</v>
      </c>
      <c r="M12" s="274">
        <f t="shared" ref="M12" si="5">ROUND(E12,4)</f>
        <v>0.22040000000000001</v>
      </c>
      <c r="N12" s="274">
        <f t="shared" ref="N12" si="6">ROUND(F12,4)</f>
        <v>3.8E-3</v>
      </c>
      <c r="O12" s="274">
        <f t="shared" ref="O12" si="7">ROUND(G12,4)</f>
        <v>0</v>
      </c>
      <c r="P12" s="274">
        <f>SUM(K12:O12)</f>
        <v>0.44460000000000005</v>
      </c>
    </row>
    <row r="13" spans="2:16" hidden="1" x14ac:dyDescent="0.3">
      <c r="B13" s="338">
        <f>+'Cálculo Encargos ECE, ECT e ECS'!B81</f>
        <v>0</v>
      </c>
      <c r="C13" s="336"/>
      <c r="D13" s="336"/>
      <c r="E13" s="336"/>
      <c r="F13" s="336"/>
      <c r="G13" s="336"/>
      <c r="H13" s="336"/>
      <c r="J13" s="338">
        <f>+'Cálculo Encargos ECE, ECT e ECS'!J81</f>
        <v>0</v>
      </c>
      <c r="K13" s="336"/>
      <c r="L13" s="336"/>
      <c r="M13" s="336"/>
      <c r="N13" s="336"/>
      <c r="O13" s="336"/>
      <c r="P13" s="336"/>
    </row>
    <row r="14" spans="2:16" x14ac:dyDescent="0.3">
      <c r="J14" s="19"/>
      <c r="K14" s="19"/>
      <c r="L14" s="19"/>
    </row>
    <row r="15" spans="2:16" x14ac:dyDescent="0.3">
      <c r="J15" s="19"/>
      <c r="K15" s="19"/>
      <c r="L15" s="19"/>
    </row>
    <row r="16" spans="2:16" ht="15" x14ac:dyDescent="0.3">
      <c r="B16" s="20" t="s">
        <v>239</v>
      </c>
      <c r="J16" s="20" t="s">
        <v>239</v>
      </c>
      <c r="K16" s="19"/>
      <c r="L16" s="19"/>
    </row>
    <row r="17" spans="2:16" x14ac:dyDescent="0.3">
      <c r="B17" s="270" t="s">
        <v>222</v>
      </c>
      <c r="C17" s="443">
        <f>C5+1</f>
        <v>2025</v>
      </c>
      <c r="D17" s="443"/>
      <c r="E17" s="443"/>
      <c r="F17" s="443"/>
      <c r="G17" s="443"/>
      <c r="H17" s="444"/>
      <c r="J17" s="270" t="s">
        <v>222</v>
      </c>
      <c r="K17" s="443">
        <f>C17</f>
        <v>2025</v>
      </c>
      <c r="L17" s="443"/>
      <c r="M17" s="443"/>
      <c r="N17" s="443"/>
      <c r="O17" s="443"/>
      <c r="P17" s="444"/>
    </row>
    <row r="18" spans="2:16" x14ac:dyDescent="0.3">
      <c r="B18" s="271"/>
      <c r="C18" s="272" t="str">
        <f>+C6</f>
        <v>ECE</v>
      </c>
      <c r="D18" s="272" t="str">
        <f>+D6</f>
        <v>ECT</v>
      </c>
      <c r="E18" s="272" t="str">
        <f>+E6</f>
        <v>ECS</v>
      </c>
      <c r="F18" s="272" t="str">
        <f>+F6</f>
        <v>ECEmp</v>
      </c>
      <c r="G18" s="272" t="str">
        <f>+G6</f>
        <v>EM</v>
      </c>
      <c r="H18" s="272" t="s">
        <v>39</v>
      </c>
      <c r="J18" s="271"/>
      <c r="K18" s="272" t="str">
        <f>+K6</f>
        <v>ECE</v>
      </c>
      <c r="L18" s="272" t="str">
        <f>+L6</f>
        <v>ECT</v>
      </c>
      <c r="M18" s="272" t="str">
        <f>+M6</f>
        <v>ECS</v>
      </c>
      <c r="N18" s="272" t="str">
        <f>+N6</f>
        <v>ECEmp</v>
      </c>
      <c r="O18" s="272" t="str">
        <f>+O6</f>
        <v>EM</v>
      </c>
      <c r="P18" s="272" t="s">
        <v>39</v>
      </c>
    </row>
    <row r="19" spans="2:16" x14ac:dyDescent="0.3">
      <c r="B19" s="273" t="str">
        <f>+B7</f>
        <v>Recebimento de Canoas</v>
      </c>
      <c r="C19" s="274">
        <f>+'Cálculo Encargos ECE, ECT e ECS'!D73</f>
        <v>0.51437674771422481</v>
      </c>
      <c r="D19" s="274">
        <f>+'Cálculo Encargos ECE, ECT e ECS'!D$87</f>
        <v>0.5143767422029516</v>
      </c>
      <c r="E19" s="274">
        <v>0</v>
      </c>
      <c r="F19" s="274">
        <f>+'Calculo Encargos EM e ECEmp'!E$13</f>
        <v>3.7954613369309488E-3</v>
      </c>
      <c r="G19" s="274">
        <f>+'Calculo Encargos EM e ECEmp'!E$23</f>
        <v>-4.6504615576571185E-20</v>
      </c>
      <c r="H19" s="274">
        <f>SUM(C19:G19)</f>
        <v>1.0325489512541073</v>
      </c>
      <c r="J19" s="273" t="str">
        <f>+J7</f>
        <v>Recebimento de Canoas</v>
      </c>
      <c r="K19" s="274">
        <f>ROUND(C19,4)</f>
        <v>0.51439999999999997</v>
      </c>
      <c r="L19" s="274">
        <f t="shared" ref="L19" si="8">ROUND(D19,4)</f>
        <v>0.51439999999999997</v>
      </c>
      <c r="M19" s="274">
        <f t="shared" ref="M19" si="9">ROUND(E19,4)</f>
        <v>0</v>
      </c>
      <c r="N19" s="274">
        <f t="shared" ref="N19" si="10">ROUND(F19,4)</f>
        <v>3.8E-3</v>
      </c>
      <c r="O19" s="274">
        <f t="shared" ref="O19" si="11">ROUND(G19,4)</f>
        <v>0</v>
      </c>
      <c r="P19" s="274">
        <f>SUM(K19:O19)</f>
        <v>1.0326</v>
      </c>
    </row>
    <row r="20" spans="2:16" x14ac:dyDescent="0.3">
      <c r="B20" s="21"/>
      <c r="C20" s="308"/>
      <c r="D20" s="309"/>
      <c r="E20" s="309"/>
      <c r="F20" s="309"/>
      <c r="G20" s="309"/>
      <c r="H20" s="309"/>
      <c r="J20" s="21"/>
      <c r="K20" s="308"/>
      <c r="L20" s="309"/>
      <c r="M20" s="309"/>
      <c r="N20" s="309"/>
      <c r="O20" s="309"/>
      <c r="P20" s="309"/>
    </row>
    <row r="21" spans="2:16" ht="15" x14ac:dyDescent="0.3">
      <c r="B21" s="20" t="s">
        <v>245</v>
      </c>
      <c r="C21" s="308"/>
      <c r="D21" s="309"/>
      <c r="E21" s="309"/>
      <c r="F21" s="309"/>
      <c r="G21" s="309"/>
      <c r="H21" s="309"/>
      <c r="J21" s="20" t="s">
        <v>245</v>
      </c>
      <c r="K21" s="308"/>
      <c r="L21" s="309"/>
      <c r="M21" s="309"/>
      <c r="N21" s="309"/>
      <c r="O21" s="309"/>
      <c r="P21" s="309"/>
    </row>
    <row r="22" spans="2:16" x14ac:dyDescent="0.3">
      <c r="B22" s="270" t="s">
        <v>222</v>
      </c>
      <c r="C22" s="443">
        <f>C17</f>
        <v>2025</v>
      </c>
      <c r="D22" s="443"/>
      <c r="E22" s="443"/>
      <c r="F22" s="443"/>
      <c r="G22" s="443"/>
      <c r="H22" s="444"/>
      <c r="J22" s="270" t="s">
        <v>222</v>
      </c>
      <c r="K22" s="443">
        <f>K17</f>
        <v>2025</v>
      </c>
      <c r="L22" s="443"/>
      <c r="M22" s="443"/>
      <c r="N22" s="443"/>
      <c r="O22" s="443"/>
      <c r="P22" s="444"/>
    </row>
    <row r="23" spans="2:16" x14ac:dyDescent="0.3">
      <c r="B23" s="271"/>
      <c r="C23" s="272" t="str">
        <f>+C11</f>
        <v>ECE</v>
      </c>
      <c r="D23" s="272" t="str">
        <f>+D11</f>
        <v>ECT</v>
      </c>
      <c r="E23" s="272" t="str">
        <f>+E11</f>
        <v>ECS</v>
      </c>
      <c r="F23" s="272" t="str">
        <f>+F11</f>
        <v>ECEmp</v>
      </c>
      <c r="G23" s="272" t="str">
        <f>+G11</f>
        <v>EM</v>
      </c>
      <c r="H23" s="310" t="str">
        <f>+H18</f>
        <v>TOTAL</v>
      </c>
      <c r="J23" s="271"/>
      <c r="K23" s="272" t="str">
        <f>+K11</f>
        <v>ECE</v>
      </c>
      <c r="L23" s="272" t="str">
        <f>+L11</f>
        <v>ECT</v>
      </c>
      <c r="M23" s="272" t="str">
        <f>+M11</f>
        <v>ECS</v>
      </c>
      <c r="N23" s="272" t="str">
        <f>+N11</f>
        <v>ECEmp</v>
      </c>
      <c r="O23" s="272" t="str">
        <f>+O11</f>
        <v>EM</v>
      </c>
      <c r="P23" s="310" t="str">
        <f>+P18</f>
        <v>TOTAL</v>
      </c>
    </row>
    <row r="24" spans="2:16" x14ac:dyDescent="0.3">
      <c r="B24" s="338" t="str">
        <f>+B12</f>
        <v>Ponto de Saída Triunfo</v>
      </c>
      <c r="C24" s="274">
        <v>0</v>
      </c>
      <c r="D24" s="274">
        <f>+'Cálculo Encargos ECE, ECT e ECS'!D$91</f>
        <v>0.2204471752298364</v>
      </c>
      <c r="E24" s="274">
        <f>+'Cálculo Encargos ECE, ECT e ECS'!D80</f>
        <v>0.22044717759181065</v>
      </c>
      <c r="F24" s="274">
        <f>+'Calculo Encargos EM e ECEmp'!E$13</f>
        <v>3.7954613369309488E-3</v>
      </c>
      <c r="G24" s="274">
        <f>+'Calculo Encargos EM e ECEmp'!E$23</f>
        <v>-4.6504615576571185E-20</v>
      </c>
      <c r="H24" s="274">
        <f t="shared" ref="H24" si="12">SUM(C24:G24)</f>
        <v>0.44468981415857795</v>
      </c>
      <c r="J24" s="338" t="str">
        <f>B24</f>
        <v>Ponto de Saída Triunfo</v>
      </c>
      <c r="K24" s="274">
        <f>ROUND(C24,4)</f>
        <v>0</v>
      </c>
      <c r="L24" s="274">
        <f t="shared" ref="L24" si="13">ROUND(D24,4)</f>
        <v>0.22040000000000001</v>
      </c>
      <c r="M24" s="274">
        <f t="shared" ref="M24" si="14">ROUND(E24,4)</f>
        <v>0.22040000000000001</v>
      </c>
      <c r="N24" s="274">
        <f t="shared" ref="N24" si="15">ROUND(F24,4)</f>
        <v>3.8E-3</v>
      </c>
      <c r="O24" s="274">
        <f t="shared" ref="O24" si="16">ROUND(G24,4)</f>
        <v>0</v>
      </c>
      <c r="P24" s="274">
        <f>SUM(K24:O24)</f>
        <v>0.44460000000000005</v>
      </c>
    </row>
    <row r="25" spans="2:16" hidden="1" x14ac:dyDescent="0.3">
      <c r="B25" s="338">
        <f>+B13</f>
        <v>0</v>
      </c>
      <c r="C25" s="336"/>
      <c r="D25" s="336"/>
      <c r="E25" s="336"/>
      <c r="F25" s="336"/>
      <c r="G25" s="336"/>
      <c r="H25" s="336"/>
      <c r="J25" s="338">
        <f>+J13</f>
        <v>0</v>
      </c>
      <c r="K25" s="336"/>
      <c r="L25" s="336"/>
      <c r="M25" s="336"/>
      <c r="N25" s="336"/>
      <c r="O25" s="336"/>
      <c r="P25" s="336"/>
    </row>
    <row r="26" spans="2:16" x14ac:dyDescent="0.3">
      <c r="J26" s="19"/>
      <c r="K26" s="19"/>
      <c r="L26" s="19"/>
    </row>
    <row r="27" spans="2:16" x14ac:dyDescent="0.3">
      <c r="J27" s="19"/>
      <c r="K27" s="19"/>
      <c r="L27" s="19"/>
    </row>
    <row r="28" spans="2:16" ht="15" x14ac:dyDescent="0.3">
      <c r="B28" s="20" t="s">
        <v>239</v>
      </c>
      <c r="J28" s="20" t="s">
        <v>239</v>
      </c>
      <c r="K28" s="19"/>
      <c r="L28" s="19"/>
    </row>
    <row r="29" spans="2:16" x14ac:dyDescent="0.3">
      <c r="B29" s="270" t="s">
        <v>222</v>
      </c>
      <c r="C29" s="443">
        <f>C17+1</f>
        <v>2026</v>
      </c>
      <c r="D29" s="443"/>
      <c r="E29" s="443"/>
      <c r="F29" s="443"/>
      <c r="G29" s="443"/>
      <c r="H29" s="444"/>
      <c r="J29" s="270" t="s">
        <v>222</v>
      </c>
      <c r="K29" s="443">
        <f>C29</f>
        <v>2026</v>
      </c>
      <c r="L29" s="443"/>
      <c r="M29" s="443"/>
      <c r="N29" s="443"/>
      <c r="O29" s="443"/>
      <c r="P29" s="444"/>
    </row>
    <row r="30" spans="2:16" x14ac:dyDescent="0.3">
      <c r="B30" s="271"/>
      <c r="C30" s="272" t="str">
        <f>+C18</f>
        <v>ECE</v>
      </c>
      <c r="D30" s="272" t="str">
        <f>+D18</f>
        <v>ECT</v>
      </c>
      <c r="E30" s="272" t="str">
        <f>+E18</f>
        <v>ECS</v>
      </c>
      <c r="F30" s="272" t="str">
        <f>+F18</f>
        <v>ECEmp</v>
      </c>
      <c r="G30" s="272" t="str">
        <f>+G18</f>
        <v>EM</v>
      </c>
      <c r="H30" s="272" t="s">
        <v>39</v>
      </c>
      <c r="J30" s="271"/>
      <c r="K30" s="272" t="str">
        <f>+K18</f>
        <v>ECE</v>
      </c>
      <c r="L30" s="272" t="str">
        <f>+L18</f>
        <v>ECT</v>
      </c>
      <c r="M30" s="272" t="str">
        <f>+M18</f>
        <v>ECS</v>
      </c>
      <c r="N30" s="272" t="str">
        <f>+N18</f>
        <v>ECEmp</v>
      </c>
      <c r="O30" s="272" t="str">
        <f>+O18</f>
        <v>EM</v>
      </c>
      <c r="P30" s="272" t="s">
        <v>39</v>
      </c>
    </row>
    <row r="31" spans="2:16" x14ac:dyDescent="0.3">
      <c r="B31" s="273" t="str">
        <f>+B19</f>
        <v>Recebimento de Canoas</v>
      </c>
      <c r="C31" s="274">
        <f>+'Cálculo Encargos ECE, ECT e ECS'!E73</f>
        <v>0.51437674771422481</v>
      </c>
      <c r="D31" s="274">
        <f>+'Cálculo Encargos ECE, ECT e ECS'!E$87</f>
        <v>0.5143767422029516</v>
      </c>
      <c r="E31" s="274">
        <v>0</v>
      </c>
      <c r="F31" s="274">
        <f>+'Calculo Encargos EM e ECEmp'!F$13</f>
        <v>3.7954613369309488E-3</v>
      </c>
      <c r="G31" s="274">
        <f>+'Calculo Encargos EM e ECEmp'!F$23</f>
        <v>-4.6504615576571185E-20</v>
      </c>
      <c r="H31" s="274">
        <f>SUM(C31:G31)</f>
        <v>1.0325489512541073</v>
      </c>
      <c r="J31" s="273" t="str">
        <f>+J19</f>
        <v>Recebimento de Canoas</v>
      </c>
      <c r="K31" s="274">
        <f>ROUND(C31,4)</f>
        <v>0.51439999999999997</v>
      </c>
      <c r="L31" s="274">
        <f t="shared" ref="L31" si="17">ROUND(D31,4)</f>
        <v>0.51439999999999997</v>
      </c>
      <c r="M31" s="274">
        <f t="shared" ref="M31" si="18">ROUND(E31,4)</f>
        <v>0</v>
      </c>
      <c r="N31" s="274">
        <f t="shared" ref="N31" si="19">ROUND(F31,4)</f>
        <v>3.8E-3</v>
      </c>
      <c r="O31" s="274">
        <f t="shared" ref="O31" si="20">ROUND(G31,4)</f>
        <v>0</v>
      </c>
      <c r="P31" s="274">
        <f>SUM(K31:O31)</f>
        <v>1.0326</v>
      </c>
    </row>
    <row r="32" spans="2:16" x14ac:dyDescent="0.3">
      <c r="B32" s="21"/>
      <c r="C32" s="308"/>
      <c r="D32" s="309"/>
      <c r="E32" s="309"/>
      <c r="F32" s="309"/>
      <c r="G32" s="309"/>
      <c r="H32" s="309"/>
      <c r="J32" s="21"/>
      <c r="K32" s="308"/>
      <c r="L32" s="309"/>
      <c r="M32" s="309"/>
      <c r="N32" s="309"/>
      <c r="O32" s="309"/>
      <c r="P32" s="309"/>
    </row>
    <row r="33" spans="2:16" ht="15" x14ac:dyDescent="0.3">
      <c r="B33" s="20" t="s">
        <v>245</v>
      </c>
      <c r="C33" s="308"/>
      <c r="D33" s="309"/>
      <c r="E33" s="309"/>
      <c r="F33" s="309"/>
      <c r="G33" s="309"/>
      <c r="H33" s="309"/>
      <c r="J33" s="20" t="s">
        <v>245</v>
      </c>
      <c r="K33" s="308"/>
      <c r="L33" s="309"/>
      <c r="M33" s="309"/>
      <c r="N33" s="309"/>
      <c r="O33" s="309"/>
      <c r="P33" s="309"/>
    </row>
    <row r="34" spans="2:16" x14ac:dyDescent="0.3">
      <c r="B34" s="270" t="s">
        <v>222</v>
      </c>
      <c r="C34" s="443">
        <f>C29</f>
        <v>2026</v>
      </c>
      <c r="D34" s="443"/>
      <c r="E34" s="443"/>
      <c r="F34" s="443"/>
      <c r="G34" s="443"/>
      <c r="H34" s="444"/>
      <c r="J34" s="270" t="s">
        <v>222</v>
      </c>
      <c r="K34" s="443">
        <f>K29</f>
        <v>2026</v>
      </c>
      <c r="L34" s="443"/>
      <c r="M34" s="443"/>
      <c r="N34" s="443"/>
      <c r="O34" s="443"/>
      <c r="P34" s="444"/>
    </row>
    <row r="35" spans="2:16" x14ac:dyDescent="0.3">
      <c r="B35" s="271"/>
      <c r="C35" s="272" t="str">
        <f>+C23</f>
        <v>ECE</v>
      </c>
      <c r="D35" s="272" t="str">
        <f>+D23</f>
        <v>ECT</v>
      </c>
      <c r="E35" s="272" t="str">
        <f>+E23</f>
        <v>ECS</v>
      </c>
      <c r="F35" s="272" t="str">
        <f>+F23</f>
        <v>ECEmp</v>
      </c>
      <c r="G35" s="272" t="str">
        <f>+G23</f>
        <v>EM</v>
      </c>
      <c r="H35" s="310" t="str">
        <f>+H30</f>
        <v>TOTAL</v>
      </c>
      <c r="J35" s="271"/>
      <c r="K35" s="272" t="str">
        <f>+K23</f>
        <v>ECE</v>
      </c>
      <c r="L35" s="272" t="str">
        <f>+L23</f>
        <v>ECT</v>
      </c>
      <c r="M35" s="272" t="str">
        <f>+M23</f>
        <v>ECS</v>
      </c>
      <c r="N35" s="272" t="str">
        <f>+N23</f>
        <v>ECEmp</v>
      </c>
      <c r="O35" s="272" t="str">
        <f>+O23</f>
        <v>EM</v>
      </c>
      <c r="P35" s="310" t="str">
        <f>+P30</f>
        <v>TOTAL</v>
      </c>
    </row>
    <row r="36" spans="2:16" x14ac:dyDescent="0.3">
      <c r="B36" s="338" t="str">
        <f>+B24</f>
        <v>Ponto de Saída Triunfo</v>
      </c>
      <c r="C36" s="274">
        <v>0</v>
      </c>
      <c r="D36" s="274">
        <f>+'Cálculo Encargos ECE, ECT e ECS'!E$91</f>
        <v>0.2204471752298364</v>
      </c>
      <c r="E36" s="274">
        <f>+'Cálculo Encargos ECE, ECT e ECS'!E80</f>
        <v>0.22044717759181065</v>
      </c>
      <c r="F36" s="274">
        <f>+'Calculo Encargos EM e ECEmp'!F$13</f>
        <v>3.7954613369309488E-3</v>
      </c>
      <c r="G36" s="274">
        <f>+'Calculo Encargos EM e ECEmp'!F$23</f>
        <v>-4.6504615576571185E-20</v>
      </c>
      <c r="H36" s="274">
        <f t="shared" ref="H36" si="21">SUM(C36:G36)</f>
        <v>0.44468981415857795</v>
      </c>
      <c r="J36" s="338" t="str">
        <f>B36</f>
        <v>Ponto de Saída Triunfo</v>
      </c>
      <c r="K36" s="274">
        <f>ROUND(C36,4)</f>
        <v>0</v>
      </c>
      <c r="L36" s="274">
        <f t="shared" ref="L36" si="22">ROUND(D36,4)</f>
        <v>0.22040000000000001</v>
      </c>
      <c r="M36" s="274">
        <f t="shared" ref="M36" si="23">ROUND(E36,4)</f>
        <v>0.22040000000000001</v>
      </c>
      <c r="N36" s="274">
        <f t="shared" ref="N36" si="24">ROUND(F36,4)</f>
        <v>3.8E-3</v>
      </c>
      <c r="O36" s="274">
        <f t="shared" ref="O36" si="25">ROUND(G36,4)</f>
        <v>0</v>
      </c>
      <c r="P36" s="274">
        <f>SUM(K36:O36)</f>
        <v>0.44460000000000005</v>
      </c>
    </row>
    <row r="37" spans="2:16" hidden="1" x14ac:dyDescent="0.3">
      <c r="B37" s="338">
        <f>+B25</f>
        <v>0</v>
      </c>
      <c r="C37" s="336"/>
      <c r="D37" s="336"/>
      <c r="E37" s="336"/>
      <c r="F37" s="336"/>
      <c r="G37" s="336"/>
      <c r="H37" s="336"/>
      <c r="J37" s="338">
        <f>+J25</f>
        <v>0</v>
      </c>
      <c r="K37" s="336"/>
      <c r="L37" s="336"/>
      <c r="M37" s="336"/>
      <c r="N37" s="336"/>
      <c r="O37" s="336"/>
      <c r="P37" s="336"/>
    </row>
    <row r="38" spans="2:16" x14ac:dyDescent="0.3">
      <c r="J38" s="19"/>
      <c r="K38" s="19"/>
      <c r="L38" s="19"/>
    </row>
    <row r="39" spans="2:16" x14ac:dyDescent="0.3">
      <c r="J39" s="19"/>
      <c r="K39" s="19"/>
      <c r="L39" s="19"/>
    </row>
    <row r="40" spans="2:16" ht="15" x14ac:dyDescent="0.3">
      <c r="B40" s="20" t="s">
        <v>239</v>
      </c>
      <c r="J40" s="20" t="s">
        <v>239</v>
      </c>
      <c r="K40" s="19"/>
      <c r="L40" s="19"/>
    </row>
    <row r="41" spans="2:16" x14ac:dyDescent="0.3">
      <c r="B41" s="270" t="s">
        <v>222</v>
      </c>
      <c r="C41" s="443">
        <f>C29+1</f>
        <v>2027</v>
      </c>
      <c r="D41" s="443"/>
      <c r="E41" s="443"/>
      <c r="F41" s="443"/>
      <c r="G41" s="443"/>
      <c r="H41" s="444"/>
      <c r="J41" s="270" t="s">
        <v>222</v>
      </c>
      <c r="K41" s="443">
        <f>C41</f>
        <v>2027</v>
      </c>
      <c r="L41" s="443"/>
      <c r="M41" s="443"/>
      <c r="N41" s="443"/>
      <c r="O41" s="443"/>
      <c r="P41" s="444"/>
    </row>
    <row r="42" spans="2:16" x14ac:dyDescent="0.3">
      <c r="B42" s="271"/>
      <c r="C42" s="272" t="str">
        <f>+C30</f>
        <v>ECE</v>
      </c>
      <c r="D42" s="272" t="str">
        <f>+D30</f>
        <v>ECT</v>
      </c>
      <c r="E42" s="272" t="str">
        <f>+E30</f>
        <v>ECS</v>
      </c>
      <c r="F42" s="272" t="str">
        <f>+F30</f>
        <v>ECEmp</v>
      </c>
      <c r="G42" s="272" t="str">
        <f>+G30</f>
        <v>EM</v>
      </c>
      <c r="H42" s="272" t="s">
        <v>39</v>
      </c>
      <c r="J42" s="271"/>
      <c r="K42" s="272" t="str">
        <f>+K30</f>
        <v>ECE</v>
      </c>
      <c r="L42" s="272" t="str">
        <f>+L30</f>
        <v>ECT</v>
      </c>
      <c r="M42" s="272" t="str">
        <f>+M30</f>
        <v>ECS</v>
      </c>
      <c r="N42" s="272" t="str">
        <f>+N30</f>
        <v>ECEmp</v>
      </c>
      <c r="O42" s="272" t="str">
        <f>+O30</f>
        <v>EM</v>
      </c>
      <c r="P42" s="272" t="s">
        <v>39</v>
      </c>
    </row>
    <row r="43" spans="2:16" x14ac:dyDescent="0.3">
      <c r="B43" s="273" t="str">
        <f>+B31</f>
        <v>Recebimento de Canoas</v>
      </c>
      <c r="C43" s="274">
        <f>+'Cálculo Encargos ECE, ECT e ECS'!F73</f>
        <v>0.51437674771422481</v>
      </c>
      <c r="D43" s="274">
        <f>+'Cálculo Encargos ECE, ECT e ECS'!F$87</f>
        <v>0.5143767422029516</v>
      </c>
      <c r="E43" s="274">
        <v>0</v>
      </c>
      <c r="F43" s="274">
        <f>+'Calculo Encargos EM e ECEmp'!G$13</f>
        <v>3.7954613369309488E-3</v>
      </c>
      <c r="G43" s="274">
        <f>+'Calculo Encargos EM e ECEmp'!G$23</f>
        <v>-4.6504615576571185E-20</v>
      </c>
      <c r="H43" s="274">
        <f>SUM(C43:G43)</f>
        <v>1.0325489512541073</v>
      </c>
      <c r="J43" s="273" t="str">
        <f>+J31</f>
        <v>Recebimento de Canoas</v>
      </c>
      <c r="K43" s="274">
        <f>ROUND(C43,4)</f>
        <v>0.51439999999999997</v>
      </c>
      <c r="L43" s="274">
        <f t="shared" ref="L43" si="26">ROUND(D43,4)</f>
        <v>0.51439999999999997</v>
      </c>
      <c r="M43" s="274">
        <f t="shared" ref="M43" si="27">ROUND(E43,4)</f>
        <v>0</v>
      </c>
      <c r="N43" s="274">
        <f t="shared" ref="N43" si="28">ROUND(F43,4)</f>
        <v>3.8E-3</v>
      </c>
      <c r="O43" s="274">
        <f t="shared" ref="O43" si="29">ROUND(G43,4)</f>
        <v>0</v>
      </c>
      <c r="P43" s="274">
        <f>SUM(K43:O43)</f>
        <v>1.0326</v>
      </c>
    </row>
    <row r="44" spans="2:16" x14ac:dyDescent="0.3">
      <c r="B44" s="21"/>
      <c r="C44" s="308"/>
      <c r="D44" s="309"/>
      <c r="E44" s="309"/>
      <c r="F44" s="309"/>
      <c r="G44" s="309"/>
      <c r="H44" s="309"/>
      <c r="J44" s="21"/>
      <c r="K44" s="308"/>
      <c r="L44" s="309"/>
      <c r="M44" s="309"/>
      <c r="N44" s="309"/>
      <c r="O44" s="309"/>
      <c r="P44" s="309"/>
    </row>
    <row r="45" spans="2:16" ht="15" x14ac:dyDescent="0.3">
      <c r="B45" s="20" t="s">
        <v>245</v>
      </c>
      <c r="C45" s="308"/>
      <c r="D45" s="309"/>
      <c r="E45" s="309"/>
      <c r="F45" s="309"/>
      <c r="G45" s="309"/>
      <c r="H45" s="309"/>
      <c r="J45" s="20" t="s">
        <v>245</v>
      </c>
      <c r="K45" s="308"/>
      <c r="L45" s="309"/>
      <c r="M45" s="309"/>
      <c r="N45" s="309"/>
      <c r="O45" s="309"/>
      <c r="P45" s="309"/>
    </row>
    <row r="46" spans="2:16" x14ac:dyDescent="0.3">
      <c r="B46" s="270" t="s">
        <v>222</v>
      </c>
      <c r="C46" s="443">
        <f>C41</f>
        <v>2027</v>
      </c>
      <c r="D46" s="443"/>
      <c r="E46" s="443"/>
      <c r="F46" s="443"/>
      <c r="G46" s="443"/>
      <c r="H46" s="444"/>
      <c r="J46" s="270" t="s">
        <v>222</v>
      </c>
      <c r="K46" s="443">
        <f>K41</f>
        <v>2027</v>
      </c>
      <c r="L46" s="443"/>
      <c r="M46" s="443"/>
      <c r="N46" s="443"/>
      <c r="O46" s="443"/>
      <c r="P46" s="444"/>
    </row>
    <row r="47" spans="2:16" x14ac:dyDescent="0.3">
      <c r="B47" s="271"/>
      <c r="C47" s="272" t="str">
        <f>+C35</f>
        <v>ECE</v>
      </c>
      <c r="D47" s="272" t="str">
        <f>+D35</f>
        <v>ECT</v>
      </c>
      <c r="E47" s="272" t="str">
        <f>+E35</f>
        <v>ECS</v>
      </c>
      <c r="F47" s="272" t="str">
        <f>+F35</f>
        <v>ECEmp</v>
      </c>
      <c r="G47" s="272" t="str">
        <f>+G35</f>
        <v>EM</v>
      </c>
      <c r="H47" s="310" t="str">
        <f>+H42</f>
        <v>TOTAL</v>
      </c>
      <c r="J47" s="271"/>
      <c r="K47" s="272" t="str">
        <f>+K35</f>
        <v>ECE</v>
      </c>
      <c r="L47" s="272" t="str">
        <f>+L35</f>
        <v>ECT</v>
      </c>
      <c r="M47" s="272" t="str">
        <f>+M35</f>
        <v>ECS</v>
      </c>
      <c r="N47" s="272" t="str">
        <f>+N35</f>
        <v>ECEmp</v>
      </c>
      <c r="O47" s="272" t="str">
        <f>+O35</f>
        <v>EM</v>
      </c>
      <c r="P47" s="310" t="str">
        <f>+P42</f>
        <v>TOTAL</v>
      </c>
    </row>
    <row r="48" spans="2:16" x14ac:dyDescent="0.3">
      <c r="B48" s="338" t="str">
        <f>+B36</f>
        <v>Ponto de Saída Triunfo</v>
      </c>
      <c r="C48" s="274">
        <v>0</v>
      </c>
      <c r="D48" s="274">
        <f>+'Cálculo Encargos ECE, ECT e ECS'!F$91</f>
        <v>0.2204471752298364</v>
      </c>
      <c r="E48" s="274">
        <f>+'Cálculo Encargos ECE, ECT e ECS'!F80</f>
        <v>0.22044717759181065</v>
      </c>
      <c r="F48" s="274">
        <f>+'Calculo Encargos EM e ECEmp'!G$13</f>
        <v>3.7954613369309488E-3</v>
      </c>
      <c r="G48" s="274">
        <f>+'Calculo Encargos EM e ECEmp'!G$23</f>
        <v>-4.6504615576571185E-20</v>
      </c>
      <c r="H48" s="274">
        <f t="shared" ref="H48" si="30">SUM(C48:G48)</f>
        <v>0.44468981415857795</v>
      </c>
      <c r="J48" s="338" t="str">
        <f>B48</f>
        <v>Ponto de Saída Triunfo</v>
      </c>
      <c r="K48" s="274">
        <f>ROUND(C48,4)</f>
        <v>0</v>
      </c>
      <c r="L48" s="274">
        <f t="shared" ref="L48" si="31">ROUND(D48,4)</f>
        <v>0.22040000000000001</v>
      </c>
      <c r="M48" s="274">
        <f t="shared" ref="M48" si="32">ROUND(E48,4)</f>
        <v>0.22040000000000001</v>
      </c>
      <c r="N48" s="274">
        <f t="shared" ref="N48" si="33">ROUND(F48,4)</f>
        <v>3.8E-3</v>
      </c>
      <c r="O48" s="274">
        <f t="shared" ref="O48" si="34">ROUND(G48,4)</f>
        <v>0</v>
      </c>
      <c r="P48" s="274">
        <f>SUM(K48:O48)</f>
        <v>0.44460000000000005</v>
      </c>
    </row>
    <row r="49" spans="2:16" hidden="1" x14ac:dyDescent="0.3">
      <c r="B49" s="338">
        <f>+B37</f>
        <v>0</v>
      </c>
      <c r="C49" s="336"/>
      <c r="D49" s="336"/>
      <c r="E49" s="336"/>
      <c r="F49" s="336"/>
      <c r="G49" s="336"/>
      <c r="H49" s="336"/>
      <c r="J49" s="338">
        <f>+J37</f>
        <v>0</v>
      </c>
      <c r="K49" s="336"/>
      <c r="L49" s="336"/>
      <c r="M49" s="336"/>
      <c r="N49" s="336"/>
      <c r="O49" s="336"/>
      <c r="P49" s="336"/>
    </row>
    <row r="50" spans="2:16" x14ac:dyDescent="0.3">
      <c r="J50" s="19"/>
      <c r="K50" s="19"/>
      <c r="L50" s="19"/>
    </row>
    <row r="51" spans="2:16" x14ac:dyDescent="0.3">
      <c r="J51" s="19"/>
      <c r="K51" s="19"/>
      <c r="L51" s="19"/>
    </row>
    <row r="52" spans="2:16" ht="15" x14ac:dyDescent="0.3">
      <c r="B52" s="20" t="s">
        <v>239</v>
      </c>
      <c r="J52" s="20" t="s">
        <v>239</v>
      </c>
      <c r="K52" s="19"/>
      <c r="L52" s="19"/>
    </row>
    <row r="53" spans="2:16" x14ac:dyDescent="0.3">
      <c r="B53" s="270" t="s">
        <v>222</v>
      </c>
      <c r="C53" s="443">
        <f>C41+1</f>
        <v>2028</v>
      </c>
      <c r="D53" s="443"/>
      <c r="E53" s="443"/>
      <c r="F53" s="443"/>
      <c r="G53" s="443"/>
      <c r="H53" s="444"/>
      <c r="J53" s="270" t="s">
        <v>222</v>
      </c>
      <c r="K53" s="443">
        <f>C53</f>
        <v>2028</v>
      </c>
      <c r="L53" s="443"/>
      <c r="M53" s="443"/>
      <c r="N53" s="443"/>
      <c r="O53" s="443"/>
      <c r="P53" s="444"/>
    </row>
    <row r="54" spans="2:16" x14ac:dyDescent="0.3">
      <c r="B54" s="271"/>
      <c r="C54" s="272" t="str">
        <f>+C42</f>
        <v>ECE</v>
      </c>
      <c r="D54" s="272" t="str">
        <f>+D42</f>
        <v>ECT</v>
      </c>
      <c r="E54" s="272" t="str">
        <f>+E42</f>
        <v>ECS</v>
      </c>
      <c r="F54" s="272" t="str">
        <f>+F42</f>
        <v>ECEmp</v>
      </c>
      <c r="G54" s="272" t="str">
        <f>+G42</f>
        <v>EM</v>
      </c>
      <c r="H54" s="272" t="s">
        <v>39</v>
      </c>
      <c r="J54" s="271"/>
      <c r="K54" s="272" t="str">
        <f>+K42</f>
        <v>ECE</v>
      </c>
      <c r="L54" s="272" t="str">
        <f>+L42</f>
        <v>ECT</v>
      </c>
      <c r="M54" s="272" t="str">
        <f>+M42</f>
        <v>ECS</v>
      </c>
      <c r="N54" s="272" t="str">
        <f>+N42</f>
        <v>ECEmp</v>
      </c>
      <c r="O54" s="272" t="str">
        <f>+O42</f>
        <v>EM</v>
      </c>
      <c r="P54" s="272" t="s">
        <v>39</v>
      </c>
    </row>
    <row r="55" spans="2:16" x14ac:dyDescent="0.3">
      <c r="B55" s="273" t="str">
        <f>+B43</f>
        <v>Recebimento de Canoas</v>
      </c>
      <c r="C55" s="274">
        <f>+'Cálculo Encargos ECE, ECT e ECS'!G73</f>
        <v>0.51437674771422492</v>
      </c>
      <c r="D55" s="274">
        <f>+'Cálculo Encargos ECE, ECT e ECS'!G$87</f>
        <v>0.51437674220295149</v>
      </c>
      <c r="E55" s="274">
        <v>0</v>
      </c>
      <c r="F55" s="274">
        <f>+'Calculo Encargos EM e ECEmp'!H$13</f>
        <v>3.7954613369309493E-3</v>
      </c>
      <c r="G55" s="274">
        <f>+'Calculo Encargos EM e ECEmp'!H$23</f>
        <v>-4.6504615576571197E-20</v>
      </c>
      <c r="H55" s="274">
        <f>SUM(C55:G55)</f>
        <v>1.0325489512541073</v>
      </c>
      <c r="J55" s="273" t="str">
        <f>+J43</f>
        <v>Recebimento de Canoas</v>
      </c>
      <c r="K55" s="274">
        <f>ROUND(C55,4)</f>
        <v>0.51439999999999997</v>
      </c>
      <c r="L55" s="274">
        <f t="shared" ref="L55" si="35">ROUND(D55,4)</f>
        <v>0.51439999999999997</v>
      </c>
      <c r="M55" s="274">
        <f t="shared" ref="M55" si="36">ROUND(E55,4)</f>
        <v>0</v>
      </c>
      <c r="N55" s="274">
        <f t="shared" ref="N55" si="37">ROUND(F55,4)</f>
        <v>3.8E-3</v>
      </c>
      <c r="O55" s="274">
        <f t="shared" ref="O55" si="38">ROUND(G55,4)</f>
        <v>0</v>
      </c>
      <c r="P55" s="274">
        <f>SUM(K55:O55)</f>
        <v>1.0326</v>
      </c>
    </row>
    <row r="56" spans="2:16" x14ac:dyDescent="0.3">
      <c r="B56" s="21"/>
      <c r="C56" s="308"/>
      <c r="D56" s="309"/>
      <c r="E56" s="309"/>
      <c r="F56" s="309"/>
      <c r="G56" s="309"/>
      <c r="H56" s="309"/>
      <c r="J56" s="21"/>
      <c r="K56" s="308"/>
      <c r="L56" s="309"/>
      <c r="M56" s="309"/>
      <c r="N56" s="309"/>
      <c r="O56" s="309"/>
      <c r="P56" s="309"/>
    </row>
    <row r="57" spans="2:16" ht="15" x14ac:dyDescent="0.3">
      <c r="B57" s="20" t="s">
        <v>245</v>
      </c>
      <c r="C57" s="308"/>
      <c r="D57" s="309"/>
      <c r="E57" s="309"/>
      <c r="F57" s="309"/>
      <c r="G57" s="309"/>
      <c r="H57" s="309"/>
      <c r="J57" s="20" t="s">
        <v>245</v>
      </c>
      <c r="K57" s="308"/>
      <c r="L57" s="309"/>
      <c r="M57" s="309"/>
      <c r="N57" s="309"/>
      <c r="O57" s="309"/>
      <c r="P57" s="309"/>
    </row>
    <row r="58" spans="2:16" x14ac:dyDescent="0.3">
      <c r="B58" s="270" t="s">
        <v>222</v>
      </c>
      <c r="C58" s="443">
        <f>C53</f>
        <v>2028</v>
      </c>
      <c r="D58" s="443"/>
      <c r="E58" s="443"/>
      <c r="F58" s="443"/>
      <c r="G58" s="443"/>
      <c r="H58" s="444"/>
      <c r="J58" s="270" t="s">
        <v>222</v>
      </c>
      <c r="K58" s="443">
        <f>K53</f>
        <v>2028</v>
      </c>
      <c r="L58" s="443"/>
      <c r="M58" s="443"/>
      <c r="N58" s="443"/>
      <c r="O58" s="443"/>
      <c r="P58" s="444"/>
    </row>
    <row r="59" spans="2:16" x14ac:dyDescent="0.3">
      <c r="B59" s="271"/>
      <c r="C59" s="272" t="str">
        <f>+C47</f>
        <v>ECE</v>
      </c>
      <c r="D59" s="272" t="str">
        <f>+D47</f>
        <v>ECT</v>
      </c>
      <c r="E59" s="272" t="str">
        <f>+E47</f>
        <v>ECS</v>
      </c>
      <c r="F59" s="272" t="str">
        <f>+F47</f>
        <v>ECEmp</v>
      </c>
      <c r="G59" s="272" t="str">
        <f>+G47</f>
        <v>EM</v>
      </c>
      <c r="H59" s="310" t="str">
        <f>+H54</f>
        <v>TOTAL</v>
      </c>
      <c r="J59" s="271"/>
      <c r="K59" s="272" t="str">
        <f>+K47</f>
        <v>ECE</v>
      </c>
      <c r="L59" s="272" t="str">
        <f>+L47</f>
        <v>ECT</v>
      </c>
      <c r="M59" s="272" t="str">
        <f>+M47</f>
        <v>ECS</v>
      </c>
      <c r="N59" s="272" t="str">
        <f>+N47</f>
        <v>ECEmp</v>
      </c>
      <c r="O59" s="272" t="str">
        <f>+O47</f>
        <v>EM</v>
      </c>
      <c r="P59" s="310" t="str">
        <f>+P54</f>
        <v>TOTAL</v>
      </c>
    </row>
    <row r="60" spans="2:16" x14ac:dyDescent="0.3">
      <c r="B60" s="338" t="str">
        <f>+B48</f>
        <v>Ponto de Saída Triunfo</v>
      </c>
      <c r="C60" s="274">
        <v>0</v>
      </c>
      <c r="D60" s="274">
        <f>+'Cálculo Encargos ECE, ECT e ECS'!G$91</f>
        <v>0.22044717522983642</v>
      </c>
      <c r="E60" s="274">
        <f>+'Cálculo Encargos ECE, ECT e ECS'!G80</f>
        <v>0.22044717759181068</v>
      </c>
      <c r="F60" s="274">
        <f>+'Calculo Encargos EM e ECEmp'!H$13</f>
        <v>3.7954613369309493E-3</v>
      </c>
      <c r="G60" s="274">
        <f>+'Calculo Encargos EM e ECEmp'!H$23</f>
        <v>-4.6504615576571197E-20</v>
      </c>
      <c r="H60" s="274">
        <f t="shared" ref="H60" si="39">SUM(C60:G60)</f>
        <v>0.44468981415857806</v>
      </c>
      <c r="J60" s="338" t="str">
        <f>B60</f>
        <v>Ponto de Saída Triunfo</v>
      </c>
      <c r="K60" s="274">
        <f>ROUND(C60,4)</f>
        <v>0</v>
      </c>
      <c r="L60" s="274">
        <f t="shared" ref="L60" si="40">ROUND(D60,4)</f>
        <v>0.22040000000000001</v>
      </c>
      <c r="M60" s="274">
        <f t="shared" ref="M60" si="41">ROUND(E60,4)</f>
        <v>0.22040000000000001</v>
      </c>
      <c r="N60" s="274">
        <f t="shared" ref="N60" si="42">ROUND(F60,4)</f>
        <v>3.8E-3</v>
      </c>
      <c r="O60" s="274">
        <f t="shared" ref="O60" si="43">ROUND(G60,4)</f>
        <v>0</v>
      </c>
      <c r="P60" s="274">
        <f>SUM(K60:O60)</f>
        <v>0.44460000000000005</v>
      </c>
    </row>
    <row r="61" spans="2:16" hidden="1" x14ac:dyDescent="0.3">
      <c r="B61" s="338">
        <f>+B49</f>
        <v>0</v>
      </c>
      <c r="C61" s="336"/>
      <c r="D61" s="336"/>
      <c r="E61" s="336"/>
      <c r="F61" s="336"/>
      <c r="G61" s="336"/>
      <c r="H61" s="336"/>
    </row>
  </sheetData>
  <mergeCells count="20">
    <mergeCell ref="K34:P34"/>
    <mergeCell ref="K41:P41"/>
    <mergeCell ref="K46:P46"/>
    <mergeCell ref="K53:P53"/>
    <mergeCell ref="K58:P58"/>
    <mergeCell ref="K5:P5"/>
    <mergeCell ref="K10:P10"/>
    <mergeCell ref="K17:P17"/>
    <mergeCell ref="K22:P22"/>
    <mergeCell ref="K29:P29"/>
    <mergeCell ref="C58:H58"/>
    <mergeCell ref="C5:H5"/>
    <mergeCell ref="C10:H10"/>
    <mergeCell ref="C17:H17"/>
    <mergeCell ref="C22:H22"/>
    <mergeCell ref="C29:H29"/>
    <mergeCell ref="C34:H34"/>
    <mergeCell ref="C41:H41"/>
    <mergeCell ref="C46:H46"/>
    <mergeCell ref="C53:H53"/>
  </mergeCells>
  <pageMargins left="0.23622047244094491" right="0.23622047244094491" top="0.43" bottom="0.17" header="0.31496062992125984" footer="0.31496062992125984"/>
  <pageSetup paperSize="9" scale="58" orientation="portrait" r:id="rId1"/>
  <headerFooter>
    <oddHeader>&amp;R&amp;"Calibri"&amp;14&amp;K0078D7NP-1&amp;1#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B1:H9"/>
  <sheetViews>
    <sheetView topLeftCell="B1" zoomScaleNormal="100" workbookViewId="0">
      <selection activeCell="H9" sqref="H9"/>
    </sheetView>
  </sheetViews>
  <sheetFormatPr defaultColWidth="8.77734375" defaultRowHeight="13.2" x14ac:dyDescent="0.25"/>
  <cols>
    <col min="1" max="1" width="10.5546875" style="1" bestFit="1" customWidth="1"/>
    <col min="2" max="2" width="28" style="1" bestFit="1" customWidth="1"/>
    <col min="3" max="8" width="20.77734375" style="1" customWidth="1"/>
    <col min="9" max="9" width="19.77734375" style="1" customWidth="1"/>
    <col min="10" max="10" width="16.77734375" style="1" customWidth="1"/>
    <col min="11" max="11" width="18.44140625" style="1" customWidth="1"/>
    <col min="12" max="13" width="18.21875" style="1" customWidth="1"/>
    <col min="14" max="16384" width="8.77734375" style="1"/>
  </cols>
  <sheetData>
    <row r="1" spans="2:8" ht="13.8" thickBot="1" x14ac:dyDescent="0.3"/>
    <row r="2" spans="2:8" ht="16.2" thickBot="1" x14ac:dyDescent="0.3">
      <c r="B2" s="445" t="s">
        <v>252</v>
      </c>
      <c r="C2" s="446"/>
    </row>
    <row r="3" spans="2:8" x14ac:dyDescent="0.25">
      <c r="B3" s="420" t="s">
        <v>324</v>
      </c>
      <c r="C3" s="420"/>
    </row>
    <row r="6" spans="2:8" ht="15" x14ac:dyDescent="0.25">
      <c r="B6" s="9"/>
    </row>
    <row r="7" spans="2:8" ht="31.05" customHeight="1" x14ac:dyDescent="0.25">
      <c r="B7" s="447" t="s">
        <v>308</v>
      </c>
      <c r="C7" s="447"/>
      <c r="D7" s="447"/>
      <c r="E7" s="447"/>
      <c r="F7" s="447"/>
      <c r="H7" s="448" t="s">
        <v>313</v>
      </c>
    </row>
    <row r="8" spans="2:8" ht="15.6" x14ac:dyDescent="0.25">
      <c r="B8" s="404">
        <f>'Fluxo de Caixa Regulado'!C4</f>
        <v>2024</v>
      </c>
      <c r="C8" s="404">
        <f>'Fluxo de Caixa Regulado'!D4</f>
        <v>2025</v>
      </c>
      <c r="D8" s="404">
        <f>'Fluxo de Caixa Regulado'!E4</f>
        <v>2026</v>
      </c>
      <c r="E8" s="404">
        <f>'Fluxo de Caixa Regulado'!F4</f>
        <v>2027</v>
      </c>
      <c r="F8" s="404">
        <f>'Fluxo de Caixa Regulado'!G4</f>
        <v>2028</v>
      </c>
      <c r="H8" s="449"/>
    </row>
    <row r="9" spans="2:8" ht="15" x14ac:dyDescent="0.25">
      <c r="B9" s="10">
        <f>+'Fluxo de Caixa Regulado'!C12</f>
        <v>16134.516953851751</v>
      </c>
      <c r="C9" s="10">
        <f>+'Fluxo de Caixa Regulado'!D12</f>
        <v>16090.433746596857</v>
      </c>
      <c r="D9" s="10">
        <f>+'Fluxo de Caixa Regulado'!E12</f>
        <v>16090.433746596857</v>
      </c>
      <c r="E9" s="10">
        <f>+'Fluxo de Caixa Regulado'!F12</f>
        <v>16090.433746596857</v>
      </c>
      <c r="F9" s="10">
        <f>+'Fluxo de Caixa Regulado'!G12</f>
        <v>16134.51712672452</v>
      </c>
      <c r="H9" s="10">
        <f>NPV(Premissas!B50/100,B9:F9)</f>
        <v>65606.848739027628</v>
      </c>
    </row>
  </sheetData>
  <mergeCells count="3">
    <mergeCell ref="B2:C2"/>
    <mergeCell ref="B7:F7"/>
    <mergeCell ref="H7:H8"/>
  </mergeCells>
  <phoneticPr fontId="7" type="noConversion"/>
  <pageMargins left="0.78740157499999996" right="0.78740157499999996" top="0.984251969" bottom="0.984251969" header="0.49212598499999999" footer="0.49212598499999999"/>
  <pageSetup paperSize="9" scale="60" orientation="landscape" r:id="rId1"/>
  <headerFooter alignWithMargins="0">
    <oddHeader>&amp;R&amp;"Calibri"&amp;14&amp;K0078D7NP-1&amp;1#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76"/>
  <sheetViews>
    <sheetView showGridLines="0" topLeftCell="A32" zoomScale="120" zoomScaleNormal="120" workbookViewId="0">
      <selection activeCell="I62" sqref="I62"/>
    </sheetView>
  </sheetViews>
  <sheetFormatPr defaultRowHeight="13.8" x14ac:dyDescent="0.3"/>
  <cols>
    <col min="2" max="2" width="10.77734375" style="19" customWidth="1"/>
    <col min="3" max="5" width="12.77734375" style="19" customWidth="1"/>
    <col min="6" max="6" width="14.77734375" style="19" customWidth="1"/>
    <col min="7" max="7" width="12.77734375" style="19" customWidth="1"/>
  </cols>
  <sheetData>
    <row r="3" spans="2:8" x14ac:dyDescent="0.3">
      <c r="B3" s="346" t="s">
        <v>246</v>
      </c>
    </row>
    <row r="5" spans="2:8" x14ac:dyDescent="0.3">
      <c r="B5" s="339">
        <v>2024</v>
      </c>
      <c r="C5" s="339" t="s">
        <v>247</v>
      </c>
      <c r="D5" s="339" t="s">
        <v>248</v>
      </c>
      <c r="E5" s="339" t="s">
        <v>249</v>
      </c>
      <c r="F5" s="339" t="s">
        <v>250</v>
      </c>
      <c r="G5" s="339" t="s">
        <v>251</v>
      </c>
    </row>
    <row r="6" spans="2:8" x14ac:dyDescent="0.3">
      <c r="B6" s="341" t="s">
        <v>39</v>
      </c>
      <c r="C6" s="341"/>
      <c r="D6" s="343">
        <f>SUM(D7:D7)</f>
        <v>11277.580135341388</v>
      </c>
      <c r="E6" s="342">
        <f>+D6+D10</f>
        <v>16134.51695012558</v>
      </c>
      <c r="F6" s="343">
        <f>+'Fluxo de Caixa Regulado'!C12</f>
        <v>16134.516953851751</v>
      </c>
      <c r="G6" s="344" t="str">
        <f>IF(AND((E6-F6)&lt;0.01,(E6-F6)&gt;-0.01),"Check","ERRO")</f>
        <v>Check</v>
      </c>
    </row>
    <row r="7" spans="2:8" x14ac:dyDescent="0.3">
      <c r="B7" s="274">
        <f>+TARIFAS!H7</f>
        <v>1.0325489457021677</v>
      </c>
      <c r="C7" s="340">
        <f>+'C. Demanda'!C34</f>
        <v>10922078.011199998</v>
      </c>
      <c r="D7" s="340">
        <f>+TARIFAS!H7*C7/1000</f>
        <v>11277.580135341388</v>
      </c>
      <c r="G7" s="356">
        <f>F6-E6</f>
        <v>3.7261706893332303E-6</v>
      </c>
    </row>
    <row r="8" spans="2:8" x14ac:dyDescent="0.3">
      <c r="B8" s="309"/>
      <c r="D8" s="27"/>
      <c r="G8" s="356"/>
      <c r="H8" s="357"/>
    </row>
    <row r="9" spans="2:8" x14ac:dyDescent="0.3">
      <c r="B9" s="339"/>
      <c r="C9" s="339" t="s">
        <v>247</v>
      </c>
      <c r="D9" s="339" t="s">
        <v>248</v>
      </c>
      <c r="G9" s="356"/>
      <c r="H9" s="357"/>
    </row>
    <row r="10" spans="2:8" x14ac:dyDescent="0.3">
      <c r="B10" s="341" t="str">
        <f>+B6</f>
        <v>TOTAL</v>
      </c>
      <c r="C10" s="341"/>
      <c r="D10" s="343">
        <f>SUM(D11:D12)</f>
        <v>4856.9368147841924</v>
      </c>
      <c r="G10" s="356"/>
      <c r="H10" s="357"/>
    </row>
    <row r="11" spans="2:8" x14ac:dyDescent="0.3">
      <c r="B11" s="274">
        <f>+TARIFAS!H12</f>
        <v>0.44468981175593758</v>
      </c>
      <c r="C11" s="340">
        <f>+'C. Demanda'!C41</f>
        <v>10922078.011199998</v>
      </c>
      <c r="D11" s="340">
        <f>+TARIFAS!H12*C11/1000</f>
        <v>4856.9368147841924</v>
      </c>
    </row>
    <row r="12" spans="2:8" hidden="1" x14ac:dyDescent="0.3">
      <c r="B12" s="336"/>
      <c r="C12" s="316"/>
      <c r="D12" s="316"/>
    </row>
    <row r="15" spans="2:8" x14ac:dyDescent="0.3">
      <c r="C15" s="19" t="s">
        <v>246</v>
      </c>
    </row>
    <row r="16" spans="2:8" x14ac:dyDescent="0.3">
      <c r="B16" s="339">
        <v>2025</v>
      </c>
      <c r="C16" s="339" t="s">
        <v>247</v>
      </c>
      <c r="D16" s="339" t="s">
        <v>248</v>
      </c>
      <c r="E16" s="339" t="s">
        <v>249</v>
      </c>
      <c r="F16" s="339" t="s">
        <v>250</v>
      </c>
      <c r="G16" s="339" t="s">
        <v>251</v>
      </c>
    </row>
    <row r="17" spans="2:7" x14ac:dyDescent="0.3">
      <c r="B17" s="341" t="s">
        <v>39</v>
      </c>
      <c r="C17" s="341"/>
      <c r="D17" s="343">
        <f>SUM(D18:D18)</f>
        <v>11246.767135335351</v>
      </c>
      <c r="E17" s="342">
        <f>+D17+D21</f>
        <v>16090.433657123593</v>
      </c>
      <c r="F17" s="343">
        <f>+'Fluxo de Caixa Regulado'!D12</f>
        <v>16090.433746596857</v>
      </c>
      <c r="G17" s="344" t="str">
        <f>IF(AND((E17-F17)&lt;0.01,(E17-F17)&gt;-0.01),"Check","ERRO")</f>
        <v>Check</v>
      </c>
    </row>
    <row r="18" spans="2:7" x14ac:dyDescent="0.3">
      <c r="B18" s="274">
        <f>+TARIFAS!H19</f>
        <v>1.0325489512541073</v>
      </c>
      <c r="C18" s="340">
        <f>+'C. Demanda'!D34</f>
        <v>10892236.267999999</v>
      </c>
      <c r="D18" s="340">
        <f>+TARIFAS!H19*C18/1000</f>
        <v>11246.767135335351</v>
      </c>
      <c r="G18" s="356">
        <f>F17-E17</f>
        <v>8.9473263869876973E-5</v>
      </c>
    </row>
    <row r="19" spans="2:7" x14ac:dyDescent="0.3">
      <c r="B19" s="309"/>
      <c r="D19" s="27"/>
    </row>
    <row r="20" spans="2:7" x14ac:dyDescent="0.3">
      <c r="B20" s="339"/>
      <c r="C20" s="339" t="s">
        <v>247</v>
      </c>
      <c r="D20" s="339" t="s">
        <v>248</v>
      </c>
    </row>
    <row r="21" spans="2:7" x14ac:dyDescent="0.3">
      <c r="B21" s="341" t="str">
        <f>+B17</f>
        <v>TOTAL</v>
      </c>
      <c r="C21" s="341"/>
      <c r="D21" s="343">
        <f>SUM(D22:D23)</f>
        <v>4843.6665217882419</v>
      </c>
    </row>
    <row r="22" spans="2:7" x14ac:dyDescent="0.3">
      <c r="B22" s="274">
        <f>+TARIFAS!H24</f>
        <v>0.44468981415857795</v>
      </c>
      <c r="C22" s="340">
        <f>+'C. Demanda'!D41</f>
        <v>10892236.267999999</v>
      </c>
      <c r="D22" s="340">
        <f>+TARIFAS!H24*C22/1000</f>
        <v>4843.6665217882419</v>
      </c>
    </row>
    <row r="23" spans="2:7" hidden="1" x14ac:dyDescent="0.3">
      <c r="B23" s="336"/>
      <c r="C23" s="316"/>
      <c r="D23" s="316"/>
    </row>
    <row r="26" spans="2:7" x14ac:dyDescent="0.3">
      <c r="C26" s="19" t="s">
        <v>246</v>
      </c>
    </row>
    <row r="27" spans="2:7" x14ac:dyDescent="0.3">
      <c r="B27" s="339">
        <v>2026</v>
      </c>
      <c r="C27" s="339" t="s">
        <v>247</v>
      </c>
      <c r="D27" s="339" t="s">
        <v>248</v>
      </c>
      <c r="E27" s="339" t="s">
        <v>249</v>
      </c>
      <c r="F27" s="339" t="s">
        <v>250</v>
      </c>
      <c r="G27" s="339" t="s">
        <v>251</v>
      </c>
    </row>
    <row r="28" spans="2:7" x14ac:dyDescent="0.3">
      <c r="B28" s="341" t="s">
        <v>39</v>
      </c>
      <c r="C28" s="341"/>
      <c r="D28" s="343">
        <f>SUM(D29:D29)</f>
        <v>11246.767135335351</v>
      </c>
      <c r="E28" s="342">
        <f>+D28+D32</f>
        <v>16090.433657123593</v>
      </c>
      <c r="F28" s="343">
        <f>+'Fluxo de Caixa Regulado'!E12</f>
        <v>16090.433746596857</v>
      </c>
      <c r="G28" s="344" t="str">
        <f>IF(AND((E28-F28)&lt;0.01,(E28-F28)&gt;-0.01),"Check","ERRO")</f>
        <v>Check</v>
      </c>
    </row>
    <row r="29" spans="2:7" x14ac:dyDescent="0.3">
      <c r="B29" s="274">
        <f>+TARIFAS!H31</f>
        <v>1.0325489512541073</v>
      </c>
      <c r="C29" s="340">
        <f>+'C. Demanda'!E34</f>
        <v>10892236.267999999</v>
      </c>
      <c r="D29" s="340">
        <f>+TARIFAS!H31*C29/1000</f>
        <v>11246.767135335351</v>
      </c>
      <c r="G29" s="356">
        <f>F28-E28</f>
        <v>8.9473263869876973E-5</v>
      </c>
    </row>
    <row r="30" spans="2:7" x14ac:dyDescent="0.3">
      <c r="B30" s="309"/>
      <c r="D30" s="27"/>
    </row>
    <row r="31" spans="2:7" x14ac:dyDescent="0.3">
      <c r="B31" s="339"/>
      <c r="C31" s="339" t="s">
        <v>247</v>
      </c>
      <c r="D31" s="339" t="s">
        <v>248</v>
      </c>
    </row>
    <row r="32" spans="2:7" x14ac:dyDescent="0.3">
      <c r="B32" s="341" t="str">
        <f>+B28</f>
        <v>TOTAL</v>
      </c>
      <c r="C32" s="341"/>
      <c r="D32" s="343">
        <f>SUM(D33:D34)</f>
        <v>4843.6665217882419</v>
      </c>
    </row>
    <row r="33" spans="2:7" x14ac:dyDescent="0.3">
      <c r="B33" s="274">
        <f>+TARIFAS!H36</f>
        <v>0.44468981415857795</v>
      </c>
      <c r="C33" s="340">
        <f>+'C. Demanda'!E41</f>
        <v>10892236.267999999</v>
      </c>
      <c r="D33" s="340">
        <f>+TARIFAS!H36*C33/1000</f>
        <v>4843.6665217882419</v>
      </c>
    </row>
    <row r="34" spans="2:7" hidden="1" x14ac:dyDescent="0.3">
      <c r="B34" s="336"/>
      <c r="C34" s="316"/>
      <c r="D34" s="316"/>
    </row>
    <row r="37" spans="2:7" x14ac:dyDescent="0.3">
      <c r="C37" s="19" t="s">
        <v>246</v>
      </c>
    </row>
    <row r="38" spans="2:7" x14ac:dyDescent="0.3">
      <c r="B38" s="339">
        <v>2027</v>
      </c>
      <c r="C38" s="339" t="s">
        <v>247</v>
      </c>
      <c r="D38" s="339" t="s">
        <v>248</v>
      </c>
      <c r="E38" s="339" t="s">
        <v>249</v>
      </c>
      <c r="F38" s="339" t="s">
        <v>250</v>
      </c>
      <c r="G38" s="339" t="s">
        <v>251</v>
      </c>
    </row>
    <row r="39" spans="2:7" x14ac:dyDescent="0.3">
      <c r="B39" s="341" t="s">
        <v>39</v>
      </c>
      <c r="C39" s="341"/>
      <c r="D39" s="343">
        <f>SUM(D40:D40)</f>
        <v>11246.767135335351</v>
      </c>
      <c r="E39" s="342">
        <f>+D39+D43</f>
        <v>16090.433657123593</v>
      </c>
      <c r="F39" s="343">
        <f>+'Fluxo de Caixa Regulado'!F12</f>
        <v>16090.433746596857</v>
      </c>
      <c r="G39" s="344" t="str">
        <f>IF(AND((E39-F39)&lt;0.01,(E39-F39)&gt;-0.01),"Check","ERRO")</f>
        <v>Check</v>
      </c>
    </row>
    <row r="40" spans="2:7" x14ac:dyDescent="0.3">
      <c r="B40" s="274">
        <f>+TARIFAS!H43</f>
        <v>1.0325489512541073</v>
      </c>
      <c r="C40" s="340">
        <f>+'C. Demanda'!F34</f>
        <v>10892236.267999999</v>
      </c>
      <c r="D40" s="340">
        <f>+TARIFAS!H43*C40/1000</f>
        <v>11246.767135335351</v>
      </c>
      <c r="G40" s="356">
        <f>F39-E39</f>
        <v>8.9473263869876973E-5</v>
      </c>
    </row>
    <row r="41" spans="2:7" x14ac:dyDescent="0.3">
      <c r="B41" s="309"/>
      <c r="D41" s="27"/>
    </row>
    <row r="42" spans="2:7" x14ac:dyDescent="0.3">
      <c r="B42" s="339"/>
      <c r="C42" s="339" t="s">
        <v>247</v>
      </c>
      <c r="D42" s="339" t="s">
        <v>248</v>
      </c>
    </row>
    <row r="43" spans="2:7" x14ac:dyDescent="0.3">
      <c r="B43" s="341" t="str">
        <f>+B39</f>
        <v>TOTAL</v>
      </c>
      <c r="C43" s="341"/>
      <c r="D43" s="343">
        <f>SUM(D44:D45)</f>
        <v>4843.6665217882419</v>
      </c>
    </row>
    <row r="44" spans="2:7" x14ac:dyDescent="0.3">
      <c r="B44" s="274">
        <f>+TARIFAS!H48</f>
        <v>0.44468981415857795</v>
      </c>
      <c r="C44" s="340">
        <f>+'C. Demanda'!F41</f>
        <v>10892236.267999999</v>
      </c>
      <c r="D44" s="340">
        <f>+TARIFAS!H48*C44/1000</f>
        <v>4843.6665217882419</v>
      </c>
    </row>
    <row r="45" spans="2:7" hidden="1" x14ac:dyDescent="0.3">
      <c r="B45" s="336"/>
      <c r="C45" s="316"/>
      <c r="D45" s="316"/>
    </row>
    <row r="48" spans="2:7" x14ac:dyDescent="0.3">
      <c r="C48" s="19" t="s">
        <v>246</v>
      </c>
    </row>
    <row r="49" spans="2:7" x14ac:dyDescent="0.3">
      <c r="B49" s="339">
        <v>2028</v>
      </c>
      <c r="C49" s="339" t="s">
        <v>247</v>
      </c>
      <c r="D49" s="339" t="s">
        <v>248</v>
      </c>
      <c r="E49" s="339" t="s">
        <v>249</v>
      </c>
      <c r="F49" s="339" t="s">
        <v>250</v>
      </c>
      <c r="G49" s="339" t="s">
        <v>251</v>
      </c>
    </row>
    <row r="50" spans="2:7" x14ac:dyDescent="0.3">
      <c r="B50" s="341" t="s">
        <v>39</v>
      </c>
      <c r="C50" s="341"/>
      <c r="D50" s="343">
        <f>SUM(D51:D51)</f>
        <v>11277.580195980103</v>
      </c>
      <c r="E50" s="342">
        <f>+D50+D54</f>
        <v>16134.517037006121</v>
      </c>
      <c r="F50" s="343">
        <f>+'Fluxo de Caixa Regulado'!G12</f>
        <v>16134.51712672452</v>
      </c>
      <c r="G50" s="344" t="str">
        <f>IF(AND((E50-F50)&lt;0.01,(E50-F50)&gt;-0.01),"Check","ERRO")</f>
        <v>Check</v>
      </c>
    </row>
    <row r="51" spans="2:7" x14ac:dyDescent="0.3">
      <c r="B51" s="274">
        <f>+TARIFAS!H55</f>
        <v>1.0325489512541073</v>
      </c>
      <c r="C51" s="340">
        <f>+'C. Demanda'!G34</f>
        <v>10922078.011199998</v>
      </c>
      <c r="D51" s="340">
        <f>+TARIFAS!H55*C51/1000</f>
        <v>11277.580195980103</v>
      </c>
      <c r="F51" s="345"/>
      <c r="G51" s="356">
        <f>F50-E50</f>
        <v>8.9718399976845831E-5</v>
      </c>
    </row>
    <row r="52" spans="2:7" x14ac:dyDescent="0.3">
      <c r="B52" s="309"/>
      <c r="D52" s="27"/>
    </row>
    <row r="53" spans="2:7" x14ac:dyDescent="0.3">
      <c r="B53" s="339"/>
      <c r="C53" s="339" t="s">
        <v>247</v>
      </c>
      <c r="D53" s="339" t="s">
        <v>248</v>
      </c>
    </row>
    <row r="54" spans="2:7" x14ac:dyDescent="0.3">
      <c r="B54" s="341" t="str">
        <f>+B50</f>
        <v>TOTAL</v>
      </c>
      <c r="C54" s="341"/>
      <c r="D54" s="343">
        <f>SUM(D55:D56)</f>
        <v>4856.9368410260186</v>
      </c>
    </row>
    <row r="55" spans="2:7" x14ac:dyDescent="0.3">
      <c r="B55" s="274">
        <f>+TARIFAS!H60</f>
        <v>0.44468981415857806</v>
      </c>
      <c r="C55" s="340">
        <f>+'C. Demanda'!G41</f>
        <v>10922078.011199998</v>
      </c>
      <c r="D55" s="340">
        <f>+TARIFAS!H60*C55/1000</f>
        <v>4856.9368410260186</v>
      </c>
    </row>
    <row r="56" spans="2:7" hidden="1" x14ac:dyDescent="0.3">
      <c r="B56" s="336"/>
      <c r="C56" s="316"/>
      <c r="D56" s="316"/>
    </row>
    <row r="60" spans="2:7" x14ac:dyDescent="0.3">
      <c r="B60" s="429"/>
      <c r="C60" s="429"/>
      <c r="D60" s="429"/>
      <c r="E60" s="429"/>
      <c r="F60" s="429"/>
      <c r="G60" s="429"/>
    </row>
    <row r="61" spans="2:7" x14ac:dyDescent="0.3">
      <c r="B61" s="346"/>
      <c r="C61" s="346"/>
      <c r="D61" s="430"/>
      <c r="E61" s="431"/>
      <c r="F61" s="430"/>
      <c r="G61" s="432"/>
    </row>
    <row r="62" spans="2:7" x14ac:dyDescent="0.3">
      <c r="B62" s="433"/>
      <c r="C62" s="322"/>
      <c r="D62" s="322"/>
      <c r="F62" s="345"/>
      <c r="G62" s="356"/>
    </row>
    <row r="63" spans="2:7" x14ac:dyDescent="0.3">
      <c r="B63" s="309"/>
      <c r="D63" s="322"/>
    </row>
    <row r="64" spans="2:7" x14ac:dyDescent="0.3">
      <c r="B64" s="429"/>
      <c r="C64" s="429"/>
      <c r="D64" s="429"/>
    </row>
    <row r="65" spans="2:7" x14ac:dyDescent="0.3">
      <c r="B65" s="346"/>
      <c r="C65" s="346"/>
      <c r="D65" s="430"/>
    </row>
    <row r="66" spans="2:7" x14ac:dyDescent="0.3">
      <c r="B66" s="433"/>
      <c r="C66" s="322"/>
      <c r="D66" s="322"/>
    </row>
    <row r="70" spans="2:7" x14ac:dyDescent="0.3">
      <c r="B70" s="429"/>
      <c r="C70" s="429"/>
      <c r="D70" s="429"/>
      <c r="E70" s="429"/>
      <c r="F70" s="429"/>
      <c r="G70" s="429"/>
    </row>
    <row r="71" spans="2:7" x14ac:dyDescent="0.3">
      <c r="B71" s="346"/>
      <c r="C71" s="346"/>
      <c r="D71" s="430"/>
      <c r="E71" s="431"/>
      <c r="F71" s="430"/>
      <c r="G71" s="432"/>
    </row>
    <row r="72" spans="2:7" x14ac:dyDescent="0.3">
      <c r="B72" s="433"/>
      <c r="C72" s="322"/>
      <c r="D72" s="322"/>
      <c r="F72" s="345"/>
      <c r="G72" s="356"/>
    </row>
    <row r="73" spans="2:7" x14ac:dyDescent="0.3">
      <c r="B73" s="309"/>
      <c r="D73" s="322"/>
    </row>
    <row r="74" spans="2:7" x14ac:dyDescent="0.3">
      <c r="B74" s="429"/>
      <c r="C74" s="429"/>
      <c r="D74" s="429"/>
    </row>
    <row r="75" spans="2:7" x14ac:dyDescent="0.3">
      <c r="B75" s="346"/>
      <c r="C75" s="346"/>
      <c r="D75" s="430"/>
    </row>
    <row r="76" spans="2:7" x14ac:dyDescent="0.3">
      <c r="B76" s="433"/>
      <c r="C76" s="322"/>
      <c r="D76" s="322"/>
    </row>
  </sheetData>
  <conditionalFormatting sqref="G6 G17 G28 G39 G50">
    <cfRule type="containsText" dxfId="33" priority="37" operator="containsText" text="ERRO">
      <formula>NOT(ISERROR(SEARCH("ERRO",G6)))</formula>
    </cfRule>
    <cfRule type="containsText" dxfId="32" priority="38" operator="containsText" text="Check">
      <formula>NOT(ISERROR(SEARCH("Check",G6)))</formula>
    </cfRule>
  </conditionalFormatting>
  <conditionalFormatting sqref="G61">
    <cfRule type="containsText" dxfId="31" priority="8" operator="containsText" text="Check">
      <formula>NOT(ISERROR(SEARCH("Check",G61)))</formula>
    </cfRule>
    <cfRule type="containsText" dxfId="30" priority="7" operator="containsText" text="ERRO">
      <formula>NOT(ISERROR(SEARCH("ERRO",G61)))</formula>
    </cfRule>
  </conditionalFormatting>
  <conditionalFormatting sqref="G71">
    <cfRule type="containsText" dxfId="29" priority="2" operator="containsText" text="Check">
      <formula>NOT(ISERROR(SEARCH("Check",G71)))</formula>
    </cfRule>
    <cfRule type="containsText" dxfId="28" priority="1" operator="containsText" text="ERRO">
      <formula>NOT(ISERROR(SEARCH("ERRO",G71)))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&amp;R&amp;"Calibri"&amp;14&amp;K0078D7NP-1&amp;1#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6" operator="containsText" text="&quot;check&quot;" id="{3A163682-4412-4AD6-9FB2-D8BFE340E894}">
            <xm:f>NOT(ISERROR(SEARCH("""check""",TARIFAS!G6)))</xm:f>
            <x14:dxf>
              <font>
                <strike val="0"/>
                <color auto="1"/>
              </font>
              <fill>
                <patternFill>
                  <fgColor rgb="FF00B050"/>
                  <bgColor rgb="FF00B050"/>
                </patternFill>
              </fill>
            </x14:dxf>
          </x14:cfRule>
          <x14:cfRule type="containsText" priority="45" operator="containsText" text="&quot;ERRO&quot;" id="{E8335ECD-E1A5-4124-B647-93CD0A2A4E47}">
            <xm:f>NOT(ISERROR(SEARCH("""ERRO""",TARIFAS!G6)))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44" operator="containsText" text="&quot;Check&quot;" id="{A8A29D71-7339-4BB0-B65D-BB97A6566081}">
            <xm:f>NOT(ISERROR(SEARCH("""Check""",TARIFAS!G6)))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3" operator="containsText" text="&quot;ERRO&quot;" id="{E320046A-8736-40D9-82E9-B212A626B2D7}">
            <xm:f>NOT(ISERROR(SEARCH("""ERRO""",TARIFAS!G6)))</xm:f>
            <x14:dxf>
              <fill>
                <patternFill>
                  <bgColor rgb="FFFF0000"/>
                </patternFill>
              </fill>
            </x14:dxf>
          </x14:cfRule>
          <xm:sqref>G6</xm:sqref>
        </x14:conditionalFormatting>
        <x14:conditionalFormatting xmlns:xm="http://schemas.microsoft.com/office/excel/2006/main">
          <x14:cfRule type="containsText" priority="62" operator="containsText" text="&quot;check&quot;" id="{3A163682-4412-4AD6-9FB2-D8BFE340E894}">
            <xm:f>NOT(ISERROR(SEARCH("""check""",TARIFAS!G18)))</xm:f>
            <x14:dxf>
              <font>
                <strike val="0"/>
                <color auto="1"/>
              </font>
              <fill>
                <patternFill>
                  <fgColor rgb="FF00B050"/>
                  <bgColor rgb="FF00B050"/>
                </patternFill>
              </fill>
            </x14:dxf>
          </x14:cfRule>
          <x14:cfRule type="containsText" priority="59" operator="containsText" text="&quot;ERRO&quot;" id="{E320046A-8736-40D9-82E9-B212A626B2D7}">
            <xm:f>NOT(ISERROR(SEARCH("""ERRO""",TARIFAS!G18)))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60" operator="containsText" text="&quot;Check&quot;" id="{A8A29D71-7339-4BB0-B65D-BB97A6566081}">
            <xm:f>NOT(ISERROR(SEARCH("""Check""",TARIFAS!G18)))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1" operator="containsText" text="&quot;ERRO&quot;" id="{E8335ECD-E1A5-4124-B647-93CD0A2A4E47}">
            <xm:f>NOT(ISERROR(SEARCH("""ERRO""",TARIFAS!G18)))</xm:f>
            <x14:dxf>
              <fill>
                <patternFill>
                  <bgColor rgb="FFFF0000"/>
                </patternFill>
              </fill>
            </x14:dxf>
          </x14:cfRule>
          <xm:sqref>G17</xm:sqref>
        </x14:conditionalFormatting>
        <x14:conditionalFormatting xmlns:xm="http://schemas.microsoft.com/office/excel/2006/main">
          <x14:cfRule type="containsText" priority="57" operator="containsText" text="&quot;ERRO&quot;" id="{E8335ECD-E1A5-4124-B647-93CD0A2A4E47}">
            <xm:f>NOT(ISERROR(SEARCH("""ERRO""",TARIFAS!G30)))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56" operator="containsText" text="&quot;Check&quot;" id="{A8A29D71-7339-4BB0-B65D-BB97A6566081}">
            <xm:f>NOT(ISERROR(SEARCH("""Check""",TARIFAS!G30)))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5" operator="containsText" text="&quot;ERRO&quot;" id="{E320046A-8736-40D9-82E9-B212A626B2D7}">
            <xm:f>NOT(ISERROR(SEARCH("""ERRO""",TARIFAS!G30)))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58" operator="containsText" text="&quot;check&quot;" id="{3A163682-4412-4AD6-9FB2-D8BFE340E894}">
            <xm:f>NOT(ISERROR(SEARCH("""check""",TARIFAS!G30)))</xm:f>
            <x14:dxf>
              <font>
                <strike val="0"/>
                <color auto="1"/>
              </font>
              <fill>
                <patternFill>
                  <fgColor rgb="FF00B050"/>
                  <bgColor rgb="FF00B050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50" operator="containsText" text="&quot;check&quot;" id="{3A163682-4412-4AD6-9FB2-D8BFE340E894}">
            <xm:f>NOT(ISERROR(SEARCH("""check""",TARIFAS!G42)))</xm:f>
            <x14:dxf>
              <font>
                <strike val="0"/>
                <color auto="1"/>
              </font>
              <fill>
                <patternFill>
                  <fgColor rgb="FF00B050"/>
                  <bgColor rgb="FF00B050"/>
                </patternFill>
              </fill>
            </x14:dxf>
          </x14:cfRule>
          <x14:cfRule type="containsText" priority="49" operator="containsText" text="&quot;ERRO&quot;" id="{E8335ECD-E1A5-4124-B647-93CD0A2A4E47}">
            <xm:f>NOT(ISERROR(SEARCH("""ERRO""",TARIFAS!G42)))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48" operator="containsText" text="&quot;Check&quot;" id="{A8A29D71-7339-4BB0-B65D-BB97A6566081}">
            <xm:f>NOT(ISERROR(SEARCH("""Check""",TARIFAS!G42)))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7" operator="containsText" text="&quot;ERRO&quot;" id="{E320046A-8736-40D9-82E9-B212A626B2D7}">
            <xm:f>NOT(ISERROR(SEARCH("""ERRO""",TARIFAS!G42)))</xm:f>
            <x14:dxf>
              <fill>
                <patternFill>
                  <bgColor rgb="FFFF0000"/>
                </patternFill>
              </fill>
            </x14:dxf>
          </x14:cfRule>
          <xm:sqref>G39</xm:sqref>
        </x14:conditionalFormatting>
        <x14:conditionalFormatting xmlns:xm="http://schemas.microsoft.com/office/excel/2006/main">
          <x14:cfRule type="containsText" priority="39" operator="containsText" text="&quot;ERRO&quot;" id="{E320046A-8736-40D9-82E9-B212A626B2D7}">
            <xm:f>NOT(ISERROR(SEARCH("""ERRO""",TARIFAS!G54)))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40" operator="containsText" text="&quot;Check&quot;" id="{A8A29D71-7339-4BB0-B65D-BB97A6566081}">
            <xm:f>NOT(ISERROR(SEARCH("""Check""",TARIFAS!G54)))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1" operator="containsText" text="&quot;ERRO&quot;" id="{E8335ECD-E1A5-4124-B647-93CD0A2A4E47}">
            <xm:f>NOT(ISERROR(SEARCH("""ERRO""",TARIFAS!G54)))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42" operator="containsText" text="&quot;check&quot;" id="{3A163682-4412-4AD6-9FB2-D8BFE340E894}">
            <xm:f>NOT(ISERROR(SEARCH("""check""",TARIFAS!G54)))</xm:f>
            <x14:dxf>
              <font>
                <strike val="0"/>
                <color auto="1"/>
              </font>
              <fill>
                <patternFill>
                  <fgColor rgb="FF00B050"/>
                  <bgColor rgb="FF00B050"/>
                </patternFill>
              </fill>
            </x14:dxf>
          </x14:cfRule>
          <xm:sqref>G50</xm:sqref>
        </x14:conditionalFormatting>
        <x14:conditionalFormatting xmlns:xm="http://schemas.microsoft.com/office/excel/2006/main">
          <x14:cfRule type="containsText" priority="12" operator="containsText" text="&quot;check&quot;" id="{6D9FC80B-0EB9-4E28-9D1F-8583E3EC7B26}">
            <xm:f>NOT(ISERROR(SEARCH("""check""",TARIFAS!G65)))</xm:f>
            <x14:dxf>
              <font>
                <strike val="0"/>
                <color auto="1"/>
              </font>
              <fill>
                <patternFill>
                  <fgColor rgb="FF00B050"/>
                  <bgColor rgb="FF00B050"/>
                </patternFill>
              </fill>
            </x14:dxf>
          </x14:cfRule>
          <x14:cfRule type="containsText" priority="11" operator="containsText" text="&quot;ERRO&quot;" id="{E3C2ADC7-1AE6-4C16-8E2C-15F45B7AD447}">
            <xm:f>NOT(ISERROR(SEARCH("""ERRO""",TARIFAS!G65)))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10" operator="containsText" text="&quot;Check&quot;" id="{0CA1470C-7605-41F3-8C14-CE616700322A}">
            <xm:f>NOT(ISERROR(SEARCH("""Check""",TARIFAS!G65)))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" operator="containsText" text="&quot;ERRO&quot;" id="{B1838FA9-17C7-4F35-96D1-6E6A527F355C}">
            <xm:f>NOT(ISERROR(SEARCH("""ERRO""",TARIFAS!G65)))</xm:f>
            <x14:dxf>
              <fill>
                <patternFill>
                  <bgColor rgb="FFFF0000"/>
                </patternFill>
              </fill>
            </x14:dxf>
          </x14:cfRule>
          <xm:sqref>G61</xm:sqref>
        </x14:conditionalFormatting>
        <x14:conditionalFormatting xmlns:xm="http://schemas.microsoft.com/office/excel/2006/main">
          <x14:cfRule type="containsText" priority="6" operator="containsText" text="&quot;check&quot;" id="{BE5968E5-F282-4E1D-B948-C6EC6AC2D0E3}">
            <xm:f>NOT(ISERROR(SEARCH("""check""",TARIFAS!G75)))</xm:f>
            <x14:dxf>
              <font>
                <strike val="0"/>
                <color auto="1"/>
              </font>
              <fill>
                <patternFill>
                  <fgColor rgb="FF00B050"/>
                  <bgColor rgb="FF00B050"/>
                </patternFill>
              </fill>
            </x14:dxf>
          </x14:cfRule>
          <x14:cfRule type="containsText" priority="5" operator="containsText" text="&quot;ERRO&quot;" id="{0C398C25-C5F2-442A-8AFB-13BB014D3D69}">
            <xm:f>NOT(ISERROR(SEARCH("""ERRO""",TARIFAS!G75)))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4" operator="containsText" text="&quot;Check&quot;" id="{77B82B99-BB70-438A-9DCC-E17B610EA7D6}">
            <xm:f>NOT(ISERROR(SEARCH("""Check""",TARIFAS!G75)))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" operator="containsText" text="&quot;ERRO&quot;" id="{2C47302E-E52A-4CB2-A588-2BDF992470B6}">
            <xm:f>NOT(ISERROR(SEARCH("""ERRO""",TARIFAS!G75)))</xm:f>
            <x14:dxf>
              <fill>
                <patternFill>
                  <bgColor rgb="FFFF0000"/>
                </patternFill>
              </fill>
            </x14:dxf>
          </x14:cfRule>
          <xm:sqref>G71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28" zoomScaleNormal="100" workbookViewId="0">
      <selection activeCell="E36" sqref="E36"/>
    </sheetView>
  </sheetViews>
  <sheetFormatPr defaultColWidth="10.21875" defaultRowHeight="12.75" customHeight="1" x14ac:dyDescent="0.25"/>
  <cols>
    <col min="1" max="1" width="10.21875" style="384" customWidth="1"/>
    <col min="2" max="2" width="10.21875" style="385" customWidth="1"/>
    <col min="3" max="3" width="10.21875" style="384" customWidth="1"/>
    <col min="4" max="4" width="12.21875" style="384" customWidth="1"/>
    <col min="5" max="16384" width="10.21875" style="384"/>
  </cols>
  <sheetData>
    <row r="1" spans="1:2" ht="13.2" x14ac:dyDescent="0.25">
      <c r="A1" s="384" t="s">
        <v>256</v>
      </c>
      <c r="B1" s="385" t="s">
        <v>257</v>
      </c>
    </row>
    <row r="2" spans="1:2" ht="13.2" x14ac:dyDescent="0.25">
      <c r="A2" s="384" t="s">
        <v>258</v>
      </c>
      <c r="B2" s="385">
        <v>1699.6955892552901</v>
      </c>
    </row>
    <row r="3" spans="1:2" ht="13.2" x14ac:dyDescent="0.25">
      <c r="A3" s="384" t="s">
        <v>259</v>
      </c>
      <c r="B3" s="385">
        <v>458.373460827786</v>
      </c>
    </row>
    <row r="4" spans="1:2" ht="13.2" x14ac:dyDescent="0.25">
      <c r="A4" s="384" t="s">
        <v>260</v>
      </c>
      <c r="B4" s="385">
        <v>1174.4737144829201</v>
      </c>
    </row>
    <row r="5" spans="1:2" ht="13.2" x14ac:dyDescent="0.25">
      <c r="A5" s="384" t="s">
        <v>261</v>
      </c>
      <c r="B5" s="385">
        <v>2567.45895638395</v>
      </c>
    </row>
    <row r="6" spans="1:2" ht="13.2" x14ac:dyDescent="0.25">
      <c r="A6" s="384" t="s">
        <v>262</v>
      </c>
      <c r="B6" s="385">
        <v>1246.61778989253</v>
      </c>
    </row>
    <row r="7" spans="1:2" ht="13.2" x14ac:dyDescent="0.25">
      <c r="A7" s="384" t="s">
        <v>263</v>
      </c>
      <c r="B7" s="385">
        <v>15.2470916705444</v>
      </c>
    </row>
    <row r="8" spans="1:2" ht="13.2" x14ac:dyDescent="0.25">
      <c r="A8" s="384" t="s">
        <v>264</v>
      </c>
      <c r="B8" s="385">
        <v>9.1994864050777991</v>
      </c>
    </row>
    <row r="9" spans="1:2" ht="13.2" x14ac:dyDescent="0.25">
      <c r="A9" s="384" t="s">
        <v>265</v>
      </c>
      <c r="B9" s="385">
        <v>7.7426511369939099</v>
      </c>
    </row>
    <row r="10" spans="1:2" ht="13.2" x14ac:dyDescent="0.25">
      <c r="A10" s="384" t="s">
        <v>266</v>
      </c>
      <c r="B10" s="385">
        <v>1.78180445451115</v>
      </c>
    </row>
    <row r="11" spans="1:2" ht="13.2" x14ac:dyDescent="0.25">
      <c r="A11" s="384" t="s">
        <v>267</v>
      </c>
      <c r="B11" s="385">
        <v>20.101017593785201</v>
      </c>
    </row>
    <row r="12" spans="1:2" ht="13.2" x14ac:dyDescent="0.25">
      <c r="A12" s="384" t="s">
        <v>268</v>
      </c>
      <c r="B12" s="385">
        <v>9.9540143403387997</v>
      </c>
    </row>
    <row r="13" spans="1:2" ht="13.2" x14ac:dyDescent="0.25">
      <c r="A13" s="384" t="s">
        <v>269</v>
      </c>
      <c r="B13" s="385">
        <v>10.384676270381499</v>
      </c>
    </row>
    <row r="14" spans="1:2" ht="13.2" x14ac:dyDescent="0.25">
      <c r="A14" s="384" t="s">
        <v>270</v>
      </c>
      <c r="B14" s="385">
        <v>25.3068286431998</v>
      </c>
    </row>
    <row r="15" spans="1:2" ht="13.2" x14ac:dyDescent="0.25">
      <c r="A15" s="384" t="s">
        <v>271</v>
      </c>
      <c r="B15" s="385">
        <v>8.7083328718522193</v>
      </c>
    </row>
    <row r="16" spans="1:2" ht="13.2" x14ac:dyDescent="0.25">
      <c r="A16" s="384" t="s">
        <v>272</v>
      </c>
      <c r="B16" s="385">
        <v>12.412762561342101</v>
      </c>
    </row>
    <row r="17" spans="1:4" ht="13.2" x14ac:dyDescent="0.25">
      <c r="A17" s="384" t="s">
        <v>273</v>
      </c>
      <c r="B17" s="385">
        <v>1.20874307034635</v>
      </c>
    </row>
    <row r="18" spans="1:4" ht="13.2" x14ac:dyDescent="0.25">
      <c r="A18" s="384" t="s">
        <v>274</v>
      </c>
      <c r="B18" s="385">
        <v>3.8315731658537402</v>
      </c>
    </row>
    <row r="19" spans="1:4" ht="13.2" x14ac:dyDescent="0.25">
      <c r="A19" s="384" t="s">
        <v>275</v>
      </c>
      <c r="B19" s="385">
        <v>7.75438273698978</v>
      </c>
    </row>
    <row r="20" spans="1:4" ht="13.2" x14ac:dyDescent="0.25">
      <c r="A20" s="384" t="s">
        <v>276</v>
      </c>
      <c r="B20" s="385">
        <v>9.8075050358176696</v>
      </c>
    </row>
    <row r="21" spans="1:4" ht="13.2" x14ac:dyDescent="0.25">
      <c r="A21" s="384" t="s">
        <v>277</v>
      </c>
      <c r="B21" s="385">
        <v>-1.7192492255360501</v>
      </c>
    </row>
    <row r="22" spans="1:4" ht="13.2" x14ac:dyDescent="0.25">
      <c r="A22" s="384" t="s">
        <v>278</v>
      </c>
      <c r="B22" s="385">
        <v>11.3231429496735</v>
      </c>
    </row>
    <row r="23" spans="1:4" ht="13.2" x14ac:dyDescent="0.25">
      <c r="A23" s="384" t="s">
        <v>279</v>
      </c>
      <c r="B23" s="385">
        <v>5.0968130206239897</v>
      </c>
      <c r="C23" s="384">
        <v>1</v>
      </c>
      <c r="D23" s="384">
        <f>C23</f>
        <v>1</v>
      </c>
    </row>
    <row r="24" spans="1:4" ht="13.2" x14ac:dyDescent="0.25">
      <c r="A24" s="384" t="s">
        <v>280</v>
      </c>
      <c r="B24" s="385">
        <v>7.8182448251671302</v>
      </c>
      <c r="C24" s="384">
        <f>B24/100+1</f>
        <v>1.0781824482516713</v>
      </c>
      <c r="D24" s="384">
        <f>D23*C24</f>
        <v>1.0781824482516713</v>
      </c>
    </row>
    <row r="25" spans="1:4" ht="13.2" x14ac:dyDescent="0.25">
      <c r="A25" s="384" t="s">
        <v>281</v>
      </c>
      <c r="B25" s="385">
        <v>5.5106104434671499</v>
      </c>
      <c r="C25" s="384">
        <f t="shared" ref="C25:C41" si="0">B25/100+1</f>
        <v>1.0551061044346715</v>
      </c>
      <c r="D25" s="384">
        <f t="shared" ref="D25:D31" si="1">D24*C25</f>
        <v>1.1375968828446577</v>
      </c>
    </row>
    <row r="26" spans="1:4" ht="13.2" x14ac:dyDescent="0.25">
      <c r="A26" s="384" t="s">
        <v>282</v>
      </c>
      <c r="B26" s="385">
        <v>3.68575514980403</v>
      </c>
      <c r="C26" s="384">
        <f t="shared" si="0"/>
        <v>1.0368575514980403</v>
      </c>
      <c r="D26" s="384">
        <f t="shared" si="1"/>
        <v>1.1795259185381146</v>
      </c>
    </row>
    <row r="27" spans="1:4" ht="13.2" x14ac:dyDescent="0.25">
      <c r="A27" s="384" t="s">
        <v>283</v>
      </c>
      <c r="B27" s="385">
        <v>10.539166948817</v>
      </c>
      <c r="C27" s="384">
        <f t="shared" si="0"/>
        <v>1.10539166948817</v>
      </c>
      <c r="D27" s="384">
        <f t="shared" si="1"/>
        <v>1.3038381242974137</v>
      </c>
    </row>
    <row r="28" spans="1:4" ht="13.2" x14ac:dyDescent="0.25">
      <c r="A28" s="384" t="s">
        <v>284</v>
      </c>
      <c r="B28" s="385">
        <v>7.1729082528960699</v>
      </c>
      <c r="C28" s="384">
        <f t="shared" si="0"/>
        <v>1.0717290825289607</v>
      </c>
      <c r="D28" s="384">
        <f t="shared" si="1"/>
        <v>1.3973612367195483</v>
      </c>
    </row>
    <row r="29" spans="1:4" ht="13.2" x14ac:dyDescent="0.25">
      <c r="A29" s="384" t="s">
        <v>285</v>
      </c>
      <c r="B29" s="385">
        <v>-0.52094044493907798</v>
      </c>
      <c r="C29" s="384">
        <f t="shared" si="0"/>
        <v>0.99479059555060922</v>
      </c>
      <c r="D29" s="384">
        <f t="shared" si="1"/>
        <v>1.3900818168755753</v>
      </c>
    </row>
    <row r="30" spans="1:4" ht="13.2" x14ac:dyDescent="0.25">
      <c r="A30" s="384" t="s">
        <v>286</v>
      </c>
      <c r="B30" s="385">
        <v>7.5368734029632503</v>
      </c>
      <c r="C30" s="384">
        <f t="shared" si="0"/>
        <v>1.0753687340296325</v>
      </c>
      <c r="D30" s="384">
        <f t="shared" si="1"/>
        <v>1.4948505236110989</v>
      </c>
    </row>
    <row r="31" spans="1:4" ht="13.2" x14ac:dyDescent="0.25">
      <c r="A31" s="384" t="s">
        <v>287</v>
      </c>
      <c r="B31" s="385">
        <v>7.3039306458065001</v>
      </c>
      <c r="C31" s="384">
        <f t="shared" si="0"/>
        <v>1.073039306458065</v>
      </c>
      <c r="D31" s="384">
        <f t="shared" si="1"/>
        <v>1.6040333691141289</v>
      </c>
    </row>
    <row r="32" spans="1:4" ht="13.2" x14ac:dyDescent="0.25">
      <c r="A32" s="384" t="s">
        <v>69</v>
      </c>
      <c r="B32" s="385">
        <v>23.138351126052601</v>
      </c>
      <c r="C32" s="384">
        <f t="shared" si="0"/>
        <v>1.231383511260526</v>
      </c>
      <c r="D32" s="384">
        <f>D31*C32</f>
        <v>1.9751802422388074</v>
      </c>
    </row>
    <row r="33" spans="1:5" ht="12.75" customHeight="1" x14ac:dyDescent="0.25">
      <c r="A33" s="419">
        <v>2021</v>
      </c>
      <c r="B33" s="385">
        <v>17.78</v>
      </c>
      <c r="C33" s="384">
        <f t="shared" ref="C33:C34" si="2">B33/100+1</f>
        <v>1.1778</v>
      </c>
      <c r="D33" s="384">
        <f t="shared" ref="D33:D34" si="3">D32*C33</f>
        <v>2.3263672893088674</v>
      </c>
      <c r="E33" s="384">
        <f>C33</f>
        <v>1.1778</v>
      </c>
    </row>
    <row r="34" spans="1:5" ht="12.75" customHeight="1" x14ac:dyDescent="0.25">
      <c r="A34" s="419">
        <v>2022</v>
      </c>
      <c r="B34" s="385">
        <v>5.45</v>
      </c>
      <c r="C34" s="384">
        <f t="shared" si="2"/>
        <v>1.0545</v>
      </c>
      <c r="D34" s="384">
        <f t="shared" si="3"/>
        <v>2.4531543065762005</v>
      </c>
      <c r="E34" s="427">
        <f>E33*C34</f>
        <v>1.2419901</v>
      </c>
    </row>
    <row r="35" spans="1:5" ht="12.75" customHeight="1" thickBot="1" x14ac:dyDescent="0.3"/>
    <row r="36" spans="1:5" ht="12.75" customHeight="1" x14ac:dyDescent="0.25">
      <c r="A36" s="386">
        <v>2023</v>
      </c>
      <c r="B36" s="387">
        <v>-3.44</v>
      </c>
      <c r="C36" s="388">
        <f t="shared" si="0"/>
        <v>0.96560000000000001</v>
      </c>
      <c r="D36" s="384">
        <f>D34*C36</f>
        <v>2.3687657984299793</v>
      </c>
      <c r="E36" s="384">
        <f>E34*C36</f>
        <v>1.19926564056</v>
      </c>
    </row>
    <row r="37" spans="1:5" ht="12.75" customHeight="1" x14ac:dyDescent="0.25">
      <c r="A37" s="389">
        <v>2024</v>
      </c>
      <c r="B37" s="385">
        <v>4</v>
      </c>
      <c r="C37" s="390">
        <f t="shared" si="0"/>
        <v>1.04</v>
      </c>
    </row>
    <row r="38" spans="1:5" ht="12.75" customHeight="1" x14ac:dyDescent="0.25">
      <c r="A38" s="389">
        <v>2025</v>
      </c>
      <c r="B38" s="385">
        <v>4</v>
      </c>
      <c r="C38" s="390">
        <f t="shared" si="0"/>
        <v>1.04</v>
      </c>
    </row>
    <row r="39" spans="1:5" ht="12.75" customHeight="1" x14ac:dyDescent="0.25">
      <c r="A39" s="389">
        <v>2026</v>
      </c>
      <c r="B39" s="385">
        <v>4</v>
      </c>
      <c r="C39" s="390">
        <f t="shared" si="0"/>
        <v>1.04</v>
      </c>
    </row>
    <row r="40" spans="1:5" ht="12.75" customHeight="1" x14ac:dyDescent="0.25">
      <c r="A40" s="389">
        <v>2027</v>
      </c>
      <c r="B40" s="385">
        <f>B39</f>
        <v>4</v>
      </c>
      <c r="C40" s="390">
        <f t="shared" si="0"/>
        <v>1.04</v>
      </c>
    </row>
    <row r="41" spans="1:5" ht="12.75" customHeight="1" thickBot="1" x14ac:dyDescent="0.3">
      <c r="A41" s="389">
        <v>2028</v>
      </c>
      <c r="B41" s="391">
        <f>B40</f>
        <v>4</v>
      </c>
      <c r="C41" s="392">
        <f t="shared" si="0"/>
        <v>1.04</v>
      </c>
    </row>
    <row r="42" spans="1:5" ht="12.75" customHeight="1" x14ac:dyDescent="0.25">
      <c r="A42" s="384" t="s">
        <v>323</v>
      </c>
    </row>
  </sheetData>
  <pageMargins left="0.78740157499999996" right="0.78740157499999996" top="0.984251969" bottom="0.984251969" header="0.5" footer="0.5"/>
  <pageSetup paperSize="9" fitToWidth="0" fitToHeight="0" orientation="portrait" r:id="rId1"/>
  <headerFooter alignWithMargins="0">
    <oddHeader>&amp;R&amp;"Calibri"&amp;14&amp;K0078D7NP-1&amp;1#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>
    <tabColor theme="8"/>
  </sheetPr>
  <dimension ref="A1:W32"/>
  <sheetViews>
    <sheetView showGridLines="0" zoomScaleNormal="100" workbookViewId="0">
      <pane xSplit="3" ySplit="5" topLeftCell="O18" activePane="bottomRight" state="frozen"/>
      <selection pane="topRight" activeCell="B57" sqref="B57"/>
      <selection pane="bottomLeft" activeCell="B57" sqref="B57"/>
      <selection pane="bottomRight" activeCell="P32" sqref="P32"/>
    </sheetView>
  </sheetViews>
  <sheetFormatPr defaultColWidth="11.77734375" defaultRowHeight="13.8" x14ac:dyDescent="0.3"/>
  <cols>
    <col min="1" max="1" width="12.77734375" style="59" hidden="1" customWidth="1"/>
    <col min="2" max="2" width="8.77734375" style="29" customWidth="1"/>
    <col min="3" max="3" width="30.21875" style="29" customWidth="1"/>
    <col min="4" max="4" width="20.44140625" style="29" customWidth="1"/>
    <col min="5" max="13" width="10.5546875" style="29" customWidth="1"/>
    <col min="14" max="14" width="12.44140625" style="29" customWidth="1"/>
    <col min="15" max="15" width="14.21875" style="29" customWidth="1"/>
    <col min="16" max="16" width="12.6640625" style="29" customWidth="1"/>
    <col min="17" max="19" width="10.5546875" style="29" customWidth="1"/>
    <col min="20" max="20" width="13.21875" style="29" customWidth="1"/>
    <col min="21" max="21" width="13.5546875" style="29" customWidth="1"/>
    <col min="22" max="23" width="11.77734375" style="29" customWidth="1"/>
    <col min="24" max="16384" width="11.77734375" style="29"/>
  </cols>
  <sheetData>
    <row r="1" spans="1:23" ht="16.2" thickBot="1" x14ac:dyDescent="0.35">
      <c r="A1" s="28"/>
    </row>
    <row r="2" spans="1:23" ht="16.2" thickBot="1" x14ac:dyDescent="0.35">
      <c r="D2" s="371" t="s">
        <v>255</v>
      </c>
    </row>
    <row r="4" spans="1:23" x14ac:dyDescent="0.3">
      <c r="Q4" s="58"/>
      <c r="R4" s="58"/>
      <c r="S4" s="58"/>
      <c r="T4" s="58"/>
      <c r="U4" s="58"/>
    </row>
    <row r="5" spans="1:23" ht="15" customHeight="1" x14ac:dyDescent="0.3">
      <c r="A5" s="171" t="s">
        <v>84</v>
      </c>
      <c r="C5" s="172" t="s">
        <v>82</v>
      </c>
      <c r="D5" s="174" t="s">
        <v>254</v>
      </c>
      <c r="E5" s="183">
        <v>2012</v>
      </c>
      <c r="F5" s="183">
        <v>2013</v>
      </c>
      <c r="G5" s="183">
        <v>2014</v>
      </c>
      <c r="H5" s="183">
        <v>2015</v>
      </c>
      <c r="I5" s="183">
        <v>2016</v>
      </c>
      <c r="J5" s="183">
        <v>2017</v>
      </c>
      <c r="K5" s="183">
        <v>2018</v>
      </c>
      <c r="L5" s="183">
        <v>2019</v>
      </c>
      <c r="M5" s="183">
        <v>2020</v>
      </c>
      <c r="N5" s="172">
        <v>2021</v>
      </c>
      <c r="O5" s="174">
        <v>2022</v>
      </c>
      <c r="P5" s="172">
        <v>2023</v>
      </c>
      <c r="Q5" s="174">
        <v>2024</v>
      </c>
      <c r="R5" s="172">
        <v>2025</v>
      </c>
      <c r="S5" s="174">
        <v>2026</v>
      </c>
      <c r="T5" s="172">
        <v>2027</v>
      </c>
      <c r="U5" s="174">
        <v>2028</v>
      </c>
      <c r="V5" s="172">
        <v>2029</v>
      </c>
      <c r="W5" s="174">
        <v>2030</v>
      </c>
    </row>
    <row r="6" spans="1:23" ht="14.4" x14ac:dyDescent="0.3">
      <c r="A6" s="361"/>
      <c r="C6" s="169" t="s">
        <v>289</v>
      </c>
      <c r="D6" s="417">
        <f>'[3]Proposta (2)'!$B$4+('[4]333 BALANCETE 12 2020'!$F$28/1000)</f>
        <v>30692.836159999999</v>
      </c>
      <c r="E6" s="395"/>
      <c r="F6" s="395"/>
      <c r="G6" s="395"/>
      <c r="H6" s="395"/>
      <c r="I6" s="395"/>
      <c r="J6" s="395"/>
      <c r="K6" s="395"/>
      <c r="L6" s="395"/>
      <c r="M6" s="395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spans="1:23" ht="14.4" x14ac:dyDescent="0.3">
      <c r="A7" s="361"/>
      <c r="C7" s="167" t="s">
        <v>321</v>
      </c>
      <c r="D7" s="397">
        <f>IGPM!D36</f>
        <v>2.3687657984299793</v>
      </c>
      <c r="E7" s="396"/>
      <c r="F7" s="396"/>
      <c r="G7" s="396"/>
      <c r="H7" s="396"/>
      <c r="I7" s="396"/>
      <c r="J7" s="396"/>
      <c r="K7" s="396"/>
      <c r="L7" s="396"/>
      <c r="M7" s="396"/>
      <c r="N7" s="395"/>
      <c r="O7" s="395"/>
      <c r="P7" s="395"/>
      <c r="Q7" s="395"/>
      <c r="R7" s="395"/>
      <c r="S7" s="395"/>
      <c r="T7" s="395"/>
      <c r="U7" s="395"/>
      <c r="V7" s="395"/>
      <c r="W7" s="395"/>
    </row>
    <row r="8" spans="1:23" ht="14.4" x14ac:dyDescent="0.3">
      <c r="A8" s="361"/>
      <c r="C8" s="167" t="s">
        <v>322</v>
      </c>
      <c r="D8" s="182">
        <f>D6*D7</f>
        <v>72704.140552622936</v>
      </c>
      <c r="E8" s="396"/>
      <c r="F8" s="396"/>
      <c r="G8" s="396"/>
      <c r="H8" s="396"/>
      <c r="I8" s="396"/>
      <c r="J8" s="396"/>
      <c r="K8" s="396"/>
      <c r="L8" s="396"/>
      <c r="M8" s="396"/>
      <c r="N8" s="395"/>
      <c r="O8" s="395"/>
      <c r="P8" s="395"/>
      <c r="Q8" s="395"/>
      <c r="R8" s="395"/>
      <c r="S8" s="395"/>
      <c r="T8" s="395"/>
      <c r="U8" s="395"/>
      <c r="V8" s="395"/>
      <c r="W8" s="395"/>
    </row>
    <row r="9" spans="1:23" ht="14.4" x14ac:dyDescent="0.3">
      <c r="A9" s="362"/>
      <c r="C9" s="167" t="s">
        <v>290</v>
      </c>
      <c r="D9" s="177">
        <v>0</v>
      </c>
      <c r="E9" s="177">
        <f>($D$8*1/19)</f>
        <v>3826.5337132959439</v>
      </c>
      <c r="F9" s="177">
        <f t="shared" ref="F9:W9" si="0">($D$8*1/19)</f>
        <v>3826.5337132959439</v>
      </c>
      <c r="G9" s="177">
        <f t="shared" si="0"/>
        <v>3826.5337132959439</v>
      </c>
      <c r="H9" s="177">
        <f t="shared" si="0"/>
        <v>3826.5337132959439</v>
      </c>
      <c r="I9" s="177">
        <f t="shared" si="0"/>
        <v>3826.5337132959439</v>
      </c>
      <c r="J9" s="177">
        <f t="shared" si="0"/>
        <v>3826.5337132959439</v>
      </c>
      <c r="K9" s="177">
        <f t="shared" si="0"/>
        <v>3826.5337132959439</v>
      </c>
      <c r="L9" s="177">
        <f t="shared" si="0"/>
        <v>3826.5337132959439</v>
      </c>
      <c r="M9" s="177">
        <f t="shared" si="0"/>
        <v>3826.5337132959439</v>
      </c>
      <c r="N9" s="177">
        <f t="shared" si="0"/>
        <v>3826.5337132959439</v>
      </c>
      <c r="O9" s="177">
        <f t="shared" si="0"/>
        <v>3826.5337132959439</v>
      </c>
      <c r="P9" s="177">
        <f t="shared" si="0"/>
        <v>3826.5337132959439</v>
      </c>
      <c r="Q9" s="177">
        <f t="shared" si="0"/>
        <v>3826.5337132959439</v>
      </c>
      <c r="R9" s="177">
        <f t="shared" si="0"/>
        <v>3826.5337132959439</v>
      </c>
      <c r="S9" s="177">
        <f t="shared" si="0"/>
        <v>3826.5337132959439</v>
      </c>
      <c r="T9" s="177">
        <f t="shared" si="0"/>
        <v>3826.5337132959439</v>
      </c>
      <c r="U9" s="177">
        <f t="shared" si="0"/>
        <v>3826.5337132959439</v>
      </c>
      <c r="V9" s="177">
        <f t="shared" si="0"/>
        <v>3826.5337132959439</v>
      </c>
      <c r="W9" s="177">
        <f t="shared" si="0"/>
        <v>3826.5337132959439</v>
      </c>
    </row>
    <row r="10" spans="1:23" ht="14.4" x14ac:dyDescent="0.3">
      <c r="A10" s="362"/>
      <c r="C10" s="167" t="s">
        <v>305</v>
      </c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>
        <f>Q9</f>
        <v>3826.5337132959439</v>
      </c>
      <c r="R10" s="177">
        <f>Q10/(1+Premissas!B$61)</f>
        <v>3679.3593397076384</v>
      </c>
      <c r="S10" s="177">
        <f>R10/(1+Premissas!C$61)</f>
        <v>3537.8455189496522</v>
      </c>
      <c r="T10" s="177">
        <f>S10/(1+Premissas!D$61)</f>
        <v>3401.7745374515885</v>
      </c>
      <c r="U10" s="177">
        <f>T10/(1+Premissas!E$61)</f>
        <v>3270.9370552419118</v>
      </c>
      <c r="V10" s="177">
        <f>U10/(1+Premissas!F$61)</f>
        <v>3145.1317838864534</v>
      </c>
      <c r="W10" s="177">
        <f>((V10/(1+Premissas!F$61))/(1+Premissas!F$61))</f>
        <v>2907.851131551824</v>
      </c>
    </row>
    <row r="11" spans="1:23" ht="15" customHeight="1" x14ac:dyDescent="0.3">
      <c r="A11" s="180"/>
      <c r="C11" s="181" t="s">
        <v>304</v>
      </c>
      <c r="D11" s="182">
        <f>D8-D9</f>
        <v>72704.140552622936</v>
      </c>
      <c r="E11" s="182">
        <f>D11-E9</f>
        <v>68877.606839326996</v>
      </c>
      <c r="F11" s="182">
        <f>E11-F9</f>
        <v>65051.073126031049</v>
      </c>
      <c r="G11" s="182">
        <f t="shared" ref="G11:S11" si="1">F11-G9</f>
        <v>61224.539412735103</v>
      </c>
      <c r="H11" s="182">
        <f t="shared" si="1"/>
        <v>57398.005699439156</v>
      </c>
      <c r="I11" s="182">
        <f t="shared" si="1"/>
        <v>53571.47198614321</v>
      </c>
      <c r="J11" s="182">
        <f t="shared" si="1"/>
        <v>49744.938272847263</v>
      </c>
      <c r="K11" s="182">
        <f t="shared" si="1"/>
        <v>45918.404559551316</v>
      </c>
      <c r="L11" s="182">
        <f t="shared" si="1"/>
        <v>42091.87084625537</v>
      </c>
      <c r="M11" s="182">
        <f t="shared" si="1"/>
        <v>38265.337132959423</v>
      </c>
      <c r="N11" s="411">
        <f t="shared" si="1"/>
        <v>34438.803419663476</v>
      </c>
      <c r="O11" s="182">
        <f>N11-O9</f>
        <v>30612.269706367533</v>
      </c>
      <c r="P11" s="182">
        <f t="shared" si="1"/>
        <v>26785.73599307159</v>
      </c>
      <c r="Q11" s="182">
        <f t="shared" si="1"/>
        <v>22959.202279775647</v>
      </c>
      <c r="R11" s="182">
        <f t="shared" si="1"/>
        <v>19132.668566479704</v>
      </c>
      <c r="S11" s="182">
        <f t="shared" si="1"/>
        <v>15306.134853183761</v>
      </c>
      <c r="T11" s="182">
        <f t="shared" ref="T11" si="2">S11-T9</f>
        <v>11479.601139887818</v>
      </c>
      <c r="U11" s="182">
        <f t="shared" ref="U11" si="3">T11-U9</f>
        <v>7653.0674265918742</v>
      </c>
      <c r="V11" s="182">
        <f>U11-V9</f>
        <v>3826.5337132959303</v>
      </c>
      <c r="W11" s="182">
        <f t="shared" ref="W11" si="4">V11-W9</f>
        <v>-1.3642420526593924E-11</v>
      </c>
    </row>
    <row r="12" spans="1:23" s="25" customFormat="1" x14ac:dyDescent="0.3">
      <c r="A12" s="60"/>
      <c r="B12" s="61"/>
      <c r="C12" s="62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</row>
    <row r="13" spans="1:23" x14ac:dyDescent="0.3">
      <c r="C13" s="1" t="s">
        <v>291</v>
      </c>
    </row>
    <row r="15" spans="1:23" x14ac:dyDescent="0.3">
      <c r="C15" s="29" t="s">
        <v>303</v>
      </c>
    </row>
    <row r="16" spans="1:23" x14ac:dyDescent="0.3">
      <c r="C16" s="401" t="s">
        <v>302</v>
      </c>
      <c r="D16" s="402"/>
      <c r="E16" s="402">
        <f>D6*(1/19)</f>
        <v>1615.4124294736841</v>
      </c>
      <c r="F16" s="402">
        <f t="shared" ref="F16:S16" si="5">E16</f>
        <v>1615.4124294736841</v>
      </c>
      <c r="G16" s="402">
        <f t="shared" si="5"/>
        <v>1615.4124294736841</v>
      </c>
      <c r="H16" s="402">
        <f t="shared" si="5"/>
        <v>1615.4124294736841</v>
      </c>
      <c r="I16" s="402">
        <f t="shared" si="5"/>
        <v>1615.4124294736841</v>
      </c>
      <c r="J16" s="402">
        <f t="shared" si="5"/>
        <v>1615.4124294736841</v>
      </c>
      <c r="K16" s="402">
        <f t="shared" si="5"/>
        <v>1615.4124294736841</v>
      </c>
      <c r="L16" s="402">
        <f t="shared" si="5"/>
        <v>1615.4124294736841</v>
      </c>
      <c r="M16" s="402">
        <f t="shared" si="5"/>
        <v>1615.4124294736841</v>
      </c>
      <c r="N16" s="402">
        <f t="shared" si="5"/>
        <v>1615.4124294736841</v>
      </c>
      <c r="O16" s="402">
        <f t="shared" si="5"/>
        <v>1615.4124294736841</v>
      </c>
      <c r="P16" s="402">
        <f t="shared" si="5"/>
        <v>1615.4124294736841</v>
      </c>
      <c r="Q16" s="402">
        <f t="shared" si="5"/>
        <v>1615.4124294736841</v>
      </c>
      <c r="R16" s="402">
        <f t="shared" si="5"/>
        <v>1615.4124294736841</v>
      </c>
      <c r="S16" s="402">
        <f t="shared" si="5"/>
        <v>1615.4124294736841</v>
      </c>
      <c r="T16" s="402">
        <f t="shared" ref="T16" si="6">S16</f>
        <v>1615.4124294736841</v>
      </c>
      <c r="U16" s="402">
        <f t="shared" ref="U16" si="7">T16</f>
        <v>1615.4124294736841</v>
      </c>
      <c r="V16" s="402">
        <f t="shared" ref="V16:W16" si="8">U16</f>
        <v>1615.4124294736841</v>
      </c>
      <c r="W16" s="402">
        <f t="shared" si="8"/>
        <v>1615.4124294736841</v>
      </c>
    </row>
    <row r="17" spans="3:23" x14ac:dyDescent="0.3">
      <c r="C17" s="401" t="s">
        <v>305</v>
      </c>
      <c r="D17" s="402"/>
      <c r="E17" s="402"/>
      <c r="F17" s="402"/>
      <c r="G17" s="402"/>
      <c r="H17" s="402"/>
      <c r="I17" s="402"/>
      <c r="J17" s="402"/>
      <c r="K17" s="402"/>
      <c r="L17" s="402"/>
      <c r="M17" s="402"/>
      <c r="N17" s="402"/>
      <c r="O17" s="177"/>
      <c r="P17" s="177"/>
      <c r="Q17" s="177">
        <f>Q16</f>
        <v>1615.4124294736841</v>
      </c>
      <c r="R17" s="177">
        <f>Q17/(1+Premissas!B$61)</f>
        <v>1553.2811821862347</v>
      </c>
      <c r="S17" s="177">
        <f>R17/(1+Premissas!C$61)</f>
        <v>1493.5395982559949</v>
      </c>
      <c r="T17" s="177">
        <f>S17/(1+Premissas!D$61)</f>
        <v>1436.0957675538411</v>
      </c>
      <c r="U17" s="177">
        <f>T17/(1+Premissas!E$61)</f>
        <v>1380.8613149556165</v>
      </c>
      <c r="V17" s="177">
        <f>U17/(1+Premissas!F$61)</f>
        <v>1327.7512643804005</v>
      </c>
      <c r="W17" s="177">
        <f>((V17/(1+Premissas!F$61))/(1+Premissas!F$61))</f>
        <v>1227.5806808250743</v>
      </c>
    </row>
    <row r="18" spans="3:23" x14ac:dyDescent="0.3">
      <c r="C18" s="401" t="s">
        <v>306</v>
      </c>
      <c r="D18" s="402">
        <f>D6</f>
        <v>30692.836159999999</v>
      </c>
      <c r="E18" s="402">
        <f>D18-E16</f>
        <v>29077.423730526316</v>
      </c>
      <c r="F18" s="402">
        <f t="shared" ref="F18:S18" si="9">E18-F16</f>
        <v>27462.011301052633</v>
      </c>
      <c r="G18" s="402">
        <f t="shared" si="9"/>
        <v>25846.59887157895</v>
      </c>
      <c r="H18" s="402">
        <f t="shared" si="9"/>
        <v>24231.186442105267</v>
      </c>
      <c r="I18" s="402">
        <f t="shared" si="9"/>
        <v>22615.774012631584</v>
      </c>
      <c r="J18" s="402">
        <f t="shared" si="9"/>
        <v>21000.361583157901</v>
      </c>
      <c r="K18" s="402">
        <f t="shared" si="9"/>
        <v>19384.949153684218</v>
      </c>
      <c r="L18" s="402">
        <f t="shared" si="9"/>
        <v>17769.536724210535</v>
      </c>
      <c r="M18" s="402">
        <f t="shared" si="9"/>
        <v>16154.12429473685</v>
      </c>
      <c r="N18" s="402">
        <f>M18-N16</f>
        <v>14538.711865263165</v>
      </c>
      <c r="O18" s="402">
        <f t="shared" si="9"/>
        <v>12923.29943578948</v>
      </c>
      <c r="P18" s="402">
        <f t="shared" si="9"/>
        <v>11307.887006315796</v>
      </c>
      <c r="Q18" s="402">
        <f t="shared" si="9"/>
        <v>9692.4745768421108</v>
      </c>
      <c r="R18" s="402">
        <f t="shared" si="9"/>
        <v>8077.0621473684268</v>
      </c>
      <c r="S18" s="402">
        <f t="shared" si="9"/>
        <v>6461.6497178947429</v>
      </c>
      <c r="T18" s="402">
        <f t="shared" ref="T18" si="10">S18-T16</f>
        <v>4846.237288421059</v>
      </c>
      <c r="U18" s="402">
        <f t="shared" ref="U18" si="11">T18-U16</f>
        <v>3230.8248589473751</v>
      </c>
      <c r="V18" s="402">
        <f t="shared" ref="V18:W18" si="12">U18-V16</f>
        <v>1615.412429473691</v>
      </c>
      <c r="W18" s="402">
        <f t="shared" si="12"/>
        <v>6.8212102632969618E-12</v>
      </c>
    </row>
    <row r="21" spans="3:23" ht="14.4" x14ac:dyDescent="0.3">
      <c r="C21" s="172" t="s">
        <v>82</v>
      </c>
      <c r="O21" s="174" t="s">
        <v>296</v>
      </c>
      <c r="P21" s="174">
        <f>P5</f>
        <v>2023</v>
      </c>
      <c r="Q21" s="174">
        <f t="shared" ref="Q21:S21" si="13">Q5</f>
        <v>2024</v>
      </c>
      <c r="R21" s="174">
        <f t="shared" si="13"/>
        <v>2025</v>
      </c>
      <c r="S21" s="174">
        <f t="shared" si="13"/>
        <v>2026</v>
      </c>
      <c r="T21" s="174">
        <f t="shared" ref="T21:W21" si="14">T5</f>
        <v>2027</v>
      </c>
      <c r="U21" s="174">
        <f t="shared" si="14"/>
        <v>2028</v>
      </c>
      <c r="V21" s="174">
        <f t="shared" si="14"/>
        <v>2029</v>
      </c>
      <c r="W21" s="174">
        <f t="shared" si="14"/>
        <v>2030</v>
      </c>
    </row>
    <row r="22" spans="3:23" x14ac:dyDescent="0.3">
      <c r="C22" s="169" t="s">
        <v>294</v>
      </c>
      <c r="O22" s="170">
        <v>0</v>
      </c>
      <c r="P22" s="170"/>
      <c r="Q22" s="399">
        <f>O31/1000</f>
        <v>406.86978722460003</v>
      </c>
      <c r="R22" s="170"/>
      <c r="S22" s="170"/>
      <c r="T22" s="170"/>
      <c r="U22" s="170"/>
      <c r="V22" s="170"/>
      <c r="W22" s="170"/>
    </row>
    <row r="23" spans="3:23" x14ac:dyDescent="0.3">
      <c r="C23" s="167" t="s">
        <v>290</v>
      </c>
      <c r="O23" s="177">
        <f t="shared" ref="O23:P23" si="15">($O$22*1/9)</f>
        <v>0</v>
      </c>
      <c r="P23" s="177">
        <f t="shared" si="15"/>
        <v>0</v>
      </c>
      <c r="Q23" s="177">
        <f>($Q$22*1/7)</f>
        <v>58.124255317800007</v>
      </c>
      <c r="R23" s="177">
        <f t="shared" ref="R23:W23" si="16">($Q$22*1/7)</f>
        <v>58.124255317800007</v>
      </c>
      <c r="S23" s="177">
        <f t="shared" si="16"/>
        <v>58.124255317800007</v>
      </c>
      <c r="T23" s="177">
        <f t="shared" si="16"/>
        <v>58.124255317800007</v>
      </c>
      <c r="U23" s="177">
        <f t="shared" si="16"/>
        <v>58.124255317800007</v>
      </c>
      <c r="V23" s="177">
        <f t="shared" si="16"/>
        <v>58.124255317800007</v>
      </c>
      <c r="W23" s="177">
        <f t="shared" si="16"/>
        <v>58.124255317800007</v>
      </c>
    </row>
    <row r="24" spans="3:23" x14ac:dyDescent="0.3">
      <c r="C24" s="401" t="s">
        <v>305</v>
      </c>
      <c r="O24" s="177">
        <f>O23</f>
        <v>0</v>
      </c>
      <c r="P24" s="177">
        <f>O24/(1+Premissas!B$61)</f>
        <v>0</v>
      </c>
      <c r="Q24" s="177">
        <f>Q23</f>
        <v>58.124255317800007</v>
      </c>
      <c r="R24" s="177">
        <f>Q24/(1+Premissas!D$61)</f>
        <v>55.888707036346162</v>
      </c>
      <c r="S24" s="177">
        <f>R24/(1+Premissas!E$61)</f>
        <v>53.73914138110208</v>
      </c>
      <c r="T24" s="177">
        <f>S24/(1+Premissas!F$61)</f>
        <v>51.672251327982764</v>
      </c>
      <c r="U24" s="177">
        <f>T24/(1+Premissas!F$61)</f>
        <v>49.684857046137274</v>
      </c>
      <c r="V24" s="177">
        <f>U24/(1+Premissas!F$61)</f>
        <v>47.773901005901223</v>
      </c>
      <c r="W24" s="177">
        <f>V24/(1+Premissas!F$61)</f>
        <v>45.936443274905024</v>
      </c>
    </row>
    <row r="25" spans="3:23" x14ac:dyDescent="0.3">
      <c r="C25" s="181" t="s">
        <v>301</v>
      </c>
      <c r="O25" s="182">
        <f>O22-O23</f>
        <v>0</v>
      </c>
      <c r="P25" s="182">
        <f>O25-P23</f>
        <v>0</v>
      </c>
      <c r="Q25" s="182">
        <f>Q22-Q23</f>
        <v>348.74553190680001</v>
      </c>
      <c r="R25" s="182">
        <f t="shared" ref="R25:W25" si="17">Q25-R23</f>
        <v>290.62127658899999</v>
      </c>
      <c r="S25" s="182">
        <f t="shared" si="17"/>
        <v>232.49702127119997</v>
      </c>
      <c r="T25" s="182">
        <f t="shared" si="17"/>
        <v>174.37276595339995</v>
      </c>
      <c r="U25" s="182">
        <f t="shared" si="17"/>
        <v>116.24851063559994</v>
      </c>
      <c r="V25" s="182">
        <f t="shared" si="17"/>
        <v>58.124255317799935</v>
      </c>
      <c r="W25" s="182">
        <f t="shared" si="17"/>
        <v>-7.1054273576010019E-14</v>
      </c>
    </row>
    <row r="27" spans="3:23" x14ac:dyDescent="0.3">
      <c r="O27" s="29">
        <v>210000</v>
      </c>
      <c r="P27" s="29" t="s">
        <v>295</v>
      </c>
    </row>
    <row r="28" spans="3:23" x14ac:dyDescent="0.3">
      <c r="O28" s="29">
        <v>1.9235</v>
      </c>
      <c r="P28" s="29" t="s">
        <v>297</v>
      </c>
    </row>
    <row r="29" spans="3:23" x14ac:dyDescent="0.3">
      <c r="O29" s="29">
        <v>9.8000000000000007</v>
      </c>
      <c r="P29" s="29" t="s">
        <v>298</v>
      </c>
    </row>
    <row r="30" spans="3:23" x14ac:dyDescent="0.3">
      <c r="O30" s="29">
        <v>5.3</v>
      </c>
      <c r="P30" s="29" t="s">
        <v>299</v>
      </c>
    </row>
    <row r="31" spans="3:23" x14ac:dyDescent="0.3">
      <c r="O31" s="428">
        <f>(O27*Premissas!B56)*(O29*O30)</f>
        <v>406869.78722460003</v>
      </c>
      <c r="P31" s="29" t="s">
        <v>297</v>
      </c>
    </row>
    <row r="32" spans="3:23" x14ac:dyDescent="0.3">
      <c r="P32" s="418">
        <f>P25+P11</f>
        <v>26785.73599307159</v>
      </c>
      <c r="Q32" s="29" t="s">
        <v>320</v>
      </c>
    </row>
  </sheetData>
  <phoneticPr fontId="7" type="noConversion"/>
  <dataValidations disablePrompts="1" count="1">
    <dataValidation allowBlank="1" showInputMessage="1" showErrorMessage="1" error="Favor cadastrar item na Tabela 1" promptTitle="ERRO" sqref="C7:C10 C23"/>
  </dataValidations>
  <pageMargins left="0.78740157499999996" right="0.78740157499999996" top="0.984251969" bottom="0.984251969" header="0.49212598499999999" footer="0.49212598499999999"/>
  <pageSetup paperSize="9" orientation="portrait" r:id="rId1"/>
  <headerFooter alignWithMargins="0">
    <oddHeader>&amp;R&amp;"Calibri"&amp;14&amp;K0078D7NP-1&amp;1#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L33"/>
  <sheetViews>
    <sheetView showGridLines="0" topLeftCell="A25" zoomScaleNormal="100" workbookViewId="0">
      <selection activeCell="C25" sqref="C25"/>
    </sheetView>
  </sheetViews>
  <sheetFormatPr defaultColWidth="8.77734375" defaultRowHeight="13.8" x14ac:dyDescent="0.3"/>
  <cols>
    <col min="1" max="1" width="16.5546875" style="29" customWidth="1"/>
    <col min="2" max="2" width="81.21875" style="29" bestFit="1" customWidth="1"/>
    <col min="3" max="3" width="11.21875" style="29" bestFit="1" customWidth="1"/>
    <col min="4" max="7" width="10.21875" style="29" bestFit="1" customWidth="1"/>
    <col min="8" max="12" width="10.21875" style="29" hidden="1" customWidth="1"/>
    <col min="13" max="16384" width="8.77734375" style="29"/>
  </cols>
  <sheetData>
    <row r="1" spans="1:12" ht="16.2" thickBot="1" x14ac:dyDescent="0.35">
      <c r="A1" s="28"/>
    </row>
    <row r="2" spans="1:12" ht="16.2" thickBot="1" x14ac:dyDescent="0.35">
      <c r="B2" s="32" t="s">
        <v>85</v>
      </c>
    </row>
    <row r="5" spans="1:12" s="31" customFormat="1" ht="18.75" customHeight="1" thickBot="1" x14ac:dyDescent="0.35">
      <c r="B5" s="183" t="s">
        <v>86</v>
      </c>
      <c r="C5" s="184">
        <v>2024</v>
      </c>
      <c r="D5" s="184">
        <f>C5+1</f>
        <v>2025</v>
      </c>
      <c r="E5" s="184">
        <f t="shared" ref="E5:G5" si="0">D5+1</f>
        <v>2026</v>
      </c>
      <c r="F5" s="184">
        <f t="shared" si="0"/>
        <v>2027</v>
      </c>
      <c r="G5" s="184">
        <f t="shared" si="0"/>
        <v>2028</v>
      </c>
      <c r="H5" s="184">
        <v>2027</v>
      </c>
      <c r="I5" s="184" t="s">
        <v>89</v>
      </c>
      <c r="J5" s="184" t="s">
        <v>90</v>
      </c>
      <c r="K5" s="184" t="s">
        <v>91</v>
      </c>
      <c r="L5" s="185" t="s">
        <v>92</v>
      </c>
    </row>
    <row r="6" spans="1:12" s="31" customFormat="1" ht="18.75" customHeight="1" thickTop="1" x14ac:dyDescent="0.3">
      <c r="B6" s="204" t="s">
        <v>93</v>
      </c>
      <c r="C6" s="205"/>
      <c r="D6" s="205"/>
      <c r="E6" s="205"/>
      <c r="F6" s="205"/>
      <c r="G6" s="205"/>
      <c r="H6" s="205"/>
      <c r="I6" s="205"/>
      <c r="J6" s="205"/>
      <c r="K6" s="205"/>
      <c r="L6" s="206"/>
    </row>
    <row r="7" spans="1:12" s="31" customFormat="1" ht="12" customHeight="1" x14ac:dyDescent="0.3">
      <c r="B7" s="188" t="s">
        <v>94</v>
      </c>
      <c r="C7" s="189">
        <f>'[5]1-O&amp;M e G&amp;A'!E7</f>
        <v>2728.7598171002001</v>
      </c>
      <c r="D7" s="189">
        <f>'[5]1-O&amp;M e G&amp;A'!F7</f>
        <v>2728.7598171002001</v>
      </c>
      <c r="E7" s="189">
        <f>'[5]1-O&amp;M e G&amp;A'!G7</f>
        <v>2728.7598171002001</v>
      </c>
      <c r="F7" s="189">
        <f>'[5]1-O&amp;M e G&amp;A'!H7</f>
        <v>2728.7598171002001</v>
      </c>
      <c r="G7" s="189">
        <f>'[5]1-O&amp;M e G&amp;A'!I7</f>
        <v>2728.7598171002001</v>
      </c>
      <c r="H7" s="189">
        <f>'[6]1-O&amp;M e G&amp;A'!H7</f>
        <v>0</v>
      </c>
      <c r="I7" s="189" t="e">
        <f t="shared" ref="I7:L7" si="1">+I25+I27</f>
        <v>#REF!</v>
      </c>
      <c r="J7" s="189" t="e">
        <f t="shared" si="1"/>
        <v>#REF!</v>
      </c>
      <c r="K7" s="189" t="e">
        <f t="shared" si="1"/>
        <v>#REF!</v>
      </c>
      <c r="L7" s="190" t="e">
        <f t="shared" si="1"/>
        <v>#REF!</v>
      </c>
    </row>
    <row r="8" spans="1:12" s="31" customFormat="1" ht="12" customHeight="1" x14ac:dyDescent="0.3">
      <c r="B8" s="191" t="s">
        <v>95</v>
      </c>
      <c r="C8" s="189">
        <f>'[5]1-O&amp;M e G&amp;A'!E8</f>
        <v>0</v>
      </c>
      <c r="D8" s="189">
        <f>'[5]1-O&amp;M e G&amp;A'!F8</f>
        <v>0</v>
      </c>
      <c r="E8" s="189">
        <f>'[5]1-O&amp;M e G&amp;A'!G8</f>
        <v>0</v>
      </c>
      <c r="F8" s="189">
        <f>'[5]1-O&amp;M e G&amp;A'!H8</f>
        <v>0</v>
      </c>
      <c r="G8" s="189">
        <f>'[5]1-O&amp;M e G&amp;A'!I8</f>
        <v>0</v>
      </c>
      <c r="H8" s="189">
        <f>'[6]1-O&amp;M e G&amp;A'!H8</f>
        <v>0</v>
      </c>
      <c r="I8" s="192" t="e">
        <f>+#REF!*#REF!</f>
        <v>#REF!</v>
      </c>
      <c r="J8" s="192" t="e">
        <f>+#REF!*#REF!</f>
        <v>#REF!</v>
      </c>
      <c r="K8" s="192" t="e">
        <f>+#REF!*#REF!</f>
        <v>#REF!</v>
      </c>
      <c r="L8" s="193" t="e">
        <f>+#REF!*#REF!</f>
        <v>#REF!</v>
      </c>
    </row>
    <row r="9" spans="1:12" s="31" customFormat="1" ht="12" customHeight="1" x14ac:dyDescent="0.3">
      <c r="B9" s="188" t="s">
        <v>96</v>
      </c>
      <c r="C9" s="189">
        <f>'[5]1-O&amp;M e G&amp;A'!E9</f>
        <v>0</v>
      </c>
      <c r="D9" s="189">
        <f>'[5]1-O&amp;M e G&amp;A'!F9</f>
        <v>0</v>
      </c>
      <c r="E9" s="189">
        <f>'[5]1-O&amp;M e G&amp;A'!G9</f>
        <v>0</v>
      </c>
      <c r="F9" s="189">
        <f>'[5]1-O&amp;M e G&amp;A'!H9</f>
        <v>0</v>
      </c>
      <c r="G9" s="189">
        <f>'[5]1-O&amp;M e G&amp;A'!I9</f>
        <v>0</v>
      </c>
      <c r="H9" s="189">
        <f>'[6]1-O&amp;M e G&amp;A'!H9</f>
        <v>0</v>
      </c>
      <c r="I9" s="194" t="e">
        <f>+#REF!*#REF!</f>
        <v>#REF!</v>
      </c>
      <c r="J9" s="194" t="e">
        <f>+#REF!*#REF!</f>
        <v>#REF!</v>
      </c>
      <c r="K9" s="194" t="e">
        <f>+#REF!*#REF!</f>
        <v>#REF!</v>
      </c>
      <c r="L9" s="195" t="e">
        <f>+#REF!*#REF!</f>
        <v>#REF!</v>
      </c>
    </row>
    <row r="10" spans="1:12" s="31" customFormat="1" ht="12" customHeight="1" x14ac:dyDescent="0.3">
      <c r="B10" s="191" t="s">
        <v>97</v>
      </c>
      <c r="C10" s="189">
        <f>'[5]1-O&amp;M e G&amp;A'!E10</f>
        <v>1740.3862902370779</v>
      </c>
      <c r="D10" s="189">
        <f>'[5]1-O&amp;M e G&amp;A'!F10</f>
        <v>1740.3862902370779</v>
      </c>
      <c r="E10" s="189">
        <f>'[5]1-O&amp;M e G&amp;A'!G10</f>
        <v>1740.3862902370779</v>
      </c>
      <c r="F10" s="189">
        <f>'[5]1-O&amp;M e G&amp;A'!H10</f>
        <v>1740.3862902370779</v>
      </c>
      <c r="G10" s="189">
        <f>'[5]1-O&amp;M e G&amp;A'!I10</f>
        <v>1740.3862902370779</v>
      </c>
      <c r="H10" s="189">
        <f>'[6]1-O&amp;M e G&amp;A'!H10</f>
        <v>0</v>
      </c>
      <c r="I10" s="192" t="e">
        <f>+#REF!*#REF!</f>
        <v>#REF!</v>
      </c>
      <c r="J10" s="192" t="e">
        <f>+#REF!*#REF!</f>
        <v>#REF!</v>
      </c>
      <c r="K10" s="192" t="e">
        <f>+#REF!*#REF!</f>
        <v>#REF!</v>
      </c>
      <c r="L10" s="193" t="e">
        <f>+#REF!*#REF!</f>
        <v>#REF!</v>
      </c>
    </row>
    <row r="11" spans="1:12" s="31" customFormat="1" ht="12" customHeight="1" x14ac:dyDescent="0.3">
      <c r="B11" s="188" t="s">
        <v>98</v>
      </c>
      <c r="C11" s="189">
        <f>'[5]1-O&amp;M e G&amp;A'!E11</f>
        <v>614.50371422294404</v>
      </c>
      <c r="D11" s="189">
        <f>'[5]1-O&amp;M e G&amp;A'!F11</f>
        <v>614.50371422294404</v>
      </c>
      <c r="E11" s="189">
        <f>'[5]1-O&amp;M e G&amp;A'!G11</f>
        <v>614.50371422294404</v>
      </c>
      <c r="F11" s="189">
        <f>'[5]1-O&amp;M e G&amp;A'!H11</f>
        <v>614.50371422294404</v>
      </c>
      <c r="G11" s="189">
        <f>'[5]1-O&amp;M e G&amp;A'!I11</f>
        <v>614.50371422294404</v>
      </c>
      <c r="H11" s="189">
        <f>'[6]1-O&amp;M e G&amp;A'!H11</f>
        <v>0</v>
      </c>
      <c r="I11" s="194" t="e">
        <f>+#REF!*#REF!</f>
        <v>#REF!</v>
      </c>
      <c r="J11" s="194" t="e">
        <f>+#REF!*#REF!</f>
        <v>#REF!</v>
      </c>
      <c r="K11" s="194" t="e">
        <f>+#REF!*#REF!</f>
        <v>#REF!</v>
      </c>
      <c r="L11" s="195" t="e">
        <f>+#REF!*#REF!</f>
        <v>#REF!</v>
      </c>
    </row>
    <row r="12" spans="1:12" s="31" customFormat="1" ht="12" customHeight="1" x14ac:dyDescent="0.3">
      <c r="B12" s="191" t="s">
        <v>99</v>
      </c>
      <c r="C12" s="189">
        <f>'[5]1-O&amp;M e G&amp;A'!E12</f>
        <v>0</v>
      </c>
      <c r="D12" s="189">
        <f>'[5]1-O&amp;M e G&amp;A'!F12</f>
        <v>0</v>
      </c>
      <c r="E12" s="189">
        <f>'[5]1-O&amp;M e G&amp;A'!G12</f>
        <v>0</v>
      </c>
      <c r="F12" s="189">
        <f>'[5]1-O&amp;M e G&amp;A'!H12</f>
        <v>0</v>
      </c>
      <c r="G12" s="189">
        <f>'[5]1-O&amp;M e G&amp;A'!I12</f>
        <v>0</v>
      </c>
      <c r="H12" s="189">
        <f>'[6]1-O&amp;M e G&amp;A'!H12</f>
        <v>0</v>
      </c>
      <c r="I12" s="192" t="e">
        <f>+#REF!*#REF!</f>
        <v>#REF!</v>
      </c>
      <c r="J12" s="192" t="e">
        <f>+#REF!*#REF!</f>
        <v>#REF!</v>
      </c>
      <c r="K12" s="192" t="e">
        <f>+#REF!*#REF!</f>
        <v>#REF!</v>
      </c>
      <c r="L12" s="193" t="e">
        <f>+#REF!*#REF!</f>
        <v>#REF!</v>
      </c>
    </row>
    <row r="13" spans="1:12" s="31" customFormat="1" ht="12" customHeight="1" x14ac:dyDescent="0.3">
      <c r="B13" s="188" t="s">
        <v>100</v>
      </c>
      <c r="C13" s="189">
        <f>'[5]1-O&amp;M e G&amp;A'!E13</f>
        <v>0</v>
      </c>
      <c r="D13" s="189">
        <f>'[5]1-O&amp;M e G&amp;A'!F13</f>
        <v>0</v>
      </c>
      <c r="E13" s="189">
        <f>'[5]1-O&amp;M e G&amp;A'!G13</f>
        <v>0</v>
      </c>
      <c r="F13" s="189">
        <f>'[5]1-O&amp;M e G&amp;A'!H13</f>
        <v>0</v>
      </c>
      <c r="G13" s="189">
        <f>'[5]1-O&amp;M e G&amp;A'!I13</f>
        <v>0</v>
      </c>
      <c r="H13" s="189">
        <f>'[6]1-O&amp;M e G&amp;A'!H13</f>
        <v>0</v>
      </c>
      <c r="I13" s="194" t="e">
        <f>+#REF!</f>
        <v>#REF!</v>
      </c>
      <c r="J13" s="194" t="e">
        <f>+#REF!</f>
        <v>#REF!</v>
      </c>
      <c r="K13" s="194" t="e">
        <f>+#REF!</f>
        <v>#REF!</v>
      </c>
      <c r="L13" s="195" t="e">
        <f>+#REF!</f>
        <v>#REF!</v>
      </c>
    </row>
    <row r="14" spans="1:12" s="31" customFormat="1" ht="12" customHeight="1" x14ac:dyDescent="0.3">
      <c r="B14" s="191" t="s">
        <v>101</v>
      </c>
      <c r="C14" s="189">
        <f>'[5]1-O&amp;M e G&amp;A'!E14</f>
        <v>12.832142353992001</v>
      </c>
      <c r="D14" s="189">
        <f>'[5]1-O&amp;M e G&amp;A'!F14</f>
        <v>12.832142353992001</v>
      </c>
      <c r="E14" s="189">
        <f>'[5]1-O&amp;M e G&amp;A'!G14</f>
        <v>12.832142353992001</v>
      </c>
      <c r="F14" s="189">
        <f>'[5]1-O&amp;M e G&amp;A'!H14</f>
        <v>12.832142353992001</v>
      </c>
      <c r="G14" s="189">
        <f>'[5]1-O&amp;M e G&amp;A'!I14</f>
        <v>12.832142353992001</v>
      </c>
      <c r="H14" s="189">
        <f>'[6]1-O&amp;M e G&amp;A'!H14</f>
        <v>0</v>
      </c>
      <c r="I14" s="192" t="e">
        <f>+#REF!*#REF!</f>
        <v>#REF!</v>
      </c>
      <c r="J14" s="192" t="e">
        <f>+#REF!*#REF!</f>
        <v>#REF!</v>
      </c>
      <c r="K14" s="192" t="e">
        <f>+#REF!*#REF!</f>
        <v>#REF!</v>
      </c>
      <c r="L14" s="193" t="e">
        <f>+#REF!*#REF!</f>
        <v>#REF!</v>
      </c>
    </row>
    <row r="15" spans="1:12" s="31" customFormat="1" ht="12" customHeight="1" x14ac:dyDescent="0.3">
      <c r="B15" s="188" t="s">
        <v>102</v>
      </c>
      <c r="C15" s="189">
        <f>'[5]1-O&amp;M e G&amp;A'!E15</f>
        <v>1468.3437368929599</v>
      </c>
      <c r="D15" s="189">
        <f>'[5]1-O&amp;M e G&amp;A'!F15</f>
        <v>1468.3437368929599</v>
      </c>
      <c r="E15" s="189">
        <f>'[5]1-O&amp;M e G&amp;A'!G15</f>
        <v>1468.3437368929599</v>
      </c>
      <c r="F15" s="189">
        <f>'[5]1-O&amp;M e G&amp;A'!H15</f>
        <v>1468.3437368929599</v>
      </c>
      <c r="G15" s="189">
        <f>'[5]1-O&amp;M e G&amp;A'!I15</f>
        <v>1468.3437368929599</v>
      </c>
      <c r="H15" s="189">
        <f>'[6]1-O&amp;M e G&amp;A'!H15</f>
        <v>0</v>
      </c>
      <c r="I15" s="194" t="e">
        <f>+#REF!*#REF!</f>
        <v>#REF!</v>
      </c>
      <c r="J15" s="194" t="e">
        <f>+#REF!*#REF!</f>
        <v>#REF!</v>
      </c>
      <c r="K15" s="194" t="e">
        <f>+#REF!*#REF!</f>
        <v>#REF!</v>
      </c>
      <c r="L15" s="195" t="e">
        <f>+#REF!*#REF!</f>
        <v>#REF!</v>
      </c>
    </row>
    <row r="16" spans="1:12" s="31" customFormat="1" ht="12" customHeight="1" x14ac:dyDescent="0.3">
      <c r="B16" s="191" t="s">
        <v>103</v>
      </c>
      <c r="C16" s="189">
        <f>'[5]1-O&amp;M e G&amp;A'!E16</f>
        <v>287.58689877038938</v>
      </c>
      <c r="D16" s="189">
        <f>'[5]1-O&amp;M e G&amp;A'!F16</f>
        <v>287.58689877038938</v>
      </c>
      <c r="E16" s="189">
        <f>'[5]1-O&amp;M e G&amp;A'!G16</f>
        <v>287.58689877038938</v>
      </c>
      <c r="F16" s="189">
        <f>'[5]1-O&amp;M e G&amp;A'!H16</f>
        <v>287.58689877038938</v>
      </c>
      <c r="G16" s="189">
        <f>'[5]1-O&amp;M e G&amp;A'!I16</f>
        <v>287.58689877038938</v>
      </c>
      <c r="H16" s="189">
        <f>'[6]1-O&amp;M e G&amp;A'!H16</f>
        <v>0</v>
      </c>
      <c r="I16" s="192" t="e">
        <f>+#REF!*#REF!</f>
        <v>#REF!</v>
      </c>
      <c r="J16" s="192" t="e">
        <f>+#REF!*#REF!</f>
        <v>#REF!</v>
      </c>
      <c r="K16" s="192" t="e">
        <f>+#REF!*#REF!</f>
        <v>#REF!</v>
      </c>
      <c r="L16" s="193" t="e">
        <f>+#REF!*#REF!</f>
        <v>#REF!</v>
      </c>
    </row>
    <row r="17" spans="2:12" s="31" customFormat="1" ht="12" customHeight="1" x14ac:dyDescent="0.3">
      <c r="B17" s="188" t="s">
        <v>104</v>
      </c>
      <c r="C17" s="189">
        <f>'[5]1-O&amp;M e G&amp;A'!E17</f>
        <v>381.15003023527169</v>
      </c>
      <c r="D17" s="189">
        <f>'[5]1-O&amp;M e G&amp;A'!F17</f>
        <v>381.15003023527169</v>
      </c>
      <c r="E17" s="189">
        <f>'[5]1-O&amp;M e G&amp;A'!G17</f>
        <v>381.15003023527169</v>
      </c>
      <c r="F17" s="189">
        <f>'[5]1-O&amp;M e G&amp;A'!H17</f>
        <v>381.15003023527169</v>
      </c>
      <c r="G17" s="189">
        <f>'[5]1-O&amp;M e G&amp;A'!I17</f>
        <v>381.15003023527169</v>
      </c>
      <c r="H17" s="189">
        <f>'[6]1-O&amp;M e G&amp;A'!H17</f>
        <v>0</v>
      </c>
      <c r="I17" s="194" t="e">
        <f>+#REF!*#REF!</f>
        <v>#REF!</v>
      </c>
      <c r="J17" s="194" t="e">
        <f>+#REF!*#REF!</f>
        <v>#REF!</v>
      </c>
      <c r="K17" s="194" t="e">
        <f>+#REF!*#REF!</f>
        <v>#REF!</v>
      </c>
      <c r="L17" s="195" t="e">
        <f>+#REF!*#REF!</f>
        <v>#REF!</v>
      </c>
    </row>
    <row r="18" spans="2:12" s="31" customFormat="1" x14ac:dyDescent="0.3">
      <c r="B18" s="191" t="s">
        <v>105</v>
      </c>
      <c r="C18" s="189">
        <f>'[5]1-O&amp;M e G&amp;A'!E18</f>
        <v>1155.2428103408836</v>
      </c>
      <c r="D18" s="189">
        <f>'[5]1-O&amp;M e G&amp;A'!F18</f>
        <v>1155.2428103408836</v>
      </c>
      <c r="E18" s="189">
        <f>'[5]1-O&amp;M e G&amp;A'!G18</f>
        <v>1155.2428103408836</v>
      </c>
      <c r="F18" s="189">
        <f>'[5]1-O&amp;M e G&amp;A'!H18</f>
        <v>1155.2428103408836</v>
      </c>
      <c r="G18" s="189">
        <f>'[5]1-O&amp;M e G&amp;A'!I18</f>
        <v>1155.2428103408836</v>
      </c>
      <c r="H18" s="189">
        <f>'[6]1-O&amp;M e G&amp;A'!H18</f>
        <v>0</v>
      </c>
      <c r="I18" s="192" t="e">
        <f>+#REF!*#REF!</f>
        <v>#REF!</v>
      </c>
      <c r="J18" s="192" t="e">
        <f>+#REF!*#REF!</f>
        <v>#REF!</v>
      </c>
      <c r="K18" s="192" t="e">
        <f>+#REF!*#REF!</f>
        <v>#REF!</v>
      </c>
      <c r="L18" s="193" t="e">
        <f>+#REF!*#REF!</f>
        <v>#REF!</v>
      </c>
    </row>
    <row r="19" spans="2:12" s="31" customFormat="1" x14ac:dyDescent="0.3">
      <c r="B19" s="188"/>
      <c r="C19" s="166"/>
      <c r="D19" s="166"/>
      <c r="E19" s="166"/>
      <c r="F19" s="166"/>
      <c r="G19" s="166"/>
      <c r="H19" s="166"/>
      <c r="I19" s="166"/>
      <c r="J19" s="166"/>
      <c r="K19" s="166"/>
      <c r="L19" s="179"/>
    </row>
    <row r="20" spans="2:12" s="31" customFormat="1" x14ac:dyDescent="0.3">
      <c r="B20" s="196" t="s">
        <v>106</v>
      </c>
      <c r="C20" s="168">
        <f>+C27+C18</f>
        <v>3395.7497596409412</v>
      </c>
      <c r="D20" s="168">
        <f t="shared" ref="D20:L20" si="2">+D27+D18</f>
        <v>3395.7497596409412</v>
      </c>
      <c r="E20" s="168">
        <f t="shared" si="2"/>
        <v>3395.7497596409412</v>
      </c>
      <c r="F20" s="168">
        <f t="shared" si="2"/>
        <v>3395.7497596409412</v>
      </c>
      <c r="G20" s="168">
        <f t="shared" si="2"/>
        <v>3395.7497596409412</v>
      </c>
      <c r="H20" s="168" t="e">
        <f t="shared" si="2"/>
        <v>#REF!</v>
      </c>
      <c r="I20" s="168" t="e">
        <f t="shared" si="2"/>
        <v>#REF!</v>
      </c>
      <c r="J20" s="168" t="e">
        <f t="shared" si="2"/>
        <v>#REF!</v>
      </c>
      <c r="K20" s="168" t="e">
        <f t="shared" si="2"/>
        <v>#REF!</v>
      </c>
      <c r="L20" s="178" t="e">
        <f t="shared" si="2"/>
        <v>#REF!</v>
      </c>
    </row>
    <row r="21" spans="2:12" s="31" customFormat="1" x14ac:dyDescent="0.3">
      <c r="B21" s="197" t="s">
        <v>107</v>
      </c>
      <c r="C21" s="166">
        <f>(SUM(C7:C18))-C20</f>
        <v>4993.0556805127762</v>
      </c>
      <c r="D21" s="166">
        <f t="shared" ref="D21:L21" si="3">(SUM(D7:D18))-D20</f>
        <v>4993.0556805127762</v>
      </c>
      <c r="E21" s="166">
        <f t="shared" si="3"/>
        <v>4993.0556805127762</v>
      </c>
      <c r="F21" s="166">
        <f t="shared" si="3"/>
        <v>4993.0556805127762</v>
      </c>
      <c r="G21" s="166">
        <f t="shared" si="3"/>
        <v>4993.0556805127762</v>
      </c>
      <c r="H21" s="166" t="e">
        <f t="shared" si="3"/>
        <v>#REF!</v>
      </c>
      <c r="I21" s="166" t="e">
        <f t="shared" si="3"/>
        <v>#REF!</v>
      </c>
      <c r="J21" s="166" t="e">
        <f t="shared" si="3"/>
        <v>#REF!</v>
      </c>
      <c r="K21" s="166" t="e">
        <f t="shared" si="3"/>
        <v>#REF!</v>
      </c>
      <c r="L21" s="179" t="e">
        <f t="shared" si="3"/>
        <v>#REF!</v>
      </c>
    </row>
    <row r="22" spans="2:12" s="31" customFormat="1" ht="15" customHeight="1" x14ac:dyDescent="0.3">
      <c r="B22" s="198" t="s">
        <v>39</v>
      </c>
      <c r="C22" s="199">
        <f>C20+C21</f>
        <v>8388.8054401537174</v>
      </c>
      <c r="D22" s="199">
        <f t="shared" ref="D22:L22" si="4">D20+D21</f>
        <v>8388.8054401537174</v>
      </c>
      <c r="E22" s="199">
        <f t="shared" si="4"/>
        <v>8388.8054401537174</v>
      </c>
      <c r="F22" s="199">
        <f t="shared" si="4"/>
        <v>8388.8054401537174</v>
      </c>
      <c r="G22" s="199">
        <f t="shared" si="4"/>
        <v>8388.8054401537174</v>
      </c>
      <c r="H22" s="199" t="e">
        <f t="shared" si="4"/>
        <v>#REF!</v>
      </c>
      <c r="I22" s="199" t="e">
        <f t="shared" si="4"/>
        <v>#REF!</v>
      </c>
      <c r="J22" s="199" t="e">
        <f t="shared" si="4"/>
        <v>#REF!</v>
      </c>
      <c r="K22" s="199" t="e">
        <f t="shared" si="4"/>
        <v>#REF!</v>
      </c>
      <c r="L22" s="200" t="e">
        <f t="shared" si="4"/>
        <v>#REF!</v>
      </c>
    </row>
    <row r="23" spans="2:12" x14ac:dyDescent="0.3">
      <c r="C23" s="58"/>
      <c r="D23" s="58"/>
      <c r="E23" s="58"/>
      <c r="F23" s="58"/>
      <c r="G23" s="58"/>
      <c r="H23" s="58"/>
      <c r="I23" s="58"/>
      <c r="J23" s="58"/>
      <c r="K23" s="58"/>
      <c r="L23" s="58"/>
    </row>
    <row r="24" spans="2:12" x14ac:dyDescent="0.3">
      <c r="C24" s="56"/>
    </row>
    <row r="25" spans="2:12" x14ac:dyDescent="0.3">
      <c r="B25" s="99" t="s">
        <v>108</v>
      </c>
      <c r="C25" s="2">
        <f>'[5]1-O&amp;M e G&amp;A'!E25</f>
        <v>488.25286780014198</v>
      </c>
      <c r="D25" s="2">
        <f>'[5]1-O&amp;M e G&amp;A'!F25</f>
        <v>488.25286780014198</v>
      </c>
      <c r="E25" s="2">
        <f>'[5]1-O&amp;M e G&amp;A'!G25</f>
        <v>488.25286780014198</v>
      </c>
      <c r="F25" s="2">
        <f>'[5]1-O&amp;M e G&amp;A'!H25</f>
        <v>488.25286780014198</v>
      </c>
      <c r="G25" s="2">
        <f>'[5]1-O&amp;M e G&amp;A'!I25</f>
        <v>488.25286780014198</v>
      </c>
      <c r="H25" s="2" t="e">
        <f>+#REF!*#REF!</f>
        <v>#REF!</v>
      </c>
      <c r="I25" s="2" t="e">
        <f>+#REF!*#REF!</f>
        <v>#REF!</v>
      </c>
      <c r="J25" s="2" t="e">
        <f>+#REF!*#REF!</f>
        <v>#REF!</v>
      </c>
      <c r="K25" s="2" t="e">
        <f>+#REF!*#REF!</f>
        <v>#REF!</v>
      </c>
      <c r="L25" s="2" t="e">
        <f>+#REF!*#REF!</f>
        <v>#REF!</v>
      </c>
    </row>
    <row r="26" spans="2:12" x14ac:dyDescent="0.3">
      <c r="B26" s="99" t="s">
        <v>109</v>
      </c>
      <c r="C26" s="2">
        <f>SUM(C8:C17)</f>
        <v>4504.8028127126345</v>
      </c>
      <c r="D26" s="2">
        <f t="shared" ref="D26:L26" si="5">SUM(D8:D17)</f>
        <v>4504.8028127126345</v>
      </c>
      <c r="E26" s="2">
        <f t="shared" si="5"/>
        <v>4504.8028127126345</v>
      </c>
      <c r="F26" s="2">
        <f t="shared" si="5"/>
        <v>4504.8028127126345</v>
      </c>
      <c r="G26" s="2">
        <f t="shared" si="5"/>
        <v>4504.8028127126345</v>
      </c>
      <c r="H26" s="2">
        <f t="shared" si="5"/>
        <v>0</v>
      </c>
      <c r="I26" s="2" t="e">
        <f t="shared" si="5"/>
        <v>#REF!</v>
      </c>
      <c r="J26" s="2" t="e">
        <f t="shared" si="5"/>
        <v>#REF!</v>
      </c>
      <c r="K26" s="2" t="e">
        <f t="shared" si="5"/>
        <v>#REF!</v>
      </c>
      <c r="L26" s="2" t="e">
        <f t="shared" si="5"/>
        <v>#REF!</v>
      </c>
    </row>
    <row r="27" spans="2:12" x14ac:dyDescent="0.3">
      <c r="B27" s="99" t="s">
        <v>110</v>
      </c>
      <c r="C27" s="2">
        <f>'[5]1-O&amp;M e G&amp;A'!E27</f>
        <v>2240.5069493000578</v>
      </c>
      <c r="D27" s="2">
        <f>'[5]1-O&amp;M e G&amp;A'!F27</f>
        <v>2240.5069493000578</v>
      </c>
      <c r="E27" s="2">
        <f>'[5]1-O&amp;M e G&amp;A'!G27</f>
        <v>2240.5069493000578</v>
      </c>
      <c r="F27" s="2">
        <f>'[5]1-O&amp;M e G&amp;A'!H27</f>
        <v>2240.5069493000578</v>
      </c>
      <c r="G27" s="2">
        <f>'[5]1-O&amp;M e G&amp;A'!I27</f>
        <v>2240.5069493000578</v>
      </c>
      <c r="H27" s="2" t="e">
        <f>+#REF!*#REF!</f>
        <v>#REF!</v>
      </c>
      <c r="I27" s="2" t="e">
        <f>+#REF!*#REF!</f>
        <v>#REF!</v>
      </c>
      <c r="J27" s="2" t="e">
        <f>+#REF!*#REF!</f>
        <v>#REF!</v>
      </c>
      <c r="K27" s="2" t="e">
        <f>+#REF!*#REF!</f>
        <v>#REF!</v>
      </c>
      <c r="L27" s="2" t="e">
        <f>+#REF!*#REF!</f>
        <v>#REF!</v>
      </c>
    </row>
    <row r="28" spans="2:12" x14ac:dyDescent="0.3">
      <c r="B28" s="99" t="s">
        <v>111</v>
      </c>
      <c r="C28" s="2">
        <f>+C18</f>
        <v>1155.2428103408836</v>
      </c>
      <c r="D28" s="2">
        <f t="shared" ref="D28:L28" si="6">+D18</f>
        <v>1155.2428103408836</v>
      </c>
      <c r="E28" s="2">
        <f t="shared" si="6"/>
        <v>1155.2428103408836</v>
      </c>
      <c r="F28" s="2">
        <f t="shared" si="6"/>
        <v>1155.2428103408836</v>
      </c>
      <c r="G28" s="2">
        <f t="shared" si="6"/>
        <v>1155.2428103408836</v>
      </c>
      <c r="H28" s="2">
        <f t="shared" si="6"/>
        <v>0</v>
      </c>
      <c r="I28" s="2" t="e">
        <f t="shared" si="6"/>
        <v>#REF!</v>
      </c>
      <c r="J28" s="2" t="e">
        <f t="shared" si="6"/>
        <v>#REF!</v>
      </c>
      <c r="K28" s="2" t="e">
        <f t="shared" si="6"/>
        <v>#REF!</v>
      </c>
      <c r="L28" s="2" t="e">
        <f t="shared" si="6"/>
        <v>#REF!</v>
      </c>
    </row>
    <row r="29" spans="2:12" x14ac:dyDescent="0.3">
      <c r="C29" s="56"/>
    </row>
    <row r="30" spans="2:12" x14ac:dyDescent="0.3"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2:12" x14ac:dyDescent="0.3">
      <c r="B31" s="375" t="s">
        <v>253</v>
      </c>
      <c r="C31" s="373"/>
      <c r="D31" s="373"/>
      <c r="E31" s="373"/>
      <c r="F31" s="373"/>
      <c r="G31" s="373"/>
    </row>
    <row r="32" spans="2:12" x14ac:dyDescent="0.3">
      <c r="B32" s="372" t="s">
        <v>106</v>
      </c>
      <c r="C32" s="374">
        <f>C20-'[5]1-O&amp;M e G&amp;A'!C20</f>
        <v>564.22549612974126</v>
      </c>
      <c r="D32" s="374">
        <f>D20-'[5]1-O&amp;M e G&amp;A'!D20</f>
        <v>564.22549612974126</v>
      </c>
      <c r="E32" s="374">
        <f>E20-'[5]1-O&amp;M e G&amp;A'!E20</f>
        <v>0</v>
      </c>
      <c r="F32" s="374">
        <f>F20-'[5]1-O&amp;M e G&amp;A'!F20</f>
        <v>0</v>
      </c>
      <c r="G32" s="374">
        <f>G20-'[5]1-O&amp;M e G&amp;A'!G20</f>
        <v>0</v>
      </c>
    </row>
    <row r="33" spans="2:7" x14ac:dyDescent="0.3">
      <c r="B33" s="372" t="s">
        <v>107</v>
      </c>
      <c r="C33" s="374">
        <f>C21-'[5]1-O&amp;M e G&amp;A'!C21</f>
        <v>672.71712299924184</v>
      </c>
      <c r="D33" s="374">
        <f>D21-'[5]1-O&amp;M e G&amp;A'!D21</f>
        <v>818.99712299924249</v>
      </c>
      <c r="E33" s="374">
        <f>E21-'[5]1-O&amp;M e G&amp;A'!E21</f>
        <v>0</v>
      </c>
      <c r="F33" s="374">
        <f>F21-'[5]1-O&amp;M e G&amp;A'!F21</f>
        <v>0</v>
      </c>
      <c r="G33" s="374">
        <f>G21-'[5]1-O&amp;M e G&amp;A'!G21</f>
        <v>0</v>
      </c>
    </row>
  </sheetData>
  <phoneticPr fontId="7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>
    <oddHeader>&amp;R&amp;"Calibri"&amp;14&amp;K0078D7NP-1&amp;1#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8">
    <tabColor theme="8"/>
  </sheetPr>
  <dimension ref="A1:H36"/>
  <sheetViews>
    <sheetView showGridLines="0" topLeftCell="A24" zoomScaleNormal="100" workbookViewId="0">
      <selection activeCell="B32" sqref="B32:G36"/>
    </sheetView>
  </sheetViews>
  <sheetFormatPr defaultColWidth="17" defaultRowHeight="13.8" x14ac:dyDescent="0.3"/>
  <cols>
    <col min="1" max="1" width="17" style="29"/>
    <col min="2" max="2" width="43.21875" style="29" customWidth="1"/>
    <col min="3" max="4" width="11.21875" style="29" bestFit="1" customWidth="1"/>
    <col min="5" max="7" width="10.77734375" style="29" customWidth="1"/>
    <col min="8" max="16384" width="17" style="29"/>
  </cols>
  <sheetData>
    <row r="1" spans="1:8" ht="16.2" thickBot="1" x14ac:dyDescent="0.35">
      <c r="A1" s="28"/>
    </row>
    <row r="2" spans="1:8" ht="16.2" thickBot="1" x14ac:dyDescent="0.35">
      <c r="B2" s="32" t="s">
        <v>112</v>
      </c>
      <c r="D2" s="57">
        <v>0</v>
      </c>
      <c r="E2" s="29" t="s">
        <v>83</v>
      </c>
      <c r="H2" s="31"/>
    </row>
    <row r="3" spans="1:8" x14ac:dyDescent="0.3">
      <c r="H3" s="31"/>
    </row>
    <row r="4" spans="1:8" x14ac:dyDescent="0.3">
      <c r="H4" s="31"/>
    </row>
    <row r="5" spans="1:8" ht="18.75" customHeight="1" thickBot="1" x14ac:dyDescent="0.35">
      <c r="B5" s="183" t="s">
        <v>86</v>
      </c>
      <c r="C5" s="184">
        <f>'O&amp;M e G&amp;A'!C5</f>
        <v>2024</v>
      </c>
      <c r="D5" s="184">
        <f>'O&amp;M e G&amp;A'!D5</f>
        <v>2025</v>
      </c>
      <c r="E5" s="184">
        <f>'O&amp;M e G&amp;A'!E5</f>
        <v>2026</v>
      </c>
      <c r="F5" s="184">
        <f>'O&amp;M e G&amp;A'!F5</f>
        <v>2027</v>
      </c>
      <c r="G5" s="184">
        <f>'O&amp;M e G&amp;A'!G5</f>
        <v>2028</v>
      </c>
      <c r="H5" s="31"/>
    </row>
    <row r="6" spans="1:8" ht="18.75" customHeight="1" thickTop="1" x14ac:dyDescent="0.3">
      <c r="B6" s="204" t="s">
        <v>113</v>
      </c>
      <c r="C6" s="205"/>
      <c r="D6" s="205"/>
      <c r="E6" s="205"/>
      <c r="F6" s="205"/>
      <c r="G6" s="205"/>
      <c r="H6" s="31"/>
    </row>
    <row r="7" spans="1:8" ht="12" customHeight="1" x14ac:dyDescent="0.3">
      <c r="B7" s="188" t="s">
        <v>94</v>
      </c>
      <c r="C7" s="201">
        <f>'O&amp;M e G&amp;A'!C7*(1+$D$2)</f>
        <v>2728.7598171002001</v>
      </c>
      <c r="D7" s="201">
        <f>'O&amp;M e G&amp;A'!D7*(1+$D$2)</f>
        <v>2728.7598171002001</v>
      </c>
      <c r="E7" s="201">
        <f>'O&amp;M e G&amp;A'!E7*(1+$D$2)</f>
        <v>2728.7598171002001</v>
      </c>
      <c r="F7" s="201">
        <f>'O&amp;M e G&amp;A'!F7*(1+$D$2)</f>
        <v>2728.7598171002001</v>
      </c>
      <c r="G7" s="201">
        <f>'O&amp;M e G&amp;A'!G7*(1+$D$2)</f>
        <v>2728.7598171002001</v>
      </c>
      <c r="H7" s="31"/>
    </row>
    <row r="8" spans="1:8" ht="12" customHeight="1" x14ac:dyDescent="0.3">
      <c r="B8" s="191" t="s">
        <v>95</v>
      </c>
      <c r="C8" s="201">
        <f>'O&amp;M e G&amp;A'!C8*(1+$D$2)</f>
        <v>0</v>
      </c>
      <c r="D8" s="201">
        <f>'O&amp;M e G&amp;A'!D8*(1+$D$2)</f>
        <v>0</v>
      </c>
      <c r="E8" s="201">
        <f>'O&amp;M e G&amp;A'!E8*(1+$D$2)</f>
        <v>0</v>
      </c>
      <c r="F8" s="201">
        <f>'O&amp;M e G&amp;A'!F8*(1+$D$2)</f>
        <v>0</v>
      </c>
      <c r="G8" s="201">
        <f>'O&amp;M e G&amp;A'!G8*(1+$D$2)</f>
        <v>0</v>
      </c>
      <c r="H8" s="31"/>
    </row>
    <row r="9" spans="1:8" ht="12" customHeight="1" x14ac:dyDescent="0.3">
      <c r="B9" s="188" t="s">
        <v>96</v>
      </c>
      <c r="C9" s="201">
        <f>'O&amp;M e G&amp;A'!C9*(1+$D$2)</f>
        <v>0</v>
      </c>
      <c r="D9" s="201">
        <f>'O&amp;M e G&amp;A'!D9*(1+$D$2)</f>
        <v>0</v>
      </c>
      <c r="E9" s="201">
        <f>'O&amp;M e G&amp;A'!E9*(1+$D$2)</f>
        <v>0</v>
      </c>
      <c r="F9" s="201">
        <f>'O&amp;M e G&amp;A'!F9*(1+$D$2)</f>
        <v>0</v>
      </c>
      <c r="G9" s="201">
        <f>'O&amp;M e G&amp;A'!G9*(1+$D$2)</f>
        <v>0</v>
      </c>
      <c r="H9" s="31"/>
    </row>
    <row r="10" spans="1:8" ht="12" customHeight="1" x14ac:dyDescent="0.3">
      <c r="B10" s="191" t="s">
        <v>97</v>
      </c>
      <c r="C10" s="201">
        <f>'O&amp;M e G&amp;A'!C10*(1+$D$2)</f>
        <v>1740.3862902370779</v>
      </c>
      <c r="D10" s="201">
        <f>'O&amp;M e G&amp;A'!D10*(1+$D$2)</f>
        <v>1740.3862902370779</v>
      </c>
      <c r="E10" s="201">
        <f>'O&amp;M e G&amp;A'!E10*(1+$D$2)</f>
        <v>1740.3862902370779</v>
      </c>
      <c r="F10" s="201">
        <f>'O&amp;M e G&amp;A'!F10*(1+$D$2)</f>
        <v>1740.3862902370779</v>
      </c>
      <c r="G10" s="201">
        <f>'O&amp;M e G&amp;A'!G10*(1+$D$2)</f>
        <v>1740.3862902370779</v>
      </c>
      <c r="H10" s="31"/>
    </row>
    <row r="11" spans="1:8" ht="12" customHeight="1" x14ac:dyDescent="0.3">
      <c r="B11" s="188" t="s">
        <v>98</v>
      </c>
      <c r="C11" s="201">
        <f>'O&amp;M e G&amp;A'!C11*(1+$D$2)</f>
        <v>614.50371422294404</v>
      </c>
      <c r="D11" s="201">
        <f>'O&amp;M e G&amp;A'!D11*(1+$D$2)</f>
        <v>614.50371422294404</v>
      </c>
      <c r="E11" s="201">
        <f>'O&amp;M e G&amp;A'!E11*(1+$D$2)</f>
        <v>614.50371422294404</v>
      </c>
      <c r="F11" s="201">
        <f>'O&amp;M e G&amp;A'!F11*(1+$D$2)</f>
        <v>614.50371422294404</v>
      </c>
      <c r="G11" s="201">
        <f>'O&amp;M e G&amp;A'!G11*(1+$D$2)</f>
        <v>614.50371422294404</v>
      </c>
      <c r="H11" s="31"/>
    </row>
    <row r="12" spans="1:8" ht="12" customHeight="1" x14ac:dyDescent="0.3">
      <c r="B12" s="191" t="s">
        <v>99</v>
      </c>
      <c r="C12" s="201">
        <f>'O&amp;M e G&amp;A'!C12*(1+$D$2)</f>
        <v>0</v>
      </c>
      <c r="D12" s="201">
        <f>'O&amp;M e G&amp;A'!D12*(1+$D$2)</f>
        <v>0</v>
      </c>
      <c r="E12" s="201">
        <f>'O&amp;M e G&amp;A'!E12*(1+$D$2)</f>
        <v>0</v>
      </c>
      <c r="F12" s="201">
        <f>'O&amp;M e G&amp;A'!F12*(1+$D$2)</f>
        <v>0</v>
      </c>
      <c r="G12" s="201">
        <f>'O&amp;M e G&amp;A'!G12*(1+$D$2)</f>
        <v>0</v>
      </c>
      <c r="H12" s="31"/>
    </row>
    <row r="13" spans="1:8" ht="12" customHeight="1" x14ac:dyDescent="0.3">
      <c r="B13" s="188" t="s">
        <v>100</v>
      </c>
      <c r="C13" s="201">
        <f>'O&amp;M e G&amp;A'!C13*(1+$D$2)</f>
        <v>0</v>
      </c>
      <c r="D13" s="201">
        <f>'O&amp;M e G&amp;A'!D13*(1+$D$2)</f>
        <v>0</v>
      </c>
      <c r="E13" s="201">
        <f>'O&amp;M e G&amp;A'!E13*(1+$D$2)</f>
        <v>0</v>
      </c>
      <c r="F13" s="201">
        <f>'O&amp;M e G&amp;A'!F13*(1+$D$2)</f>
        <v>0</v>
      </c>
      <c r="G13" s="201">
        <f>'O&amp;M e G&amp;A'!G13*(1+$D$2)</f>
        <v>0</v>
      </c>
      <c r="H13" s="31"/>
    </row>
    <row r="14" spans="1:8" ht="12" customHeight="1" x14ac:dyDescent="0.3">
      <c r="B14" s="191" t="s">
        <v>101</v>
      </c>
      <c r="C14" s="201">
        <f>'O&amp;M e G&amp;A'!C14*(1+$D$2)</f>
        <v>12.832142353992001</v>
      </c>
      <c r="D14" s="201">
        <f>'O&amp;M e G&amp;A'!D14*(1+$D$2)</f>
        <v>12.832142353992001</v>
      </c>
      <c r="E14" s="201">
        <f>'O&amp;M e G&amp;A'!E14*(1+$D$2)</f>
        <v>12.832142353992001</v>
      </c>
      <c r="F14" s="201">
        <f>'O&amp;M e G&amp;A'!F14*(1+$D$2)</f>
        <v>12.832142353992001</v>
      </c>
      <c r="G14" s="201">
        <f>'O&amp;M e G&amp;A'!G14*(1+$D$2)</f>
        <v>12.832142353992001</v>
      </c>
      <c r="H14" s="31"/>
    </row>
    <row r="15" spans="1:8" ht="12" customHeight="1" x14ac:dyDescent="0.3">
      <c r="B15" s="188" t="s">
        <v>102</v>
      </c>
      <c r="C15" s="201">
        <f>'O&amp;M e G&amp;A'!C15*(1+$D$2)</f>
        <v>1468.3437368929599</v>
      </c>
      <c r="D15" s="201">
        <f>'O&amp;M e G&amp;A'!D15*(1+$D$2)</f>
        <v>1468.3437368929599</v>
      </c>
      <c r="E15" s="201">
        <f>'O&amp;M e G&amp;A'!E15*(1+$D$2)</f>
        <v>1468.3437368929599</v>
      </c>
      <c r="F15" s="201">
        <f>'O&amp;M e G&amp;A'!F15*(1+$D$2)</f>
        <v>1468.3437368929599</v>
      </c>
      <c r="G15" s="201">
        <f>'O&amp;M e G&amp;A'!G15*(1+$D$2)</f>
        <v>1468.3437368929599</v>
      </c>
      <c r="H15" s="31"/>
    </row>
    <row r="16" spans="1:8" ht="12" customHeight="1" x14ac:dyDescent="0.3">
      <c r="B16" s="191" t="s">
        <v>103</v>
      </c>
      <c r="C16" s="201">
        <f>'O&amp;M e G&amp;A'!C16*(1+$D$2)</f>
        <v>287.58689877038938</v>
      </c>
      <c r="D16" s="201">
        <f>'O&amp;M e G&amp;A'!D16*(1+$D$2)</f>
        <v>287.58689877038938</v>
      </c>
      <c r="E16" s="201">
        <f>'O&amp;M e G&amp;A'!E16*(1+$D$2)</f>
        <v>287.58689877038938</v>
      </c>
      <c r="F16" s="201">
        <f>'O&amp;M e G&amp;A'!F16*(1+$D$2)</f>
        <v>287.58689877038938</v>
      </c>
      <c r="G16" s="201">
        <f>'O&amp;M e G&amp;A'!G16*(1+$D$2)</f>
        <v>287.58689877038938</v>
      </c>
      <c r="H16" s="31"/>
    </row>
    <row r="17" spans="2:8" ht="12" customHeight="1" x14ac:dyDescent="0.3">
      <c r="B17" s="188" t="s">
        <v>104</v>
      </c>
      <c r="C17" s="201">
        <f>'O&amp;M e G&amp;A'!C17*(1+$D$2)</f>
        <v>381.15003023527169</v>
      </c>
      <c r="D17" s="201">
        <f>'O&amp;M e G&amp;A'!D17*(1+$D$2)</f>
        <v>381.15003023527169</v>
      </c>
      <c r="E17" s="201">
        <f>'O&amp;M e G&amp;A'!E17*(1+$D$2)</f>
        <v>381.15003023527169</v>
      </c>
      <c r="F17" s="201">
        <f>'O&amp;M e G&amp;A'!F17*(1+$D$2)</f>
        <v>381.15003023527169</v>
      </c>
      <c r="G17" s="201">
        <f>'O&amp;M e G&amp;A'!G17*(1+$D$2)</f>
        <v>381.15003023527169</v>
      </c>
      <c r="H17" s="31"/>
    </row>
    <row r="18" spans="2:8" x14ac:dyDescent="0.3">
      <c r="B18" s="191" t="s">
        <v>114</v>
      </c>
      <c r="C18" s="201">
        <f>'O&amp;M e G&amp;A'!C18*(1+$D$2)</f>
        <v>1155.2428103408836</v>
      </c>
      <c r="D18" s="201">
        <f>'O&amp;M e G&amp;A'!D18*(1+$D$2)</f>
        <v>1155.2428103408836</v>
      </c>
      <c r="E18" s="201">
        <f>'O&amp;M e G&amp;A'!E18*(1+$D$2)</f>
        <v>1155.2428103408836</v>
      </c>
      <c r="F18" s="201">
        <f>'O&amp;M e G&amp;A'!F18*(1+$D$2)</f>
        <v>1155.2428103408836</v>
      </c>
      <c r="G18" s="201">
        <f>'O&amp;M e G&amp;A'!G18*(1+$D$2)</f>
        <v>1155.2428103408836</v>
      </c>
      <c r="H18" s="31"/>
    </row>
    <row r="19" spans="2:8" x14ac:dyDescent="0.3">
      <c r="B19" s="188"/>
      <c r="C19" s="201"/>
      <c r="D19" s="201"/>
      <c r="E19" s="201"/>
      <c r="F19" s="201"/>
      <c r="G19" s="201"/>
      <c r="H19" s="31"/>
    </row>
    <row r="20" spans="2:8" x14ac:dyDescent="0.3">
      <c r="B20" s="196" t="s">
        <v>106</v>
      </c>
      <c r="C20" s="202">
        <f>'O&amp;M e G&amp;A'!C20*(1+$D$2)</f>
        <v>3395.7497596409412</v>
      </c>
      <c r="D20" s="202">
        <f>'O&amp;M e G&amp;A'!D20*(1+$D$2)</f>
        <v>3395.7497596409412</v>
      </c>
      <c r="E20" s="202">
        <f>'O&amp;M e G&amp;A'!E20*(1+$D$2)</f>
        <v>3395.7497596409412</v>
      </c>
      <c r="F20" s="202">
        <f>'O&amp;M e G&amp;A'!F20*(1+$D$2)</f>
        <v>3395.7497596409412</v>
      </c>
      <c r="G20" s="202">
        <f>'O&amp;M e G&amp;A'!G20*(1+$D$2)</f>
        <v>3395.7497596409412</v>
      </c>
      <c r="H20" s="31"/>
    </row>
    <row r="21" spans="2:8" x14ac:dyDescent="0.3">
      <c r="B21" s="197" t="s">
        <v>107</v>
      </c>
      <c r="C21" s="201">
        <f>'O&amp;M e G&amp;A'!C21*(1+$D$2)</f>
        <v>4993.0556805127762</v>
      </c>
      <c r="D21" s="201">
        <f>'O&amp;M e G&amp;A'!D21*(1+$D$2)</f>
        <v>4993.0556805127762</v>
      </c>
      <c r="E21" s="201">
        <f>'O&amp;M e G&amp;A'!E21*(1+$D$2)</f>
        <v>4993.0556805127762</v>
      </c>
      <c r="F21" s="201">
        <f>'O&amp;M e G&amp;A'!F21*(1+$D$2)</f>
        <v>4993.0556805127762</v>
      </c>
      <c r="G21" s="201">
        <f>'O&amp;M e G&amp;A'!G21*(1+$D$2)</f>
        <v>4993.0556805127762</v>
      </c>
      <c r="H21" s="31"/>
    </row>
    <row r="22" spans="2:8" ht="15" customHeight="1" x14ac:dyDescent="0.3">
      <c r="B22" s="198" t="s">
        <v>39</v>
      </c>
      <c r="C22" s="203">
        <f>'O&amp;M e G&amp;A'!C22*(1+$D$2)</f>
        <v>8388.8054401537174</v>
      </c>
      <c r="D22" s="203">
        <f>'O&amp;M e G&amp;A'!D22*(1+$D$2)</f>
        <v>8388.8054401537174</v>
      </c>
      <c r="E22" s="203">
        <f>'O&amp;M e G&amp;A'!E22*(1+$D$2)</f>
        <v>8388.8054401537174</v>
      </c>
      <c r="F22" s="203">
        <f>'O&amp;M e G&amp;A'!F22*(1+$D$2)</f>
        <v>8388.8054401537174</v>
      </c>
      <c r="G22" s="203">
        <f>'O&amp;M e G&amp;A'!G22*(1+$D$2)</f>
        <v>8388.8054401537174</v>
      </c>
      <c r="H22" s="31"/>
    </row>
    <row r="23" spans="2:8" x14ac:dyDescent="0.3">
      <c r="C23" s="68"/>
      <c r="D23" s="68"/>
      <c r="E23" s="68"/>
      <c r="F23" s="68"/>
      <c r="G23" s="68"/>
      <c r="H23" s="31"/>
    </row>
    <row r="24" spans="2:8" x14ac:dyDescent="0.3">
      <c r="C24" s="69"/>
      <c r="H24" s="31"/>
    </row>
    <row r="31" spans="2:8" ht="14.4" thickBot="1" x14ac:dyDescent="0.35"/>
    <row r="32" spans="2:8" ht="17.25" customHeight="1" x14ac:dyDescent="0.3">
      <c r="B32" s="421" t="s">
        <v>314</v>
      </c>
      <c r="C32" s="422">
        <f>C5</f>
        <v>2024</v>
      </c>
      <c r="D32" s="422">
        <f t="shared" ref="D32:G32" si="0">D5</f>
        <v>2025</v>
      </c>
      <c r="E32" s="422">
        <f t="shared" si="0"/>
        <v>2026</v>
      </c>
      <c r="F32" s="422">
        <f t="shared" si="0"/>
        <v>2027</v>
      </c>
      <c r="G32" s="423">
        <f t="shared" si="0"/>
        <v>2028</v>
      </c>
    </row>
    <row r="33" spans="2:7" ht="17.25" customHeight="1" x14ac:dyDescent="0.3">
      <c r="B33" s="412" t="s">
        <v>315</v>
      </c>
      <c r="C33" s="56">
        <f>C7</f>
        <v>2728.7598171002001</v>
      </c>
      <c r="D33" s="56">
        <f t="shared" ref="D33:G33" si="1">D7</f>
        <v>2728.7598171002001</v>
      </c>
      <c r="E33" s="56">
        <f t="shared" si="1"/>
        <v>2728.7598171002001</v>
      </c>
      <c r="F33" s="56">
        <f t="shared" si="1"/>
        <v>2728.7598171002001</v>
      </c>
      <c r="G33" s="413">
        <f t="shared" si="1"/>
        <v>2728.7598171002001</v>
      </c>
    </row>
    <row r="34" spans="2:7" ht="17.25" customHeight="1" x14ac:dyDescent="0.3">
      <c r="B34" s="412" t="s">
        <v>316</v>
      </c>
      <c r="C34" s="56">
        <f>'O&amp;M e G&amp;A'!C28</f>
        <v>1155.2428103408836</v>
      </c>
      <c r="D34" s="56">
        <f>'O&amp;M e G&amp;A'!D28</f>
        <v>1155.2428103408836</v>
      </c>
      <c r="E34" s="56">
        <f>'O&amp;M e G&amp;A'!E28</f>
        <v>1155.2428103408836</v>
      </c>
      <c r="F34" s="56">
        <f>'O&amp;M e G&amp;A'!F28</f>
        <v>1155.2428103408836</v>
      </c>
      <c r="G34" s="413">
        <f>'O&amp;M e G&amp;A'!G28</f>
        <v>1155.2428103408836</v>
      </c>
    </row>
    <row r="35" spans="2:7" ht="17.25" customHeight="1" thickBot="1" x14ac:dyDescent="0.35">
      <c r="B35" s="424" t="s">
        <v>317</v>
      </c>
      <c r="C35" s="425">
        <f>'O&amp;M e G&amp;A'!C26</f>
        <v>4504.8028127126345</v>
      </c>
      <c r="D35" s="425">
        <f>'O&amp;M e G&amp;A'!D26</f>
        <v>4504.8028127126345</v>
      </c>
      <c r="E35" s="425">
        <f>'O&amp;M e G&amp;A'!E26</f>
        <v>4504.8028127126345</v>
      </c>
      <c r="F35" s="425">
        <f>'O&amp;M e G&amp;A'!F26</f>
        <v>4504.8028127126345</v>
      </c>
      <c r="G35" s="426">
        <f>'O&amp;M e G&amp;A'!G26</f>
        <v>4504.8028127126345</v>
      </c>
    </row>
    <row r="36" spans="2:7" ht="20.25" customHeight="1" thickBot="1" x14ac:dyDescent="0.35">
      <c r="B36" s="414" t="s">
        <v>318</v>
      </c>
      <c r="C36" s="415">
        <f>SUM(C33:C35)</f>
        <v>8388.8054401537192</v>
      </c>
      <c r="D36" s="415">
        <f t="shared" ref="D36:G36" si="2">SUM(D33:D35)</f>
        <v>8388.8054401537192</v>
      </c>
      <c r="E36" s="415">
        <f t="shared" si="2"/>
        <v>8388.8054401537192</v>
      </c>
      <c r="F36" s="415">
        <f t="shared" si="2"/>
        <v>8388.8054401537192</v>
      </c>
      <c r="G36" s="416">
        <f t="shared" si="2"/>
        <v>8388.8054401537192</v>
      </c>
    </row>
  </sheetData>
  <pageMargins left="0.78740157499999996" right="0.78740157499999996" top="0.984251969" bottom="0.984251969" header="0.49212598499999999" footer="0.49212598499999999"/>
  <pageSetup paperSize="9" scale="60" orientation="landscape" r:id="rId1"/>
  <headerFooter alignWithMargins="0">
    <oddHeader>&amp;R&amp;"Calibri"&amp;14&amp;K0078D7NP-1&amp;1#</oddHeader>
  </headerFooter>
  <ignoredErrors>
    <ignoredError sqref="C9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>
    <tabColor theme="8"/>
    <pageSetUpPr fitToPage="1"/>
  </sheetPr>
  <dimension ref="A1:T66"/>
  <sheetViews>
    <sheetView showGridLines="0" zoomScale="110" zoomScaleNormal="110" workbookViewId="0">
      <pane xSplit="2" ySplit="5" topLeftCell="C33" activePane="bottomRight" state="frozen"/>
      <selection pane="topRight" activeCell="I84" sqref="I84"/>
      <selection pane="bottomLeft" activeCell="I84" sqref="I84"/>
      <selection pane="bottomRight" activeCell="C39" sqref="C39"/>
    </sheetView>
  </sheetViews>
  <sheetFormatPr defaultColWidth="9.21875" defaultRowHeight="13.8" x14ac:dyDescent="0.3"/>
  <cols>
    <col min="1" max="1" width="6.21875" style="31" customWidth="1"/>
    <col min="2" max="2" width="68.21875" style="31" customWidth="1"/>
    <col min="3" max="7" width="13.88671875" style="31" customWidth="1"/>
    <col min="8" max="8" width="11.77734375" style="31" bestFit="1" customWidth="1"/>
    <col min="9" max="9" width="13" style="31" bestFit="1" customWidth="1"/>
    <col min="10" max="16384" width="9.21875" style="31"/>
  </cols>
  <sheetData>
    <row r="1" spans="1:20" ht="16.2" thickBot="1" x14ac:dyDescent="0.35">
      <c r="A1" s="28"/>
      <c r="B1" s="25"/>
    </row>
    <row r="2" spans="1:20" ht="14.4" thickBot="1" x14ac:dyDescent="0.35">
      <c r="B2" s="70" t="s">
        <v>115</v>
      </c>
    </row>
    <row r="3" spans="1:20" x14ac:dyDescent="0.3">
      <c r="B3" s="25"/>
    </row>
    <row r="4" spans="1:20" ht="15.75" customHeight="1" thickBot="1" x14ac:dyDescent="0.35">
      <c r="B4" s="130" t="s">
        <v>116</v>
      </c>
      <c r="C4" s="131">
        <v>2024</v>
      </c>
      <c r="D4" s="131">
        <f>C4+1</f>
        <v>2025</v>
      </c>
      <c r="E4" s="131">
        <f t="shared" ref="E4:G4" si="0">D4+1</f>
        <v>2026</v>
      </c>
      <c r="F4" s="131">
        <f t="shared" si="0"/>
        <v>2027</v>
      </c>
      <c r="G4" s="131">
        <f t="shared" si="0"/>
        <v>2028</v>
      </c>
    </row>
    <row r="5" spans="1:20" ht="15.75" customHeight="1" thickTop="1" x14ac:dyDescent="0.3">
      <c r="B5" s="134"/>
      <c r="C5" s="135"/>
      <c r="D5" s="135"/>
      <c r="E5" s="135"/>
      <c r="F5" s="135"/>
      <c r="G5" s="135"/>
    </row>
    <row r="6" spans="1:20" x14ac:dyDescent="0.3">
      <c r="B6" s="138" t="s">
        <v>117</v>
      </c>
      <c r="C6" s="139">
        <f>C12/(1-Premissas!B10-Premissas!B11-Premissas!B12)</f>
        <v>20488.275496954604</v>
      </c>
      <c r="D6" s="139">
        <f>D12/(1-Premissas!C10-Premissas!C11-Premissas!C12)</f>
        <v>20432.296821075372</v>
      </c>
      <c r="E6" s="139">
        <f>E12/(1-Premissas!D10-Premissas!D11-Premissas!D12)</f>
        <v>20432.296821075372</v>
      </c>
      <c r="F6" s="139">
        <f>F12/(1-Premissas!E10-Premissas!E11-Premissas!E12)</f>
        <v>20432.296821075372</v>
      </c>
      <c r="G6" s="139">
        <f>G12/(1-Premissas!F10-Premissas!F11-Premissas!F12)</f>
        <v>20488.275716475579</v>
      </c>
    </row>
    <row r="7" spans="1:20" x14ac:dyDescent="0.3">
      <c r="B7" s="142" t="s">
        <v>118</v>
      </c>
      <c r="C7" s="143">
        <f>C6*Premissas!B$10</f>
        <v>2458.5930596345524</v>
      </c>
      <c r="D7" s="143">
        <f>D6*Premissas!C$10</f>
        <v>2451.8756185290445</v>
      </c>
      <c r="E7" s="143">
        <f>E6*Premissas!D$10</f>
        <v>2451.8756185290445</v>
      </c>
      <c r="F7" s="143">
        <f>F6*Premissas!E$10</f>
        <v>2451.8756185290445</v>
      </c>
      <c r="G7" s="143">
        <f>G6*Premissas!F$10</f>
        <v>2458.5930859770692</v>
      </c>
      <c r="H7" s="364"/>
    </row>
    <row r="8" spans="1:20" x14ac:dyDescent="0.3">
      <c r="B8" s="128" t="s">
        <v>119</v>
      </c>
      <c r="C8" s="146">
        <f>C6*Premissas!B$11</f>
        <v>338.05654569975098</v>
      </c>
      <c r="D8" s="146">
        <f>D6*Premissas!C$11</f>
        <v>337.13289754774365</v>
      </c>
      <c r="E8" s="146">
        <f>E6*Premissas!D$11</f>
        <v>337.13289754774365</v>
      </c>
      <c r="F8" s="146">
        <f>F6*Premissas!E$11</f>
        <v>337.13289754774365</v>
      </c>
      <c r="G8" s="146">
        <f>G6*Premissas!F$11</f>
        <v>338.05654932184706</v>
      </c>
    </row>
    <row r="9" spans="1:20" x14ac:dyDescent="0.3">
      <c r="B9" s="142" t="s">
        <v>120</v>
      </c>
      <c r="C9" s="143">
        <f>C6*Premissas!B$12</f>
        <v>1557.1089377685498</v>
      </c>
      <c r="D9" s="143">
        <f>D6*Premissas!C$12</f>
        <v>1552.8545584017281</v>
      </c>
      <c r="E9" s="143">
        <f>E6*Premissas!D$12</f>
        <v>1552.8545584017281</v>
      </c>
      <c r="F9" s="143">
        <f>F6*Premissas!E$12</f>
        <v>1552.8545584017281</v>
      </c>
      <c r="G9" s="143">
        <f>G6*Premissas!F$12</f>
        <v>1557.108954452144</v>
      </c>
    </row>
    <row r="10" spans="1:20" x14ac:dyDescent="0.3">
      <c r="B10" s="128" t="s">
        <v>121</v>
      </c>
      <c r="C10" s="146">
        <v>0</v>
      </c>
      <c r="D10" s="146">
        <v>0</v>
      </c>
      <c r="E10" s="146">
        <v>0</v>
      </c>
      <c r="F10" s="146">
        <v>0</v>
      </c>
      <c r="G10" s="146">
        <v>0</v>
      </c>
    </row>
    <row r="11" spans="1:20" x14ac:dyDescent="0.3">
      <c r="B11" s="142" t="s">
        <v>122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</row>
    <row r="12" spans="1:20" x14ac:dyDescent="0.3">
      <c r="B12" s="138" t="s">
        <v>123</v>
      </c>
      <c r="C12" s="149">
        <f>($E$41*C49)</f>
        <v>16134.516953851751</v>
      </c>
      <c r="D12" s="149">
        <f t="shared" ref="D12" si="1">($E$41*D49)</f>
        <v>16090.433746596857</v>
      </c>
      <c r="E12" s="149">
        <f>($E$41*E49)</f>
        <v>16090.433746596857</v>
      </c>
      <c r="F12" s="149">
        <f>($E$41*F49)</f>
        <v>16090.433746596857</v>
      </c>
      <c r="G12" s="149">
        <f>($E$41*G49)</f>
        <v>16134.51712672452</v>
      </c>
      <c r="I12" s="364"/>
    </row>
    <row r="13" spans="1:20" x14ac:dyDescent="0.3">
      <c r="B13" s="142" t="s">
        <v>124</v>
      </c>
      <c r="C13" s="152">
        <f>'O&amp;M e G&amp;A_I'!C7</f>
        <v>2728.7598171002001</v>
      </c>
      <c r="D13" s="152">
        <f>'O&amp;M e G&amp;A_I'!D7</f>
        <v>2728.7598171002001</v>
      </c>
      <c r="E13" s="152">
        <f>'O&amp;M e G&amp;A_I'!E7</f>
        <v>2728.7598171002001</v>
      </c>
      <c r="F13" s="152">
        <f>'O&amp;M e G&amp;A_I'!F7</f>
        <v>2728.7598171002001</v>
      </c>
      <c r="G13" s="152">
        <f>'O&amp;M e G&amp;A_I'!G7</f>
        <v>2728.7598171002001</v>
      </c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</row>
    <row r="14" spans="1:20" x14ac:dyDescent="0.3">
      <c r="B14" s="128" t="s">
        <v>125</v>
      </c>
      <c r="C14" s="152">
        <f>'O&amp;M e G&amp;A_I'!C8</f>
        <v>0</v>
      </c>
      <c r="D14" s="152">
        <f>'O&amp;M e G&amp;A_I'!D8</f>
        <v>0</v>
      </c>
      <c r="E14" s="152">
        <f>'O&amp;M e G&amp;A_I'!E8</f>
        <v>0</v>
      </c>
      <c r="F14" s="152">
        <f>'O&amp;M e G&amp;A_I'!F8</f>
        <v>0</v>
      </c>
      <c r="G14" s="152">
        <f>'O&amp;M e G&amp;A_I'!G8</f>
        <v>0</v>
      </c>
      <c r="H14" s="306"/>
    </row>
    <row r="15" spans="1:20" x14ac:dyDescent="0.3">
      <c r="B15" s="142" t="s">
        <v>126</v>
      </c>
      <c r="C15" s="152">
        <f>'O&amp;M e G&amp;A_I'!C9</f>
        <v>0</v>
      </c>
      <c r="D15" s="152">
        <f>'O&amp;M e G&amp;A_I'!D9</f>
        <v>0</v>
      </c>
      <c r="E15" s="152">
        <f>'O&amp;M e G&amp;A_I'!E9</f>
        <v>0</v>
      </c>
      <c r="F15" s="152">
        <f>'O&amp;M e G&amp;A_I'!F9</f>
        <v>0</v>
      </c>
      <c r="G15" s="152">
        <f>'O&amp;M e G&amp;A_I'!G9</f>
        <v>0</v>
      </c>
      <c r="H15" s="306"/>
    </row>
    <row r="16" spans="1:20" x14ac:dyDescent="0.3">
      <c r="B16" s="128" t="s">
        <v>127</v>
      </c>
      <c r="C16" s="152">
        <f>'O&amp;M e G&amp;A_I'!C10</f>
        <v>1740.3862902370779</v>
      </c>
      <c r="D16" s="152">
        <f>'O&amp;M e G&amp;A_I'!D10</f>
        <v>1740.3862902370779</v>
      </c>
      <c r="E16" s="152">
        <f>'O&amp;M e G&amp;A_I'!E10</f>
        <v>1740.3862902370779</v>
      </c>
      <c r="F16" s="152">
        <f>'O&amp;M e G&amp;A_I'!F10</f>
        <v>1740.3862902370779</v>
      </c>
      <c r="G16" s="152">
        <f>'O&amp;M e G&amp;A_I'!G10</f>
        <v>1740.3862902370779</v>
      </c>
      <c r="H16" s="306"/>
    </row>
    <row r="17" spans="1:8" x14ac:dyDescent="0.3">
      <c r="B17" s="142" t="s">
        <v>128</v>
      </c>
      <c r="C17" s="152">
        <f>'O&amp;M e G&amp;A_I'!C11</f>
        <v>614.50371422294404</v>
      </c>
      <c r="D17" s="152">
        <f>'O&amp;M e G&amp;A_I'!D11</f>
        <v>614.50371422294404</v>
      </c>
      <c r="E17" s="152">
        <f>'O&amp;M e G&amp;A_I'!E11</f>
        <v>614.50371422294404</v>
      </c>
      <c r="F17" s="152">
        <f>'O&amp;M e G&amp;A_I'!F11</f>
        <v>614.50371422294404</v>
      </c>
      <c r="G17" s="152">
        <f>'O&amp;M e G&amp;A_I'!G11</f>
        <v>614.50371422294404</v>
      </c>
      <c r="H17" s="306"/>
    </row>
    <row r="18" spans="1:8" x14ac:dyDescent="0.3">
      <c r="B18" s="128" t="s">
        <v>129</v>
      </c>
      <c r="C18" s="152">
        <f>'O&amp;M e G&amp;A_I'!C12</f>
        <v>0</v>
      </c>
      <c r="D18" s="152">
        <f>'O&amp;M e G&amp;A_I'!D12</f>
        <v>0</v>
      </c>
      <c r="E18" s="152">
        <f>'O&amp;M e G&amp;A_I'!E12</f>
        <v>0</v>
      </c>
      <c r="F18" s="152">
        <f>'O&amp;M e G&amp;A_I'!F12</f>
        <v>0</v>
      </c>
      <c r="G18" s="152">
        <f>'O&amp;M e G&amp;A_I'!G12</f>
        <v>0</v>
      </c>
      <c r="H18" s="306"/>
    </row>
    <row r="19" spans="1:8" x14ac:dyDescent="0.3">
      <c r="B19" s="142" t="s">
        <v>130</v>
      </c>
      <c r="C19" s="152">
        <f>'O&amp;M e G&amp;A_I'!C13</f>
        <v>0</v>
      </c>
      <c r="D19" s="152">
        <f>'O&amp;M e G&amp;A_I'!D13</f>
        <v>0</v>
      </c>
      <c r="E19" s="152">
        <f>'O&amp;M e G&amp;A_I'!E13</f>
        <v>0</v>
      </c>
      <c r="F19" s="152">
        <f>'O&amp;M e G&amp;A_I'!F13</f>
        <v>0</v>
      </c>
      <c r="G19" s="152">
        <f>'O&amp;M e G&amp;A_I'!G13</f>
        <v>0</v>
      </c>
      <c r="H19" s="306"/>
    </row>
    <row r="20" spans="1:8" x14ac:dyDescent="0.3">
      <c r="B20" s="128" t="s">
        <v>131</v>
      </c>
      <c r="C20" s="152">
        <f>'O&amp;M e G&amp;A_I'!C14</f>
        <v>12.832142353992001</v>
      </c>
      <c r="D20" s="152">
        <f>'O&amp;M e G&amp;A_I'!D14</f>
        <v>12.832142353992001</v>
      </c>
      <c r="E20" s="152">
        <f>'O&amp;M e G&amp;A_I'!E14</f>
        <v>12.832142353992001</v>
      </c>
      <c r="F20" s="152">
        <f>'O&amp;M e G&amp;A_I'!F14</f>
        <v>12.832142353992001</v>
      </c>
      <c r="G20" s="152">
        <f>'O&amp;M e G&amp;A_I'!G14</f>
        <v>12.832142353992001</v>
      </c>
      <c r="H20" s="306"/>
    </row>
    <row r="21" spans="1:8" x14ac:dyDescent="0.3">
      <c r="B21" s="142" t="s">
        <v>132</v>
      </c>
      <c r="C21" s="152">
        <f>'O&amp;M e G&amp;A_I'!C15</f>
        <v>1468.3437368929599</v>
      </c>
      <c r="D21" s="152">
        <f>'O&amp;M e G&amp;A_I'!D15</f>
        <v>1468.3437368929599</v>
      </c>
      <c r="E21" s="152">
        <f>'O&amp;M e G&amp;A_I'!E15</f>
        <v>1468.3437368929599</v>
      </c>
      <c r="F21" s="152">
        <f>'O&amp;M e G&amp;A_I'!F15</f>
        <v>1468.3437368929599</v>
      </c>
      <c r="G21" s="152">
        <f>'O&amp;M e G&amp;A_I'!G15</f>
        <v>1468.3437368929599</v>
      </c>
      <c r="H21" s="306"/>
    </row>
    <row r="22" spans="1:8" x14ac:dyDescent="0.3">
      <c r="B22" s="128" t="s">
        <v>133</v>
      </c>
      <c r="C22" s="152">
        <f>'O&amp;M e G&amp;A_I'!C16</f>
        <v>287.58689877038938</v>
      </c>
      <c r="D22" s="152">
        <f>'O&amp;M e G&amp;A_I'!D16</f>
        <v>287.58689877038938</v>
      </c>
      <c r="E22" s="152">
        <f>'O&amp;M e G&amp;A_I'!E16</f>
        <v>287.58689877038938</v>
      </c>
      <c r="F22" s="152">
        <f>'O&amp;M e G&amp;A_I'!F16</f>
        <v>287.58689877038938</v>
      </c>
      <c r="G22" s="152">
        <f>'O&amp;M e G&amp;A_I'!G16</f>
        <v>287.58689877038938</v>
      </c>
      <c r="H22" s="306"/>
    </row>
    <row r="23" spans="1:8" x14ac:dyDescent="0.3">
      <c r="B23" s="142" t="s">
        <v>134</v>
      </c>
      <c r="C23" s="152">
        <f>'O&amp;M e G&amp;A_I'!C17</f>
        <v>381.15003023527169</v>
      </c>
      <c r="D23" s="152">
        <f>'O&amp;M e G&amp;A_I'!D17</f>
        <v>381.15003023527169</v>
      </c>
      <c r="E23" s="152">
        <f>'O&amp;M e G&amp;A_I'!E17</f>
        <v>381.15003023527169</v>
      </c>
      <c r="F23" s="152">
        <f>'O&amp;M e G&amp;A_I'!F17</f>
        <v>381.15003023527169</v>
      </c>
      <c r="G23" s="152">
        <f>'O&amp;M e G&amp;A_I'!G17</f>
        <v>381.15003023527169</v>
      </c>
      <c r="H23" s="306"/>
    </row>
    <row r="24" spans="1:8" x14ac:dyDescent="0.3">
      <c r="B24" s="128" t="s">
        <v>135</v>
      </c>
      <c r="C24" s="152">
        <f>'O&amp;M e G&amp;A_I'!C18</f>
        <v>1155.2428103408836</v>
      </c>
      <c r="D24" s="152">
        <f>'O&amp;M e G&amp;A_I'!D18</f>
        <v>1155.2428103408836</v>
      </c>
      <c r="E24" s="152">
        <f>'O&amp;M e G&amp;A_I'!E18</f>
        <v>1155.2428103408836</v>
      </c>
      <c r="F24" s="152">
        <f>'O&amp;M e G&amp;A_I'!F18</f>
        <v>1155.2428103408836</v>
      </c>
      <c r="G24" s="152">
        <f>'O&amp;M e G&amp;A_I'!G18</f>
        <v>1155.2428103408836</v>
      </c>
      <c r="H24" s="306"/>
    </row>
    <row r="25" spans="1:8" ht="15" x14ac:dyDescent="0.3">
      <c r="B25" s="158" t="s">
        <v>136</v>
      </c>
      <c r="C25" s="159">
        <f>C12-SUM(C13:C24)</f>
        <v>7745.7115136980337</v>
      </c>
      <c r="D25" s="159">
        <f t="shared" ref="D25:G25" si="2">D12-SUM(D13:D24)</f>
        <v>7701.6283064431391</v>
      </c>
      <c r="E25" s="159">
        <f t="shared" si="2"/>
        <v>7701.6283064431391</v>
      </c>
      <c r="F25" s="159">
        <f t="shared" si="2"/>
        <v>7701.6283064431391</v>
      </c>
      <c r="G25" s="159">
        <f t="shared" si="2"/>
        <v>7745.7116865708031</v>
      </c>
      <c r="H25" s="306"/>
    </row>
    <row r="26" spans="1:8" x14ac:dyDescent="0.3">
      <c r="B26" s="128" t="s">
        <v>292</v>
      </c>
      <c r="C26" s="155">
        <f>'Investimento e Depreciação'!Q17+'Investimento e Depreciação'!Q24</f>
        <v>1673.536684791484</v>
      </c>
      <c r="D26" s="155">
        <f>'Investimento e Depreciação'!R17+'Investimento e Depreciação'!R24</f>
        <v>1609.1698892225809</v>
      </c>
      <c r="E26" s="155">
        <f>'Investimento e Depreciação'!S17+'Investimento e Depreciação'!S24</f>
        <v>1547.278739637097</v>
      </c>
      <c r="F26" s="155">
        <f>'Investimento e Depreciação'!T17+'Investimento e Depreciação'!T24</f>
        <v>1487.768018881824</v>
      </c>
      <c r="G26" s="155">
        <f>'Investimento e Depreciação'!U17+'Investimento e Depreciação'!U24</f>
        <v>1430.5461720017538</v>
      </c>
      <c r="H26" s="306"/>
    </row>
    <row r="27" spans="1:8" x14ac:dyDescent="0.3">
      <c r="B27" s="142" t="s">
        <v>138</v>
      </c>
      <c r="C27" s="152">
        <f>(C14+C15+C16+C17)*(Premissas!B$11+Premissas!B$12)</f>
        <v>217.82732541255203</v>
      </c>
      <c r="D27" s="152">
        <f>(D14+D15+D16+D17)*(Premissas!C$11+Premissas!C$12)</f>
        <v>217.82732541255203</v>
      </c>
      <c r="E27" s="152">
        <f>(E14+E15+E16+E17)*(Premissas!D$11+Premissas!D$12)</f>
        <v>217.82732541255203</v>
      </c>
      <c r="F27" s="152">
        <f>(F14+F15+F16+F17)*(Premissas!E$11+Premissas!E$12)</f>
        <v>217.82732541255203</v>
      </c>
      <c r="G27" s="152">
        <f>(G14+G15+G16+G17)*(Premissas!F$11+Premissas!F$12)</f>
        <v>217.82732541255203</v>
      </c>
      <c r="H27" s="306"/>
    </row>
    <row r="28" spans="1:8" x14ac:dyDescent="0.3">
      <c r="B28" s="138" t="s">
        <v>139</v>
      </c>
      <c r="C28" s="149">
        <f>C25-C26+C27</f>
        <v>6290.0021543191024</v>
      </c>
      <c r="D28" s="149">
        <f t="shared" ref="D28:G28" si="3">D25-D26+D27</f>
        <v>6310.2857426331102</v>
      </c>
      <c r="E28" s="149">
        <f t="shared" si="3"/>
        <v>6372.1768922185947</v>
      </c>
      <c r="F28" s="149">
        <f t="shared" si="3"/>
        <v>6431.6876129738675</v>
      </c>
      <c r="G28" s="149">
        <f t="shared" si="3"/>
        <v>6532.9928399816017</v>
      </c>
      <c r="H28" s="306"/>
    </row>
    <row r="29" spans="1:8" x14ac:dyDescent="0.3">
      <c r="B29" s="142" t="s">
        <v>140</v>
      </c>
      <c r="C29" s="152">
        <f>MIN(0,C28)</f>
        <v>0</v>
      </c>
      <c r="D29" s="152">
        <f t="shared" ref="D29:G29" si="4">MIN(0,D28)</f>
        <v>0</v>
      </c>
      <c r="E29" s="152">
        <f t="shared" si="4"/>
        <v>0</v>
      </c>
      <c r="F29" s="152">
        <f t="shared" si="4"/>
        <v>0</v>
      </c>
      <c r="G29" s="152">
        <f t="shared" si="4"/>
        <v>0</v>
      </c>
      <c r="H29" s="306"/>
    </row>
    <row r="30" spans="1:8" x14ac:dyDescent="0.3">
      <c r="A30" s="71" t="s">
        <v>141</v>
      </c>
      <c r="B30" s="128" t="s">
        <v>142</v>
      </c>
      <c r="C30" s="155">
        <v>0</v>
      </c>
      <c r="D30" s="155">
        <v>0</v>
      </c>
      <c r="E30" s="155">
        <v>0</v>
      </c>
      <c r="F30" s="155">
        <v>0</v>
      </c>
      <c r="G30" s="155">
        <v>0</v>
      </c>
      <c r="H30" s="306"/>
    </row>
    <row r="31" spans="1:8" x14ac:dyDescent="0.3">
      <c r="B31" s="142" t="s">
        <v>143</v>
      </c>
      <c r="C31" s="152">
        <f>IF(C28&lt;0,0,(C28-C30)*Premissas!B$8)</f>
        <v>1572.5005385797756</v>
      </c>
      <c r="D31" s="152">
        <f>IF(D28&lt;0,0,(D28-D30)*Premissas!C$8)</f>
        <v>1577.5714356582776</v>
      </c>
      <c r="E31" s="152">
        <f>IF(E28&lt;0,0,(E28-E30)*Premissas!D$8)</f>
        <v>1593.0442230546487</v>
      </c>
      <c r="F31" s="152">
        <f>IF(F28&lt;0,0,(F28-F30)*Premissas!E$8)</f>
        <v>1607.9219032434669</v>
      </c>
      <c r="G31" s="152">
        <f>IF(G28&lt;0,0,(G28-G30)*Premissas!F$8)</f>
        <v>1633.2482099954004</v>
      </c>
      <c r="H31" s="306"/>
    </row>
    <row r="32" spans="1:8" x14ac:dyDescent="0.3">
      <c r="B32" s="128" t="s">
        <v>144</v>
      </c>
      <c r="C32" s="155">
        <f>IF(C28&lt;0,0,(C28-C30)*Premissas!B$9)</f>
        <v>566.10019388871922</v>
      </c>
      <c r="D32" s="155">
        <f>IF(D28&lt;0,0,(D28-D30)*Premissas!C$9)</f>
        <v>567.92571683697986</v>
      </c>
      <c r="E32" s="155">
        <f>IF(E28&lt;0,0,(E28-E30)*Premissas!D$9)</f>
        <v>573.49592029967346</v>
      </c>
      <c r="F32" s="155">
        <f>IF(F28&lt;0,0,(F28-F30)*Premissas!E$9)</f>
        <v>578.85188516764811</v>
      </c>
      <c r="G32" s="155">
        <f>IF(G28&lt;0,0,(G28-G30)*Premissas!F$9)</f>
        <v>587.96935559834412</v>
      </c>
      <c r="H32" s="306"/>
    </row>
    <row r="33" spans="2:10" x14ac:dyDescent="0.3">
      <c r="B33" s="158" t="s">
        <v>145</v>
      </c>
      <c r="C33" s="159">
        <f>C25-C31-C32-C35</f>
        <v>1722.4528126157948</v>
      </c>
      <c r="D33" s="159">
        <f t="shared" ref="D33:G33" si="5">D25-D31-D32-D35</f>
        <v>1820.8831072038975</v>
      </c>
      <c r="E33" s="159">
        <f t="shared" si="5"/>
        <v>1943.503502758063</v>
      </c>
      <c r="F33" s="159">
        <f t="shared" si="5"/>
        <v>2061.407729252453</v>
      </c>
      <c r="G33" s="159">
        <f t="shared" si="5"/>
        <v>2203.8722086890093</v>
      </c>
      <c r="H33" s="306"/>
    </row>
    <row r="34" spans="2:10" s="25" customFormat="1" x14ac:dyDescent="0.3">
      <c r="B34" s="128" t="s">
        <v>146</v>
      </c>
      <c r="C34" s="155">
        <f>'Investimento e Depreciação'!Q22</f>
        <v>406.86978722460003</v>
      </c>
      <c r="D34" s="155">
        <f>'Investimento e Depreciação'!R22</f>
        <v>0</v>
      </c>
      <c r="E34" s="155">
        <f>'Investimento e Depreciação'!S22</f>
        <v>0</v>
      </c>
      <c r="F34" s="155">
        <f>'Investimento e Depreciação'!T22</f>
        <v>0</v>
      </c>
      <c r="G34" s="155">
        <f>'Investimento e Depreciação'!U22</f>
        <v>0</v>
      </c>
      <c r="H34" s="306"/>
      <c r="I34" s="31"/>
      <c r="J34" s="31"/>
    </row>
    <row r="35" spans="2:10" x14ac:dyDescent="0.3">
      <c r="B35" s="142" t="s">
        <v>147</v>
      </c>
      <c r="C35" s="152">
        <f>'Investimento e Depreciação'!Q10+'Investimento e Depreciação'!Q24</f>
        <v>3884.6579686137438</v>
      </c>
      <c r="D35" s="152">
        <f>'Investimento e Depreciação'!R10+'Investimento e Depreciação'!R24</f>
        <v>3735.2480467439846</v>
      </c>
      <c r="E35" s="152">
        <f>'Investimento e Depreciação'!S10+'Investimento e Depreciação'!S24</f>
        <v>3591.5846603307541</v>
      </c>
      <c r="F35" s="152">
        <f>'Investimento e Depreciação'!T10+'Investimento e Depreciação'!T24</f>
        <v>3453.4467887795713</v>
      </c>
      <c r="G35" s="152">
        <f>'Investimento e Depreciação'!U10+'Investimento e Depreciação'!U24</f>
        <v>3320.6219122880493</v>
      </c>
    </row>
    <row r="36" spans="2:10" x14ac:dyDescent="0.3">
      <c r="B36" s="128" t="s">
        <v>148</v>
      </c>
      <c r="C36" s="155"/>
      <c r="D36" s="155"/>
      <c r="E36" s="155"/>
      <c r="F36" s="155"/>
      <c r="G36" s="155">
        <f>'Investimento e Depreciação'!U11+'Investimento e Depreciação'!U25</f>
        <v>7769.315937227474</v>
      </c>
    </row>
    <row r="37" spans="2:10" x14ac:dyDescent="0.3">
      <c r="B37" s="142" t="s">
        <v>149</v>
      </c>
      <c r="C37" s="152">
        <f>C13/12+SUM(C14:C23)/8+C24/6</f>
        <v>983.03747140424321</v>
      </c>
      <c r="D37" s="152">
        <f>D13/12+SUM(D14:D23)/8+D24/6-SUM($C$37:C37)</f>
        <v>0</v>
      </c>
      <c r="E37" s="152">
        <f>E13/12+SUM(E14:E23)/8+E24/6-SUM($C$37:D37)</f>
        <v>0</v>
      </c>
      <c r="F37" s="152">
        <f>F13/12+SUM(F14:F23)/8+F24/6-SUM($C$37:E37)</f>
        <v>0</v>
      </c>
      <c r="G37" s="152">
        <f>G13/12+SUM(G14:G23)/8+G24/6-SUM($C$37:F37)</f>
        <v>0</v>
      </c>
    </row>
    <row r="38" spans="2:10" x14ac:dyDescent="0.3">
      <c r="B38" s="162" t="s">
        <v>150</v>
      </c>
      <c r="C38" s="163">
        <f>C33-C34+C35+C36-C37</f>
        <v>4217.2035226006956</v>
      </c>
      <c r="D38" s="163">
        <f t="shared" ref="D38" si="6">D33-D34+D35+D36-D37</f>
        <v>5556.131153947882</v>
      </c>
      <c r="E38" s="163">
        <f>E33-E34+E35+E36-E37</f>
        <v>5535.0881630888171</v>
      </c>
      <c r="F38" s="163">
        <f>F33-F34+F35+F36-F37</f>
        <v>5514.8545180320243</v>
      </c>
      <c r="G38" s="163">
        <f>G33-G34+G35+G36-G37</f>
        <v>13293.810058204534</v>
      </c>
    </row>
    <row r="39" spans="2:10" x14ac:dyDescent="0.3">
      <c r="B39" s="66" t="s">
        <v>151</v>
      </c>
      <c r="C39" s="403">
        <f>B66+NPV(C42,C38:G38)</f>
        <v>0</v>
      </c>
    </row>
    <row r="40" spans="2:10" ht="15.6" thickBot="1" x14ac:dyDescent="0.35">
      <c r="B40" s="276" t="s">
        <v>152</v>
      </c>
      <c r="C40" s="277" t="s">
        <v>153</v>
      </c>
      <c r="D40" s="278" t="s">
        <v>154</v>
      </c>
      <c r="E40" s="279" t="s">
        <v>155</v>
      </c>
      <c r="F40" s="280" t="s">
        <v>156</v>
      </c>
      <c r="G40" s="55"/>
    </row>
    <row r="41" spans="2:10" ht="14.4" thickTop="1" x14ac:dyDescent="0.3">
      <c r="B41" s="281"/>
      <c r="C41" s="282">
        <v>55.104224569165815</v>
      </c>
      <c r="D41" s="282"/>
      <c r="E41" s="363">
        <f>C41/(C52*1000)</f>
        <v>1.4772387577992647</v>
      </c>
      <c r="F41" s="283">
        <f>E41/Premissas!$B$64</f>
        <v>0.29544775155985292</v>
      </c>
      <c r="G41" s="72"/>
    </row>
    <row r="42" spans="2:10" x14ac:dyDescent="0.3">
      <c r="B42" s="66" t="s">
        <v>157</v>
      </c>
      <c r="C42" s="347">
        <f>Premissas!$B$50/100</f>
        <v>7.2499999999999995E-2</v>
      </c>
      <c r="E42" s="409">
        <v>44.17</v>
      </c>
      <c r="F42" s="407" t="s">
        <v>309</v>
      </c>
      <c r="G42" s="410">
        <f>E42/(C52*1000)</f>
        <v>1.1841131318360787</v>
      </c>
      <c r="H42" s="407" t="s">
        <v>310</v>
      </c>
    </row>
    <row r="43" spans="2:10" x14ac:dyDescent="0.3">
      <c r="B43" s="66" t="s">
        <v>158</v>
      </c>
      <c r="C43" s="348">
        <f>IRR(B66:G66)</f>
        <v>7.2500000000000009E-2</v>
      </c>
      <c r="D43" s="55"/>
      <c r="E43" s="408">
        <v>55.104723164532679</v>
      </c>
      <c r="F43" s="406" t="s">
        <v>311</v>
      </c>
      <c r="G43" s="410">
        <f>E43/(C52*1000)</f>
        <v>1.4772521241864365</v>
      </c>
      <c r="H43" s="406" t="s">
        <v>312</v>
      </c>
    </row>
    <row r="44" spans="2:10" x14ac:dyDescent="0.3">
      <c r="B44" s="76" t="s">
        <v>159</v>
      </c>
    </row>
    <row r="46" spans="2:10" x14ac:dyDescent="0.3">
      <c r="B46" s="278" t="s">
        <v>160</v>
      </c>
      <c r="C46" s="370">
        <f>C4</f>
        <v>2024</v>
      </c>
      <c r="D46" s="370">
        <f t="shared" ref="D46:G46" si="7">D4</f>
        <v>2025</v>
      </c>
      <c r="E46" s="370">
        <f t="shared" si="7"/>
        <v>2026</v>
      </c>
      <c r="F46" s="370">
        <f t="shared" si="7"/>
        <v>2027</v>
      </c>
      <c r="G46" s="370">
        <f t="shared" si="7"/>
        <v>2028</v>
      </c>
    </row>
    <row r="47" spans="2:10" x14ac:dyDescent="0.3">
      <c r="B47" s="209" t="s">
        <v>161</v>
      </c>
      <c r="C47" s="284">
        <f>+(C56*C59)+(C57*C60)</f>
        <v>800</v>
      </c>
      <c r="D47" s="284">
        <f>+(D56*D59)+(D57*D60)</f>
        <v>800</v>
      </c>
      <c r="E47" s="284">
        <f>+(E56*E59)+(E57*E60)</f>
        <v>800</v>
      </c>
      <c r="F47" s="284">
        <f>+(F56*F59)+(F57*F60)</f>
        <v>800</v>
      </c>
      <c r="G47" s="284">
        <f>+(G56*G59)+(G57*G60)</f>
        <v>800</v>
      </c>
    </row>
    <row r="48" spans="2:10" x14ac:dyDescent="0.3">
      <c r="B48" s="285" t="s">
        <v>79</v>
      </c>
      <c r="C48" s="286">
        <f>C47*C51</f>
        <v>292800</v>
      </c>
      <c r="D48" s="287">
        <f>D47*D51</f>
        <v>292000</v>
      </c>
      <c r="E48" s="287">
        <f>E47*E51</f>
        <v>292000</v>
      </c>
      <c r="F48" s="287">
        <f t="shared" ref="F48:G48" si="8">F47*F51</f>
        <v>292000</v>
      </c>
      <c r="G48" s="287">
        <f t="shared" si="8"/>
        <v>292800</v>
      </c>
    </row>
    <row r="49" spans="2:7" x14ac:dyDescent="0.3">
      <c r="B49" s="288" t="s">
        <v>80</v>
      </c>
      <c r="C49" s="289">
        <f>C48*C52</f>
        <v>10922.078011199999</v>
      </c>
      <c r="D49" s="290">
        <f>D48*D52</f>
        <v>10892.236384704518</v>
      </c>
      <c r="E49" s="290">
        <f t="shared" ref="E49:G49" si="9">E48*E52</f>
        <v>10892.236384704518</v>
      </c>
      <c r="F49" s="290">
        <f t="shared" si="9"/>
        <v>10892.236384704518</v>
      </c>
      <c r="G49" s="290">
        <f t="shared" si="9"/>
        <v>10922.078128224257</v>
      </c>
    </row>
    <row r="50" spans="2:7" x14ac:dyDescent="0.3">
      <c r="B50" s="285" t="s">
        <v>81</v>
      </c>
      <c r="C50" s="285">
        <f>Premissas!B57</f>
        <v>366</v>
      </c>
      <c r="D50" s="291">
        <f>Premissas!C57</f>
        <v>365</v>
      </c>
      <c r="E50" s="291">
        <f>Premissas!D57</f>
        <v>365</v>
      </c>
      <c r="F50" s="291">
        <f>Premissas!E57</f>
        <v>365</v>
      </c>
      <c r="G50" s="291">
        <f>Premissas!F57</f>
        <v>366</v>
      </c>
    </row>
    <row r="51" spans="2:7" x14ac:dyDescent="0.3">
      <c r="B51" s="288" t="s">
        <v>50</v>
      </c>
      <c r="C51" s="288">
        <f>Premissas!B58</f>
        <v>366</v>
      </c>
      <c r="D51" s="292">
        <f>Premissas!C58</f>
        <v>365</v>
      </c>
      <c r="E51" s="292">
        <f>Premissas!D58</f>
        <v>365</v>
      </c>
      <c r="F51" s="292">
        <f>Premissas!E58</f>
        <v>365</v>
      </c>
      <c r="G51" s="292">
        <f>Premissas!F58</f>
        <v>366</v>
      </c>
    </row>
    <row r="52" spans="2:7" x14ac:dyDescent="0.3">
      <c r="B52" s="293" t="s">
        <v>48</v>
      </c>
      <c r="C52" s="294">
        <f>Premissas!B56</f>
        <v>3.7302178999999998E-2</v>
      </c>
      <c r="D52" s="295">
        <f>Premissas!C56</f>
        <v>3.7302179399673008E-2</v>
      </c>
      <c r="E52" s="295">
        <f>Premissas!D56</f>
        <v>3.7302179399673008E-2</v>
      </c>
      <c r="F52" s="295">
        <f>Premissas!E56</f>
        <v>3.7302179399673008E-2</v>
      </c>
      <c r="G52" s="295">
        <f>Premissas!F56</f>
        <v>3.7302179399673008E-2</v>
      </c>
    </row>
    <row r="55" spans="2:7" ht="10.5" customHeight="1" x14ac:dyDescent="0.3">
      <c r="B55" s="230" t="s">
        <v>162</v>
      </c>
      <c r="C55" s="370">
        <f>C4</f>
        <v>2024</v>
      </c>
      <c r="D55" s="370">
        <f>D4</f>
        <v>2025</v>
      </c>
      <c r="E55" s="370">
        <f>E4</f>
        <v>2026</v>
      </c>
      <c r="F55" s="370">
        <f>F4</f>
        <v>2027</v>
      </c>
      <c r="G55" s="370">
        <f>G4</f>
        <v>2028</v>
      </c>
    </row>
    <row r="56" spans="2:7" x14ac:dyDescent="0.3">
      <c r="B56" s="229" t="s">
        <v>75</v>
      </c>
      <c r="C56" s="311">
        <f>+'C. Demanda'!C5</f>
        <v>800</v>
      </c>
      <c r="D56" s="311">
        <f>+'C. Demanda'!D5</f>
        <v>800</v>
      </c>
      <c r="E56" s="311">
        <f>+'C. Demanda'!E5</f>
        <v>800</v>
      </c>
      <c r="F56" s="311">
        <f>+'C. Demanda'!F5</f>
        <v>800</v>
      </c>
      <c r="G56" s="311">
        <f>+'C. Demanda'!G5</f>
        <v>800</v>
      </c>
    </row>
    <row r="57" spans="2:7" x14ac:dyDescent="0.3">
      <c r="B57" s="232" t="s">
        <v>76</v>
      </c>
      <c r="C57" s="312">
        <f>+'C. Demanda'!C12</f>
        <v>800</v>
      </c>
      <c r="D57" s="312">
        <f>+'C. Demanda'!D12</f>
        <v>800</v>
      </c>
      <c r="E57" s="312">
        <f>+'C. Demanda'!E12</f>
        <v>800</v>
      </c>
      <c r="F57" s="312">
        <f>+'C. Demanda'!F12</f>
        <v>800</v>
      </c>
      <c r="G57" s="312">
        <f>+'C. Demanda'!G12</f>
        <v>800</v>
      </c>
    </row>
    <row r="58" spans="2:7" x14ac:dyDescent="0.3">
      <c r="C58" s="52"/>
      <c r="D58" s="52"/>
      <c r="E58" s="52"/>
      <c r="F58" s="52"/>
      <c r="G58" s="52"/>
    </row>
    <row r="59" spans="2:7" x14ac:dyDescent="0.3">
      <c r="B59" s="7" t="s">
        <v>163</v>
      </c>
      <c r="C59" s="398">
        <f>+'Cálculo Encargos ECE, ECT e ECS'!I43</f>
        <v>0.7</v>
      </c>
      <c r="D59" s="398">
        <f>+C59</f>
        <v>0.7</v>
      </c>
      <c r="E59" s="398">
        <f t="shared" ref="E59:G60" si="10">+D59</f>
        <v>0.7</v>
      </c>
      <c r="F59" s="398">
        <f t="shared" si="10"/>
        <v>0.7</v>
      </c>
      <c r="G59" s="398">
        <f t="shared" si="10"/>
        <v>0.7</v>
      </c>
    </row>
    <row r="60" spans="2:7" x14ac:dyDescent="0.3">
      <c r="B60" s="7" t="s">
        <v>164</v>
      </c>
      <c r="C60" s="398">
        <f>+'Cálculo Encargos ECE, ECT e ECS'!I44</f>
        <v>0.30000000000000004</v>
      </c>
      <c r="D60" s="398">
        <f>+C60</f>
        <v>0.30000000000000004</v>
      </c>
      <c r="E60" s="398">
        <f t="shared" si="10"/>
        <v>0.30000000000000004</v>
      </c>
      <c r="F60" s="398">
        <f t="shared" si="10"/>
        <v>0.30000000000000004</v>
      </c>
      <c r="G60" s="398">
        <f t="shared" si="10"/>
        <v>0.30000000000000004</v>
      </c>
    </row>
    <row r="65" spans="1:7" x14ac:dyDescent="0.3">
      <c r="B65" s="83"/>
      <c r="C65" s="84"/>
    </row>
    <row r="66" spans="1:7" x14ac:dyDescent="0.3">
      <c r="A66" s="85" t="s">
        <v>165</v>
      </c>
      <c r="B66" s="307">
        <f>-Premissas!B51</f>
        <v>-26785.73599307159</v>
      </c>
      <c r="C66" s="87">
        <f>+C38</f>
        <v>4217.2035226006956</v>
      </c>
      <c r="D66" s="87">
        <f>+D38</f>
        <v>5556.131153947882</v>
      </c>
      <c r="E66" s="87">
        <f>+E38</f>
        <v>5535.0881630888171</v>
      </c>
      <c r="F66" s="87">
        <f>+F38</f>
        <v>5514.8545180320243</v>
      </c>
      <c r="G66" s="87">
        <f>+G38</f>
        <v>13293.810058204534</v>
      </c>
    </row>
  </sheetData>
  <pageMargins left="0.51181102362204722" right="0.51181102362204722" top="0.78740157480314965" bottom="0.78740157480314965" header="0.31496062992125984" footer="0.31496062992125984"/>
  <pageSetup paperSize="9" scale="50" fitToHeight="2" orientation="landscape" r:id="rId1"/>
  <headerFooter>
    <oddHeader>&amp;R&amp;"Calibri"&amp;14&amp;K0078D7NP-1&amp;1#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>
    <tabColor theme="8"/>
    <pageSetUpPr fitToPage="1"/>
  </sheetPr>
  <dimension ref="A1:O66"/>
  <sheetViews>
    <sheetView showGridLines="0" zoomScaleNormal="100" workbookViewId="0">
      <pane xSplit="2" ySplit="5" topLeftCell="C33" activePane="bottomRight" state="frozen"/>
      <selection pane="topRight" activeCell="I84" sqref="I84"/>
      <selection pane="bottomLeft" activeCell="I84" sqref="I84"/>
      <selection pane="bottomRight" activeCell="C39" sqref="C39"/>
    </sheetView>
  </sheetViews>
  <sheetFormatPr defaultColWidth="9.21875" defaultRowHeight="13.8" x14ac:dyDescent="0.3"/>
  <cols>
    <col min="1" max="1" width="10.5546875" style="31" bestFit="1" customWidth="1"/>
    <col min="2" max="2" width="75.77734375" style="31" bestFit="1" customWidth="1"/>
    <col min="3" max="3" width="15.5546875" style="31" bestFit="1" customWidth="1"/>
    <col min="4" max="4" width="15.21875" style="31" bestFit="1" customWidth="1"/>
    <col min="5" max="5" width="12.21875" style="31" customWidth="1"/>
    <col min="6" max="6" width="13.21875" style="31" customWidth="1"/>
    <col min="7" max="7" width="11.77734375" style="31" bestFit="1" customWidth="1"/>
    <col min="8" max="12" width="11.77734375" style="31" hidden="1" customWidth="1"/>
    <col min="13" max="16384" width="9.21875" style="31"/>
  </cols>
  <sheetData>
    <row r="1" spans="1:12" ht="16.2" thickBot="1" x14ac:dyDescent="0.35">
      <c r="A1" s="28"/>
      <c r="B1" s="25"/>
    </row>
    <row r="2" spans="1:12" ht="14.4" thickBot="1" x14ac:dyDescent="0.35">
      <c r="B2" s="70" t="s">
        <v>166</v>
      </c>
    </row>
    <row r="3" spans="1:12" x14ac:dyDescent="0.3">
      <c r="B3" s="25"/>
    </row>
    <row r="4" spans="1:12" ht="15.75" customHeight="1" thickBot="1" x14ac:dyDescent="0.35">
      <c r="B4" s="130" t="s">
        <v>116</v>
      </c>
      <c r="C4" s="131">
        <f>'Fluxo de Caixa Regulado'!C4</f>
        <v>2024</v>
      </c>
      <c r="D4" s="131">
        <f>'Fluxo de Caixa Regulado'!D4</f>
        <v>2025</v>
      </c>
      <c r="E4" s="131">
        <f>'Fluxo de Caixa Regulado'!E4</f>
        <v>2026</v>
      </c>
      <c r="F4" s="131">
        <f>'Fluxo de Caixa Regulado'!F4</f>
        <v>2027</v>
      </c>
      <c r="G4" s="131">
        <f>'Fluxo de Caixa Regulado'!G4</f>
        <v>2028</v>
      </c>
      <c r="H4" s="132" t="s">
        <v>87</v>
      </c>
      <c r="I4" s="132" t="s">
        <v>88</v>
      </c>
      <c r="J4" s="132" t="s">
        <v>89</v>
      </c>
      <c r="K4" s="132" t="s">
        <v>90</v>
      </c>
      <c r="L4" s="133" t="s">
        <v>91</v>
      </c>
    </row>
    <row r="5" spans="1:12" ht="15.75" customHeight="1" thickTop="1" x14ac:dyDescent="0.3">
      <c r="B5" s="134"/>
      <c r="C5" s="135"/>
      <c r="D5" s="135"/>
      <c r="E5" s="135"/>
      <c r="F5" s="135"/>
      <c r="G5" s="135"/>
      <c r="H5" s="136"/>
      <c r="I5" s="136"/>
      <c r="J5" s="136"/>
      <c r="K5" s="136"/>
      <c r="L5" s="137"/>
    </row>
    <row r="6" spans="1:12" x14ac:dyDescent="0.3">
      <c r="B6" s="138" t="s">
        <v>117</v>
      </c>
      <c r="C6" s="139">
        <f>C12/(1-Premissas!B10-Premissas!B11-Premissas!B12)</f>
        <v>20382.994668435545</v>
      </c>
      <c r="D6" s="139">
        <f>D12/(1-Premissas!C10-Premissas!C11-Premissas!C12)</f>
        <v>20327.303643968306</v>
      </c>
      <c r="E6" s="139">
        <f>E12/(1-Premissas!D10-Premissas!D11-Premissas!D12)</f>
        <v>20327.303643968306</v>
      </c>
      <c r="F6" s="139">
        <f>F12/(1-Premissas!E10-Premissas!E11-Premissas!E12)</f>
        <v>20327.303643968306</v>
      </c>
      <c r="G6" s="139">
        <f>G12/(1-Premissas!F10-Premissas!F11-Premissas!F12)</f>
        <v>20382.994886828492</v>
      </c>
      <c r="H6" s="140" t="e">
        <f>H12/(1-Premissas!#REF!-Premissas!#REF!-Premissas!#REF!)</f>
        <v>#REF!</v>
      </c>
      <c r="I6" s="140" t="e">
        <f>I12/(1-Premissas!#REF!-Premissas!#REF!-Premissas!#REF!)</f>
        <v>#REF!</v>
      </c>
      <c r="J6" s="140" t="e">
        <f>J12/(1-Premissas!#REF!-Premissas!#REF!-Premissas!#REF!)</f>
        <v>#REF!</v>
      </c>
      <c r="K6" s="140" t="e">
        <f>K12/(1-Premissas!#REF!-Premissas!#REF!-Premissas!#REF!)</f>
        <v>#REF!</v>
      </c>
      <c r="L6" s="141" t="e">
        <f>L12/(1-Premissas!#REF!-Premissas!#REF!-Premissas!#REF!)</f>
        <v>#REF!</v>
      </c>
    </row>
    <row r="7" spans="1:12" x14ac:dyDescent="0.3">
      <c r="B7" s="142" t="s">
        <v>118</v>
      </c>
      <c r="C7" s="143">
        <f>C6*Premissas!B$10</f>
        <v>2445.9593602122654</v>
      </c>
      <c r="D7" s="143">
        <f>D6*Premissas!C$10</f>
        <v>2439.2764372761967</v>
      </c>
      <c r="E7" s="143">
        <f>E6*Premissas!D$10</f>
        <v>2439.2764372761967</v>
      </c>
      <c r="F7" s="143">
        <f>F6*Premissas!E$10</f>
        <v>2439.2764372761967</v>
      </c>
      <c r="G7" s="143">
        <f>G6*Premissas!F$10</f>
        <v>2445.9593864194189</v>
      </c>
      <c r="H7" s="144" t="e">
        <f>H6*Premissas!#REF!</f>
        <v>#REF!</v>
      </c>
      <c r="I7" s="144" t="e">
        <f>I6*Premissas!#REF!</f>
        <v>#REF!</v>
      </c>
      <c r="J7" s="144" t="e">
        <f>J6*Premissas!#REF!</f>
        <v>#REF!</v>
      </c>
      <c r="K7" s="144" t="e">
        <f>K6*Premissas!#REF!</f>
        <v>#REF!</v>
      </c>
      <c r="L7" s="145" t="e">
        <f>L6*Premissas!#REF!</f>
        <v>#REF!</v>
      </c>
    </row>
    <row r="8" spans="1:12" x14ac:dyDescent="0.3">
      <c r="B8" s="128" t="s">
        <v>119</v>
      </c>
      <c r="C8" s="146">
        <f>C6*Premissas!B$11</f>
        <v>336.31941202918654</v>
      </c>
      <c r="D8" s="146">
        <f>D6*Premissas!C$11</f>
        <v>335.40051012547707</v>
      </c>
      <c r="E8" s="146">
        <f>E6*Premissas!D$11</f>
        <v>335.40051012547707</v>
      </c>
      <c r="F8" s="146">
        <f>F6*Premissas!E$11</f>
        <v>335.40051012547707</v>
      </c>
      <c r="G8" s="146">
        <f>G6*Premissas!F$11</f>
        <v>336.31941563267014</v>
      </c>
      <c r="H8" s="147" t="e">
        <f>H6*Premissas!#REF!</f>
        <v>#REF!</v>
      </c>
      <c r="I8" s="147" t="e">
        <f>I6*Premissas!#REF!</f>
        <v>#REF!</v>
      </c>
      <c r="J8" s="147" t="e">
        <f>J6*Premissas!#REF!</f>
        <v>#REF!</v>
      </c>
      <c r="K8" s="147" t="e">
        <f>K6*Premissas!#REF!</f>
        <v>#REF!</v>
      </c>
      <c r="L8" s="148" t="e">
        <f>L6*Premissas!#REF!</f>
        <v>#REF!</v>
      </c>
    </row>
    <row r="9" spans="1:12" x14ac:dyDescent="0.3">
      <c r="B9" s="142" t="s">
        <v>120</v>
      </c>
      <c r="C9" s="143">
        <f>C6*Premissas!B$12</f>
        <v>1549.1075948011014</v>
      </c>
      <c r="D9" s="143">
        <f>D6*Premissas!C$12</f>
        <v>1544.8750769415913</v>
      </c>
      <c r="E9" s="143">
        <f>E6*Premissas!D$12</f>
        <v>1544.8750769415913</v>
      </c>
      <c r="F9" s="143">
        <f>F6*Premissas!E$12</f>
        <v>1544.8750769415913</v>
      </c>
      <c r="G9" s="143">
        <f>G6*Premissas!F$12</f>
        <v>1549.1076113989654</v>
      </c>
      <c r="H9" s="144" t="e">
        <f>H6*Premissas!#REF!</f>
        <v>#REF!</v>
      </c>
      <c r="I9" s="144" t="e">
        <f>I6*Premissas!#REF!</f>
        <v>#REF!</v>
      </c>
      <c r="J9" s="144" t="e">
        <f>J6*Premissas!#REF!</f>
        <v>#REF!</v>
      </c>
      <c r="K9" s="144" t="e">
        <f>K6*Premissas!#REF!</f>
        <v>#REF!</v>
      </c>
      <c r="L9" s="145" t="e">
        <f>L6*Premissas!#REF!</f>
        <v>#REF!</v>
      </c>
    </row>
    <row r="10" spans="1:12" x14ac:dyDescent="0.3">
      <c r="B10" s="128" t="s">
        <v>121</v>
      </c>
      <c r="C10" s="146">
        <v>0</v>
      </c>
      <c r="D10" s="146">
        <v>0</v>
      </c>
      <c r="E10" s="146">
        <v>0</v>
      </c>
      <c r="F10" s="146">
        <v>0</v>
      </c>
      <c r="G10" s="146">
        <v>0</v>
      </c>
      <c r="H10" s="147">
        <v>0</v>
      </c>
      <c r="I10" s="147">
        <v>0</v>
      </c>
      <c r="J10" s="147">
        <v>0</v>
      </c>
      <c r="K10" s="147">
        <v>0</v>
      </c>
      <c r="L10" s="148">
        <v>0</v>
      </c>
    </row>
    <row r="11" spans="1:12" x14ac:dyDescent="0.3">
      <c r="B11" s="142" t="s">
        <v>122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4">
        <v>0</v>
      </c>
      <c r="I11" s="144">
        <v>0</v>
      </c>
      <c r="J11" s="144">
        <v>0</v>
      </c>
      <c r="K11" s="144">
        <v>0</v>
      </c>
      <c r="L11" s="145">
        <v>0</v>
      </c>
    </row>
    <row r="12" spans="1:12" x14ac:dyDescent="0.3">
      <c r="B12" s="138" t="s">
        <v>123</v>
      </c>
      <c r="C12" s="149">
        <f t="shared" ref="C12:D12" si="0">($E$41*C49)</f>
        <v>16051.608301392995</v>
      </c>
      <c r="D12" s="149">
        <f t="shared" si="0"/>
        <v>16007.751619625044</v>
      </c>
      <c r="E12" s="149">
        <f>($E$41*E49)</f>
        <v>16007.751619625044</v>
      </c>
      <c r="F12" s="149">
        <f>($E$41*F49)</f>
        <v>16007.751619625044</v>
      </c>
      <c r="G12" s="149">
        <f>($E$41*G49)</f>
        <v>16051.608473377441</v>
      </c>
      <c r="H12" s="150" t="e">
        <f t="shared" ref="H12:L12" si="1">($E$41*H49)</f>
        <v>#REF!</v>
      </c>
      <c r="I12" s="150" t="e">
        <f t="shared" si="1"/>
        <v>#REF!</v>
      </c>
      <c r="J12" s="150" t="e">
        <f t="shared" si="1"/>
        <v>#REF!</v>
      </c>
      <c r="K12" s="150" t="e">
        <f t="shared" si="1"/>
        <v>#REF!</v>
      </c>
      <c r="L12" s="151" t="e">
        <f t="shared" si="1"/>
        <v>#REF!</v>
      </c>
    </row>
    <row r="13" spans="1:12" x14ac:dyDescent="0.3">
      <c r="B13" s="142" t="s">
        <v>124</v>
      </c>
      <c r="C13" s="152">
        <f>'Fluxo de Caixa Regulado'!C13-'FC ECTL'!C13-'FC EM'!C13</f>
        <v>2728.7598171002001</v>
      </c>
      <c r="D13" s="152">
        <f>'Fluxo de Caixa Regulado'!D13-'FC ECTL'!D13-'FC EM'!D13</f>
        <v>2728.7598171002001</v>
      </c>
      <c r="E13" s="152">
        <f>'Fluxo de Caixa Regulado'!E13-'FC ECTL'!E13-'FC EM'!E13</f>
        <v>2728.7598171002001</v>
      </c>
      <c r="F13" s="152">
        <f>'Fluxo de Caixa Regulado'!F13-'FC ECTL'!F13-'FC EM'!F13</f>
        <v>2728.7598171002001</v>
      </c>
      <c r="G13" s="152">
        <f>'Fluxo de Caixa Regulado'!G13-'FC ECTL'!G13-'FC EM'!G13</f>
        <v>2728.7598171002001</v>
      </c>
      <c r="H13" s="153" t="e">
        <f>'Fluxo de Caixa Regulado'!#REF!-'FC ECTL'!#REF!-'FC EM'!H13</f>
        <v>#REF!</v>
      </c>
      <c r="I13" s="153" t="e">
        <f>'Fluxo de Caixa Regulado'!#REF!-'FC ECTL'!#REF!-'FC EM'!I13</f>
        <v>#REF!</v>
      </c>
      <c r="J13" s="153" t="e">
        <f>'Fluxo de Caixa Regulado'!#REF!-'FC ECTL'!#REF!-'FC EM'!J13</f>
        <v>#REF!</v>
      </c>
      <c r="K13" s="153" t="e">
        <f>'Fluxo de Caixa Regulado'!#REF!-'FC ECTL'!#REF!-'FC EM'!K13</f>
        <v>#REF!</v>
      </c>
      <c r="L13" s="154" t="e">
        <f>'Fluxo de Caixa Regulado'!#REF!-'FC ECTL'!#REF!-'FC EM'!L13</f>
        <v>#REF!</v>
      </c>
    </row>
    <row r="14" spans="1:12" x14ac:dyDescent="0.3">
      <c r="B14" s="128" t="s">
        <v>125</v>
      </c>
      <c r="C14" s="155">
        <f>'Fluxo de Caixa Regulado'!C14-'FC ECTL'!C14-'FC EM'!C14</f>
        <v>0</v>
      </c>
      <c r="D14" s="155">
        <f>'Fluxo de Caixa Regulado'!D14-'FC ECTL'!D14-'FC EM'!D14</f>
        <v>0</v>
      </c>
      <c r="E14" s="155">
        <f>'Fluxo de Caixa Regulado'!E14-'FC ECTL'!E14-'FC EM'!E14</f>
        <v>0</v>
      </c>
      <c r="F14" s="155">
        <f>'Fluxo de Caixa Regulado'!F14-'FC ECTL'!F14-'FC EM'!F14</f>
        <v>0</v>
      </c>
      <c r="G14" s="155">
        <f>'Fluxo de Caixa Regulado'!G14-'FC ECTL'!G14-'FC EM'!G14</f>
        <v>0</v>
      </c>
      <c r="H14" s="156" t="e">
        <f>'Fluxo de Caixa Regulado'!#REF!-'FC ECTL'!#REF!-'FC EM'!H14</f>
        <v>#REF!</v>
      </c>
      <c r="I14" s="156" t="e">
        <f>'Fluxo de Caixa Regulado'!#REF!-'FC ECTL'!#REF!-'FC EM'!I14</f>
        <v>#REF!</v>
      </c>
      <c r="J14" s="156" t="e">
        <f>'Fluxo de Caixa Regulado'!#REF!-'FC ECTL'!#REF!-'FC EM'!J14</f>
        <v>#REF!</v>
      </c>
      <c r="K14" s="156" t="e">
        <f>'Fluxo de Caixa Regulado'!#REF!-'FC ECTL'!#REF!-'FC EM'!K14</f>
        <v>#REF!</v>
      </c>
      <c r="L14" s="157" t="e">
        <f>'Fluxo de Caixa Regulado'!#REF!-'FC ECTL'!#REF!-'FC EM'!L14</f>
        <v>#REF!</v>
      </c>
    </row>
    <row r="15" spans="1:12" x14ac:dyDescent="0.3">
      <c r="B15" s="142" t="s">
        <v>126</v>
      </c>
      <c r="C15" s="152">
        <f>'Fluxo de Caixa Regulado'!C15-'FC ECTL'!C15-'FC EM'!C15</f>
        <v>0</v>
      </c>
      <c r="D15" s="152">
        <f>'Fluxo de Caixa Regulado'!D15-'FC ECTL'!D15-'FC EM'!D15</f>
        <v>0</v>
      </c>
      <c r="E15" s="152">
        <f>'Fluxo de Caixa Regulado'!E15-'FC ECTL'!E15-'FC EM'!E15</f>
        <v>0</v>
      </c>
      <c r="F15" s="152">
        <f>'Fluxo de Caixa Regulado'!F15-'FC ECTL'!F15-'FC EM'!F15</f>
        <v>0</v>
      </c>
      <c r="G15" s="152">
        <f>'Fluxo de Caixa Regulado'!G15-'FC ECTL'!G15-'FC EM'!G15</f>
        <v>0</v>
      </c>
      <c r="H15" s="153" t="e">
        <f>'Fluxo de Caixa Regulado'!#REF!-'FC ECTL'!#REF!-'FC EM'!H15</f>
        <v>#REF!</v>
      </c>
      <c r="I15" s="153" t="e">
        <f>'Fluxo de Caixa Regulado'!#REF!-'FC ECTL'!#REF!-'FC EM'!I15</f>
        <v>#REF!</v>
      </c>
      <c r="J15" s="153" t="e">
        <f>'Fluxo de Caixa Regulado'!#REF!-'FC ECTL'!#REF!-'FC EM'!J15</f>
        <v>#REF!</v>
      </c>
      <c r="K15" s="153" t="e">
        <f>'Fluxo de Caixa Regulado'!#REF!-'FC ECTL'!#REF!-'FC EM'!K15</f>
        <v>#REF!</v>
      </c>
      <c r="L15" s="154" t="e">
        <f>'Fluxo de Caixa Regulado'!#REF!-'FC ECTL'!#REF!-'FC EM'!L15</f>
        <v>#REF!</v>
      </c>
    </row>
    <row r="16" spans="1:12" x14ac:dyDescent="0.3">
      <c r="B16" s="128" t="s">
        <v>127</v>
      </c>
      <c r="C16" s="155">
        <f>'Fluxo de Caixa Regulado'!C16-'FC ECTL'!C16-'FC EM'!C16</f>
        <v>1740.3862902370779</v>
      </c>
      <c r="D16" s="155">
        <f>'Fluxo de Caixa Regulado'!D16-'FC ECTL'!D16-'FC EM'!D16</f>
        <v>1740.3862902370779</v>
      </c>
      <c r="E16" s="155">
        <f>'Fluxo de Caixa Regulado'!E16-'FC ECTL'!E16-'FC EM'!E16</f>
        <v>1740.3862902370779</v>
      </c>
      <c r="F16" s="155">
        <f>'Fluxo de Caixa Regulado'!F16-'FC ECTL'!F16-'FC EM'!F16</f>
        <v>1740.3862902370779</v>
      </c>
      <c r="G16" s="155">
        <f>'Fluxo de Caixa Regulado'!G16-'FC ECTL'!G16-'FC EM'!G16</f>
        <v>1740.3862902370779</v>
      </c>
      <c r="H16" s="156" t="e">
        <f>'Fluxo de Caixa Regulado'!#REF!-'FC ECTL'!#REF!-'FC EM'!H16</f>
        <v>#REF!</v>
      </c>
      <c r="I16" s="156" t="e">
        <f>'Fluxo de Caixa Regulado'!#REF!-'FC ECTL'!#REF!-'FC EM'!I16</f>
        <v>#REF!</v>
      </c>
      <c r="J16" s="156" t="e">
        <f>'Fluxo de Caixa Regulado'!#REF!-'FC ECTL'!#REF!-'FC EM'!J16</f>
        <v>#REF!</v>
      </c>
      <c r="K16" s="156" t="e">
        <f>'Fluxo de Caixa Regulado'!#REF!-'FC ECTL'!#REF!-'FC EM'!K16</f>
        <v>#REF!</v>
      </c>
      <c r="L16" s="157" t="e">
        <f>'Fluxo de Caixa Regulado'!#REF!-'FC ECTL'!#REF!-'FC EM'!L16</f>
        <v>#REF!</v>
      </c>
    </row>
    <row r="17" spans="1:12" x14ac:dyDescent="0.3">
      <c r="B17" s="142" t="s">
        <v>128</v>
      </c>
      <c r="C17" s="152">
        <f>'Fluxo de Caixa Regulado'!C17-'FC ECTL'!C17-'FC EM'!C17</f>
        <v>614.50371422294404</v>
      </c>
      <c r="D17" s="152">
        <f>'Fluxo de Caixa Regulado'!D17-'FC ECTL'!D17-'FC EM'!D17</f>
        <v>614.50371422294404</v>
      </c>
      <c r="E17" s="152">
        <f>'Fluxo de Caixa Regulado'!E17-'FC ECTL'!E17-'FC EM'!E17</f>
        <v>614.50371422294404</v>
      </c>
      <c r="F17" s="152">
        <f>'Fluxo de Caixa Regulado'!F17-'FC ECTL'!F17-'FC EM'!F17</f>
        <v>614.50371422294404</v>
      </c>
      <c r="G17" s="152">
        <f>'Fluxo de Caixa Regulado'!G17-'FC ECTL'!G17-'FC EM'!G17</f>
        <v>614.50371422294404</v>
      </c>
      <c r="H17" s="153" t="e">
        <f>'Fluxo de Caixa Regulado'!#REF!-'FC ECTL'!#REF!-'FC EM'!H17</f>
        <v>#REF!</v>
      </c>
      <c r="I17" s="153" t="e">
        <f>'Fluxo de Caixa Regulado'!#REF!-'FC ECTL'!#REF!-'FC EM'!I17</f>
        <v>#REF!</v>
      </c>
      <c r="J17" s="153" t="e">
        <f>'Fluxo de Caixa Regulado'!#REF!-'FC ECTL'!#REF!-'FC EM'!J17</f>
        <v>#REF!</v>
      </c>
      <c r="K17" s="153" t="e">
        <f>'Fluxo de Caixa Regulado'!#REF!-'FC ECTL'!#REF!-'FC EM'!K17</f>
        <v>#REF!</v>
      </c>
      <c r="L17" s="154" t="e">
        <f>'Fluxo de Caixa Regulado'!#REF!-'FC ECTL'!#REF!-'FC EM'!L17</f>
        <v>#REF!</v>
      </c>
    </row>
    <row r="18" spans="1:12" x14ac:dyDescent="0.3">
      <c r="B18" s="128" t="s">
        <v>129</v>
      </c>
      <c r="C18" s="155">
        <f>'Fluxo de Caixa Regulado'!C18-'FC ECTL'!C18-'FC EM'!C18</f>
        <v>0</v>
      </c>
      <c r="D18" s="155">
        <f>'Fluxo de Caixa Regulado'!D18-'FC ECTL'!D18-'FC EM'!D18</f>
        <v>0</v>
      </c>
      <c r="E18" s="155">
        <f>'Fluxo de Caixa Regulado'!E18-'FC ECTL'!E18-'FC EM'!E18</f>
        <v>0</v>
      </c>
      <c r="F18" s="155">
        <f>'Fluxo de Caixa Regulado'!F18-'FC ECTL'!F18-'FC EM'!F18</f>
        <v>0</v>
      </c>
      <c r="G18" s="155">
        <f>'Fluxo de Caixa Regulado'!G18-'FC ECTL'!G18-'FC EM'!G18</f>
        <v>0</v>
      </c>
      <c r="H18" s="156" t="e">
        <f>'Fluxo de Caixa Regulado'!#REF!-'FC ECTL'!#REF!-'FC EM'!H18</f>
        <v>#REF!</v>
      </c>
      <c r="I18" s="156" t="e">
        <f>'Fluxo de Caixa Regulado'!#REF!-'FC ECTL'!#REF!-'FC EM'!I18</f>
        <v>#REF!</v>
      </c>
      <c r="J18" s="156" t="e">
        <f>'Fluxo de Caixa Regulado'!#REF!-'FC ECTL'!#REF!-'FC EM'!J18</f>
        <v>#REF!</v>
      </c>
      <c r="K18" s="156" t="e">
        <f>'Fluxo de Caixa Regulado'!#REF!-'FC ECTL'!#REF!-'FC EM'!K18</f>
        <v>#REF!</v>
      </c>
      <c r="L18" s="157" t="e">
        <f>'Fluxo de Caixa Regulado'!#REF!-'FC ECTL'!#REF!-'FC EM'!L18</f>
        <v>#REF!</v>
      </c>
    </row>
    <row r="19" spans="1:12" x14ac:dyDescent="0.3">
      <c r="B19" s="142" t="s">
        <v>130</v>
      </c>
      <c r="C19" s="152">
        <f>'Fluxo de Caixa Regulado'!C19-'FC ECTL'!C19-'FC EM'!C19</f>
        <v>0</v>
      </c>
      <c r="D19" s="152">
        <f>'Fluxo de Caixa Regulado'!D19-'FC ECTL'!D19-'FC EM'!D19</f>
        <v>0</v>
      </c>
      <c r="E19" s="152">
        <f>'Fluxo de Caixa Regulado'!E19-'FC ECTL'!E19-'FC EM'!E19</f>
        <v>0</v>
      </c>
      <c r="F19" s="152">
        <f>'Fluxo de Caixa Regulado'!F19-'FC ECTL'!F19-'FC EM'!F19</f>
        <v>0</v>
      </c>
      <c r="G19" s="152">
        <f>'Fluxo de Caixa Regulado'!G19-'FC ECTL'!G19-'FC EM'!G19</f>
        <v>0</v>
      </c>
      <c r="H19" s="153" t="e">
        <f>'Fluxo de Caixa Regulado'!#REF!-'FC ECTL'!#REF!-'FC EM'!H19</f>
        <v>#REF!</v>
      </c>
      <c r="I19" s="153" t="e">
        <f>'Fluxo de Caixa Regulado'!#REF!-'FC ECTL'!#REF!-'FC EM'!I19</f>
        <v>#REF!</v>
      </c>
      <c r="J19" s="153" t="e">
        <f>'Fluxo de Caixa Regulado'!#REF!-'FC ECTL'!#REF!-'FC EM'!J19</f>
        <v>#REF!</v>
      </c>
      <c r="K19" s="153" t="e">
        <f>'Fluxo de Caixa Regulado'!#REF!-'FC ECTL'!#REF!-'FC EM'!K19</f>
        <v>#REF!</v>
      </c>
      <c r="L19" s="154" t="e">
        <f>'Fluxo de Caixa Regulado'!#REF!-'FC ECTL'!#REF!-'FC EM'!L19</f>
        <v>#REF!</v>
      </c>
    </row>
    <row r="20" spans="1:12" x14ac:dyDescent="0.3">
      <c r="B20" s="128" t="s">
        <v>131</v>
      </c>
      <c r="C20" s="155">
        <f>'Fluxo de Caixa Regulado'!C20-'FC ECTL'!C20-'FC EM'!C20</f>
        <v>12.832142353992001</v>
      </c>
      <c r="D20" s="155">
        <f>'Fluxo de Caixa Regulado'!D20-'FC ECTL'!D20-'FC EM'!D20</f>
        <v>12.832142353992001</v>
      </c>
      <c r="E20" s="155">
        <f>'Fluxo de Caixa Regulado'!E20-'FC ECTL'!E20-'FC EM'!E20</f>
        <v>12.832142353992001</v>
      </c>
      <c r="F20" s="155">
        <f>'Fluxo de Caixa Regulado'!F20-'FC ECTL'!F20-'FC EM'!F20</f>
        <v>12.832142353992001</v>
      </c>
      <c r="G20" s="155">
        <f>'Fluxo de Caixa Regulado'!G20-'FC ECTL'!G20-'FC EM'!G20</f>
        <v>12.832142353992001</v>
      </c>
      <c r="H20" s="156" t="e">
        <f>'Fluxo de Caixa Regulado'!#REF!-'FC ECTL'!#REF!-'FC EM'!H20</f>
        <v>#REF!</v>
      </c>
      <c r="I20" s="156" t="e">
        <f>'Fluxo de Caixa Regulado'!#REF!-'FC ECTL'!#REF!-'FC EM'!I20</f>
        <v>#REF!</v>
      </c>
      <c r="J20" s="156" t="e">
        <f>'Fluxo de Caixa Regulado'!#REF!-'FC ECTL'!#REF!-'FC EM'!J20</f>
        <v>#REF!</v>
      </c>
      <c r="K20" s="156" t="e">
        <f>'Fluxo de Caixa Regulado'!#REF!-'FC ECTL'!#REF!-'FC EM'!K20</f>
        <v>#REF!</v>
      </c>
      <c r="L20" s="157" t="e">
        <f>'Fluxo de Caixa Regulado'!#REF!-'FC ECTL'!#REF!-'FC EM'!L20</f>
        <v>#REF!</v>
      </c>
    </row>
    <row r="21" spans="1:12" x14ac:dyDescent="0.3">
      <c r="B21" s="142" t="s">
        <v>132</v>
      </c>
      <c r="C21" s="152">
        <f>'Fluxo de Caixa Regulado'!C21-'FC ECTL'!C21-'FC EM'!C21</f>
        <v>1468.3437368929599</v>
      </c>
      <c r="D21" s="152">
        <f>'Fluxo de Caixa Regulado'!D21-'FC ECTL'!D21-'FC EM'!D21</f>
        <v>1468.3437368929599</v>
      </c>
      <c r="E21" s="152">
        <f>'Fluxo de Caixa Regulado'!E21-'FC ECTL'!E21-'FC EM'!E21</f>
        <v>1468.3437368929599</v>
      </c>
      <c r="F21" s="152">
        <f>'Fluxo de Caixa Regulado'!F21-'FC ECTL'!F21-'FC EM'!F21</f>
        <v>1468.3437368929599</v>
      </c>
      <c r="G21" s="152">
        <f>'Fluxo de Caixa Regulado'!G21-'FC ECTL'!G21-'FC EM'!G21</f>
        <v>1468.3437368929599</v>
      </c>
      <c r="H21" s="153" t="e">
        <f>'Fluxo de Caixa Regulado'!#REF!-'FC ECTL'!#REF!-'FC EM'!H21</f>
        <v>#REF!</v>
      </c>
      <c r="I21" s="153" t="e">
        <f>'Fluxo de Caixa Regulado'!#REF!-'FC ECTL'!#REF!-'FC EM'!I21</f>
        <v>#REF!</v>
      </c>
      <c r="J21" s="153" t="e">
        <f>'Fluxo de Caixa Regulado'!#REF!-'FC ECTL'!#REF!-'FC EM'!J21</f>
        <v>#REF!</v>
      </c>
      <c r="K21" s="153" t="e">
        <f>'Fluxo de Caixa Regulado'!#REF!-'FC ECTL'!#REF!-'FC EM'!K21</f>
        <v>#REF!</v>
      </c>
      <c r="L21" s="154" t="e">
        <f>'Fluxo de Caixa Regulado'!#REF!-'FC ECTL'!#REF!-'FC EM'!L21</f>
        <v>#REF!</v>
      </c>
    </row>
    <row r="22" spans="1:12" x14ac:dyDescent="0.3">
      <c r="B22" s="128" t="s">
        <v>133</v>
      </c>
      <c r="C22" s="155">
        <f>'Fluxo de Caixa Regulado'!C22-'FC ECTL'!C22-'FC EM'!C22</f>
        <v>287.58689877038938</v>
      </c>
      <c r="D22" s="155">
        <f>'Fluxo de Caixa Regulado'!D22-'FC ECTL'!D22-'FC EM'!D22</f>
        <v>287.58689877038938</v>
      </c>
      <c r="E22" s="155">
        <f>'Fluxo de Caixa Regulado'!E22-'FC ECTL'!E22-'FC EM'!E22</f>
        <v>287.58689877038938</v>
      </c>
      <c r="F22" s="155">
        <f>'Fluxo de Caixa Regulado'!F22-'FC ECTL'!F22-'FC EM'!F22</f>
        <v>287.58689877038938</v>
      </c>
      <c r="G22" s="155">
        <f>'Fluxo de Caixa Regulado'!G22-'FC ECTL'!G22-'FC EM'!G22</f>
        <v>287.58689877038938</v>
      </c>
      <c r="H22" s="156" t="e">
        <f>'Fluxo de Caixa Regulado'!#REF!-'FC ECTL'!#REF!-'FC EM'!H22</f>
        <v>#REF!</v>
      </c>
      <c r="I22" s="156" t="e">
        <f>'Fluxo de Caixa Regulado'!#REF!-'FC ECTL'!#REF!-'FC EM'!I22</f>
        <v>#REF!</v>
      </c>
      <c r="J22" s="156" t="e">
        <f>'Fluxo de Caixa Regulado'!#REF!-'FC ECTL'!#REF!-'FC EM'!J22</f>
        <v>#REF!</v>
      </c>
      <c r="K22" s="156" t="e">
        <f>'Fluxo de Caixa Regulado'!#REF!-'FC ECTL'!#REF!-'FC EM'!K22</f>
        <v>#REF!</v>
      </c>
      <c r="L22" s="157" t="e">
        <f>'Fluxo de Caixa Regulado'!#REF!-'FC ECTL'!#REF!-'FC EM'!L22</f>
        <v>#REF!</v>
      </c>
    </row>
    <row r="23" spans="1:12" x14ac:dyDescent="0.3">
      <c r="B23" s="142" t="s">
        <v>134</v>
      </c>
      <c r="C23" s="152">
        <f>'Fluxo de Caixa Regulado'!C23-'FC ECTL'!C23-'FC EM'!C23</f>
        <v>381.15003023527169</v>
      </c>
      <c r="D23" s="152">
        <f>'Fluxo de Caixa Regulado'!D23-'FC ECTL'!D23-'FC EM'!D23</f>
        <v>381.15003023527169</v>
      </c>
      <c r="E23" s="152">
        <f>'Fluxo de Caixa Regulado'!E23-'FC ECTL'!E23-'FC EM'!E23</f>
        <v>381.15003023527169</v>
      </c>
      <c r="F23" s="152">
        <f>'Fluxo de Caixa Regulado'!F23-'FC ECTL'!F23-'FC EM'!F23</f>
        <v>381.15003023527169</v>
      </c>
      <c r="G23" s="152">
        <f>'Fluxo de Caixa Regulado'!G23-'FC ECTL'!G23-'FC EM'!G23</f>
        <v>381.15003023527169</v>
      </c>
      <c r="H23" s="153" t="e">
        <f>'Fluxo de Caixa Regulado'!#REF!-'FC ECTL'!#REF!-'FC EM'!H23</f>
        <v>#REF!</v>
      </c>
      <c r="I23" s="153" t="e">
        <f>'Fluxo de Caixa Regulado'!#REF!-'FC ECTL'!#REF!-'FC EM'!I23</f>
        <v>#REF!</v>
      </c>
      <c r="J23" s="153" t="e">
        <f>'Fluxo de Caixa Regulado'!#REF!-'FC ECTL'!#REF!-'FC EM'!J23</f>
        <v>#REF!</v>
      </c>
      <c r="K23" s="153" t="e">
        <f>'Fluxo de Caixa Regulado'!#REF!-'FC ECTL'!#REF!-'FC EM'!K23</f>
        <v>#REF!</v>
      </c>
      <c r="L23" s="154" t="e">
        <f>'Fluxo de Caixa Regulado'!#REF!-'FC ECTL'!#REF!-'FC EM'!L23</f>
        <v>#REF!</v>
      </c>
    </row>
    <row r="24" spans="1:12" x14ac:dyDescent="0.3">
      <c r="B24" s="128" t="s">
        <v>135</v>
      </c>
      <c r="C24" s="155">
        <f>'Fluxo de Caixa Regulado'!C24-'FC ECTL'!C24-'FC EM'!C24</f>
        <v>1155.2428103408836</v>
      </c>
      <c r="D24" s="155">
        <f>'Fluxo de Caixa Regulado'!D24-'FC ECTL'!D24-'FC EM'!D24</f>
        <v>1155.2428103408836</v>
      </c>
      <c r="E24" s="155">
        <f>'Fluxo de Caixa Regulado'!E24-'FC ECTL'!E24-'FC EM'!E24</f>
        <v>1155.2428103408836</v>
      </c>
      <c r="F24" s="155">
        <f>'Fluxo de Caixa Regulado'!F24-'FC ECTL'!F24-'FC EM'!F24</f>
        <v>1155.2428103408836</v>
      </c>
      <c r="G24" s="155">
        <f>'Fluxo de Caixa Regulado'!G24-'FC ECTL'!G24-'FC EM'!G24</f>
        <v>1155.2428103408836</v>
      </c>
      <c r="H24" s="156" t="e">
        <f>'Fluxo de Caixa Regulado'!#REF!-'FC ECTL'!#REF!-'FC EM'!H24</f>
        <v>#REF!</v>
      </c>
      <c r="I24" s="156" t="e">
        <f>'Fluxo de Caixa Regulado'!#REF!-'FC ECTL'!#REF!-'FC EM'!I24</f>
        <v>#REF!</v>
      </c>
      <c r="J24" s="156" t="e">
        <f>'Fluxo de Caixa Regulado'!#REF!-'FC ECTL'!#REF!-'FC EM'!J24</f>
        <v>#REF!</v>
      </c>
      <c r="K24" s="156" t="e">
        <f>'Fluxo de Caixa Regulado'!#REF!-'FC ECTL'!#REF!-'FC EM'!K24</f>
        <v>#REF!</v>
      </c>
      <c r="L24" s="157" t="e">
        <f>'Fluxo de Caixa Regulado'!#REF!-'FC ECTL'!#REF!-'FC EM'!L24</f>
        <v>#REF!</v>
      </c>
    </row>
    <row r="25" spans="1:12" ht="15" x14ac:dyDescent="0.3">
      <c r="B25" s="158" t="s">
        <v>136</v>
      </c>
      <c r="C25" s="159">
        <f>C12-SUM(C13:C24)</f>
        <v>7662.8028612392773</v>
      </c>
      <c r="D25" s="159">
        <f t="shared" ref="D25:L25" si="2">D12-SUM(D13:D24)</f>
        <v>7618.9461794713261</v>
      </c>
      <c r="E25" s="159">
        <f t="shared" si="2"/>
        <v>7618.9461794713261</v>
      </c>
      <c r="F25" s="159">
        <f t="shared" si="2"/>
        <v>7618.9461794713261</v>
      </c>
      <c r="G25" s="159">
        <f t="shared" si="2"/>
        <v>7662.8030332237231</v>
      </c>
      <c r="H25" s="160" t="e">
        <f t="shared" si="2"/>
        <v>#REF!</v>
      </c>
      <c r="I25" s="160" t="e">
        <f t="shared" si="2"/>
        <v>#REF!</v>
      </c>
      <c r="J25" s="160" t="e">
        <f t="shared" si="2"/>
        <v>#REF!</v>
      </c>
      <c r="K25" s="160" t="e">
        <f t="shared" si="2"/>
        <v>#REF!</v>
      </c>
      <c r="L25" s="161" t="e">
        <f t="shared" si="2"/>
        <v>#REF!</v>
      </c>
    </row>
    <row r="26" spans="1:12" x14ac:dyDescent="0.3">
      <c r="B26" s="128" t="s">
        <v>137</v>
      </c>
      <c r="C26" s="155">
        <f>'Fluxo de Caixa Regulado'!C26-'FC ECTL'!C26-'FC EM'!C26</f>
        <v>1615.4124294736841</v>
      </c>
      <c r="D26" s="155">
        <f>'Fluxo de Caixa Regulado'!D26-'FC ECTL'!D26-'FC EM'!D26</f>
        <v>1553.2811821862347</v>
      </c>
      <c r="E26" s="155">
        <f>'Fluxo de Caixa Regulado'!E26-'FC ECTL'!E26-'FC EM'!E26</f>
        <v>1493.5395982559949</v>
      </c>
      <c r="F26" s="155">
        <f>'Fluxo de Caixa Regulado'!F26-'FC ECTL'!F26-'FC EM'!F26</f>
        <v>1436.0957675538411</v>
      </c>
      <c r="G26" s="155">
        <f>'Fluxo de Caixa Regulado'!G26-'FC ECTL'!G26-'FC EM'!G26</f>
        <v>1380.8613149556165</v>
      </c>
      <c r="H26" s="156" t="e">
        <f>'Fluxo de Caixa Regulado'!#REF!-'FC ECTL'!#REF!-'FC EM'!H26</f>
        <v>#REF!</v>
      </c>
      <c r="I26" s="156" t="e">
        <f>'Fluxo de Caixa Regulado'!#REF!-'FC ECTL'!#REF!-'FC EM'!I26</f>
        <v>#REF!</v>
      </c>
      <c r="J26" s="156" t="e">
        <f>'Fluxo de Caixa Regulado'!#REF!-'FC ECTL'!#REF!-'FC EM'!J26</f>
        <v>#REF!</v>
      </c>
      <c r="K26" s="156" t="e">
        <f>'Fluxo de Caixa Regulado'!#REF!-'FC ECTL'!#REF!-'FC EM'!K26</f>
        <v>#REF!</v>
      </c>
      <c r="L26" s="157" t="e">
        <f>'Fluxo de Caixa Regulado'!#REF!-'FC ECTL'!#REF!-'FC EM'!L26</f>
        <v>#REF!</v>
      </c>
    </row>
    <row r="27" spans="1:12" x14ac:dyDescent="0.3">
      <c r="B27" s="142" t="s">
        <v>138</v>
      </c>
      <c r="C27" s="152">
        <f>(C14+C15+C16+C17)*(Premissas!B$11+Premissas!B$12)</f>
        <v>217.82732541255203</v>
      </c>
      <c r="D27" s="152">
        <f>(D14+D15+D16+D17)*(Premissas!C$11+Premissas!C$12)</f>
        <v>217.82732541255203</v>
      </c>
      <c r="E27" s="152">
        <f>(E14+E15+E16+E17)*(Premissas!D$11+Premissas!D$12)</f>
        <v>217.82732541255203</v>
      </c>
      <c r="F27" s="152">
        <f>(F14+F15+F16+F17)*(Premissas!E$11+Premissas!E$12)</f>
        <v>217.82732541255203</v>
      </c>
      <c r="G27" s="152">
        <f>(G14+G15+G16+G17)*(Premissas!F$11+Premissas!F$12)</f>
        <v>217.82732541255203</v>
      </c>
      <c r="H27" s="153" t="e">
        <f>(H14+H15+H16+H17)*(Premissas!#REF!+Premissas!#REF!)</f>
        <v>#REF!</v>
      </c>
      <c r="I27" s="153" t="e">
        <f>(I14+I15+I16+I17)*(Premissas!#REF!+Premissas!#REF!)</f>
        <v>#REF!</v>
      </c>
      <c r="J27" s="153" t="e">
        <f>(J14+J15+J16+J17)*(Premissas!#REF!+Premissas!#REF!)</f>
        <v>#REF!</v>
      </c>
      <c r="K27" s="153" t="e">
        <f>(K14+K15+K16+K17)*(Premissas!#REF!+Premissas!#REF!)</f>
        <v>#REF!</v>
      </c>
      <c r="L27" s="154" t="e">
        <f>(L14+L15+L16+L17)*(Premissas!#REF!+Premissas!#REF!)</f>
        <v>#REF!</v>
      </c>
    </row>
    <row r="28" spans="1:12" x14ac:dyDescent="0.3">
      <c r="B28" s="138" t="s">
        <v>139</v>
      </c>
      <c r="C28" s="149">
        <f>C25-C26+C27</f>
        <v>6265.2177571781458</v>
      </c>
      <c r="D28" s="149">
        <f t="shared" ref="D28:L28" si="3">D25-D26+D27</f>
        <v>6283.4923226976443</v>
      </c>
      <c r="E28" s="149">
        <f t="shared" si="3"/>
        <v>6343.2339066278837</v>
      </c>
      <c r="F28" s="149">
        <f t="shared" si="3"/>
        <v>6400.6777373300374</v>
      </c>
      <c r="G28" s="149">
        <f t="shared" si="3"/>
        <v>6499.7690436806588</v>
      </c>
      <c r="H28" s="150" t="e">
        <f t="shared" si="3"/>
        <v>#REF!</v>
      </c>
      <c r="I28" s="150" t="e">
        <f t="shared" si="3"/>
        <v>#REF!</v>
      </c>
      <c r="J28" s="150" t="e">
        <f t="shared" si="3"/>
        <v>#REF!</v>
      </c>
      <c r="K28" s="150" t="e">
        <f t="shared" si="3"/>
        <v>#REF!</v>
      </c>
      <c r="L28" s="151" t="e">
        <f t="shared" si="3"/>
        <v>#REF!</v>
      </c>
    </row>
    <row r="29" spans="1:12" x14ac:dyDescent="0.3">
      <c r="B29" s="142" t="s">
        <v>140</v>
      </c>
      <c r="C29" s="152">
        <f>MIN(0,C28)</f>
        <v>0</v>
      </c>
      <c r="D29" s="152">
        <f t="shared" ref="D29:L29" si="4">MIN(0,D28)</f>
        <v>0</v>
      </c>
      <c r="E29" s="152">
        <f t="shared" si="4"/>
        <v>0</v>
      </c>
      <c r="F29" s="152">
        <f t="shared" si="4"/>
        <v>0</v>
      </c>
      <c r="G29" s="152">
        <f t="shared" si="4"/>
        <v>0</v>
      </c>
      <c r="H29" s="153" t="e">
        <f t="shared" si="4"/>
        <v>#REF!</v>
      </c>
      <c r="I29" s="153" t="e">
        <f t="shared" si="4"/>
        <v>#REF!</v>
      </c>
      <c r="J29" s="153" t="e">
        <f t="shared" si="4"/>
        <v>#REF!</v>
      </c>
      <c r="K29" s="153" t="e">
        <f t="shared" si="4"/>
        <v>#REF!</v>
      </c>
      <c r="L29" s="154" t="e">
        <f t="shared" si="4"/>
        <v>#REF!</v>
      </c>
    </row>
    <row r="30" spans="1:12" x14ac:dyDescent="0.3">
      <c r="A30" s="71" t="s">
        <v>141</v>
      </c>
      <c r="B30" s="128" t="s">
        <v>142</v>
      </c>
      <c r="C30" s="155">
        <v>0</v>
      </c>
      <c r="D30" s="155">
        <v>0</v>
      </c>
      <c r="E30" s="155">
        <v>0</v>
      </c>
      <c r="F30" s="155">
        <v>0</v>
      </c>
      <c r="G30" s="155">
        <v>0</v>
      </c>
      <c r="H30" s="156">
        <v>0</v>
      </c>
      <c r="I30" s="156">
        <v>0</v>
      </c>
      <c r="J30" s="156">
        <v>0</v>
      </c>
      <c r="K30" s="156">
        <v>0</v>
      </c>
      <c r="L30" s="157">
        <v>0</v>
      </c>
    </row>
    <row r="31" spans="1:12" x14ac:dyDescent="0.3">
      <c r="B31" s="142" t="s">
        <v>143</v>
      </c>
      <c r="C31" s="152">
        <f>IF(C28&lt;0,0,(C28-C30)*Premissas!B$8)</f>
        <v>1566.3044392945365</v>
      </c>
      <c r="D31" s="152">
        <f>IF(D28&lt;0,0,(D28-D30)*Premissas!C$8)</f>
        <v>1570.8730806744111</v>
      </c>
      <c r="E31" s="152">
        <f>IF(E28&lt;0,0,(E28-E30)*Premissas!D$8)</f>
        <v>1585.8084766569709</v>
      </c>
      <c r="F31" s="152">
        <f>IF(F28&lt;0,0,(F28-F30)*Premissas!E$8)</f>
        <v>1600.1694343325094</v>
      </c>
      <c r="G31" s="152">
        <f>IF(G28&lt;0,0,(G28-G30)*Premissas!F$8)</f>
        <v>1624.9422609201647</v>
      </c>
      <c r="H31" s="153" t="e">
        <f>IF(H28&lt;0,0,(H28-H30)*Premissas!#REF!)</f>
        <v>#REF!</v>
      </c>
      <c r="I31" s="153" t="e">
        <f>IF(I28&lt;0,0,(I28-I30)*Premissas!#REF!)</f>
        <v>#REF!</v>
      </c>
      <c r="J31" s="153" t="e">
        <f>IF(J28&lt;0,0,(J28-J30)*Premissas!#REF!)</f>
        <v>#REF!</v>
      </c>
      <c r="K31" s="153" t="e">
        <f>IF(K28&lt;0,0,(K28-K30)*Premissas!#REF!)</f>
        <v>#REF!</v>
      </c>
      <c r="L31" s="154" t="e">
        <f>IF(L28&lt;0,0,(L28-L30)*Premissas!#REF!)</f>
        <v>#REF!</v>
      </c>
    </row>
    <row r="32" spans="1:12" x14ac:dyDescent="0.3">
      <c r="B32" s="128" t="s">
        <v>144</v>
      </c>
      <c r="C32" s="155">
        <f>IF(C28&lt;0,0,(C28-C30)*Premissas!B$9)</f>
        <v>563.86959814603313</v>
      </c>
      <c r="D32" s="155">
        <f>IF(D28&lt;0,0,(D28-D30)*Premissas!C$9)</f>
        <v>565.514309042788</v>
      </c>
      <c r="E32" s="155">
        <f>IF(E28&lt;0,0,(E28-E30)*Premissas!D$9)</f>
        <v>570.89105159650956</v>
      </c>
      <c r="F32" s="155">
        <f>IF(F28&lt;0,0,(F28-F30)*Premissas!E$9)</f>
        <v>576.06099635970338</v>
      </c>
      <c r="G32" s="155">
        <f>IF(G28&lt;0,0,(G28-G30)*Premissas!F$9)</f>
        <v>584.97921393125932</v>
      </c>
      <c r="H32" s="156" t="e">
        <f>IF(H28&lt;0,0,(H28-H30)*Premissas!#REF!)</f>
        <v>#REF!</v>
      </c>
      <c r="I32" s="156" t="e">
        <f>IF(I28&lt;0,0,(I28-I30)*Premissas!#REF!)</f>
        <v>#REF!</v>
      </c>
      <c r="J32" s="156" t="e">
        <f>IF(J28&lt;0,0,(J28-J30)*Premissas!#REF!)</f>
        <v>#REF!</v>
      </c>
      <c r="K32" s="156" t="e">
        <f>IF(K28&lt;0,0,(K28-K30)*Premissas!#REF!)</f>
        <v>#REF!</v>
      </c>
      <c r="L32" s="157" t="e">
        <f>IF(L28&lt;0,0,(L28-L30)*Premissas!#REF!)</f>
        <v>#REF!</v>
      </c>
    </row>
    <row r="33" spans="2:15" x14ac:dyDescent="0.3">
      <c r="B33" s="158" t="s">
        <v>145</v>
      </c>
      <c r="C33" s="159">
        <f>C25-C31-C32-C35</f>
        <v>1706.0951105027634</v>
      </c>
      <c r="D33" s="159">
        <f t="shared" ref="D33:L33" si="5">D25-D31-D32-D35</f>
        <v>1803.199450046488</v>
      </c>
      <c r="E33" s="159">
        <f t="shared" si="5"/>
        <v>1924.4011322681931</v>
      </c>
      <c r="F33" s="159">
        <f t="shared" si="5"/>
        <v>2040.9412113275253</v>
      </c>
      <c r="G33" s="159">
        <f t="shared" si="5"/>
        <v>2181.9445031303871</v>
      </c>
      <c r="H33" s="160" t="e">
        <f t="shared" si="5"/>
        <v>#REF!</v>
      </c>
      <c r="I33" s="160" t="e">
        <f t="shared" si="5"/>
        <v>#REF!</v>
      </c>
      <c r="J33" s="160" t="e">
        <f t="shared" si="5"/>
        <v>#REF!</v>
      </c>
      <c r="K33" s="160" t="e">
        <f t="shared" si="5"/>
        <v>#REF!</v>
      </c>
      <c r="L33" s="161" t="e">
        <f t="shared" si="5"/>
        <v>#REF!</v>
      </c>
    </row>
    <row r="34" spans="2:15" s="25" customFormat="1" x14ac:dyDescent="0.3">
      <c r="B34" s="128" t="s">
        <v>146</v>
      </c>
      <c r="C34" s="155">
        <f>'Fluxo de Caixa Regulado'!C34-'FC ECTL'!C34-'FC EM'!C34</f>
        <v>0</v>
      </c>
      <c r="D34" s="155">
        <f>'Fluxo de Caixa Regulado'!D34-'FC ECTL'!D34-'FC EM'!D34</f>
        <v>0</v>
      </c>
      <c r="E34" s="146">
        <f>'Fluxo de Caixa Regulado'!E34-'FC ECTL'!E34-'FC EM'!E34</f>
        <v>0</v>
      </c>
      <c r="F34" s="155">
        <f>'Fluxo de Caixa Regulado'!F34-'FC ECTL'!F34-'FC EM'!F34</f>
        <v>0</v>
      </c>
      <c r="G34" s="155">
        <f>'Fluxo de Caixa Regulado'!G34-'FC ECTL'!G34-'FC EM'!G34</f>
        <v>0</v>
      </c>
      <c r="H34" s="156" t="e">
        <f>'Fluxo de Caixa Regulado'!#REF!-'FC ECTL'!#REF!-'FC EM'!H34</f>
        <v>#REF!</v>
      </c>
      <c r="I34" s="156" t="e">
        <f>'Fluxo de Caixa Regulado'!#REF!-'FC ECTL'!#REF!-'FC EM'!I34</f>
        <v>#REF!</v>
      </c>
      <c r="J34" s="156" t="e">
        <f>'Fluxo de Caixa Regulado'!#REF!-'FC ECTL'!#REF!-'FC EM'!J34</f>
        <v>#REF!</v>
      </c>
      <c r="K34" s="156" t="e">
        <f>'Fluxo de Caixa Regulado'!#REF!-'FC ECTL'!#REF!-'FC EM'!K34</f>
        <v>#REF!</v>
      </c>
      <c r="L34" s="157" t="e">
        <f>'Fluxo de Caixa Regulado'!#REF!-'FC ECTL'!#REF!-'FC EM'!L34</f>
        <v>#REF!</v>
      </c>
      <c r="M34" s="31"/>
      <c r="N34" s="31"/>
      <c r="O34" s="31"/>
    </row>
    <row r="35" spans="2:15" x14ac:dyDescent="0.3">
      <c r="B35" s="142" t="s">
        <v>147</v>
      </c>
      <c r="C35" s="152">
        <f>'Fluxo de Caixa Regulado'!C35-'FC ECTL'!C35-'FC EM'!C35</f>
        <v>3826.5337132959439</v>
      </c>
      <c r="D35" s="152">
        <f>'Fluxo de Caixa Regulado'!D35-'FC ECTL'!D35-'FC EM'!D35</f>
        <v>3679.3593397076384</v>
      </c>
      <c r="E35" s="152">
        <f>'Fluxo de Caixa Regulado'!E35-'FC ECTL'!E35-'FC EM'!E35</f>
        <v>3537.8455189496522</v>
      </c>
      <c r="F35" s="152">
        <f>'Fluxo de Caixa Regulado'!F35-'FC ECTL'!F35-'FC EM'!F35</f>
        <v>3401.7745374515885</v>
      </c>
      <c r="G35" s="152">
        <f>'Fluxo de Caixa Regulado'!G35-'FC ECTL'!G35-'FC EM'!G35</f>
        <v>3270.9370552419118</v>
      </c>
      <c r="H35" s="153" t="e">
        <f>'Fluxo de Caixa Regulado'!#REF!-'FC ECTL'!#REF!-'FC EM'!H35</f>
        <v>#REF!</v>
      </c>
      <c r="I35" s="153" t="e">
        <f>'Fluxo de Caixa Regulado'!#REF!-'FC ECTL'!#REF!-'FC EM'!I35</f>
        <v>#REF!</v>
      </c>
      <c r="J35" s="153" t="e">
        <f>'Fluxo de Caixa Regulado'!#REF!-'FC ECTL'!#REF!-'FC EM'!J35</f>
        <v>#REF!</v>
      </c>
      <c r="K35" s="153" t="e">
        <f>'Fluxo de Caixa Regulado'!#REF!-'FC ECTL'!#REF!-'FC EM'!K35</f>
        <v>#REF!</v>
      </c>
      <c r="L35" s="154" t="e">
        <f>'Fluxo de Caixa Regulado'!#REF!-'FC ECTL'!#REF!-'FC EM'!L35</f>
        <v>#REF!</v>
      </c>
    </row>
    <row r="36" spans="2:15" x14ac:dyDescent="0.3">
      <c r="B36" s="128" t="s">
        <v>148</v>
      </c>
      <c r="C36" s="155">
        <f>'Fluxo de Caixa Regulado'!C36-'FC ECTL'!C36-'FC EM'!C36</f>
        <v>0</v>
      </c>
      <c r="D36" s="155">
        <f>'Fluxo de Caixa Regulado'!D36-'FC ECTL'!D36-'FC EM'!D36</f>
        <v>0</v>
      </c>
      <c r="E36" s="155">
        <f>'Fluxo de Caixa Regulado'!E36-'FC ECTL'!E36-'FC EM'!E36</f>
        <v>0</v>
      </c>
      <c r="F36" s="155">
        <f>'Fluxo de Caixa Regulado'!F36-'FC ECTL'!F36-'FC EM'!F36</f>
        <v>0</v>
      </c>
      <c r="G36" s="233">
        <f>'Fluxo de Caixa Regulado'!G36-'FC ECTL'!G36-'FC EM'!G36</f>
        <v>7653.0674265918742</v>
      </c>
      <c r="H36" s="156" t="e">
        <f>'Fluxo de Caixa Regulado'!#REF!-'FC ECTL'!#REF!-'FC EM'!H36</f>
        <v>#REF!</v>
      </c>
      <c r="I36" s="156" t="e">
        <f>'Fluxo de Caixa Regulado'!#REF!-'FC ECTL'!#REF!-'FC EM'!I36</f>
        <v>#REF!</v>
      </c>
      <c r="J36" s="156" t="e">
        <f>'Fluxo de Caixa Regulado'!#REF!-'FC ECTL'!#REF!-'FC EM'!J36</f>
        <v>#REF!</v>
      </c>
      <c r="K36" s="156" t="e">
        <f>'Fluxo de Caixa Regulado'!#REF!-'FC ECTL'!#REF!-'FC EM'!K36</f>
        <v>#REF!</v>
      </c>
      <c r="L36" s="157" t="e">
        <f>'Fluxo de Caixa Regulado'!#REF!-'FC ECTL'!#REF!-'FC EM'!L36</f>
        <v>#REF!</v>
      </c>
    </row>
    <row r="37" spans="2:15" x14ac:dyDescent="0.3">
      <c r="B37" s="142" t="s">
        <v>149</v>
      </c>
      <c r="C37" s="152">
        <f>C13/12+SUM(C14:C23)/8+C24/6</f>
        <v>983.03747140424321</v>
      </c>
      <c r="D37" s="152">
        <f>D13/12+SUM(D14:D23)/8+D24/6-SUM($C$37:C37)</f>
        <v>0</v>
      </c>
      <c r="E37" s="152">
        <f>E13/12+SUM(E14:E23)/8+E24/6-SUM($C$37:D37)</f>
        <v>0</v>
      </c>
      <c r="F37" s="152">
        <f>F13/12+SUM(F14:F23)/8+F24/6-SUM($C$37:E37)</f>
        <v>0</v>
      </c>
      <c r="G37" s="152">
        <f>G13/12+SUM(G14:G23)/8+G24/6-SUM($C$37:F37)</f>
        <v>0</v>
      </c>
      <c r="H37" s="153" t="e">
        <f>H13/12+SUM(H14:H23)/8+H24/6-SUM($C$37:G37)</f>
        <v>#REF!</v>
      </c>
      <c r="I37" s="153" t="e">
        <f>I13/12+SUM(I14:I23)/8+I24/6-SUM($C$37:H37)</f>
        <v>#REF!</v>
      </c>
      <c r="J37" s="153" t="e">
        <f>J13/12+SUM(J14:J23)/8+J24/6-SUM($C$37:I37)</f>
        <v>#REF!</v>
      </c>
      <c r="K37" s="153" t="e">
        <f>K13/12+SUM(K14:K23)/8+K24/6-SUM($C$37:J37)</f>
        <v>#REF!</v>
      </c>
      <c r="L37" s="154" t="e">
        <f>L13/12+SUM(L14:L23)/8+L24/6-SUM($C$37:K37)</f>
        <v>#REF!</v>
      </c>
    </row>
    <row r="38" spans="2:15" x14ac:dyDescent="0.3">
      <c r="B38" s="162" t="s">
        <v>150</v>
      </c>
      <c r="C38" s="163">
        <f>C33-C34+C35+C36-C37</f>
        <v>4549.5913523944637</v>
      </c>
      <c r="D38" s="163">
        <f t="shared" ref="D38:L38" si="6">D33-D34+D35+D36-D37</f>
        <v>5482.5587897541263</v>
      </c>
      <c r="E38" s="163">
        <f>E33-E34+E35+E36-E37</f>
        <v>5462.2466512178453</v>
      </c>
      <c r="F38" s="163">
        <f>F33-F34+F35+F36-F37</f>
        <v>5442.7157487791137</v>
      </c>
      <c r="G38" s="163">
        <f t="shared" si="6"/>
        <v>13105.948984964172</v>
      </c>
      <c r="H38" s="164" t="e">
        <f t="shared" si="6"/>
        <v>#REF!</v>
      </c>
      <c r="I38" s="164" t="e">
        <f t="shared" si="6"/>
        <v>#REF!</v>
      </c>
      <c r="J38" s="164" t="e">
        <f t="shared" si="6"/>
        <v>#REF!</v>
      </c>
      <c r="K38" s="164" t="e">
        <f t="shared" si="6"/>
        <v>#REF!</v>
      </c>
      <c r="L38" s="165" t="e">
        <f t="shared" si="6"/>
        <v>#REF!</v>
      </c>
    </row>
    <row r="39" spans="2:15" x14ac:dyDescent="0.3">
      <c r="B39" s="66" t="s">
        <v>151</v>
      </c>
      <c r="C39" s="403">
        <f>B66+NPV(C42,C38:G38)</f>
        <v>0</v>
      </c>
    </row>
    <row r="40" spans="2:15" ht="15.6" thickBot="1" x14ac:dyDescent="0.35">
      <c r="B40" s="234" t="s">
        <v>152</v>
      </c>
      <c r="C40" s="235" t="s">
        <v>153</v>
      </c>
      <c r="D40" s="236" t="s">
        <v>154</v>
      </c>
      <c r="E40" s="237" t="s">
        <v>155</v>
      </c>
      <c r="F40" s="238" t="s">
        <v>156</v>
      </c>
      <c r="G40" s="55"/>
    </row>
    <row r="41" spans="2:15" ht="14.4" thickTop="1" x14ac:dyDescent="0.3">
      <c r="B41" s="239"/>
      <c r="C41" s="240">
        <v>54.821066603118147</v>
      </c>
      <c r="D41" s="240"/>
      <c r="E41" s="242">
        <f>C41/(C52*1000)</f>
        <v>1.4696478348655759</v>
      </c>
      <c r="F41" s="241">
        <f>E41/Premissas!$B$64</f>
        <v>0.29392956697311517</v>
      </c>
      <c r="G41" s="72"/>
      <c r="H41" s="72"/>
    </row>
    <row r="42" spans="2:15" x14ac:dyDescent="0.3">
      <c r="B42" s="66" t="s">
        <v>157</v>
      </c>
      <c r="C42" s="73">
        <f>Premissas!$B$50/100</f>
        <v>7.2499999999999995E-2</v>
      </c>
    </row>
    <row r="43" spans="2:15" x14ac:dyDescent="0.3">
      <c r="B43" s="66" t="s">
        <v>158</v>
      </c>
      <c r="C43" s="74">
        <f>IRR(B66:G66)</f>
        <v>7.2500000000000009E-2</v>
      </c>
      <c r="D43" s="55"/>
      <c r="E43" s="55"/>
      <c r="G43" s="72"/>
      <c r="H43" s="75"/>
    </row>
    <row r="44" spans="2:15" x14ac:dyDescent="0.3">
      <c r="B44" s="76" t="s">
        <v>159</v>
      </c>
    </row>
    <row r="46" spans="2:15" ht="14.4" x14ac:dyDescent="0.3">
      <c r="B46" s="298" t="s">
        <v>160</v>
      </c>
      <c r="C46" s="131">
        <f>'Fluxo de Caixa Regulado'!C46</f>
        <v>2024</v>
      </c>
      <c r="D46" s="131">
        <f>'Fluxo de Caixa Regulado'!D46</f>
        <v>2025</v>
      </c>
      <c r="E46" s="131">
        <f>'Fluxo de Caixa Regulado'!E46</f>
        <v>2026</v>
      </c>
      <c r="F46" s="131">
        <f>'Fluxo de Caixa Regulado'!F46</f>
        <v>2027</v>
      </c>
      <c r="G46" s="131">
        <f>'Fluxo de Caixa Regulado'!G46</f>
        <v>2028</v>
      </c>
      <c r="H46" s="299" t="s">
        <v>70</v>
      </c>
      <c r="I46" s="299" t="s">
        <v>71</v>
      </c>
      <c r="J46" s="299" t="s">
        <v>72</v>
      </c>
      <c r="K46" s="299" t="s">
        <v>73</v>
      </c>
      <c r="L46" s="299" t="s">
        <v>74</v>
      </c>
    </row>
    <row r="47" spans="2:15" x14ac:dyDescent="0.3">
      <c r="B47" s="300" t="s">
        <v>161</v>
      </c>
      <c r="C47" s="284">
        <f>+(C56*C59)+(C57*C60)</f>
        <v>800</v>
      </c>
      <c r="D47" s="284">
        <f t="shared" ref="D47:L47" si="7">+(D56*D59)+(D57*D60)</f>
        <v>800</v>
      </c>
      <c r="E47" s="284">
        <f t="shared" si="7"/>
        <v>800</v>
      </c>
      <c r="F47" s="284">
        <f t="shared" si="7"/>
        <v>800</v>
      </c>
      <c r="G47" s="284">
        <f t="shared" si="7"/>
        <v>800</v>
      </c>
      <c r="H47" s="284" t="e">
        <f t="shared" si="7"/>
        <v>#REF!</v>
      </c>
      <c r="I47" s="284" t="e">
        <f t="shared" si="7"/>
        <v>#REF!</v>
      </c>
      <c r="J47" s="284" t="e">
        <f t="shared" si="7"/>
        <v>#REF!</v>
      </c>
      <c r="K47" s="284" t="e">
        <f t="shared" si="7"/>
        <v>#REF!</v>
      </c>
      <c r="L47" s="284" t="e">
        <f t="shared" si="7"/>
        <v>#REF!</v>
      </c>
    </row>
    <row r="48" spans="2:15" x14ac:dyDescent="0.3">
      <c r="B48" s="301" t="s">
        <v>79</v>
      </c>
      <c r="C48" s="286">
        <f>C47*C51</f>
        <v>292800</v>
      </c>
      <c r="D48" s="287">
        <f>D47*D51</f>
        <v>292000</v>
      </c>
      <c r="E48" s="287">
        <f>E47*E51</f>
        <v>292000</v>
      </c>
      <c r="F48" s="287">
        <f t="shared" ref="F48:L48" si="8">F47*F51</f>
        <v>292000</v>
      </c>
      <c r="G48" s="287">
        <f t="shared" si="8"/>
        <v>292800</v>
      </c>
      <c r="H48" s="287" t="e">
        <f t="shared" si="8"/>
        <v>#REF!</v>
      </c>
      <c r="I48" s="287" t="e">
        <f t="shared" si="8"/>
        <v>#REF!</v>
      </c>
      <c r="J48" s="287" t="e">
        <f t="shared" si="8"/>
        <v>#REF!</v>
      </c>
      <c r="K48" s="287" t="e">
        <f t="shared" si="8"/>
        <v>#REF!</v>
      </c>
      <c r="L48" s="287" t="e">
        <f t="shared" si="8"/>
        <v>#REF!</v>
      </c>
    </row>
    <row r="49" spans="2:12" x14ac:dyDescent="0.3">
      <c r="B49" s="302" t="s">
        <v>80</v>
      </c>
      <c r="C49" s="289">
        <f>C48*C52</f>
        <v>10922.078011199999</v>
      </c>
      <c r="D49" s="290">
        <f t="shared" ref="D49:L49" si="9">D48*D52</f>
        <v>10892.236384704518</v>
      </c>
      <c r="E49" s="290">
        <f t="shared" si="9"/>
        <v>10892.236384704518</v>
      </c>
      <c r="F49" s="290">
        <f t="shared" si="9"/>
        <v>10892.236384704518</v>
      </c>
      <c r="G49" s="290">
        <f t="shared" si="9"/>
        <v>10922.078128224257</v>
      </c>
      <c r="H49" s="290" t="e">
        <f>H48*H52</f>
        <v>#REF!</v>
      </c>
      <c r="I49" s="290" t="e">
        <f t="shared" si="9"/>
        <v>#REF!</v>
      </c>
      <c r="J49" s="290" t="e">
        <f t="shared" si="9"/>
        <v>#REF!</v>
      </c>
      <c r="K49" s="290" t="e">
        <f t="shared" si="9"/>
        <v>#REF!</v>
      </c>
      <c r="L49" s="290" t="e">
        <f t="shared" si="9"/>
        <v>#REF!</v>
      </c>
    </row>
    <row r="50" spans="2:12" x14ac:dyDescent="0.3">
      <c r="B50" s="301" t="s">
        <v>81</v>
      </c>
      <c r="C50" s="285">
        <f>Premissas!B57</f>
        <v>366</v>
      </c>
      <c r="D50" s="291">
        <f>Premissas!C57</f>
        <v>365</v>
      </c>
      <c r="E50" s="291">
        <f>Premissas!D57</f>
        <v>365</v>
      </c>
      <c r="F50" s="291">
        <f>Premissas!E57</f>
        <v>365</v>
      </c>
      <c r="G50" s="291">
        <f>Premissas!F57</f>
        <v>366</v>
      </c>
      <c r="H50" s="291" t="e">
        <f>Premissas!#REF!</f>
        <v>#REF!</v>
      </c>
      <c r="I50" s="291" t="e">
        <f>Premissas!#REF!</f>
        <v>#REF!</v>
      </c>
      <c r="J50" s="291" t="e">
        <f>Premissas!#REF!</f>
        <v>#REF!</v>
      </c>
      <c r="K50" s="291" t="e">
        <f>Premissas!#REF!</f>
        <v>#REF!</v>
      </c>
      <c r="L50" s="291" t="e">
        <f>Premissas!#REF!</f>
        <v>#REF!</v>
      </c>
    </row>
    <row r="51" spans="2:12" x14ac:dyDescent="0.3">
      <c r="B51" s="302" t="s">
        <v>50</v>
      </c>
      <c r="C51" s="288">
        <f>Premissas!B58</f>
        <v>366</v>
      </c>
      <c r="D51" s="292">
        <f>Premissas!C58</f>
        <v>365</v>
      </c>
      <c r="E51" s="292">
        <f>Premissas!D58</f>
        <v>365</v>
      </c>
      <c r="F51" s="292">
        <f>Premissas!E58</f>
        <v>365</v>
      </c>
      <c r="G51" s="292">
        <f>Premissas!F58</f>
        <v>366</v>
      </c>
      <c r="H51" s="292" t="e">
        <f>Premissas!#REF!</f>
        <v>#REF!</v>
      </c>
      <c r="I51" s="292" t="e">
        <f>Premissas!#REF!</f>
        <v>#REF!</v>
      </c>
      <c r="J51" s="292" t="e">
        <f>Premissas!#REF!</f>
        <v>#REF!</v>
      </c>
      <c r="K51" s="292" t="e">
        <f>Premissas!#REF!</f>
        <v>#REF!</v>
      </c>
      <c r="L51" s="292" t="e">
        <f>Premissas!#REF!</f>
        <v>#REF!</v>
      </c>
    </row>
    <row r="52" spans="2:12" x14ac:dyDescent="0.3">
      <c r="B52" s="303" t="s">
        <v>48</v>
      </c>
      <c r="C52" s="304">
        <f>Premissas!B56</f>
        <v>3.7302178999999998E-2</v>
      </c>
      <c r="D52" s="305">
        <f>Premissas!C56</f>
        <v>3.7302179399673008E-2</v>
      </c>
      <c r="E52" s="305">
        <f>Premissas!D56</f>
        <v>3.7302179399673008E-2</v>
      </c>
      <c r="F52" s="305">
        <f>Premissas!E56</f>
        <v>3.7302179399673008E-2</v>
      </c>
      <c r="G52" s="305">
        <f>Premissas!F56</f>
        <v>3.7302179399673008E-2</v>
      </c>
      <c r="H52" s="305" t="e">
        <f>Premissas!#REF!</f>
        <v>#REF!</v>
      </c>
      <c r="I52" s="305" t="e">
        <f>Premissas!#REF!</f>
        <v>#REF!</v>
      </c>
      <c r="J52" s="305" t="e">
        <f>Premissas!#REF!</f>
        <v>#REF!</v>
      </c>
      <c r="K52" s="305" t="e">
        <f>Premissas!#REF!</f>
        <v>#REF!</v>
      </c>
      <c r="L52" s="305" t="e">
        <f>Premissas!#REF!</f>
        <v>#REF!</v>
      </c>
    </row>
    <row r="55" spans="2:12" ht="14.4" x14ac:dyDescent="0.3">
      <c r="B55" s="230" t="s">
        <v>162</v>
      </c>
      <c r="C55" s="131">
        <f>'Fluxo de Caixa Regulado'!C55</f>
        <v>2024</v>
      </c>
      <c r="D55" s="131">
        <f>'Fluxo de Caixa Regulado'!D55</f>
        <v>2025</v>
      </c>
      <c r="E55" s="131">
        <f>'Fluxo de Caixa Regulado'!E55</f>
        <v>2026</v>
      </c>
      <c r="F55" s="131">
        <f>'Fluxo de Caixa Regulado'!F55</f>
        <v>2027</v>
      </c>
      <c r="G55" s="131">
        <f>'Fluxo de Caixa Regulado'!G55</f>
        <v>2028</v>
      </c>
      <c r="H55" s="231" t="s">
        <v>70</v>
      </c>
      <c r="I55" s="231" t="s">
        <v>71</v>
      </c>
      <c r="J55" s="231" t="s">
        <v>72</v>
      </c>
      <c r="K55" s="231" t="s">
        <v>73</v>
      </c>
      <c r="L55" s="231" t="s">
        <v>74</v>
      </c>
    </row>
    <row r="56" spans="2:12" x14ac:dyDescent="0.3">
      <c r="B56" s="229" t="s">
        <v>75</v>
      </c>
      <c r="C56" s="311">
        <f>'Fluxo de Caixa Regulado'!C56</f>
        <v>800</v>
      </c>
      <c r="D56" s="311">
        <f>'Fluxo de Caixa Regulado'!D56</f>
        <v>800</v>
      </c>
      <c r="E56" s="311">
        <f>'Fluxo de Caixa Regulado'!E56</f>
        <v>800</v>
      </c>
      <c r="F56" s="311">
        <f>'Fluxo de Caixa Regulado'!F56</f>
        <v>800</v>
      </c>
      <c r="G56" s="311">
        <f>'Fluxo de Caixa Regulado'!G56</f>
        <v>800</v>
      </c>
      <c r="H56" s="129" t="e">
        <f>+#REF!</f>
        <v>#REF!</v>
      </c>
      <c r="I56" s="129" t="e">
        <f>+#REF!</f>
        <v>#REF!</v>
      </c>
      <c r="J56" s="129" t="e">
        <f>+#REF!</f>
        <v>#REF!</v>
      </c>
      <c r="K56" s="129" t="e">
        <f>+#REF!</f>
        <v>#REF!</v>
      </c>
      <c r="L56" s="129" t="e">
        <f>+#REF!</f>
        <v>#REF!</v>
      </c>
    </row>
    <row r="57" spans="2:12" x14ac:dyDescent="0.3">
      <c r="B57" s="296" t="s">
        <v>76</v>
      </c>
      <c r="C57" s="313">
        <f>'Fluxo de Caixa Regulado'!C57</f>
        <v>800</v>
      </c>
      <c r="D57" s="313">
        <f>'Fluxo de Caixa Regulado'!D57</f>
        <v>800</v>
      </c>
      <c r="E57" s="313">
        <f>'Fluxo de Caixa Regulado'!E57</f>
        <v>800</v>
      </c>
      <c r="F57" s="313">
        <f>'Fluxo de Caixa Regulado'!F57</f>
        <v>800</v>
      </c>
      <c r="G57" s="313">
        <f>'Fluxo de Caixa Regulado'!G57</f>
        <v>800</v>
      </c>
      <c r="H57" s="297" t="e">
        <f>+#REF!</f>
        <v>#REF!</v>
      </c>
      <c r="I57" s="297" t="e">
        <f>+#REF!</f>
        <v>#REF!</v>
      </c>
      <c r="J57" s="297" t="e">
        <f>+#REF!</f>
        <v>#REF!</v>
      </c>
      <c r="K57" s="297" t="e">
        <f>+#REF!</f>
        <v>#REF!</v>
      </c>
      <c r="L57" s="297" t="e">
        <f>+#REF!</f>
        <v>#REF!</v>
      </c>
    </row>
    <row r="58" spans="2:12" x14ac:dyDescent="0.3">
      <c r="C58" s="52"/>
      <c r="D58" s="52"/>
      <c r="E58" s="52"/>
      <c r="F58" s="52"/>
      <c r="G58" s="52"/>
      <c r="H58" s="52"/>
      <c r="I58" s="52"/>
      <c r="J58" s="52"/>
      <c r="K58" s="52"/>
      <c r="L58" s="52"/>
    </row>
    <row r="59" spans="2:12" x14ac:dyDescent="0.3">
      <c r="B59" s="7" t="s">
        <v>163</v>
      </c>
      <c r="C59" s="24">
        <f>+'Cálculo Encargos ECE, ECT e ECS'!I43</f>
        <v>0.7</v>
      </c>
      <c r="D59" s="24">
        <f>+C59</f>
        <v>0.7</v>
      </c>
      <c r="E59" s="24">
        <f t="shared" ref="E59:L60" si="10">+D59</f>
        <v>0.7</v>
      </c>
      <c r="F59" s="24">
        <f t="shared" si="10"/>
        <v>0.7</v>
      </c>
      <c r="G59" s="24">
        <f t="shared" si="10"/>
        <v>0.7</v>
      </c>
      <c r="H59" s="24">
        <f t="shared" si="10"/>
        <v>0.7</v>
      </c>
      <c r="I59" s="24">
        <f t="shared" si="10"/>
        <v>0.7</v>
      </c>
      <c r="J59" s="24">
        <f t="shared" si="10"/>
        <v>0.7</v>
      </c>
      <c r="K59" s="24">
        <f t="shared" si="10"/>
        <v>0.7</v>
      </c>
      <c r="L59" s="24">
        <f t="shared" si="10"/>
        <v>0.7</v>
      </c>
    </row>
    <row r="60" spans="2:12" x14ac:dyDescent="0.3">
      <c r="B60" s="7" t="s">
        <v>164</v>
      </c>
      <c r="C60" s="24">
        <f>+'Cálculo Encargos ECE, ECT e ECS'!I44</f>
        <v>0.30000000000000004</v>
      </c>
      <c r="D60" s="24">
        <f>+C60</f>
        <v>0.30000000000000004</v>
      </c>
      <c r="E60" s="24">
        <f t="shared" si="10"/>
        <v>0.30000000000000004</v>
      </c>
      <c r="F60" s="24">
        <f t="shared" si="10"/>
        <v>0.30000000000000004</v>
      </c>
      <c r="G60" s="24">
        <f t="shared" si="10"/>
        <v>0.30000000000000004</v>
      </c>
      <c r="H60" s="24">
        <f t="shared" si="10"/>
        <v>0.30000000000000004</v>
      </c>
      <c r="I60" s="24">
        <f t="shared" si="10"/>
        <v>0.30000000000000004</v>
      </c>
      <c r="J60" s="24">
        <f t="shared" si="10"/>
        <v>0.30000000000000004</v>
      </c>
      <c r="K60" s="24">
        <f t="shared" si="10"/>
        <v>0.30000000000000004</v>
      </c>
      <c r="L60" s="24">
        <f t="shared" si="10"/>
        <v>0.30000000000000004</v>
      </c>
    </row>
    <row r="65" spans="1:12" x14ac:dyDescent="0.3">
      <c r="B65" s="83"/>
      <c r="C65" s="84"/>
    </row>
    <row r="66" spans="1:12" x14ac:dyDescent="0.3">
      <c r="A66" s="85" t="s">
        <v>165</v>
      </c>
      <c r="B66" s="86">
        <f>'Fluxo de Caixa Regulado'!B66-'FC ECTL'!B66-'FC EM'!B66</f>
        <v>-26785.73598307159</v>
      </c>
      <c r="C66" s="87">
        <f t="shared" ref="C66:L66" si="11">+C38</f>
        <v>4549.5913523944637</v>
      </c>
      <c r="D66" s="87">
        <f t="shared" si="11"/>
        <v>5482.5587897541263</v>
      </c>
      <c r="E66" s="87">
        <f t="shared" si="11"/>
        <v>5462.2466512178453</v>
      </c>
      <c r="F66" s="87">
        <f t="shared" si="11"/>
        <v>5442.7157487791137</v>
      </c>
      <c r="G66" s="87">
        <f t="shared" si="11"/>
        <v>13105.948984964172</v>
      </c>
      <c r="H66" s="87" t="e">
        <f t="shared" si="11"/>
        <v>#REF!</v>
      </c>
      <c r="I66" s="87" t="e">
        <f t="shared" si="11"/>
        <v>#REF!</v>
      </c>
      <c r="J66" s="87" t="e">
        <f t="shared" si="11"/>
        <v>#REF!</v>
      </c>
      <c r="K66" s="87" t="e">
        <f t="shared" si="11"/>
        <v>#REF!</v>
      </c>
      <c r="L66" s="87" t="e">
        <f t="shared" si="11"/>
        <v>#REF!</v>
      </c>
    </row>
  </sheetData>
  <pageMargins left="0.51181102362204722" right="0.51181102362204722" top="0.78740157480314965" bottom="0.78740157480314965" header="0.31496062992125984" footer="0.31496062992125984"/>
  <pageSetup paperSize="9" scale="76" fitToHeight="2" orientation="landscape" r:id="rId1"/>
  <headerFooter>
    <oddHeader>&amp;R&amp;"Calibri"&amp;14&amp;K0078D7NP-1&amp;1#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>
    <tabColor theme="8"/>
    <pageSetUpPr fitToPage="1"/>
  </sheetPr>
  <dimension ref="A1:J67"/>
  <sheetViews>
    <sheetView showGridLines="0" zoomScaleNormal="100" workbookViewId="0">
      <pane xSplit="2" ySplit="5" topLeftCell="C32" activePane="bottomRight" state="frozen"/>
      <selection pane="topRight" activeCell="I84" sqref="I84"/>
      <selection pane="bottomLeft" activeCell="I84" sqref="I84"/>
      <selection pane="bottomRight" activeCell="C39" sqref="C39"/>
    </sheetView>
  </sheetViews>
  <sheetFormatPr defaultColWidth="9.21875" defaultRowHeight="13.8" x14ac:dyDescent="0.3"/>
  <cols>
    <col min="1" max="1" width="10.5546875" style="31" bestFit="1" customWidth="1"/>
    <col min="2" max="2" width="72" style="31" customWidth="1"/>
    <col min="3" max="3" width="15.5546875" style="31" bestFit="1" customWidth="1"/>
    <col min="4" max="4" width="15.21875" style="31" bestFit="1" customWidth="1"/>
    <col min="5" max="5" width="11.77734375" style="31" bestFit="1" customWidth="1"/>
    <col min="6" max="6" width="12.21875" style="31" bestFit="1" customWidth="1"/>
    <col min="7" max="7" width="11.77734375" style="31" bestFit="1" customWidth="1"/>
    <col min="8" max="16384" width="9.21875" style="31"/>
  </cols>
  <sheetData>
    <row r="1" spans="1:7" ht="16.2" thickBot="1" x14ac:dyDescent="0.35">
      <c r="A1" s="28"/>
      <c r="B1" s="25"/>
    </row>
    <row r="2" spans="1:7" ht="14.4" thickBot="1" x14ac:dyDescent="0.35">
      <c r="B2" s="70" t="s">
        <v>167</v>
      </c>
    </row>
    <row r="3" spans="1:7" x14ac:dyDescent="0.3">
      <c r="B3" s="25"/>
    </row>
    <row r="4" spans="1:7" ht="15.75" customHeight="1" thickBot="1" x14ac:dyDescent="0.35">
      <c r="B4" s="130" t="s">
        <v>116</v>
      </c>
      <c r="C4" s="131">
        <f>'Fluxo de Caixa Regulado'!C4</f>
        <v>2024</v>
      </c>
      <c r="D4" s="131">
        <f>'Fluxo de Caixa Regulado'!D4</f>
        <v>2025</v>
      </c>
      <c r="E4" s="131">
        <f>'Fluxo de Caixa Regulado'!E4</f>
        <v>2026</v>
      </c>
      <c r="F4" s="131">
        <f>'Fluxo de Caixa Regulado'!F4</f>
        <v>2027</v>
      </c>
      <c r="G4" s="131">
        <f>'Fluxo de Caixa Regulado'!G4</f>
        <v>2028</v>
      </c>
    </row>
    <row r="5" spans="1:7" ht="15.75" customHeight="1" thickTop="1" x14ac:dyDescent="0.3">
      <c r="B5" s="134"/>
      <c r="C5" s="135"/>
      <c r="D5" s="135"/>
      <c r="E5" s="135"/>
      <c r="F5" s="135"/>
      <c r="G5" s="135"/>
    </row>
    <row r="6" spans="1:7" x14ac:dyDescent="0.3">
      <c r="B6" s="138" t="s">
        <v>117</v>
      </c>
      <c r="C6" s="139">
        <f>C12/(1-Premissas!B10-Premissas!B11-Premissas!B12)</f>
        <v>105.28082378740882</v>
      </c>
      <c r="D6" s="139">
        <f>D12/(1-Premissas!C10-Premissas!C11-Premissas!C12)</f>
        <v>104.9931723883455</v>
      </c>
      <c r="E6" s="139">
        <f>E12/(1-Premissas!D10-Premissas!D11-Premissas!D12)</f>
        <v>104.9931723883455</v>
      </c>
      <c r="F6" s="139">
        <f>F12/(1-Premissas!E10-Premissas!E11-Premissas!E12)</f>
        <v>104.9931723883455</v>
      </c>
      <c r="G6" s="139">
        <f>G12/(1-Premissas!F10-Premissas!F11-Premissas!F12)</f>
        <v>105.28082491543687</v>
      </c>
    </row>
    <row r="7" spans="1:7" x14ac:dyDescent="0.3">
      <c r="B7" s="142" t="s">
        <v>118</v>
      </c>
      <c r="C7" s="143">
        <f>C6*Premissas!B$10</f>
        <v>12.633698854489058</v>
      </c>
      <c r="D7" s="143">
        <f>D6*Premissas!C$10</f>
        <v>12.599180686601459</v>
      </c>
      <c r="E7" s="143">
        <f>E6*Premissas!D$10</f>
        <v>12.599180686601459</v>
      </c>
      <c r="F7" s="143">
        <f>F6*Premissas!E$10</f>
        <v>12.599180686601459</v>
      </c>
      <c r="G7" s="143">
        <f>G6*Premissas!F$10</f>
        <v>12.633698989852423</v>
      </c>
    </row>
    <row r="8" spans="1:7" x14ac:dyDescent="0.3">
      <c r="B8" s="128" t="s">
        <v>119</v>
      </c>
      <c r="C8" s="146">
        <f>C6*Premissas!B$11</f>
        <v>1.7371335924922455</v>
      </c>
      <c r="D8" s="146">
        <f>D6*Premissas!C$11</f>
        <v>1.7323873444077009</v>
      </c>
      <c r="E8" s="146">
        <f>E6*Premissas!D$11</f>
        <v>1.7323873444077009</v>
      </c>
      <c r="F8" s="146">
        <f>F6*Premissas!E$11</f>
        <v>1.7323873444077009</v>
      </c>
      <c r="G8" s="146">
        <f>G6*Premissas!F$11</f>
        <v>1.7371336111047084</v>
      </c>
    </row>
    <row r="9" spans="1:7" x14ac:dyDescent="0.3">
      <c r="B9" s="142" t="s">
        <v>120</v>
      </c>
      <c r="C9" s="143">
        <f>C6*Premissas!B$12</f>
        <v>8.0013426078430694</v>
      </c>
      <c r="D9" s="143">
        <f>D6*Premissas!C$12</f>
        <v>7.9794811015142582</v>
      </c>
      <c r="E9" s="143">
        <f>E6*Premissas!D$12</f>
        <v>7.9794811015142582</v>
      </c>
      <c r="F9" s="143">
        <f>F6*Premissas!E$12</f>
        <v>7.9794811015142582</v>
      </c>
      <c r="G9" s="143">
        <f>G6*Premissas!F$12</f>
        <v>8.0013426935732017</v>
      </c>
    </row>
    <row r="10" spans="1:7" x14ac:dyDescent="0.3">
      <c r="B10" s="128" t="s">
        <v>121</v>
      </c>
      <c r="C10" s="146">
        <v>0</v>
      </c>
      <c r="D10" s="146">
        <v>0</v>
      </c>
      <c r="E10" s="146">
        <v>0</v>
      </c>
      <c r="F10" s="146">
        <v>0</v>
      </c>
      <c r="G10" s="146">
        <v>0</v>
      </c>
    </row>
    <row r="11" spans="1:7" x14ac:dyDescent="0.3">
      <c r="B11" s="142" t="s">
        <v>122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</row>
    <row r="12" spans="1:7" x14ac:dyDescent="0.3">
      <c r="B12" s="138" t="s">
        <v>123</v>
      </c>
      <c r="C12" s="149">
        <f>($E$41*C49)</f>
        <v>82.908648732584453</v>
      </c>
      <c r="D12" s="149">
        <f>($E$41*D49)</f>
        <v>82.682123255822091</v>
      </c>
      <c r="E12" s="149">
        <f>($E$41*E49)</f>
        <v>82.682123255822091</v>
      </c>
      <c r="F12" s="149">
        <f>($E$41*F49)</f>
        <v>82.682123255822091</v>
      </c>
      <c r="G12" s="149">
        <f>($E$41*G49)</f>
        <v>82.908649620906544</v>
      </c>
    </row>
    <row r="13" spans="1:7" x14ac:dyDescent="0.3">
      <c r="B13" s="142" t="s">
        <v>124</v>
      </c>
      <c r="C13" s="152"/>
      <c r="D13" s="152"/>
      <c r="E13" s="152"/>
      <c r="F13" s="152"/>
      <c r="G13" s="152"/>
    </row>
    <row r="14" spans="1:7" x14ac:dyDescent="0.3">
      <c r="B14" s="128" t="s">
        <v>125</v>
      </c>
      <c r="C14" s="155"/>
      <c r="D14" s="155"/>
      <c r="E14" s="155"/>
      <c r="F14" s="155"/>
      <c r="G14" s="155"/>
    </row>
    <row r="15" spans="1:7" x14ac:dyDescent="0.3">
      <c r="B15" s="142" t="s">
        <v>126</v>
      </c>
      <c r="C15" s="152"/>
      <c r="D15" s="152"/>
      <c r="E15" s="152"/>
      <c r="F15" s="152"/>
      <c r="G15" s="152"/>
    </row>
    <row r="16" spans="1:7" x14ac:dyDescent="0.3">
      <c r="B16" s="128" t="s">
        <v>127</v>
      </c>
      <c r="C16" s="155"/>
      <c r="D16" s="155"/>
      <c r="E16" s="155"/>
      <c r="F16" s="155"/>
      <c r="G16" s="155"/>
    </row>
    <row r="17" spans="1:7" x14ac:dyDescent="0.3">
      <c r="B17" s="142" t="s">
        <v>128</v>
      </c>
      <c r="C17" s="152"/>
      <c r="D17" s="152"/>
      <c r="E17" s="152"/>
      <c r="F17" s="152"/>
      <c r="G17" s="152"/>
    </row>
    <row r="18" spans="1:7" x14ac:dyDescent="0.3">
      <c r="B18" s="128" t="s">
        <v>129</v>
      </c>
      <c r="C18" s="155"/>
      <c r="D18" s="155"/>
      <c r="E18" s="155"/>
      <c r="F18" s="155"/>
      <c r="G18" s="155"/>
    </row>
    <row r="19" spans="1:7" x14ac:dyDescent="0.3">
      <c r="B19" s="142" t="s">
        <v>130</v>
      </c>
      <c r="C19" s="152"/>
      <c r="D19" s="152"/>
      <c r="E19" s="152"/>
      <c r="F19" s="152"/>
      <c r="G19" s="152"/>
    </row>
    <row r="20" spans="1:7" x14ac:dyDescent="0.3">
      <c r="B20" s="128" t="s">
        <v>131</v>
      </c>
      <c r="C20" s="155"/>
      <c r="D20" s="155"/>
      <c r="E20" s="155"/>
      <c r="F20" s="155"/>
      <c r="G20" s="155"/>
    </row>
    <row r="21" spans="1:7" x14ac:dyDescent="0.3">
      <c r="B21" s="142" t="s">
        <v>132</v>
      </c>
      <c r="C21" s="152"/>
      <c r="D21" s="152"/>
      <c r="E21" s="152"/>
      <c r="F21" s="152"/>
      <c r="G21" s="152"/>
    </row>
    <row r="22" spans="1:7" x14ac:dyDescent="0.3">
      <c r="B22" s="128" t="s">
        <v>133</v>
      </c>
      <c r="C22" s="155"/>
      <c r="D22" s="155"/>
      <c r="E22" s="155"/>
      <c r="F22" s="155"/>
      <c r="G22" s="155"/>
    </row>
    <row r="23" spans="1:7" x14ac:dyDescent="0.3">
      <c r="B23" s="142" t="s">
        <v>134</v>
      </c>
      <c r="C23" s="152"/>
      <c r="D23" s="152"/>
      <c r="E23" s="152"/>
      <c r="F23" s="152"/>
      <c r="G23" s="152"/>
    </row>
    <row r="24" spans="1:7" x14ac:dyDescent="0.3">
      <c r="B24" s="128" t="s">
        <v>135</v>
      </c>
      <c r="C24" s="155"/>
      <c r="D24" s="155"/>
      <c r="E24" s="155"/>
      <c r="F24" s="155"/>
      <c r="G24" s="155"/>
    </row>
    <row r="25" spans="1:7" ht="15" x14ac:dyDescent="0.3">
      <c r="B25" s="158" t="s">
        <v>168</v>
      </c>
      <c r="C25" s="159">
        <f>C12-SUM(C13:C24)</f>
        <v>82.908648732584453</v>
      </c>
      <c r="D25" s="159">
        <f t="shared" ref="D25:G25" si="0">D12-SUM(D13:D24)</f>
        <v>82.682123255822091</v>
      </c>
      <c r="E25" s="159">
        <f t="shared" si="0"/>
        <v>82.682123255822091</v>
      </c>
      <c r="F25" s="159">
        <f t="shared" si="0"/>
        <v>82.682123255822091</v>
      </c>
      <c r="G25" s="159">
        <f t="shared" si="0"/>
        <v>82.908649620906544</v>
      </c>
    </row>
    <row r="26" spans="1:7" x14ac:dyDescent="0.3">
      <c r="B26" s="128" t="s">
        <v>137</v>
      </c>
      <c r="C26" s="155">
        <f>'Investimento e Depreciação'!Q24</f>
        <v>58.124255317800007</v>
      </c>
      <c r="D26" s="155">
        <f>'Investimento e Depreciação'!R24</f>
        <v>55.888707036346162</v>
      </c>
      <c r="E26" s="155">
        <f>'Investimento e Depreciação'!S24</f>
        <v>53.73914138110208</v>
      </c>
      <c r="F26" s="155">
        <f>'Investimento e Depreciação'!T24</f>
        <v>51.672251327982764</v>
      </c>
      <c r="G26" s="155">
        <f>'Investimento e Depreciação'!U24</f>
        <v>49.684857046137274</v>
      </c>
    </row>
    <row r="27" spans="1:7" x14ac:dyDescent="0.3">
      <c r="B27" s="142" t="s">
        <v>138</v>
      </c>
      <c r="C27" s="152">
        <f>(C14+C15+C16+C17)*(Premissas!B$11+Premissas!B$12)</f>
        <v>0</v>
      </c>
      <c r="D27" s="152">
        <f>(D14+D15+D16+D17)*(Premissas!C$11+Premissas!C$12)</f>
        <v>0</v>
      </c>
      <c r="E27" s="152">
        <f>(E14+E15+E16+E17)*(Premissas!D$11+Premissas!D$12)</f>
        <v>0</v>
      </c>
      <c r="F27" s="152">
        <f>(F14+F15+F16+F17)*(Premissas!E$11+Premissas!E$12)</f>
        <v>0</v>
      </c>
      <c r="G27" s="152">
        <f>(G14+G15+G16+G17)*(Premissas!F$11+Premissas!F$12)</f>
        <v>0</v>
      </c>
    </row>
    <row r="28" spans="1:7" x14ac:dyDescent="0.3">
      <c r="B28" s="138" t="s">
        <v>139</v>
      </c>
      <c r="C28" s="149">
        <f>C25-C26+C27</f>
        <v>24.784393414784446</v>
      </c>
      <c r="D28" s="149">
        <f t="shared" ref="D28:G28" si="1">D25-D26+D27</f>
        <v>26.79341621947593</v>
      </c>
      <c r="E28" s="149">
        <f t="shared" si="1"/>
        <v>28.942981874720012</v>
      </c>
      <c r="F28" s="149">
        <f t="shared" si="1"/>
        <v>31.009871927839328</v>
      </c>
      <c r="G28" s="149">
        <f t="shared" si="1"/>
        <v>33.22379257476927</v>
      </c>
    </row>
    <row r="29" spans="1:7" x14ac:dyDescent="0.3">
      <c r="B29" s="142" t="s">
        <v>140</v>
      </c>
      <c r="C29" s="152">
        <f>MIN(0,C28)</f>
        <v>0</v>
      </c>
      <c r="D29" s="152">
        <f t="shared" ref="D29:G29" si="2">MIN(0,D28)</f>
        <v>0</v>
      </c>
      <c r="E29" s="152">
        <f t="shared" si="2"/>
        <v>0</v>
      </c>
      <c r="F29" s="152">
        <f t="shared" si="2"/>
        <v>0</v>
      </c>
      <c r="G29" s="152">
        <f t="shared" si="2"/>
        <v>0</v>
      </c>
    </row>
    <row r="30" spans="1:7" x14ac:dyDescent="0.3">
      <c r="A30" s="71" t="s">
        <v>141</v>
      </c>
      <c r="B30" s="128" t="s">
        <v>142</v>
      </c>
      <c r="C30" s="155">
        <v>0</v>
      </c>
      <c r="D30" s="155">
        <v>0</v>
      </c>
      <c r="E30" s="155">
        <v>0</v>
      </c>
      <c r="F30" s="155">
        <v>0</v>
      </c>
      <c r="G30" s="155">
        <v>0</v>
      </c>
    </row>
    <row r="31" spans="1:7" x14ac:dyDescent="0.3">
      <c r="B31" s="142" t="s">
        <v>143</v>
      </c>
      <c r="C31" s="152">
        <f>IF(C28&lt;0,0,(C28-C30)*Premissas!B$8)</f>
        <v>6.1960983536961116</v>
      </c>
      <c r="D31" s="152">
        <f>IF(D28&lt;0,0,(D28-D30)*Premissas!C$8)</f>
        <v>6.6983540548689824</v>
      </c>
      <c r="E31" s="152">
        <f>IF(E28&lt;0,0,(E28-E30)*Premissas!D$8)</f>
        <v>7.2357454686800029</v>
      </c>
      <c r="F31" s="152">
        <f>IF(F28&lt;0,0,(F28-F30)*Premissas!E$8)</f>
        <v>7.7524679819598319</v>
      </c>
      <c r="G31" s="152">
        <f>IF(G28&lt;0,0,(G28-G30)*Premissas!F$8)</f>
        <v>8.3059481436923175</v>
      </c>
    </row>
    <row r="32" spans="1:7" x14ac:dyDescent="0.3">
      <c r="B32" s="128" t="s">
        <v>144</v>
      </c>
      <c r="C32" s="155">
        <f>IF(C28&lt;0,0,(C28-C30)*Premissas!B$9)</f>
        <v>2.2305954073306</v>
      </c>
      <c r="D32" s="155">
        <f>IF(D28&lt;0,0,(D28-D30)*Premissas!C$9)</f>
        <v>2.4114074597528337</v>
      </c>
      <c r="E32" s="155">
        <f>IF(E28&lt;0,0,(E28-E30)*Premissas!D$9)</f>
        <v>2.6048683687248011</v>
      </c>
      <c r="F32" s="155">
        <f>IF(F28&lt;0,0,(F28-F30)*Premissas!E$9)</f>
        <v>2.7908884735055395</v>
      </c>
      <c r="G32" s="155">
        <f>IF(G28&lt;0,0,(G28-G30)*Premissas!F$9)</f>
        <v>2.9901413317292342</v>
      </c>
    </row>
    <row r="33" spans="2:10" x14ac:dyDescent="0.3">
      <c r="B33" s="158" t="s">
        <v>145</v>
      </c>
      <c r="C33" s="159">
        <f>C25-C31-C32-C35</f>
        <v>16.357699653757734</v>
      </c>
      <c r="D33" s="159">
        <f t="shared" ref="D33:G33" si="3">D25-D31-D32-D35</f>
        <v>17.683654704854106</v>
      </c>
      <c r="E33" s="159">
        <f t="shared" si="3"/>
        <v>19.102368037315209</v>
      </c>
      <c r="F33" s="159">
        <f t="shared" si="3"/>
        <v>20.46651547237397</v>
      </c>
      <c r="G33" s="159">
        <f t="shared" si="3"/>
        <v>21.927703099347717</v>
      </c>
    </row>
    <row r="34" spans="2:10" s="25" customFormat="1" x14ac:dyDescent="0.3">
      <c r="B34" s="128" t="s">
        <v>146</v>
      </c>
      <c r="C34" s="155">
        <f>'Investimento e Depreciação'!Q22</f>
        <v>406.86978722460003</v>
      </c>
      <c r="D34" s="155">
        <f>'Investimento e Depreciação'!R22</f>
        <v>0</v>
      </c>
      <c r="E34" s="155">
        <f>'Investimento e Depreciação'!S22</f>
        <v>0</v>
      </c>
      <c r="F34" s="155">
        <f>'Investimento e Depreciação'!T22</f>
        <v>0</v>
      </c>
      <c r="G34" s="155">
        <f>'Investimento e Depreciação'!U22</f>
        <v>0</v>
      </c>
      <c r="H34" s="31"/>
      <c r="I34" s="31"/>
      <c r="J34" s="31"/>
    </row>
    <row r="35" spans="2:10" x14ac:dyDescent="0.3">
      <c r="B35" s="142" t="s">
        <v>147</v>
      </c>
      <c r="C35" s="152">
        <f>'Investimento e Depreciação'!Q24</f>
        <v>58.124255317800007</v>
      </c>
      <c r="D35" s="152">
        <f>'Investimento e Depreciação'!R24</f>
        <v>55.888707036346162</v>
      </c>
      <c r="E35" s="152">
        <f>'Investimento e Depreciação'!S24</f>
        <v>53.73914138110208</v>
      </c>
      <c r="F35" s="152">
        <f>'Investimento e Depreciação'!T24</f>
        <v>51.672251327982764</v>
      </c>
      <c r="G35" s="152">
        <f>'Investimento e Depreciação'!U24</f>
        <v>49.684857046137274</v>
      </c>
    </row>
    <row r="36" spans="2:10" x14ac:dyDescent="0.3">
      <c r="B36" s="128" t="s">
        <v>148</v>
      </c>
      <c r="C36" s="155"/>
      <c r="D36" s="155"/>
      <c r="E36" s="155"/>
      <c r="F36" s="155"/>
      <c r="G36" s="233">
        <f>'Investimento e Depreciação'!U25</f>
        <v>116.24851063559994</v>
      </c>
    </row>
    <row r="37" spans="2:10" x14ac:dyDescent="0.3">
      <c r="B37" s="142" t="s">
        <v>149</v>
      </c>
      <c r="C37" s="152">
        <f>C13/12+SUM(C14:C23)/8+C24/6</f>
        <v>0</v>
      </c>
      <c r="D37" s="152">
        <f>D13/12+SUM(D14:D23)/8+D24/6-SUM($C$37:C37)</f>
        <v>0</v>
      </c>
      <c r="E37" s="152">
        <f>E13/12+SUM(E14:E23)/8+E24/6-SUM($C$37:D37)</f>
        <v>0</v>
      </c>
      <c r="F37" s="152">
        <f>F13/12+SUM(F14:F23)/8+F24/6-SUM($C$37:E37)</f>
        <v>0</v>
      </c>
      <c r="G37" s="152">
        <f>G13/12+SUM(G14:G23)/8+G24/6-SUM($C$37:F37)</f>
        <v>0</v>
      </c>
    </row>
    <row r="38" spans="2:10" x14ac:dyDescent="0.3">
      <c r="B38" s="162" t="s">
        <v>150</v>
      </c>
      <c r="C38" s="163">
        <f>C33-C34+C35+C36-C37</f>
        <v>-332.38783225304229</v>
      </c>
      <c r="D38" s="163">
        <f t="shared" ref="D38:G38" si="4">D33-D34+D35+D36-D37</f>
        <v>73.572361741200268</v>
      </c>
      <c r="E38" s="163">
        <f>E33-E34+E35+E36-E37</f>
        <v>72.841509418417289</v>
      </c>
      <c r="F38" s="163">
        <f>F33-F34+F35+F36-F37</f>
        <v>72.138766800356734</v>
      </c>
      <c r="G38" s="163">
        <f t="shared" si="4"/>
        <v>187.86107078108495</v>
      </c>
    </row>
    <row r="39" spans="2:10" x14ac:dyDescent="0.3">
      <c r="B39" s="66" t="s">
        <v>151</v>
      </c>
      <c r="C39" s="403">
        <f>B66+NPV(C42,C38:G38)</f>
        <v>2.6500428373337069E-14</v>
      </c>
    </row>
    <row r="40" spans="2:10" ht="15.6" thickBot="1" x14ac:dyDescent="0.35">
      <c r="B40" s="234" t="s">
        <v>152</v>
      </c>
      <c r="C40" s="235" t="s">
        <v>169</v>
      </c>
      <c r="D40" s="236" t="s">
        <v>154</v>
      </c>
      <c r="E40" s="237" t="s">
        <v>155</v>
      </c>
      <c r="F40" s="238" t="s">
        <v>156</v>
      </c>
      <c r="G40" s="55"/>
    </row>
    <row r="41" spans="2:10" ht="14.4" thickTop="1" x14ac:dyDescent="0.3">
      <c r="B41" s="239"/>
      <c r="C41" s="240">
        <v>0.28315795332166821</v>
      </c>
      <c r="D41" s="240"/>
      <c r="E41" s="243">
        <f>C41/(C52*1000)</f>
        <v>7.5909225925291993E-3</v>
      </c>
      <c r="F41" s="241">
        <f>E41/Premissas!$B$64</f>
        <v>1.5181845185058399E-3</v>
      </c>
      <c r="G41" s="72"/>
    </row>
    <row r="42" spans="2:10" x14ac:dyDescent="0.3">
      <c r="B42" s="66" t="s">
        <v>157</v>
      </c>
      <c r="C42" s="73">
        <f>Premissas!$B$50/100</f>
        <v>7.2499999999999995E-2</v>
      </c>
    </row>
    <row r="43" spans="2:10" x14ac:dyDescent="0.3">
      <c r="B43" s="66" t="s">
        <v>158</v>
      </c>
      <c r="C43" s="74">
        <f>IRR(B66:G66)</f>
        <v>7.2499999999348752E-2</v>
      </c>
      <c r="D43" s="55"/>
      <c r="E43" s="55"/>
      <c r="G43" s="72"/>
    </row>
    <row r="44" spans="2:10" x14ac:dyDescent="0.3">
      <c r="B44" s="76" t="s">
        <v>159</v>
      </c>
    </row>
    <row r="46" spans="2:10" x14ac:dyDescent="0.3">
      <c r="B46" s="77" t="s">
        <v>160</v>
      </c>
      <c r="C46" s="369">
        <f>C4</f>
        <v>2024</v>
      </c>
      <c r="D46" s="369">
        <f t="shared" ref="D46:G46" si="5">D4</f>
        <v>2025</v>
      </c>
      <c r="E46" s="369">
        <f t="shared" si="5"/>
        <v>2026</v>
      </c>
      <c r="F46" s="369">
        <f t="shared" si="5"/>
        <v>2027</v>
      </c>
      <c r="G46" s="369">
        <f t="shared" si="5"/>
        <v>2028</v>
      </c>
    </row>
    <row r="47" spans="2:10" x14ac:dyDescent="0.3">
      <c r="B47" s="78" t="s">
        <v>161</v>
      </c>
      <c r="C47" s="79">
        <f>+(C56*C59)+(C57*C60)</f>
        <v>800</v>
      </c>
      <c r="D47" s="79">
        <f t="shared" ref="D47:G47" si="6">+(D56*D59)+(D57*D60)</f>
        <v>800</v>
      </c>
      <c r="E47" s="79">
        <f t="shared" si="6"/>
        <v>800</v>
      </c>
      <c r="F47" s="79">
        <f t="shared" si="6"/>
        <v>800</v>
      </c>
      <c r="G47" s="79">
        <f t="shared" si="6"/>
        <v>800</v>
      </c>
    </row>
    <row r="48" spans="2:10" x14ac:dyDescent="0.3">
      <c r="B48" s="80" t="s">
        <v>79</v>
      </c>
      <c r="C48" s="100">
        <f>C47*C51</f>
        <v>292800</v>
      </c>
      <c r="D48" s="101">
        <f>D47*D51</f>
        <v>292000</v>
      </c>
      <c r="E48" s="101">
        <f>E47*E51</f>
        <v>292000</v>
      </c>
      <c r="F48" s="101">
        <f t="shared" ref="F48:G48" si="7">F47*F51</f>
        <v>292000</v>
      </c>
      <c r="G48" s="101">
        <f t="shared" si="7"/>
        <v>292800</v>
      </c>
    </row>
    <row r="49" spans="2:7" x14ac:dyDescent="0.3">
      <c r="B49" s="80" t="s">
        <v>80</v>
      </c>
      <c r="C49" s="100">
        <f>C48*C52</f>
        <v>10922.078011199999</v>
      </c>
      <c r="D49" s="101">
        <f t="shared" ref="D49:G49" si="8">D48*D52</f>
        <v>10892.236384704518</v>
      </c>
      <c r="E49" s="101">
        <f t="shared" si="8"/>
        <v>10892.236384704518</v>
      </c>
      <c r="F49" s="101">
        <f t="shared" si="8"/>
        <v>10892.236384704518</v>
      </c>
      <c r="G49" s="101">
        <f t="shared" si="8"/>
        <v>10922.078128224257</v>
      </c>
    </row>
    <row r="50" spans="2:7" x14ac:dyDescent="0.3">
      <c r="B50" s="80" t="s">
        <v>81</v>
      </c>
      <c r="C50" s="102">
        <f>Premissas!B57</f>
        <v>366</v>
      </c>
      <c r="D50" s="103">
        <f>Premissas!C57</f>
        <v>365</v>
      </c>
      <c r="E50" s="103">
        <f>Premissas!D57</f>
        <v>365</v>
      </c>
      <c r="F50" s="103">
        <f>Premissas!E57</f>
        <v>365</v>
      </c>
      <c r="G50" s="103">
        <f>Premissas!F57</f>
        <v>366</v>
      </c>
    </row>
    <row r="51" spans="2:7" x14ac:dyDescent="0.3">
      <c r="B51" s="80" t="s">
        <v>50</v>
      </c>
      <c r="C51" s="102">
        <f>Premissas!B58</f>
        <v>366</v>
      </c>
      <c r="D51" s="103">
        <f>Premissas!C58</f>
        <v>365</v>
      </c>
      <c r="E51" s="103">
        <f>Premissas!D58</f>
        <v>365</v>
      </c>
      <c r="F51" s="103">
        <f>Premissas!E58</f>
        <v>365</v>
      </c>
      <c r="G51" s="103">
        <f>Premissas!F58</f>
        <v>366</v>
      </c>
    </row>
    <row r="52" spans="2:7" x14ac:dyDescent="0.3">
      <c r="B52" s="81" t="s">
        <v>48</v>
      </c>
      <c r="C52" s="104">
        <f>Premissas!B56</f>
        <v>3.7302178999999998E-2</v>
      </c>
      <c r="D52" s="105">
        <f>Premissas!C56</f>
        <v>3.7302179399673008E-2</v>
      </c>
      <c r="E52" s="105">
        <f>Premissas!D56</f>
        <v>3.7302179399673008E-2</v>
      </c>
      <c r="F52" s="105">
        <f>Premissas!E56</f>
        <v>3.7302179399673008E-2</v>
      </c>
      <c r="G52" s="105">
        <f>Premissas!F56</f>
        <v>3.7302179399673008E-2</v>
      </c>
    </row>
    <row r="55" spans="2:7" x14ac:dyDescent="0.3">
      <c r="C55" s="400">
        <f>C4</f>
        <v>2024</v>
      </c>
      <c r="D55" s="400">
        <f>D4</f>
        <v>2025</v>
      </c>
      <c r="E55" s="400">
        <f>E4</f>
        <v>2026</v>
      </c>
      <c r="F55" s="400">
        <f>F4</f>
        <v>2027</v>
      </c>
      <c r="G55" s="400">
        <f>G4</f>
        <v>2028</v>
      </c>
    </row>
    <row r="56" spans="2:7" x14ac:dyDescent="0.3">
      <c r="B56" s="3" t="s">
        <v>75</v>
      </c>
      <c r="C56" s="314">
        <f>'Fluxo de Caixa Regulado'!C56</f>
        <v>800</v>
      </c>
      <c r="D56" s="314">
        <f>'Fluxo de Caixa Regulado'!D56</f>
        <v>800</v>
      </c>
      <c r="E56" s="314">
        <f>'Fluxo de Caixa Regulado'!E56</f>
        <v>800</v>
      </c>
      <c r="F56" s="314">
        <f>'Fluxo de Caixa Regulado'!F56</f>
        <v>800</v>
      </c>
      <c r="G56" s="314">
        <f>'Fluxo de Caixa Regulado'!G56</f>
        <v>800</v>
      </c>
    </row>
    <row r="57" spans="2:7" x14ac:dyDescent="0.3">
      <c r="B57" s="4" t="s">
        <v>76</v>
      </c>
      <c r="C57" s="314">
        <f>'Fluxo de Caixa Regulado'!C57</f>
        <v>800</v>
      </c>
      <c r="D57" s="314">
        <f>'Fluxo de Caixa Regulado'!D57</f>
        <v>800</v>
      </c>
      <c r="E57" s="314">
        <f>'Fluxo de Caixa Regulado'!E57</f>
        <v>800</v>
      </c>
      <c r="F57" s="314">
        <f>'Fluxo de Caixa Regulado'!F57</f>
        <v>800</v>
      </c>
      <c r="G57" s="314">
        <f>'Fluxo de Caixa Regulado'!G57</f>
        <v>800</v>
      </c>
    </row>
    <row r="58" spans="2:7" x14ac:dyDescent="0.3">
      <c r="C58" s="52"/>
      <c r="D58" s="52"/>
      <c r="E58" s="52"/>
      <c r="F58" s="52"/>
      <c r="G58" s="52"/>
    </row>
    <row r="59" spans="2:7" x14ac:dyDescent="0.3">
      <c r="B59" s="7" t="s">
        <v>163</v>
      </c>
      <c r="C59" s="24">
        <f>+'Cálculo Encargos ECE, ECT e ECS'!I43</f>
        <v>0.7</v>
      </c>
      <c r="D59" s="24">
        <f>+C59</f>
        <v>0.7</v>
      </c>
      <c r="E59" s="24">
        <f t="shared" ref="E59:G60" si="9">+D59</f>
        <v>0.7</v>
      </c>
      <c r="F59" s="24">
        <f t="shared" si="9"/>
        <v>0.7</v>
      </c>
      <c r="G59" s="24">
        <f t="shared" si="9"/>
        <v>0.7</v>
      </c>
    </row>
    <row r="60" spans="2:7" x14ac:dyDescent="0.3">
      <c r="B60" s="7" t="s">
        <v>164</v>
      </c>
      <c r="C60" s="24">
        <f>+'Cálculo Encargos ECE, ECT e ECS'!I44</f>
        <v>0.30000000000000004</v>
      </c>
      <c r="D60" s="24">
        <f>+C60</f>
        <v>0.30000000000000004</v>
      </c>
      <c r="E60" s="24">
        <f t="shared" si="9"/>
        <v>0.30000000000000004</v>
      </c>
      <c r="F60" s="24">
        <f t="shared" si="9"/>
        <v>0.30000000000000004</v>
      </c>
      <c r="G60" s="24">
        <f t="shared" si="9"/>
        <v>0.30000000000000004</v>
      </c>
    </row>
    <row r="65" spans="1:7" x14ac:dyDescent="0.3">
      <c r="B65" s="83"/>
      <c r="C65" s="84"/>
    </row>
    <row r="66" spans="1:7" x14ac:dyDescent="0.3">
      <c r="A66" s="85" t="s">
        <v>165</v>
      </c>
      <c r="B66" s="86">
        <f>-'Investimento e Depreciação'!P25</f>
        <v>0</v>
      </c>
      <c r="C66" s="87">
        <f>+C38</f>
        <v>-332.38783225304229</v>
      </c>
      <c r="D66" s="87">
        <f t="shared" ref="D66:G66" si="10">+D38</f>
        <v>73.572361741200268</v>
      </c>
      <c r="E66" s="87">
        <f t="shared" si="10"/>
        <v>72.841509418417289</v>
      </c>
      <c r="F66" s="87">
        <f t="shared" si="10"/>
        <v>72.138766800356734</v>
      </c>
      <c r="G66" s="87">
        <f t="shared" si="10"/>
        <v>187.86107078108495</v>
      </c>
    </row>
    <row r="67" spans="1:7" x14ac:dyDescent="0.3">
      <c r="B67" s="55"/>
      <c r="C67" s="84"/>
    </row>
  </sheetData>
  <pageMargins left="0.51181102362204722" right="0.51181102362204722" top="0.78740157480314965" bottom="0.78740157480314965" header="0.31496062992125984" footer="0.31496062992125984"/>
  <pageSetup paperSize="9" scale="75" fitToHeight="2" orientation="landscape" r:id="rId1"/>
  <headerFooter>
    <oddHeader>&amp;R&amp;"Calibri"&amp;14&amp;K0078D7NP-1&amp;1#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>
    <tabColor theme="8"/>
    <pageSetUpPr fitToPage="1"/>
  </sheetPr>
  <dimension ref="A1:O67"/>
  <sheetViews>
    <sheetView showGridLines="0" zoomScaleNormal="100" workbookViewId="0">
      <pane xSplit="2" ySplit="5" topLeftCell="C35" activePane="bottomRight" state="frozen"/>
      <selection pane="topRight" activeCell="I84" sqref="I84"/>
      <selection pane="bottomLeft" activeCell="I84" sqref="I84"/>
      <selection pane="bottomRight" activeCell="C41" sqref="C41"/>
    </sheetView>
  </sheetViews>
  <sheetFormatPr defaultColWidth="9.21875" defaultRowHeight="13.8" x14ac:dyDescent="0.3"/>
  <cols>
    <col min="1" max="1" width="10.5546875" style="31" bestFit="1" customWidth="1"/>
    <col min="2" max="2" width="75.77734375" style="31" bestFit="1" customWidth="1"/>
    <col min="3" max="3" width="15.5546875" style="31" bestFit="1" customWidth="1"/>
    <col min="4" max="4" width="15.21875" style="31" bestFit="1" customWidth="1"/>
    <col min="5" max="5" width="11.77734375" style="31" bestFit="1" customWidth="1"/>
    <col min="6" max="6" width="12.21875" style="31" bestFit="1" customWidth="1"/>
    <col min="7" max="7" width="11.77734375" style="31" bestFit="1" customWidth="1"/>
    <col min="8" max="12" width="11.77734375" style="31" hidden="1" customWidth="1"/>
    <col min="13" max="16384" width="9.21875" style="31"/>
  </cols>
  <sheetData>
    <row r="1" spans="1:12" ht="16.2" thickBot="1" x14ac:dyDescent="0.35">
      <c r="A1" s="28"/>
      <c r="B1" s="25"/>
    </row>
    <row r="2" spans="1:12" ht="14.4" thickBot="1" x14ac:dyDescent="0.35">
      <c r="B2" s="70" t="s">
        <v>170</v>
      </c>
    </row>
    <row r="3" spans="1:12" x14ac:dyDescent="0.3">
      <c r="B3" s="25"/>
    </row>
    <row r="4" spans="1:12" ht="15.75" customHeight="1" thickBot="1" x14ac:dyDescent="0.35">
      <c r="B4" s="130" t="s">
        <v>116</v>
      </c>
      <c r="C4" s="131">
        <f>'Fluxo de Caixa Regulado'!C4</f>
        <v>2024</v>
      </c>
      <c r="D4" s="131">
        <f>'Fluxo de Caixa Regulado'!D4</f>
        <v>2025</v>
      </c>
      <c r="E4" s="131">
        <f>'Fluxo de Caixa Regulado'!E4</f>
        <v>2026</v>
      </c>
      <c r="F4" s="131">
        <f>'Fluxo de Caixa Regulado'!F4</f>
        <v>2027</v>
      </c>
      <c r="G4" s="131">
        <f>'Fluxo de Caixa Regulado'!G4</f>
        <v>2028</v>
      </c>
      <c r="H4" s="132">
        <v>2025</v>
      </c>
      <c r="I4" s="132">
        <v>2026</v>
      </c>
      <c r="J4" s="132">
        <v>2027</v>
      </c>
      <c r="K4" s="132">
        <v>2028</v>
      </c>
      <c r="L4" s="133">
        <v>2029</v>
      </c>
    </row>
    <row r="5" spans="1:12" ht="15.75" customHeight="1" thickTop="1" x14ac:dyDescent="0.3">
      <c r="B5" s="134"/>
      <c r="C5" s="135"/>
      <c r="D5" s="135"/>
      <c r="E5" s="135"/>
      <c r="F5" s="135"/>
      <c r="G5" s="135"/>
      <c r="H5" s="136"/>
      <c r="I5" s="136"/>
      <c r="J5" s="136"/>
      <c r="K5" s="136"/>
      <c r="L5" s="137"/>
    </row>
    <row r="6" spans="1:12" x14ac:dyDescent="0.3">
      <c r="B6" s="138" t="s">
        <v>117</v>
      </c>
      <c r="C6" s="139">
        <f>C12/(1-Premissas!B10-Premissas!B11-Premissas!B12)</f>
        <v>-1.2899734190882771E-15</v>
      </c>
      <c r="D6" s="139">
        <f>D12/(1-Premissas!C10-Premissas!C11-Premissas!C12)</f>
        <v>-1.2864489153334003E-15</v>
      </c>
      <c r="E6" s="139">
        <f>E12/(1-Premissas!D10-Premissas!D11-Premissas!D12)</f>
        <v>-1.2864489153334003E-15</v>
      </c>
      <c r="F6" s="139">
        <f>F12/(1-Premissas!E10-Premissas!E11-Premissas!E12)</f>
        <v>-1.2864489153334003E-15</v>
      </c>
      <c r="G6" s="139">
        <f>G12/(1-Premissas!F10-Premissas!F11-Premissas!F12)</f>
        <v>-1.2899734329096562E-15</v>
      </c>
      <c r="H6" s="140" t="e">
        <f>H12/(1-Premissas!#REF!-Premissas!#REF!-Premissas!#REF!)</f>
        <v>#REF!</v>
      </c>
      <c r="I6" s="140" t="e">
        <f>I12/(1-Premissas!#REF!-Premissas!#REF!-Premissas!#REF!)</f>
        <v>#REF!</v>
      </c>
      <c r="J6" s="140" t="e">
        <f>J12/(1-Premissas!#REF!-Premissas!#REF!-Premissas!#REF!)</f>
        <v>#REF!</v>
      </c>
      <c r="K6" s="140" t="e">
        <f>K12/(1-Premissas!#REF!-Premissas!#REF!-Premissas!#REF!)</f>
        <v>#REF!</v>
      </c>
      <c r="L6" s="141" t="e">
        <f>L12/(1-Premissas!#REF!-Premissas!#REF!-Premissas!#REF!)</f>
        <v>#REF!</v>
      </c>
    </row>
    <row r="7" spans="1:12" x14ac:dyDescent="0.3">
      <c r="B7" s="142" t="s">
        <v>118</v>
      </c>
      <c r="C7" s="143">
        <f>C6*Premissas!B$10</f>
        <v>-1.5479681029059324E-16</v>
      </c>
      <c r="D7" s="143">
        <f>D6*Premissas!C$10</f>
        <v>-1.5437386984000801E-16</v>
      </c>
      <c r="E7" s="143">
        <f>E6*Premissas!D$10</f>
        <v>-1.5437386984000801E-16</v>
      </c>
      <c r="F7" s="143">
        <f>F6*Premissas!E$10</f>
        <v>-1.5437386984000801E-16</v>
      </c>
      <c r="G7" s="143">
        <f>G6*Premissas!F$10</f>
        <v>-1.5479681194915875E-16</v>
      </c>
      <c r="H7" s="144" t="e">
        <f>H6*Premissas!#REF!</f>
        <v>#REF!</v>
      </c>
      <c r="I7" s="144" t="e">
        <f>I6*Premissas!#REF!</f>
        <v>#REF!</v>
      </c>
      <c r="J7" s="144" t="e">
        <f>J6*Premissas!#REF!</f>
        <v>#REF!</v>
      </c>
      <c r="K7" s="144" t="e">
        <f>K6*Premissas!#REF!</f>
        <v>#REF!</v>
      </c>
      <c r="L7" s="145" t="e">
        <f>L6*Premissas!#REF!</f>
        <v>#REF!</v>
      </c>
    </row>
    <row r="8" spans="1:12" x14ac:dyDescent="0.3">
      <c r="B8" s="128" t="s">
        <v>119</v>
      </c>
      <c r="C8" s="146">
        <f>C6*Premissas!B$11</f>
        <v>-2.1284561414956574E-17</v>
      </c>
      <c r="D8" s="146">
        <f>D6*Premissas!C$11</f>
        <v>-2.1226407103001104E-17</v>
      </c>
      <c r="E8" s="146">
        <f>E6*Premissas!D$11</f>
        <v>-2.1226407103001104E-17</v>
      </c>
      <c r="F8" s="146">
        <f>F6*Premissas!E$11</f>
        <v>-2.1226407103001104E-17</v>
      </c>
      <c r="G8" s="146">
        <f>G6*Premissas!F$11</f>
        <v>-2.1284561643009328E-17</v>
      </c>
      <c r="H8" s="147" t="e">
        <f>H6*Premissas!#REF!</f>
        <v>#REF!</v>
      </c>
      <c r="I8" s="147" t="e">
        <f>I6*Premissas!#REF!</f>
        <v>#REF!</v>
      </c>
      <c r="J8" s="147" t="e">
        <f>J6*Premissas!#REF!</f>
        <v>#REF!</v>
      </c>
      <c r="K8" s="147" t="e">
        <f>K6*Premissas!#REF!</f>
        <v>#REF!</v>
      </c>
      <c r="L8" s="148" t="e">
        <f>L6*Premissas!#REF!</f>
        <v>#REF!</v>
      </c>
    </row>
    <row r="9" spans="1:12" x14ac:dyDescent="0.3">
      <c r="B9" s="142" t="s">
        <v>120</v>
      </c>
      <c r="C9" s="143">
        <f>C6*Premissas!B$12</f>
        <v>-9.8037979850709053E-17</v>
      </c>
      <c r="D9" s="143">
        <f>D6*Premissas!C$12</f>
        <v>-9.7770117565338415E-17</v>
      </c>
      <c r="E9" s="143">
        <f>E6*Premissas!D$12</f>
        <v>-9.7770117565338415E-17</v>
      </c>
      <c r="F9" s="143">
        <f>F6*Premissas!E$12</f>
        <v>-9.7770117565338415E-17</v>
      </c>
      <c r="G9" s="143">
        <f>G6*Premissas!F$12</f>
        <v>-9.8037980901133863E-17</v>
      </c>
      <c r="H9" s="144" t="e">
        <f>H6*Premissas!#REF!</f>
        <v>#REF!</v>
      </c>
      <c r="I9" s="144" t="e">
        <f>I6*Premissas!#REF!</f>
        <v>#REF!</v>
      </c>
      <c r="J9" s="144" t="e">
        <f>J6*Premissas!#REF!</f>
        <v>#REF!</v>
      </c>
      <c r="K9" s="144" t="e">
        <f>K6*Premissas!#REF!</f>
        <v>#REF!</v>
      </c>
      <c r="L9" s="145" t="e">
        <f>L6*Premissas!#REF!</f>
        <v>#REF!</v>
      </c>
    </row>
    <row r="10" spans="1:12" x14ac:dyDescent="0.3">
      <c r="B10" s="128" t="s">
        <v>121</v>
      </c>
      <c r="C10" s="146">
        <v>0</v>
      </c>
      <c r="D10" s="146">
        <v>0</v>
      </c>
      <c r="E10" s="146">
        <v>0</v>
      </c>
      <c r="F10" s="146">
        <v>0</v>
      </c>
      <c r="G10" s="146">
        <v>0</v>
      </c>
      <c r="H10" s="147">
        <v>0</v>
      </c>
      <c r="I10" s="147">
        <v>0</v>
      </c>
      <c r="J10" s="147">
        <v>0</v>
      </c>
      <c r="K10" s="147">
        <v>0</v>
      </c>
      <c r="L10" s="148">
        <v>0</v>
      </c>
    </row>
    <row r="11" spans="1:12" x14ac:dyDescent="0.3">
      <c r="B11" s="142" t="s">
        <v>122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4">
        <v>0</v>
      </c>
      <c r="I11" s="144">
        <v>0</v>
      </c>
      <c r="J11" s="144">
        <v>0</v>
      </c>
      <c r="K11" s="144">
        <v>0</v>
      </c>
      <c r="L11" s="145">
        <v>0</v>
      </c>
    </row>
    <row r="12" spans="1:12" x14ac:dyDescent="0.3">
      <c r="B12" s="138" t="s">
        <v>123</v>
      </c>
      <c r="C12" s="149">
        <f>($E$41*C49)</f>
        <v>-1.0158540675320183E-15</v>
      </c>
      <c r="D12" s="149">
        <f t="shared" ref="D12" si="0">($E$41*D49)</f>
        <v>-1.0130785208250528E-15</v>
      </c>
      <c r="E12" s="149">
        <f>($E$41*E49)</f>
        <v>-1.0130785208250528E-15</v>
      </c>
      <c r="F12" s="149">
        <f>($E$41*F49)</f>
        <v>-1.0130785208250528E-15</v>
      </c>
      <c r="G12" s="149">
        <f>($E$41*G49)</f>
        <v>-1.0158540784163544E-15</v>
      </c>
      <c r="H12" s="150" t="e">
        <f t="shared" ref="H12:L12" si="1">($E$41*H49)</f>
        <v>#REF!</v>
      </c>
      <c r="I12" s="150" t="e">
        <f t="shared" si="1"/>
        <v>#REF!</v>
      </c>
      <c r="J12" s="150" t="e">
        <f t="shared" si="1"/>
        <v>#REF!</v>
      </c>
      <c r="K12" s="150" t="e">
        <f t="shared" si="1"/>
        <v>#REF!</v>
      </c>
      <c r="L12" s="151" t="e">
        <f t="shared" si="1"/>
        <v>#REF!</v>
      </c>
    </row>
    <row r="13" spans="1:12" x14ac:dyDescent="0.3">
      <c r="B13" s="142" t="s">
        <v>124</v>
      </c>
      <c r="C13" s="152"/>
      <c r="D13" s="152"/>
      <c r="E13" s="152"/>
      <c r="F13" s="152"/>
      <c r="G13" s="152"/>
      <c r="H13" s="153"/>
      <c r="I13" s="153"/>
      <c r="J13" s="153"/>
      <c r="K13" s="153"/>
      <c r="L13" s="154"/>
    </row>
    <row r="14" spans="1:12" x14ac:dyDescent="0.3">
      <c r="B14" s="128" t="s">
        <v>125</v>
      </c>
      <c r="C14" s="155">
        <f>+'Fluxo de Caixa Regulado'!C14*Premissas!B$63</f>
        <v>0</v>
      </c>
      <c r="D14" s="155">
        <f>+'Fluxo de Caixa Regulado'!D14*Premissas!C$63</f>
        <v>0</v>
      </c>
      <c r="E14" s="155">
        <f>+'Fluxo de Caixa Regulado'!E14*Premissas!D$63</f>
        <v>0</v>
      </c>
      <c r="F14" s="155">
        <f>+'Fluxo de Caixa Regulado'!F14*Premissas!E$63</f>
        <v>0</v>
      </c>
      <c r="G14" s="155">
        <f>+'Fluxo de Caixa Regulado'!G14*Premissas!F$63</f>
        <v>0</v>
      </c>
      <c r="H14" s="156" t="e">
        <f>+'Fluxo de Caixa Regulado'!#REF!*Premissas!#REF!</f>
        <v>#REF!</v>
      </c>
      <c r="I14" s="156" t="e">
        <f>+'Fluxo de Caixa Regulado'!#REF!*Premissas!#REF!</f>
        <v>#REF!</v>
      </c>
      <c r="J14" s="156" t="e">
        <f>+'Fluxo de Caixa Regulado'!#REF!*Premissas!#REF!</f>
        <v>#REF!</v>
      </c>
      <c r="K14" s="156" t="e">
        <f>+'Fluxo de Caixa Regulado'!#REF!*Premissas!#REF!</f>
        <v>#REF!</v>
      </c>
      <c r="L14" s="157" t="e">
        <f>+'Fluxo de Caixa Regulado'!#REF!*Premissas!#REF!</f>
        <v>#REF!</v>
      </c>
    </row>
    <row r="15" spans="1:12" x14ac:dyDescent="0.3">
      <c r="B15" s="142" t="s">
        <v>126</v>
      </c>
      <c r="C15" s="152">
        <f>+'Fluxo de Caixa Regulado'!C15*Premissas!B$63</f>
        <v>0</v>
      </c>
      <c r="D15" s="152">
        <f>+'Fluxo de Caixa Regulado'!D15*Premissas!C$63</f>
        <v>0</v>
      </c>
      <c r="E15" s="152">
        <f>+'Fluxo de Caixa Regulado'!E15*Premissas!D$63</f>
        <v>0</v>
      </c>
      <c r="F15" s="152">
        <f>+'Fluxo de Caixa Regulado'!F15*Premissas!E$63</f>
        <v>0</v>
      </c>
      <c r="G15" s="152">
        <f>+'Fluxo de Caixa Regulado'!G15*Premissas!F$63</f>
        <v>0</v>
      </c>
      <c r="H15" s="153" t="e">
        <f>+'Fluxo de Caixa Regulado'!#REF!*Premissas!#REF!</f>
        <v>#REF!</v>
      </c>
      <c r="I15" s="153" t="e">
        <f>+'Fluxo de Caixa Regulado'!#REF!*Premissas!#REF!</f>
        <v>#REF!</v>
      </c>
      <c r="J15" s="153" t="e">
        <f>+'Fluxo de Caixa Regulado'!#REF!*Premissas!#REF!</f>
        <v>#REF!</v>
      </c>
      <c r="K15" s="153" t="e">
        <f>+'Fluxo de Caixa Regulado'!#REF!*Premissas!#REF!</f>
        <v>#REF!</v>
      </c>
      <c r="L15" s="154" t="e">
        <f>+'Fluxo de Caixa Regulado'!#REF!*Premissas!#REF!</f>
        <v>#REF!</v>
      </c>
    </row>
    <row r="16" spans="1:12" x14ac:dyDescent="0.3">
      <c r="B16" s="128" t="s">
        <v>127</v>
      </c>
      <c r="C16" s="155">
        <f>+'Fluxo de Caixa Regulado'!C16*Premissas!B$63</f>
        <v>0</v>
      </c>
      <c r="D16" s="155">
        <f>+'Fluxo de Caixa Regulado'!D16*Premissas!C$63</f>
        <v>0</v>
      </c>
      <c r="E16" s="155">
        <f>+'Fluxo de Caixa Regulado'!E16*Premissas!D$63</f>
        <v>0</v>
      </c>
      <c r="F16" s="155">
        <f>+'Fluxo de Caixa Regulado'!F16*Premissas!E$63</f>
        <v>0</v>
      </c>
      <c r="G16" s="155">
        <f>+'Fluxo de Caixa Regulado'!G16*Premissas!F$63</f>
        <v>0</v>
      </c>
      <c r="H16" s="156" t="e">
        <f>+'Fluxo de Caixa Regulado'!#REF!*Premissas!#REF!</f>
        <v>#REF!</v>
      </c>
      <c r="I16" s="156" t="e">
        <f>+'Fluxo de Caixa Regulado'!#REF!*Premissas!#REF!</f>
        <v>#REF!</v>
      </c>
      <c r="J16" s="156" t="e">
        <f>+'Fluxo de Caixa Regulado'!#REF!*Premissas!#REF!</f>
        <v>#REF!</v>
      </c>
      <c r="K16" s="156" t="e">
        <f>+'Fluxo de Caixa Regulado'!#REF!*Premissas!#REF!</f>
        <v>#REF!</v>
      </c>
      <c r="L16" s="157" t="e">
        <f>+'Fluxo de Caixa Regulado'!#REF!*Premissas!#REF!</f>
        <v>#REF!</v>
      </c>
    </row>
    <row r="17" spans="1:12" x14ac:dyDescent="0.3">
      <c r="B17" s="142" t="s">
        <v>128</v>
      </c>
      <c r="C17" s="152">
        <f>+'Fluxo de Caixa Regulado'!C17*Premissas!B$63</f>
        <v>0</v>
      </c>
      <c r="D17" s="152">
        <f>+'Fluxo de Caixa Regulado'!D17*Premissas!C$63</f>
        <v>0</v>
      </c>
      <c r="E17" s="152">
        <f>+'Fluxo de Caixa Regulado'!E17*Premissas!D$63</f>
        <v>0</v>
      </c>
      <c r="F17" s="152">
        <f>+'Fluxo de Caixa Regulado'!F17*Premissas!E$63</f>
        <v>0</v>
      </c>
      <c r="G17" s="152">
        <f>+'Fluxo de Caixa Regulado'!G17*Premissas!F$63</f>
        <v>0</v>
      </c>
      <c r="H17" s="153" t="e">
        <f>+'Fluxo de Caixa Regulado'!#REF!*Premissas!#REF!</f>
        <v>#REF!</v>
      </c>
      <c r="I17" s="153" t="e">
        <f>+'Fluxo de Caixa Regulado'!#REF!*Premissas!#REF!</f>
        <v>#REF!</v>
      </c>
      <c r="J17" s="153" t="e">
        <f>+'Fluxo de Caixa Regulado'!#REF!*Premissas!#REF!</f>
        <v>#REF!</v>
      </c>
      <c r="K17" s="153" t="e">
        <f>+'Fluxo de Caixa Regulado'!#REF!*Premissas!#REF!</f>
        <v>#REF!</v>
      </c>
      <c r="L17" s="154" t="e">
        <f>+'Fluxo de Caixa Regulado'!#REF!*Premissas!#REF!</f>
        <v>#REF!</v>
      </c>
    </row>
    <row r="18" spans="1:12" x14ac:dyDescent="0.3">
      <c r="B18" s="128" t="s">
        <v>129</v>
      </c>
      <c r="C18" s="155">
        <f>+'Fluxo de Caixa Regulado'!C18*Premissas!B$63</f>
        <v>0</v>
      </c>
      <c r="D18" s="155">
        <f>+'Fluxo de Caixa Regulado'!D18*Premissas!C$63</f>
        <v>0</v>
      </c>
      <c r="E18" s="155">
        <f>+'Fluxo de Caixa Regulado'!E18*Premissas!D$63</f>
        <v>0</v>
      </c>
      <c r="F18" s="155">
        <f>+'Fluxo de Caixa Regulado'!F18*Premissas!E$63</f>
        <v>0</v>
      </c>
      <c r="G18" s="155">
        <f>+'Fluxo de Caixa Regulado'!G18*Premissas!F$63</f>
        <v>0</v>
      </c>
      <c r="H18" s="156" t="e">
        <f>+'Fluxo de Caixa Regulado'!#REF!*Premissas!#REF!</f>
        <v>#REF!</v>
      </c>
      <c r="I18" s="156" t="e">
        <f>+'Fluxo de Caixa Regulado'!#REF!*Premissas!#REF!</f>
        <v>#REF!</v>
      </c>
      <c r="J18" s="156" t="e">
        <f>+'Fluxo de Caixa Regulado'!#REF!*Premissas!#REF!</f>
        <v>#REF!</v>
      </c>
      <c r="K18" s="156" t="e">
        <f>+'Fluxo de Caixa Regulado'!#REF!*Premissas!#REF!</f>
        <v>#REF!</v>
      </c>
      <c r="L18" s="157" t="e">
        <f>+'Fluxo de Caixa Regulado'!#REF!*Premissas!#REF!</f>
        <v>#REF!</v>
      </c>
    </row>
    <row r="19" spans="1:12" x14ac:dyDescent="0.3">
      <c r="B19" s="142" t="s">
        <v>130</v>
      </c>
      <c r="C19" s="152">
        <f>+'Fluxo de Caixa Regulado'!C19*Premissas!B$63</f>
        <v>0</v>
      </c>
      <c r="D19" s="152">
        <f>+'Fluxo de Caixa Regulado'!D19*Premissas!C$63</f>
        <v>0</v>
      </c>
      <c r="E19" s="152">
        <f>+'Fluxo de Caixa Regulado'!E19*Premissas!D$63</f>
        <v>0</v>
      </c>
      <c r="F19" s="152">
        <f>+'Fluxo de Caixa Regulado'!F19*Premissas!E$63</f>
        <v>0</v>
      </c>
      <c r="G19" s="152">
        <f>+'Fluxo de Caixa Regulado'!G19*Premissas!F$63</f>
        <v>0</v>
      </c>
      <c r="H19" s="153" t="e">
        <f>+'Fluxo de Caixa Regulado'!#REF!*Premissas!#REF!</f>
        <v>#REF!</v>
      </c>
      <c r="I19" s="153" t="e">
        <f>+'Fluxo de Caixa Regulado'!#REF!*Premissas!#REF!</f>
        <v>#REF!</v>
      </c>
      <c r="J19" s="153" t="e">
        <f>+'Fluxo de Caixa Regulado'!#REF!*Premissas!#REF!</f>
        <v>#REF!</v>
      </c>
      <c r="K19" s="153" t="e">
        <f>+'Fluxo de Caixa Regulado'!#REF!*Premissas!#REF!</f>
        <v>#REF!</v>
      </c>
      <c r="L19" s="154" t="e">
        <f>+'Fluxo de Caixa Regulado'!#REF!*Premissas!#REF!</f>
        <v>#REF!</v>
      </c>
    </row>
    <row r="20" spans="1:12" x14ac:dyDescent="0.3">
      <c r="B20" s="128" t="s">
        <v>131</v>
      </c>
      <c r="C20" s="155">
        <f>+'Fluxo de Caixa Regulado'!C20*Premissas!B$63</f>
        <v>0</v>
      </c>
      <c r="D20" s="155">
        <f>+'Fluxo de Caixa Regulado'!D20*Premissas!C$63</f>
        <v>0</v>
      </c>
      <c r="E20" s="155">
        <f>+'Fluxo de Caixa Regulado'!E20*Premissas!D$63</f>
        <v>0</v>
      </c>
      <c r="F20" s="155">
        <f>+'Fluxo de Caixa Regulado'!F20*Premissas!E$63</f>
        <v>0</v>
      </c>
      <c r="G20" s="155">
        <f>+'Fluxo de Caixa Regulado'!G20*Premissas!F$63</f>
        <v>0</v>
      </c>
      <c r="H20" s="156" t="e">
        <f>+'Fluxo de Caixa Regulado'!#REF!*Premissas!#REF!</f>
        <v>#REF!</v>
      </c>
      <c r="I20" s="156" t="e">
        <f>+'Fluxo de Caixa Regulado'!#REF!*Premissas!#REF!</f>
        <v>#REF!</v>
      </c>
      <c r="J20" s="156" t="e">
        <f>+'Fluxo de Caixa Regulado'!#REF!*Premissas!#REF!</f>
        <v>#REF!</v>
      </c>
      <c r="K20" s="156" t="e">
        <f>+'Fluxo de Caixa Regulado'!#REF!*Premissas!#REF!</f>
        <v>#REF!</v>
      </c>
      <c r="L20" s="157" t="e">
        <f>+'Fluxo de Caixa Regulado'!#REF!*Premissas!#REF!</f>
        <v>#REF!</v>
      </c>
    </row>
    <row r="21" spans="1:12" x14ac:dyDescent="0.3">
      <c r="B21" s="142" t="s">
        <v>132</v>
      </c>
      <c r="C21" s="152">
        <f>+'Fluxo de Caixa Regulado'!C21*Premissas!B$63</f>
        <v>0</v>
      </c>
      <c r="D21" s="152">
        <f>+'Fluxo de Caixa Regulado'!D21*Premissas!C$63</f>
        <v>0</v>
      </c>
      <c r="E21" s="152">
        <f>+'Fluxo de Caixa Regulado'!E21*Premissas!D$63</f>
        <v>0</v>
      </c>
      <c r="F21" s="152">
        <f>+'Fluxo de Caixa Regulado'!F21*Premissas!E$63</f>
        <v>0</v>
      </c>
      <c r="G21" s="152">
        <f>+'Fluxo de Caixa Regulado'!G21*Premissas!F$63</f>
        <v>0</v>
      </c>
      <c r="H21" s="153" t="e">
        <f>+'Fluxo de Caixa Regulado'!#REF!*Premissas!#REF!</f>
        <v>#REF!</v>
      </c>
      <c r="I21" s="153" t="e">
        <f>+'Fluxo de Caixa Regulado'!#REF!*Premissas!#REF!</f>
        <v>#REF!</v>
      </c>
      <c r="J21" s="153" t="e">
        <f>+'Fluxo de Caixa Regulado'!#REF!*Premissas!#REF!</f>
        <v>#REF!</v>
      </c>
      <c r="K21" s="153" t="e">
        <f>+'Fluxo de Caixa Regulado'!#REF!*Premissas!#REF!</f>
        <v>#REF!</v>
      </c>
      <c r="L21" s="154" t="e">
        <f>+'Fluxo de Caixa Regulado'!#REF!*Premissas!#REF!</f>
        <v>#REF!</v>
      </c>
    </row>
    <row r="22" spans="1:12" x14ac:dyDescent="0.3">
      <c r="B22" s="128" t="s">
        <v>133</v>
      </c>
      <c r="C22" s="155">
        <f>+'Fluxo de Caixa Regulado'!C22*Premissas!B$63</f>
        <v>0</v>
      </c>
      <c r="D22" s="155">
        <f>+'Fluxo de Caixa Regulado'!D22*Premissas!C$63</f>
        <v>0</v>
      </c>
      <c r="E22" s="155">
        <f>+'Fluxo de Caixa Regulado'!E22*Premissas!D$63</f>
        <v>0</v>
      </c>
      <c r="F22" s="155">
        <f>+'Fluxo de Caixa Regulado'!F22*Premissas!E$63</f>
        <v>0</v>
      </c>
      <c r="G22" s="155">
        <f>+'Fluxo de Caixa Regulado'!G22*Premissas!F$63</f>
        <v>0</v>
      </c>
      <c r="H22" s="156" t="e">
        <f>+'Fluxo de Caixa Regulado'!#REF!*Premissas!#REF!</f>
        <v>#REF!</v>
      </c>
      <c r="I22" s="156" t="e">
        <f>+'Fluxo de Caixa Regulado'!#REF!*Premissas!#REF!</f>
        <v>#REF!</v>
      </c>
      <c r="J22" s="156" t="e">
        <f>+'Fluxo de Caixa Regulado'!#REF!*Premissas!#REF!</f>
        <v>#REF!</v>
      </c>
      <c r="K22" s="156" t="e">
        <f>+'Fluxo de Caixa Regulado'!#REF!*Premissas!#REF!</f>
        <v>#REF!</v>
      </c>
      <c r="L22" s="157" t="e">
        <f>+'Fluxo de Caixa Regulado'!#REF!*Premissas!#REF!</f>
        <v>#REF!</v>
      </c>
    </row>
    <row r="23" spans="1:12" x14ac:dyDescent="0.3">
      <c r="B23" s="142" t="s">
        <v>134</v>
      </c>
      <c r="C23" s="152">
        <f>+'Fluxo de Caixa Regulado'!C23*Premissas!B$63</f>
        <v>0</v>
      </c>
      <c r="D23" s="152">
        <f>+'Fluxo de Caixa Regulado'!D23*Premissas!C$63</f>
        <v>0</v>
      </c>
      <c r="E23" s="152">
        <f>+'Fluxo de Caixa Regulado'!E23*Premissas!D$63</f>
        <v>0</v>
      </c>
      <c r="F23" s="152">
        <f>+'Fluxo de Caixa Regulado'!F23*Premissas!E$63</f>
        <v>0</v>
      </c>
      <c r="G23" s="152">
        <f>+'Fluxo de Caixa Regulado'!G23*Premissas!F$63</f>
        <v>0</v>
      </c>
      <c r="H23" s="153" t="e">
        <f>+'Fluxo de Caixa Regulado'!#REF!*Premissas!#REF!</f>
        <v>#REF!</v>
      </c>
      <c r="I23" s="153" t="e">
        <f>+'Fluxo de Caixa Regulado'!#REF!*Premissas!#REF!</f>
        <v>#REF!</v>
      </c>
      <c r="J23" s="153" t="e">
        <f>+'Fluxo de Caixa Regulado'!#REF!*Premissas!#REF!</f>
        <v>#REF!</v>
      </c>
      <c r="K23" s="153" t="e">
        <f>+'Fluxo de Caixa Regulado'!#REF!*Premissas!#REF!</f>
        <v>#REF!</v>
      </c>
      <c r="L23" s="154" t="e">
        <f>+'Fluxo de Caixa Regulado'!#REF!*Premissas!#REF!</f>
        <v>#REF!</v>
      </c>
    </row>
    <row r="24" spans="1:12" x14ac:dyDescent="0.3">
      <c r="B24" s="128" t="s">
        <v>135</v>
      </c>
      <c r="C24" s="155"/>
      <c r="D24" s="155"/>
      <c r="E24" s="155"/>
      <c r="F24" s="155"/>
      <c r="G24" s="155"/>
      <c r="H24" s="156"/>
      <c r="I24" s="156"/>
      <c r="J24" s="156"/>
      <c r="K24" s="156"/>
      <c r="L24" s="157"/>
    </row>
    <row r="25" spans="1:12" ht="15" x14ac:dyDescent="0.3">
      <c r="B25" s="158" t="s">
        <v>168</v>
      </c>
      <c r="C25" s="159">
        <f>C12-SUM(C13:C24)</f>
        <v>-1.0158540675320183E-15</v>
      </c>
      <c r="D25" s="159">
        <f t="shared" ref="D25:L25" si="2">D12-SUM(D13:D24)</f>
        <v>-1.0130785208250528E-15</v>
      </c>
      <c r="E25" s="159">
        <f t="shared" si="2"/>
        <v>-1.0130785208250528E-15</v>
      </c>
      <c r="F25" s="159">
        <f t="shared" si="2"/>
        <v>-1.0130785208250528E-15</v>
      </c>
      <c r="G25" s="159">
        <f t="shared" si="2"/>
        <v>-1.0158540784163544E-15</v>
      </c>
      <c r="H25" s="160" t="e">
        <f t="shared" si="2"/>
        <v>#REF!</v>
      </c>
      <c r="I25" s="160" t="e">
        <f t="shared" si="2"/>
        <v>#REF!</v>
      </c>
      <c r="J25" s="160" t="e">
        <f t="shared" si="2"/>
        <v>#REF!</v>
      </c>
      <c r="K25" s="160" t="e">
        <f t="shared" si="2"/>
        <v>#REF!</v>
      </c>
      <c r="L25" s="161" t="e">
        <f t="shared" si="2"/>
        <v>#REF!</v>
      </c>
    </row>
    <row r="26" spans="1:12" x14ac:dyDescent="0.3">
      <c r="B26" s="128" t="s">
        <v>137</v>
      </c>
      <c r="C26" s="155"/>
      <c r="D26" s="155"/>
      <c r="E26" s="155"/>
      <c r="F26" s="155"/>
      <c r="G26" s="155"/>
      <c r="H26" s="156"/>
      <c r="I26" s="156"/>
      <c r="J26" s="156"/>
      <c r="K26" s="156"/>
      <c r="L26" s="157"/>
    </row>
    <row r="27" spans="1:12" x14ac:dyDescent="0.3">
      <c r="B27" s="142" t="s">
        <v>138</v>
      </c>
      <c r="C27" s="152">
        <f>(C14+C15+C16+C17)*(Premissas!B$11+Premissas!B$12)</f>
        <v>0</v>
      </c>
      <c r="D27" s="152">
        <f>(D14+D15+D16+D17)*(Premissas!C$11+Premissas!C$12)</f>
        <v>0</v>
      </c>
      <c r="E27" s="152">
        <f>(E14+E15+E16+E17)*(Premissas!D$11+Premissas!D$12)</f>
        <v>0</v>
      </c>
      <c r="F27" s="152">
        <f>(F14+F15+F16+F17)*(Premissas!E$11+Premissas!E$12)</f>
        <v>0</v>
      </c>
      <c r="G27" s="152">
        <f>(G14+G15+G16+G17)*(Premissas!F$11+Premissas!F$12)</f>
        <v>0</v>
      </c>
      <c r="H27" s="153" t="e">
        <f>(H14+H15+H16+H17)*(Premissas!#REF!+Premissas!#REF!)</f>
        <v>#REF!</v>
      </c>
      <c r="I27" s="153" t="e">
        <f>(I14+I15+I16+I17)*(Premissas!#REF!+Premissas!#REF!)</f>
        <v>#REF!</v>
      </c>
      <c r="J27" s="153" t="e">
        <f>(J14+J15+J16+J17)*(Premissas!#REF!+Premissas!#REF!)</f>
        <v>#REF!</v>
      </c>
      <c r="K27" s="153" t="e">
        <f>(K14+K15+K16+K17)*(Premissas!#REF!+Premissas!#REF!)</f>
        <v>#REF!</v>
      </c>
      <c r="L27" s="154" t="e">
        <f>(L14+L15+L16+L17)*(Premissas!#REF!+Premissas!#REF!)</f>
        <v>#REF!</v>
      </c>
    </row>
    <row r="28" spans="1:12" x14ac:dyDescent="0.3">
      <c r="B28" s="138" t="s">
        <v>139</v>
      </c>
      <c r="C28" s="149">
        <f>C25-C26+C27</f>
        <v>-1.0158540675320183E-15</v>
      </c>
      <c r="D28" s="149">
        <f t="shared" ref="D28:L28" si="3">D25-D26+D27</f>
        <v>-1.0130785208250528E-15</v>
      </c>
      <c r="E28" s="149">
        <f t="shared" si="3"/>
        <v>-1.0130785208250528E-15</v>
      </c>
      <c r="F28" s="149">
        <f t="shared" si="3"/>
        <v>-1.0130785208250528E-15</v>
      </c>
      <c r="G28" s="149">
        <f t="shared" si="3"/>
        <v>-1.0158540784163544E-15</v>
      </c>
      <c r="H28" s="150" t="e">
        <f t="shared" si="3"/>
        <v>#REF!</v>
      </c>
      <c r="I28" s="150" t="e">
        <f t="shared" si="3"/>
        <v>#REF!</v>
      </c>
      <c r="J28" s="150" t="e">
        <f t="shared" si="3"/>
        <v>#REF!</v>
      </c>
      <c r="K28" s="150" t="e">
        <f t="shared" si="3"/>
        <v>#REF!</v>
      </c>
      <c r="L28" s="151" t="e">
        <f t="shared" si="3"/>
        <v>#REF!</v>
      </c>
    </row>
    <row r="29" spans="1:12" x14ac:dyDescent="0.3">
      <c r="B29" s="142" t="s">
        <v>140</v>
      </c>
      <c r="C29" s="152">
        <f>MIN(0,C28)</f>
        <v>-1.0158540675320183E-15</v>
      </c>
      <c r="D29" s="152">
        <f t="shared" ref="D29:L29" si="4">MIN(0,D28)</f>
        <v>-1.0130785208250528E-15</v>
      </c>
      <c r="E29" s="152">
        <f t="shared" si="4"/>
        <v>-1.0130785208250528E-15</v>
      </c>
      <c r="F29" s="152">
        <f t="shared" si="4"/>
        <v>-1.0130785208250528E-15</v>
      </c>
      <c r="G29" s="152">
        <f t="shared" si="4"/>
        <v>-1.0158540784163544E-15</v>
      </c>
      <c r="H29" s="153" t="e">
        <f t="shared" si="4"/>
        <v>#REF!</v>
      </c>
      <c r="I29" s="153" t="e">
        <f t="shared" si="4"/>
        <v>#REF!</v>
      </c>
      <c r="J29" s="153" t="e">
        <f t="shared" si="4"/>
        <v>#REF!</v>
      </c>
      <c r="K29" s="153" t="e">
        <f t="shared" si="4"/>
        <v>#REF!</v>
      </c>
      <c r="L29" s="154" t="e">
        <f t="shared" si="4"/>
        <v>#REF!</v>
      </c>
    </row>
    <row r="30" spans="1:12" x14ac:dyDescent="0.3">
      <c r="A30" s="71" t="s">
        <v>141</v>
      </c>
      <c r="B30" s="128" t="s">
        <v>142</v>
      </c>
      <c r="C30" s="155">
        <v>0</v>
      </c>
      <c r="D30" s="155">
        <v>0</v>
      </c>
      <c r="E30" s="155">
        <v>0</v>
      </c>
      <c r="F30" s="155">
        <v>0</v>
      </c>
      <c r="G30" s="155">
        <v>0</v>
      </c>
      <c r="H30" s="156">
        <v>0</v>
      </c>
      <c r="I30" s="156">
        <v>0</v>
      </c>
      <c r="J30" s="156">
        <v>0</v>
      </c>
      <c r="K30" s="156">
        <v>0</v>
      </c>
      <c r="L30" s="157">
        <v>0</v>
      </c>
    </row>
    <row r="31" spans="1:12" x14ac:dyDescent="0.3">
      <c r="B31" s="142" t="s">
        <v>143</v>
      </c>
      <c r="C31" s="152">
        <f>IF(C28&lt;0,0,(C28-C30)*Premissas!B$8)</f>
        <v>0</v>
      </c>
      <c r="D31" s="152">
        <f>IF(D28&lt;0,0,(D28-D30)*Premissas!C$8)</f>
        <v>0</v>
      </c>
      <c r="E31" s="152">
        <f>IF(E28&lt;0,0,(E28-E30)*Premissas!D$8)</f>
        <v>0</v>
      </c>
      <c r="F31" s="152">
        <f>IF(F28&lt;0,0,(F28-F30)*Premissas!E$8)</f>
        <v>0</v>
      </c>
      <c r="G31" s="152">
        <f>IF(G28&lt;0,0,(G28-G30)*Premissas!F$8)</f>
        <v>0</v>
      </c>
      <c r="H31" s="153" t="e">
        <f>IF(H28&lt;0,0,(H28-H30)*Premissas!#REF!)</f>
        <v>#REF!</v>
      </c>
      <c r="I31" s="153" t="e">
        <f>IF(I28&lt;0,0,(I28-I30)*Premissas!#REF!)</f>
        <v>#REF!</v>
      </c>
      <c r="J31" s="153" t="e">
        <f>IF(J28&lt;0,0,(J28-J30)*Premissas!#REF!)</f>
        <v>#REF!</v>
      </c>
      <c r="K31" s="153" t="e">
        <f>IF(K28&lt;0,0,(K28-K30)*Premissas!#REF!)</f>
        <v>#REF!</v>
      </c>
      <c r="L31" s="154" t="e">
        <f>IF(L28&lt;0,0,(L28-L30)*Premissas!#REF!)</f>
        <v>#REF!</v>
      </c>
    </row>
    <row r="32" spans="1:12" x14ac:dyDescent="0.3">
      <c r="B32" s="128" t="s">
        <v>144</v>
      </c>
      <c r="C32" s="155">
        <f>IF(C28&lt;0,0,(C28-C30)*Premissas!B$9)</f>
        <v>0</v>
      </c>
      <c r="D32" s="155">
        <f>IF(D28&lt;0,0,(D28-D30)*Premissas!C$9)</f>
        <v>0</v>
      </c>
      <c r="E32" s="155">
        <f>IF(E28&lt;0,0,(E28-E30)*Premissas!D$9)</f>
        <v>0</v>
      </c>
      <c r="F32" s="155">
        <f>IF(F28&lt;0,0,(F28-F30)*Premissas!E$9)</f>
        <v>0</v>
      </c>
      <c r="G32" s="155">
        <f>IF(G28&lt;0,0,(G28-G30)*Premissas!F$9)</f>
        <v>0</v>
      </c>
      <c r="H32" s="156" t="e">
        <f>IF(H28&lt;0,0,(H28-H30)*Premissas!#REF!)</f>
        <v>#REF!</v>
      </c>
      <c r="I32" s="156" t="e">
        <f>IF(I28&lt;0,0,(I28-I30)*Premissas!#REF!)</f>
        <v>#REF!</v>
      </c>
      <c r="J32" s="156" t="e">
        <f>IF(J28&lt;0,0,(J28-J30)*Premissas!#REF!)</f>
        <v>#REF!</v>
      </c>
      <c r="K32" s="156" t="e">
        <f>IF(K28&lt;0,0,(K28-K30)*Premissas!#REF!)</f>
        <v>#REF!</v>
      </c>
      <c r="L32" s="157" t="e">
        <f>IF(L28&lt;0,0,(L28-L30)*Premissas!#REF!)</f>
        <v>#REF!</v>
      </c>
    </row>
    <row r="33" spans="2:15" x14ac:dyDescent="0.3">
      <c r="B33" s="158" t="s">
        <v>145</v>
      </c>
      <c r="C33" s="159">
        <f>C25-C31-C32-C35</f>
        <v>-1.0158540675320183E-15</v>
      </c>
      <c r="D33" s="159">
        <f t="shared" ref="D33:L33" si="5">D25-D31-D32-D35</f>
        <v>-1.0130785208250528E-15</v>
      </c>
      <c r="E33" s="159">
        <f t="shared" si="5"/>
        <v>-1.0130785208250528E-15</v>
      </c>
      <c r="F33" s="159">
        <f t="shared" si="5"/>
        <v>-1.0130785208250528E-15</v>
      </c>
      <c r="G33" s="159">
        <f t="shared" si="5"/>
        <v>-1.0158540784163544E-15</v>
      </c>
      <c r="H33" s="160" t="e">
        <f t="shared" si="5"/>
        <v>#REF!</v>
      </c>
      <c r="I33" s="160" t="e">
        <f t="shared" si="5"/>
        <v>#REF!</v>
      </c>
      <c r="J33" s="160" t="e">
        <f t="shared" si="5"/>
        <v>#REF!</v>
      </c>
      <c r="K33" s="160" t="e">
        <f t="shared" si="5"/>
        <v>#REF!</v>
      </c>
      <c r="L33" s="161" t="e">
        <f t="shared" si="5"/>
        <v>#REF!</v>
      </c>
    </row>
    <row r="34" spans="2:15" s="25" customFormat="1" x14ac:dyDescent="0.3">
      <c r="B34" s="128" t="s">
        <v>146</v>
      </c>
      <c r="C34" s="155"/>
      <c r="D34" s="155"/>
      <c r="E34" s="146"/>
      <c r="F34" s="155"/>
      <c r="G34" s="155"/>
      <c r="H34" s="156"/>
      <c r="I34" s="156"/>
      <c r="J34" s="156"/>
      <c r="K34" s="156"/>
      <c r="L34" s="157"/>
      <c r="M34" s="31"/>
      <c r="N34" s="31"/>
      <c r="O34" s="31"/>
    </row>
    <row r="35" spans="2:15" x14ac:dyDescent="0.3">
      <c r="B35" s="142" t="s">
        <v>147</v>
      </c>
      <c r="C35" s="152">
        <f>C26</f>
        <v>0</v>
      </c>
      <c r="D35" s="152">
        <f>D26</f>
        <v>0</v>
      </c>
      <c r="E35" s="152">
        <f t="shared" ref="E35:L35" si="6">E26</f>
        <v>0</v>
      </c>
      <c r="F35" s="152">
        <f t="shared" si="6"/>
        <v>0</v>
      </c>
      <c r="G35" s="152">
        <f t="shared" si="6"/>
        <v>0</v>
      </c>
      <c r="H35" s="153">
        <f t="shared" si="6"/>
        <v>0</v>
      </c>
      <c r="I35" s="153">
        <f t="shared" si="6"/>
        <v>0</v>
      </c>
      <c r="J35" s="153">
        <f t="shared" si="6"/>
        <v>0</v>
      </c>
      <c r="K35" s="153">
        <f t="shared" si="6"/>
        <v>0</v>
      </c>
      <c r="L35" s="154">
        <f t="shared" si="6"/>
        <v>0</v>
      </c>
    </row>
    <row r="36" spans="2:15" x14ac:dyDescent="0.3">
      <c r="B36" s="128" t="s">
        <v>148</v>
      </c>
      <c r="C36" s="155"/>
      <c r="D36" s="155"/>
      <c r="E36" s="155"/>
      <c r="F36" s="155"/>
      <c r="G36" s="233"/>
      <c r="H36" s="156"/>
      <c r="I36" s="156"/>
      <c r="J36" s="156"/>
      <c r="K36" s="156"/>
      <c r="L36" s="157" t="e">
        <f>+'Investimento e Depreciação'!#REF!</f>
        <v>#REF!</v>
      </c>
    </row>
    <row r="37" spans="2:15" x14ac:dyDescent="0.3">
      <c r="B37" s="142" t="s">
        <v>149</v>
      </c>
      <c r="C37" s="152">
        <f>C13/12+SUM(C14:C23)/8+C24/6</f>
        <v>0</v>
      </c>
      <c r="D37" s="152">
        <f>D13/12+SUM(D14:D23)/8+D24/6-SUM($C$37:C37)</f>
        <v>0</v>
      </c>
      <c r="E37" s="152">
        <f>E13/12+SUM(E14:E23)/8+E24/6-SUM($C$37:D37)</f>
        <v>0</v>
      </c>
      <c r="F37" s="152">
        <f>F13/12+SUM(F14:F23)/8+F24/6-SUM($C$37:E37)</f>
        <v>0</v>
      </c>
      <c r="G37" s="152">
        <f>G13/12+SUM(G14:G23)/8+G24/6-SUM($C$37:F37)</f>
        <v>0</v>
      </c>
      <c r="H37" s="153" t="e">
        <f>H13/12+SUM(H14:H23)/8+H24/6-SUM($C$37:G37)</f>
        <v>#REF!</v>
      </c>
      <c r="I37" s="153" t="e">
        <f>I13/12+SUM(I14:I23)/8+I24/6-SUM($C$37:H37)</f>
        <v>#REF!</v>
      </c>
      <c r="J37" s="153" t="e">
        <f>J13/12+SUM(J14:J23)/8+J24/6-SUM($C$37:I37)</f>
        <v>#REF!</v>
      </c>
      <c r="K37" s="153" t="e">
        <f>K13/12+SUM(K14:K23)/8+K24/6-SUM($C$37:J37)</f>
        <v>#REF!</v>
      </c>
      <c r="L37" s="154" t="e">
        <f>L13/12+SUM(L14:L23)/8+L24/6-SUM($C$37:K37)</f>
        <v>#REF!</v>
      </c>
    </row>
    <row r="38" spans="2:15" x14ac:dyDescent="0.3">
      <c r="B38" s="162" t="s">
        <v>150</v>
      </c>
      <c r="C38" s="163">
        <f>C33-C34+C35+C36-C37</f>
        <v>-1.0158540675320183E-15</v>
      </c>
      <c r="D38" s="163">
        <f t="shared" ref="D38:L38" si="7">D33-D34+D35+D36-D37</f>
        <v>-1.0130785208250528E-15</v>
      </c>
      <c r="E38" s="163">
        <f>E33-E34+E35+E36-E37</f>
        <v>-1.0130785208250528E-15</v>
      </c>
      <c r="F38" s="163">
        <f>F33-F34+F35+F36-F37</f>
        <v>-1.0130785208250528E-15</v>
      </c>
      <c r="G38" s="163">
        <f t="shared" si="7"/>
        <v>-1.0158540784163544E-15</v>
      </c>
      <c r="H38" s="164" t="e">
        <f t="shared" si="7"/>
        <v>#REF!</v>
      </c>
      <c r="I38" s="164" t="e">
        <f t="shared" si="7"/>
        <v>#REF!</v>
      </c>
      <c r="J38" s="164" t="e">
        <f t="shared" si="7"/>
        <v>#REF!</v>
      </c>
      <c r="K38" s="164" t="e">
        <f t="shared" si="7"/>
        <v>#REF!</v>
      </c>
      <c r="L38" s="165" t="e">
        <f t="shared" si="7"/>
        <v>#REF!</v>
      </c>
    </row>
    <row r="39" spans="2:15" x14ac:dyDescent="0.3">
      <c r="B39" s="66" t="s">
        <v>151</v>
      </c>
      <c r="C39" s="403">
        <f>B66+NPV(C42,C38:G38)</f>
        <v>-1.0000000004130709E-5</v>
      </c>
    </row>
    <row r="40" spans="2:15" ht="15.6" thickBot="1" x14ac:dyDescent="0.35">
      <c r="B40" s="234" t="s">
        <v>152</v>
      </c>
      <c r="C40" s="235" t="s">
        <v>169</v>
      </c>
      <c r="D40" s="236" t="s">
        <v>154</v>
      </c>
      <c r="E40" s="237" t="s">
        <v>155</v>
      </c>
      <c r="F40" s="238" t="s">
        <v>156</v>
      </c>
      <c r="G40" s="55"/>
    </row>
    <row r="41" spans="2:15" ht="14.4" thickTop="1" x14ac:dyDescent="0.3">
      <c r="B41" s="239"/>
      <c r="C41" s="240">
        <v>-3.4694469519536142E-18</v>
      </c>
      <c r="D41" s="240"/>
      <c r="E41" s="243">
        <f>C41/(C52*1000)</f>
        <v>-9.3009230156597942E-20</v>
      </c>
      <c r="F41" s="241">
        <f>E41/Premissas!$B$64</f>
        <v>-1.8601846031319588E-20</v>
      </c>
      <c r="G41" s="72"/>
      <c r="H41" s="72"/>
    </row>
    <row r="42" spans="2:15" x14ac:dyDescent="0.3">
      <c r="B42" s="66" t="s">
        <v>157</v>
      </c>
      <c r="C42" s="73">
        <f>Premissas!$B$50/100</f>
        <v>7.2499999999999995E-2</v>
      </c>
    </row>
    <row r="43" spans="2:15" x14ac:dyDescent="0.3">
      <c r="B43" s="66" t="s">
        <v>158</v>
      </c>
      <c r="C43" s="74" t="e">
        <f>IRR(B66:G66)</f>
        <v>#NUM!</v>
      </c>
      <c r="D43" s="55"/>
      <c r="E43" s="55"/>
      <c r="G43" s="72"/>
      <c r="H43" s="75"/>
    </row>
    <row r="44" spans="2:15" x14ac:dyDescent="0.3">
      <c r="B44" s="76" t="s">
        <v>159</v>
      </c>
    </row>
    <row r="46" spans="2:15" ht="14.4" x14ac:dyDescent="0.3">
      <c r="B46" s="77" t="s">
        <v>160</v>
      </c>
      <c r="C46" s="131">
        <f>'Fluxo de Caixa Regulado'!C46</f>
        <v>2024</v>
      </c>
      <c r="D46" s="131">
        <f>'Fluxo de Caixa Regulado'!D46</f>
        <v>2025</v>
      </c>
      <c r="E46" s="131">
        <f>'Fluxo de Caixa Regulado'!E46</f>
        <v>2026</v>
      </c>
      <c r="F46" s="131">
        <f>'Fluxo de Caixa Regulado'!F46</f>
        <v>2027</v>
      </c>
      <c r="G46" s="131">
        <f>'Fluxo de Caixa Regulado'!G46</f>
        <v>2028</v>
      </c>
      <c r="H46" s="67">
        <v>2025</v>
      </c>
      <c r="I46" s="67">
        <v>2026</v>
      </c>
      <c r="J46" s="67">
        <v>2027</v>
      </c>
      <c r="K46" s="67">
        <v>2028</v>
      </c>
      <c r="L46" s="67">
        <v>2029</v>
      </c>
    </row>
    <row r="47" spans="2:15" x14ac:dyDescent="0.3">
      <c r="B47" s="78" t="s">
        <v>161</v>
      </c>
      <c r="C47" s="79">
        <f>+(C56*C59)+(C57*C60)</f>
        <v>800</v>
      </c>
      <c r="D47" s="79">
        <f t="shared" ref="D47:L47" si="8">+(D56*D59)+(D57*D60)</f>
        <v>800</v>
      </c>
      <c r="E47" s="79">
        <f t="shared" si="8"/>
        <v>800</v>
      </c>
      <c r="F47" s="79">
        <f t="shared" si="8"/>
        <v>800</v>
      </c>
      <c r="G47" s="79">
        <f t="shared" si="8"/>
        <v>800</v>
      </c>
      <c r="H47" s="79" t="e">
        <f t="shared" si="8"/>
        <v>#REF!</v>
      </c>
      <c r="I47" s="79" t="e">
        <f t="shared" si="8"/>
        <v>#REF!</v>
      </c>
      <c r="J47" s="79" t="e">
        <f t="shared" si="8"/>
        <v>#REF!</v>
      </c>
      <c r="K47" s="79" t="e">
        <f t="shared" si="8"/>
        <v>#REF!</v>
      </c>
      <c r="L47" s="79" t="e">
        <f t="shared" si="8"/>
        <v>#REF!</v>
      </c>
    </row>
    <row r="48" spans="2:15" x14ac:dyDescent="0.3">
      <c r="B48" s="80" t="s">
        <v>79</v>
      </c>
      <c r="C48" s="100">
        <f>C47*C51</f>
        <v>292800</v>
      </c>
      <c r="D48" s="101">
        <f>D47*D51</f>
        <v>292000</v>
      </c>
      <c r="E48" s="101">
        <f>E47*E51</f>
        <v>292000</v>
      </c>
      <c r="F48" s="101">
        <f t="shared" ref="F48:L48" si="9">F47*F51</f>
        <v>292000</v>
      </c>
      <c r="G48" s="101">
        <f t="shared" si="9"/>
        <v>292800</v>
      </c>
      <c r="H48" s="101" t="e">
        <f t="shared" si="9"/>
        <v>#REF!</v>
      </c>
      <c r="I48" s="101" t="e">
        <f t="shared" si="9"/>
        <v>#REF!</v>
      </c>
      <c r="J48" s="101" t="e">
        <f t="shared" si="9"/>
        <v>#REF!</v>
      </c>
      <c r="K48" s="101" t="e">
        <f t="shared" si="9"/>
        <v>#REF!</v>
      </c>
      <c r="L48" s="101" t="e">
        <f t="shared" si="9"/>
        <v>#REF!</v>
      </c>
    </row>
    <row r="49" spans="2:12" x14ac:dyDescent="0.3">
      <c r="B49" s="80" t="s">
        <v>80</v>
      </c>
      <c r="C49" s="100">
        <f>C48*C52</f>
        <v>10922.078011199999</v>
      </c>
      <c r="D49" s="101">
        <f t="shared" ref="D49:L49" si="10">D48*D52</f>
        <v>10892.236384704518</v>
      </c>
      <c r="E49" s="101">
        <f t="shared" si="10"/>
        <v>10892.236384704518</v>
      </c>
      <c r="F49" s="101">
        <f t="shared" si="10"/>
        <v>10892.236384704518</v>
      </c>
      <c r="G49" s="101">
        <f t="shared" si="10"/>
        <v>10922.078128224257</v>
      </c>
      <c r="H49" s="101" t="e">
        <f>H48*H52</f>
        <v>#REF!</v>
      </c>
      <c r="I49" s="101" t="e">
        <f t="shared" si="10"/>
        <v>#REF!</v>
      </c>
      <c r="J49" s="101" t="e">
        <f t="shared" si="10"/>
        <v>#REF!</v>
      </c>
      <c r="K49" s="101" t="e">
        <f t="shared" si="10"/>
        <v>#REF!</v>
      </c>
      <c r="L49" s="101" t="e">
        <f t="shared" si="10"/>
        <v>#REF!</v>
      </c>
    </row>
    <row r="50" spans="2:12" x14ac:dyDescent="0.3">
      <c r="B50" s="80" t="s">
        <v>81</v>
      </c>
      <c r="C50" s="102">
        <f>Premissas!B57</f>
        <v>366</v>
      </c>
      <c r="D50" s="103">
        <f>Premissas!C57</f>
        <v>365</v>
      </c>
      <c r="E50" s="103">
        <f>Premissas!D57</f>
        <v>365</v>
      </c>
      <c r="F50" s="103">
        <f>Premissas!E57</f>
        <v>365</v>
      </c>
      <c r="G50" s="103">
        <f>Premissas!F57</f>
        <v>366</v>
      </c>
      <c r="H50" s="103" t="e">
        <f>Premissas!#REF!</f>
        <v>#REF!</v>
      </c>
      <c r="I50" s="103" t="e">
        <f>Premissas!#REF!</f>
        <v>#REF!</v>
      </c>
      <c r="J50" s="103" t="e">
        <f>Premissas!#REF!</f>
        <v>#REF!</v>
      </c>
      <c r="K50" s="103" t="e">
        <f>Premissas!#REF!</f>
        <v>#REF!</v>
      </c>
      <c r="L50" s="103" t="e">
        <f>Premissas!#REF!</f>
        <v>#REF!</v>
      </c>
    </row>
    <row r="51" spans="2:12" x14ac:dyDescent="0.3">
      <c r="B51" s="80" t="s">
        <v>50</v>
      </c>
      <c r="C51" s="102">
        <f>Premissas!B58</f>
        <v>366</v>
      </c>
      <c r="D51" s="103">
        <f>Premissas!C58</f>
        <v>365</v>
      </c>
      <c r="E51" s="103">
        <f>Premissas!D58</f>
        <v>365</v>
      </c>
      <c r="F51" s="103">
        <f>Premissas!E58</f>
        <v>365</v>
      </c>
      <c r="G51" s="103">
        <f>Premissas!F58</f>
        <v>366</v>
      </c>
      <c r="H51" s="103" t="e">
        <f>Premissas!#REF!</f>
        <v>#REF!</v>
      </c>
      <c r="I51" s="103" t="e">
        <f>Premissas!#REF!</f>
        <v>#REF!</v>
      </c>
      <c r="J51" s="103" t="e">
        <f>Premissas!#REF!</f>
        <v>#REF!</v>
      </c>
      <c r="K51" s="103" t="e">
        <f>Premissas!#REF!</f>
        <v>#REF!</v>
      </c>
      <c r="L51" s="103" t="e">
        <f>Premissas!#REF!</f>
        <v>#REF!</v>
      </c>
    </row>
    <row r="52" spans="2:12" x14ac:dyDescent="0.3">
      <c r="B52" s="81" t="s">
        <v>48</v>
      </c>
      <c r="C52" s="104">
        <f>Premissas!B56</f>
        <v>3.7302178999999998E-2</v>
      </c>
      <c r="D52" s="105">
        <f>Premissas!C56</f>
        <v>3.7302179399673008E-2</v>
      </c>
      <c r="E52" s="105">
        <f>Premissas!D56</f>
        <v>3.7302179399673008E-2</v>
      </c>
      <c r="F52" s="105">
        <f>Premissas!E56</f>
        <v>3.7302179399673008E-2</v>
      </c>
      <c r="G52" s="105">
        <f>Premissas!F56</f>
        <v>3.7302179399673008E-2</v>
      </c>
      <c r="H52" s="105" t="e">
        <f>Premissas!#REF!</f>
        <v>#REF!</v>
      </c>
      <c r="I52" s="105" t="e">
        <f>Premissas!#REF!</f>
        <v>#REF!</v>
      </c>
      <c r="J52" s="105" t="e">
        <f>Premissas!#REF!</f>
        <v>#REF!</v>
      </c>
      <c r="K52" s="105" t="e">
        <f>Premissas!#REF!</f>
        <v>#REF!</v>
      </c>
      <c r="L52" s="105" t="e">
        <f>Premissas!#REF!</f>
        <v>#REF!</v>
      </c>
    </row>
    <row r="55" spans="2:12" ht="14.4" x14ac:dyDescent="0.3">
      <c r="C55" s="131">
        <f>'Fluxo de Caixa Regulado'!C55</f>
        <v>2024</v>
      </c>
      <c r="D55" s="131">
        <f>'Fluxo de Caixa Regulado'!D55</f>
        <v>2025</v>
      </c>
      <c r="E55" s="131">
        <f>'Fluxo de Caixa Regulado'!E55</f>
        <v>2026</v>
      </c>
      <c r="F55" s="131">
        <f>'Fluxo de Caixa Regulado'!F55</f>
        <v>2027</v>
      </c>
      <c r="G55" s="131">
        <f>'Fluxo de Caixa Regulado'!G55</f>
        <v>2028</v>
      </c>
      <c r="H55" s="53">
        <v>2025</v>
      </c>
      <c r="I55" s="53">
        <v>2026</v>
      </c>
      <c r="J55" s="53">
        <v>2027</v>
      </c>
      <c r="K55" s="53">
        <v>2028</v>
      </c>
      <c r="L55" s="53">
        <v>2029</v>
      </c>
    </row>
    <row r="56" spans="2:12" x14ac:dyDescent="0.3">
      <c r="B56" s="3" t="s">
        <v>75</v>
      </c>
      <c r="C56" s="314">
        <f>'Fluxo de Caixa Regulado'!C56</f>
        <v>800</v>
      </c>
      <c r="D56" s="314">
        <f>'Fluxo de Caixa Regulado'!D56</f>
        <v>800</v>
      </c>
      <c r="E56" s="314">
        <f>'Fluxo de Caixa Regulado'!E56</f>
        <v>800</v>
      </c>
      <c r="F56" s="314">
        <f>'Fluxo de Caixa Regulado'!F56</f>
        <v>800</v>
      </c>
      <c r="G56" s="314">
        <f>'Fluxo de Caixa Regulado'!G56</f>
        <v>800</v>
      </c>
      <c r="H56" s="8" t="e">
        <f>+#REF!</f>
        <v>#REF!</v>
      </c>
      <c r="I56" s="8" t="e">
        <f>+#REF!</f>
        <v>#REF!</v>
      </c>
      <c r="J56" s="8" t="e">
        <f>+#REF!</f>
        <v>#REF!</v>
      </c>
      <c r="K56" s="8" t="e">
        <f>+#REF!</f>
        <v>#REF!</v>
      </c>
      <c r="L56" s="8" t="e">
        <f>+#REF!</f>
        <v>#REF!</v>
      </c>
    </row>
    <row r="57" spans="2:12" x14ac:dyDescent="0.3">
      <c r="B57" s="4" t="s">
        <v>76</v>
      </c>
      <c r="C57" s="315">
        <f>'Fluxo de Caixa Regulado'!C57</f>
        <v>800</v>
      </c>
      <c r="D57" s="315">
        <f>'Fluxo de Caixa Regulado'!D57</f>
        <v>800</v>
      </c>
      <c r="E57" s="315">
        <f>'Fluxo de Caixa Regulado'!E57</f>
        <v>800</v>
      </c>
      <c r="F57" s="315">
        <f>'Fluxo de Caixa Regulado'!F57</f>
        <v>800</v>
      </c>
      <c r="G57" s="315">
        <f>'Fluxo de Caixa Regulado'!G57</f>
        <v>800</v>
      </c>
      <c r="H57" s="12" t="e">
        <f>+#REF!</f>
        <v>#REF!</v>
      </c>
      <c r="I57" s="12" t="e">
        <f>+#REF!</f>
        <v>#REF!</v>
      </c>
      <c r="J57" s="12" t="e">
        <f>+#REF!</f>
        <v>#REF!</v>
      </c>
      <c r="K57" s="12" t="e">
        <f>+#REF!</f>
        <v>#REF!</v>
      </c>
      <c r="L57" s="12" t="e">
        <f>+#REF!</f>
        <v>#REF!</v>
      </c>
    </row>
    <row r="58" spans="2:12" x14ac:dyDescent="0.3">
      <c r="C58" s="52"/>
      <c r="D58" s="52"/>
      <c r="E58" s="52"/>
      <c r="F58" s="52"/>
      <c r="G58" s="52"/>
      <c r="H58" s="52"/>
      <c r="I58" s="52"/>
      <c r="J58" s="52"/>
      <c r="K58" s="52"/>
      <c r="L58" s="52"/>
    </row>
    <row r="59" spans="2:12" x14ac:dyDescent="0.3">
      <c r="B59" s="7" t="s">
        <v>163</v>
      </c>
      <c r="C59" s="24">
        <f>+'Cálculo Encargos ECE, ECT e ECS'!I43</f>
        <v>0.7</v>
      </c>
      <c r="D59" s="24">
        <f>+C59</f>
        <v>0.7</v>
      </c>
      <c r="E59" s="24">
        <f t="shared" ref="E59:L60" si="11">+D59</f>
        <v>0.7</v>
      </c>
      <c r="F59" s="24">
        <f t="shared" si="11"/>
        <v>0.7</v>
      </c>
      <c r="G59" s="24">
        <f t="shared" si="11"/>
        <v>0.7</v>
      </c>
      <c r="H59" s="24">
        <f t="shared" si="11"/>
        <v>0.7</v>
      </c>
      <c r="I59" s="24">
        <f t="shared" si="11"/>
        <v>0.7</v>
      </c>
      <c r="J59" s="24">
        <f t="shared" si="11"/>
        <v>0.7</v>
      </c>
      <c r="K59" s="24">
        <f t="shared" si="11"/>
        <v>0.7</v>
      </c>
      <c r="L59" s="24">
        <f t="shared" si="11"/>
        <v>0.7</v>
      </c>
    </row>
    <row r="60" spans="2:12" x14ac:dyDescent="0.3">
      <c r="B60" s="7" t="s">
        <v>164</v>
      </c>
      <c r="C60" s="24">
        <f>+'Cálculo Encargos ECE, ECT e ECS'!I44</f>
        <v>0.30000000000000004</v>
      </c>
      <c r="D60" s="24">
        <f>+C60</f>
        <v>0.30000000000000004</v>
      </c>
      <c r="E60" s="24">
        <f t="shared" si="11"/>
        <v>0.30000000000000004</v>
      </c>
      <c r="F60" s="24">
        <f t="shared" si="11"/>
        <v>0.30000000000000004</v>
      </c>
      <c r="G60" s="24">
        <f t="shared" si="11"/>
        <v>0.30000000000000004</v>
      </c>
      <c r="H60" s="24">
        <f t="shared" si="11"/>
        <v>0.30000000000000004</v>
      </c>
      <c r="I60" s="24">
        <f t="shared" si="11"/>
        <v>0.30000000000000004</v>
      </c>
      <c r="J60" s="24">
        <f t="shared" si="11"/>
        <v>0.30000000000000004</v>
      </c>
      <c r="K60" s="24">
        <f t="shared" si="11"/>
        <v>0.30000000000000004</v>
      </c>
      <c r="L60" s="24">
        <f t="shared" si="11"/>
        <v>0.30000000000000004</v>
      </c>
    </row>
    <row r="65" spans="1:12" x14ac:dyDescent="0.3">
      <c r="B65" s="83"/>
      <c r="C65" s="84"/>
    </row>
    <row r="66" spans="1:12" x14ac:dyDescent="0.3">
      <c r="A66" s="85" t="s">
        <v>165</v>
      </c>
      <c r="B66" s="86">
        <f>-0.00001</f>
        <v>-1.0000000000000001E-5</v>
      </c>
      <c r="C66" s="87">
        <f>+C38</f>
        <v>-1.0158540675320183E-15</v>
      </c>
      <c r="D66" s="87">
        <f t="shared" ref="D66:L66" si="12">+D38</f>
        <v>-1.0130785208250528E-15</v>
      </c>
      <c r="E66" s="87">
        <f t="shared" si="12"/>
        <v>-1.0130785208250528E-15</v>
      </c>
      <c r="F66" s="87">
        <f t="shared" si="12"/>
        <v>-1.0130785208250528E-15</v>
      </c>
      <c r="G66" s="87">
        <f t="shared" si="12"/>
        <v>-1.0158540784163544E-15</v>
      </c>
      <c r="H66" s="87" t="e">
        <f t="shared" si="12"/>
        <v>#REF!</v>
      </c>
      <c r="I66" s="87" t="e">
        <f t="shared" si="12"/>
        <v>#REF!</v>
      </c>
      <c r="J66" s="87" t="e">
        <f t="shared" si="12"/>
        <v>#REF!</v>
      </c>
      <c r="K66" s="87" t="e">
        <f t="shared" si="12"/>
        <v>#REF!</v>
      </c>
      <c r="L66" s="87" t="e">
        <f t="shared" si="12"/>
        <v>#REF!</v>
      </c>
    </row>
    <row r="67" spans="1:12" x14ac:dyDescent="0.3">
      <c r="B67" s="55"/>
      <c r="C67" s="84"/>
    </row>
  </sheetData>
  <pageMargins left="0.51181102362204722" right="0.51181102362204722" top="0.78740157480314965" bottom="0.78740157480314965" header="0.31496062992125984" footer="0.31496062992125984"/>
  <pageSetup paperSize="9" scale="75" fitToHeight="2" orientation="landscape" r:id="rId1"/>
  <headerFooter>
    <oddHeader>&amp;R&amp;"Calibri"&amp;14&amp;K0078D7NP-1&amp;1#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D4DBF67BBCA5488A41FB569AFDA2AB" ma:contentTypeVersion="17" ma:contentTypeDescription="Crie um novo documento." ma:contentTypeScope="" ma:versionID="acc97f8ff35647d83d6254ba2de4fa7b">
  <xsd:schema xmlns:xsd="http://www.w3.org/2001/XMLSchema" xmlns:xs="http://www.w3.org/2001/XMLSchema" xmlns:p="http://schemas.microsoft.com/office/2006/metadata/properties" xmlns:ns2="7fd7fd22-f84e-4067-8c5a-86ad57200e89" xmlns:ns3="c3af0f75-91fd-4bec-8fdd-9554e27be04e" targetNamespace="http://schemas.microsoft.com/office/2006/metadata/properties" ma:root="true" ma:fieldsID="7eac4b95c080e8961051c88e802ff9ce" ns2:_="" ns3:_="">
    <xsd:import namespace="7fd7fd22-f84e-4067-8c5a-86ad57200e89"/>
    <xsd:import namespace="c3af0f75-91fd-4bec-8fdd-9554e27be0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7fd22-f84e-4067-8c5a-86ad57200e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9fb030-97d3-4326-898d-57e57f89ee7b}" ma:internalName="TaxCatchAll" ma:showField="CatchAllData" ma:web="7fd7fd22-f84e-4067-8c5a-86ad57200e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f0f75-91fd-4bec-8fdd-9554e27be0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39bc78a-4180-4e8d-96d6-e0e1a3fcef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d7fd22-f84e-4067-8c5a-86ad57200e89" xsi:nil="true"/>
    <lcf76f155ced4ddcb4097134ff3c332f xmlns="c3af0f75-91fd-4bec-8fdd-9554e27be0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B2B226-16CD-4B89-9F74-AC919434F2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3F5E94-BC8F-43B2-9EC1-45F377ADD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d7fd22-f84e-4067-8c5a-86ad57200e89"/>
    <ds:schemaRef ds:uri="c3af0f75-91fd-4bec-8fdd-9554e27be0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C7D4D9-AD09-4D4F-BE1B-531583C5BB0C}">
  <ds:schemaRefs>
    <ds:schemaRef ds:uri="http://schemas.openxmlformats.org/package/2006/metadata/core-properties"/>
    <ds:schemaRef ds:uri="http://purl.org/dc/terms/"/>
    <ds:schemaRef ds:uri="7fd7fd22-f84e-4067-8c5a-86ad57200e89"/>
    <ds:schemaRef ds:uri="c3af0f75-91fd-4bec-8fdd-9554e27be04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Premissas</vt:lpstr>
      <vt:lpstr>IGPM</vt:lpstr>
      <vt:lpstr>Investimento e Depreciação</vt:lpstr>
      <vt:lpstr>O&amp;M e G&amp;A</vt:lpstr>
      <vt:lpstr>O&amp;M e G&amp;A_I</vt:lpstr>
      <vt:lpstr>Fluxo de Caixa Regulado</vt:lpstr>
      <vt:lpstr>FC E-S</vt:lpstr>
      <vt:lpstr>FC ECTL</vt:lpstr>
      <vt:lpstr>FC EM</vt:lpstr>
      <vt:lpstr>FC Total</vt:lpstr>
      <vt:lpstr>C. Capacidade</vt:lpstr>
      <vt:lpstr>C. Demanda</vt:lpstr>
      <vt:lpstr>Proporções</vt:lpstr>
      <vt:lpstr>Cálculo Encargos ECE, ECT e ECS</vt:lpstr>
      <vt:lpstr>Calculo Encargos EM e ECEmp</vt:lpstr>
      <vt:lpstr>TARIFAS</vt:lpstr>
      <vt:lpstr>Receita Anual Máxima</vt:lpstr>
      <vt:lpstr>Teste Receita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 Padrão</dc:creator>
  <cp:keywords/>
  <dc:description/>
  <cp:lastModifiedBy>Karine</cp:lastModifiedBy>
  <cp:revision/>
  <dcterms:created xsi:type="dcterms:W3CDTF">2005-02-18T15:10:11Z</dcterms:created>
  <dcterms:modified xsi:type="dcterms:W3CDTF">2023-11-28T21:45:22Z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0x0101000BD4DBF67BBCA5488A41FB569AFDA2AB</vt:lpwstr>
  </property>
  <property fmtid="{D5CDD505-2E9C-101B-9397-08002B2CF9AE}" pid="3" name="MSIP_Label_08cf6486-c327-4a0f-bf06-97f298fbc39a_Enabled">
    <vt:lpwstr>True</vt:lpwstr>
  </property>
  <property fmtid="{D5CDD505-2E9C-101B-9397-08002B2CF9AE}" pid="4" name="MSIP_Label_08cf6486-c327-4a0f-bf06-97f298fbc39a_SiteId">
    <vt:lpwstr>adf9b643-58ba-48b0-89ae-1706ae9a40bc</vt:lpwstr>
  </property>
  <property fmtid="{D5CDD505-2E9C-101B-9397-08002B2CF9AE}" pid="5" name="MSIP_Label_08cf6486-c327-4a0f-bf06-97f298fbc39a_Owner">
    <vt:lpwstr>lmcosta@tbg.com.br</vt:lpwstr>
  </property>
  <property fmtid="{D5CDD505-2E9C-101B-9397-08002B2CF9AE}" pid="6" name="MSIP_Label_08cf6486-c327-4a0f-bf06-97f298fbc39a_SetDate">
    <vt:lpwstr>2021-03-02T12:35:20.8214487Z</vt:lpwstr>
  </property>
  <property fmtid="{D5CDD505-2E9C-101B-9397-08002B2CF9AE}" pid="7" name="MSIP_Label_08cf6486-c327-4a0f-bf06-97f298fbc39a_Name">
    <vt:lpwstr>NP-1</vt:lpwstr>
  </property>
  <property fmtid="{D5CDD505-2E9C-101B-9397-08002B2CF9AE}" pid="8" name="MSIP_Label_08cf6486-c327-4a0f-bf06-97f298fbc39a_Application">
    <vt:lpwstr>Microsoft Azure Information Protection</vt:lpwstr>
  </property>
  <property fmtid="{D5CDD505-2E9C-101B-9397-08002B2CF9AE}" pid="9" name="MSIP_Label_08cf6486-c327-4a0f-bf06-97f298fbc39a_ActionId">
    <vt:lpwstr>9e4768e4-a48a-4260-8993-9e6994386aea</vt:lpwstr>
  </property>
  <property fmtid="{D5CDD505-2E9C-101B-9397-08002B2CF9AE}" pid="10" name="MSIP_Label_08cf6486-c327-4a0f-bf06-97f298fbc39a_Extended_MSFT_Method">
    <vt:lpwstr>Automatic</vt:lpwstr>
  </property>
  <property fmtid="{D5CDD505-2E9C-101B-9397-08002B2CF9AE}" pid="11" name="Sensitivity">
    <vt:lpwstr>NP-1</vt:lpwstr>
  </property>
</Properties>
</file>