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america0.sharepoint.com/sites/GNBP/Documentos compartidos/COMMIT/2026 - CP BRA NTS/"/>
    </mc:Choice>
  </mc:AlternateContent>
  <xr:revisionPtr revIDLastSave="1097" documentId="8_{24C7F2A1-4152-4D04-8B16-E86028AB1B55}" xr6:coauthVersionLast="47" xr6:coauthVersionMax="47" xr10:uidLastSave="{6D9B7D77-26FF-4607-A099-21990EFCB855}"/>
  <bookViews>
    <workbookView xWindow="-108" yWindow="-108" windowWidth="23256" windowHeight="12456" firstSheet="2" activeTab="2" xr2:uid="{D9401ADF-F792-4536-9795-A2DA85EAE05D}"/>
  </bookViews>
  <sheets>
    <sheet name="FCR_CHCI_12%" sheetId="12" state="hidden" r:id="rId1"/>
    <sheet name="FCR_CHCI_7,25%" sheetId="11" state="hidden" r:id="rId2"/>
    <sheet name="Comparativa Base Bruta" sheetId="10" r:id="rId3"/>
    <sheet name="Comp_Valor Econ" sheetId="15" r:id="rId4"/>
    <sheet name="FCR_CHCI" sheetId="6" r:id="rId5"/>
    <sheet name="FCR_CHCI_DRE" sheetId="14" r:id="rId6"/>
    <sheet name="FCR_CRN NTS" sheetId="5" r:id="rId7"/>
    <sheet name="FCR_CNR_DRE_NTS" sheetId="8" r:id="rId8"/>
    <sheet name="FCR_CRN ANP" sheetId="7" r:id="rId9"/>
    <sheet name="Receita Máxima" sheetId="1" r:id="rId10"/>
    <sheet name="FCR_CRN NTS_7,25%" sheetId="16" state="hidden" r:id="rId11"/>
    <sheet name="FCR_CRN NTS_12%" sheetId="17" state="hidden" r:id="rId12"/>
    <sheet name="Inflação" sheetId="3" state="hidden" r:id="rId13"/>
    <sheet name="OPEX" sheetId="4" r:id="rId14"/>
  </sheets>
  <externalReferences>
    <externalReference r:id="rId15"/>
    <externalReference r:id="rId16"/>
    <externalReference r:id="rId17"/>
  </externalReferences>
  <definedNames>
    <definedName name="_tir2">'[1]T-Bill'!$S$45</definedName>
    <definedName name="A1remlife">'[2]Input (Assets)'!$G$7</definedName>
    <definedName name="A1resid">'[2]Input (Assets)'!#REF!</definedName>
    <definedName name="A1stdlife">'[2]Input (Assets)'!$H$7</definedName>
    <definedName name="A1taxremlife">'[2]Input (Assets)'!$J$7</definedName>
    <definedName name="A1taxstdlife">'[2]Input (Assets)'!$K$7</definedName>
    <definedName name="A1taxvalue">'[2]Input (Assets)'!$I$7</definedName>
    <definedName name="A1value">'[2]Input (Assets)'!$F$7</definedName>
    <definedName name="A2remlife">'[2]Input (Assets)'!$G$8</definedName>
    <definedName name="A2resid">'[2]Input (Assets)'!#REF!</definedName>
    <definedName name="A2stdlife">'[2]Input (Assets)'!$H$8</definedName>
    <definedName name="A2taxremlife">'[2]Input (Assets)'!$J$8</definedName>
    <definedName name="A2taxstdlife">'[2]Input (Assets)'!$K$8</definedName>
    <definedName name="A2taxvalue">'[2]Input (Assets)'!$I$8</definedName>
    <definedName name="A2value">'[2]Input (Assets)'!$F$8</definedName>
    <definedName name="A3remlife">'[2]Input (Assets)'!$G$9</definedName>
    <definedName name="A3resid">'[2]Input (Assets)'!#REF!</definedName>
    <definedName name="A3stdlife">'[2]Input (Assets)'!$H$9</definedName>
    <definedName name="A3taxremlife">'[2]Input (Assets)'!$J$9</definedName>
    <definedName name="A3taxstdlife">'[2]Input (Assets)'!$K$9</definedName>
    <definedName name="A3taxvalue">'[2]Input (Assets)'!$I$9</definedName>
    <definedName name="A3value">'[2]Input (Assets)'!$F$9</definedName>
    <definedName name="Asset_Life">[2]Input!#REF!</definedName>
    <definedName name="Asset1">[2]Input!#REF!</definedName>
    <definedName name="Asset2">[2]Input!#REF!</definedName>
    <definedName name="Ba">[2]Input!$C$15</definedName>
    <definedName name="Bd">[2]Input!$C$14</definedName>
    <definedName name="Be">'[2]Input (Assets)'!#REF!</definedName>
    <definedName name="Depreciação">'[2]Input (Assets)'!#REF!</definedName>
    <definedName name="dm">[2]Input!$C$10</definedName>
    <definedName name="equity">'[1]T-Bill'!$S$45</definedName>
    <definedName name="EV">[2]Input!$C$13</definedName>
    <definedName name="g">[2]Input!$C$12</definedName>
    <definedName name="ICB">[2]Input!$C$4</definedName>
    <definedName name="MRP">[2]Input!$C$11</definedName>
    <definedName name="PERIOD">#REF!</definedName>
    <definedName name="Rf">[2]Input!$C$8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rf">[2]Input!$C$9</definedName>
    <definedName name="spider">[1]TIPS!$D$20</definedName>
    <definedName name="tarifa">#REF!</definedName>
    <definedName name="Tax_Life">[2]Input!#REF!</definedName>
    <definedName name="teste">'[1]T-Bill'!$R$38</definedName>
    <definedName name="teste2">'[1]T-Bill'!$U$48</definedName>
    <definedName name="Time_Horizon">[2]Input!$C$5</definedName>
    <definedName name="tir">'[1]T-Bill'!$Q$37</definedName>
    <definedName name="tir_equity">'[1]T-Bill'!$S$47</definedName>
    <definedName name="tri_equity">'[1]T-Bill'!$S$47</definedName>
    <definedName name="vanilla">[2]WACC!$E$30</definedName>
    <definedName name="VPL">#REF!</definedName>
    <definedName name="xxx">#REF!</definedName>
    <definedName name="yyy">#REF!</definedName>
    <definedName name="βe">'[2]Input (Assets)'!#REF!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8" l="1"/>
  <c r="E6" i="8"/>
  <c r="D6" i="8"/>
  <c r="W25" i="5"/>
  <c r="C16" i="14"/>
  <c r="E6" i="14"/>
  <c r="D6" i="14"/>
  <c r="D3" i="14"/>
  <c r="E3" i="14"/>
  <c r="T3" i="14"/>
  <c r="T4" i="14" s="1"/>
  <c r="U3" i="14"/>
  <c r="V3" i="14"/>
  <c r="V4" i="14" s="1"/>
  <c r="O3" i="14"/>
  <c r="O4" i="14" s="1"/>
  <c r="C30" i="6"/>
  <c r="C42" i="6"/>
  <c r="D41" i="6"/>
  <c r="C41" i="6"/>
  <c r="C40" i="6"/>
  <c r="C39" i="6"/>
  <c r="D39" i="6"/>
  <c r="D38" i="6"/>
  <c r="C34" i="6"/>
  <c r="W27" i="6"/>
  <c r="E25" i="6"/>
  <c r="D25" i="6"/>
  <c r="D21" i="6" l="1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D20" i="6"/>
  <c r="E19" i="6"/>
  <c r="D19" i="6"/>
  <c r="H47" i="1"/>
  <c r="C75" i="4"/>
  <c r="B75" i="4"/>
  <c r="C73" i="4"/>
  <c r="D2" i="6"/>
  <c r="D17" i="6" s="1"/>
  <c r="C32" i="11" l="1"/>
  <c r="G29" i="1"/>
  <c r="G28" i="1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C32" i="17"/>
  <c r="D4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W15" i="17"/>
  <c r="W14" i="17"/>
  <c r="W13" i="17"/>
  <c r="W12" i="17"/>
  <c r="W11" i="17"/>
  <c r="W10" i="17"/>
  <c r="W9" i="17"/>
  <c r="W8" i="17"/>
  <c r="W7" i="17"/>
  <c r="W6" i="17"/>
  <c r="W5" i="17"/>
  <c r="W3" i="17" s="1"/>
  <c r="W4" i="17"/>
  <c r="D4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W15" i="16"/>
  <c r="W14" i="16"/>
  <c r="W13" i="16"/>
  <c r="W12" i="16"/>
  <c r="W11" i="16"/>
  <c r="W10" i="16"/>
  <c r="W9" i="16"/>
  <c r="W8" i="16"/>
  <c r="W7" i="16"/>
  <c r="W6" i="16"/>
  <c r="W5" i="16"/>
  <c r="W4" i="16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C32" i="12"/>
  <c r="C26" i="12"/>
  <c r="D28" i="12"/>
  <c r="E28" i="12" s="1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W15" i="12"/>
  <c r="W14" i="12"/>
  <c r="W13" i="12"/>
  <c r="W12" i="12"/>
  <c r="W11" i="12"/>
  <c r="W10" i="12"/>
  <c r="W9" i="12"/>
  <c r="W8" i="12"/>
  <c r="W7" i="12"/>
  <c r="W6" i="12"/>
  <c r="W5" i="12"/>
  <c r="W4" i="12"/>
  <c r="W6" i="8"/>
  <c r="D27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T33" i="1"/>
  <c r="W6" i="14"/>
  <c r="O6" i="14"/>
  <c r="D27" i="6"/>
  <c r="E27" i="6" s="1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E68" i="4"/>
  <c r="E67" i="4"/>
  <c r="B73" i="4"/>
  <c r="E60" i="4"/>
  <c r="E52" i="4"/>
  <c r="E58" i="4"/>
  <c r="B72" i="4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D42" i="5"/>
  <c r="D41" i="5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D42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C4" i="10"/>
  <c r="D4" i="10" s="1"/>
  <c r="E4" i="10" s="1"/>
  <c r="F4" i="10" s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Q4" i="10" s="1"/>
  <c r="R4" i="10" s="1"/>
  <c r="S4" i="10" s="1"/>
  <c r="T4" i="10" s="1"/>
  <c r="U4" i="10" s="1"/>
  <c r="V4" i="10" s="1"/>
  <c r="W4" i="10" s="1"/>
  <c r="F6" i="15" s="1"/>
  <c r="F7" i="15" s="1"/>
  <c r="W3" i="7" l="1"/>
  <c r="C42" i="5"/>
  <c r="E7" i="15" s="1"/>
  <c r="C41" i="5"/>
  <c r="E6" i="15" s="1"/>
  <c r="W11" i="6"/>
  <c r="E59" i="4"/>
  <c r="E69" i="4"/>
  <c r="W12" i="6"/>
  <c r="W13" i="6"/>
  <c r="W4" i="6"/>
  <c r="E51" i="4"/>
  <c r="E63" i="4"/>
  <c r="E62" i="4"/>
  <c r="E61" i="4"/>
  <c r="E53" i="4"/>
  <c r="E56" i="4"/>
  <c r="E54" i="4"/>
  <c r="E55" i="4"/>
  <c r="E57" i="4"/>
  <c r="C22" i="14"/>
  <c r="D28" i="17"/>
  <c r="E28" i="17" s="1"/>
  <c r="F28" i="17" s="1"/>
  <c r="G28" i="17" s="1"/>
  <c r="H28" i="17" s="1"/>
  <c r="I28" i="17" s="1"/>
  <c r="J28" i="17" s="1"/>
  <c r="K28" i="17" s="1"/>
  <c r="L28" i="17" s="1"/>
  <c r="M28" i="17" s="1"/>
  <c r="N28" i="17" s="1"/>
  <c r="C26" i="17"/>
  <c r="D3" i="17"/>
  <c r="C32" i="16"/>
  <c r="D28" i="16"/>
  <c r="E28" i="16" s="1"/>
  <c r="F28" i="16" s="1"/>
  <c r="G28" i="16" s="1"/>
  <c r="H28" i="16" s="1"/>
  <c r="I28" i="16" s="1"/>
  <c r="J28" i="16" s="1"/>
  <c r="K28" i="16" s="1"/>
  <c r="L28" i="16" s="1"/>
  <c r="M28" i="16" s="1"/>
  <c r="N28" i="16" s="1"/>
  <c r="C26" i="16"/>
  <c r="Q3" i="16"/>
  <c r="M3" i="16"/>
  <c r="U3" i="16"/>
  <c r="T3" i="16"/>
  <c r="S3" i="16"/>
  <c r="H3" i="16"/>
  <c r="G3" i="16"/>
  <c r="F3" i="16"/>
  <c r="E3" i="16"/>
  <c r="C31" i="5"/>
  <c r="C25" i="5"/>
  <c r="E3" i="17" l="1"/>
  <c r="Q3" i="17"/>
  <c r="R3" i="17"/>
  <c r="S3" i="17"/>
  <c r="T3" i="17"/>
  <c r="P3" i="17"/>
  <c r="F3" i="17"/>
  <c r="G3" i="17"/>
  <c r="M3" i="17"/>
  <c r="W16" i="6"/>
  <c r="W15" i="6"/>
  <c r="W10" i="6"/>
  <c r="W7" i="6"/>
  <c r="W14" i="6"/>
  <c r="W8" i="6"/>
  <c r="E64" i="4"/>
  <c r="E70" i="4" s="1"/>
  <c r="W6" i="6"/>
  <c r="W9" i="6"/>
  <c r="W5" i="6"/>
  <c r="V3" i="16"/>
  <c r="J3" i="17"/>
  <c r="D3" i="16"/>
  <c r="L3" i="17"/>
  <c r="R3" i="16"/>
  <c r="I3" i="17"/>
  <c r="W3" i="16"/>
  <c r="V3" i="17"/>
  <c r="P3" i="16"/>
  <c r="J3" i="16"/>
  <c r="L3" i="16"/>
  <c r="K3" i="17"/>
  <c r="I3" i="16"/>
  <c r="H3" i="17"/>
  <c r="N3" i="16"/>
  <c r="U3" i="17"/>
  <c r="K3" i="16"/>
  <c r="O3" i="16"/>
  <c r="N3" i="17"/>
  <c r="O3" i="17"/>
  <c r="O28" i="17"/>
  <c r="P28" i="17" s="1"/>
  <c r="Q28" i="17" s="1"/>
  <c r="R28" i="17" s="1"/>
  <c r="S28" i="17" s="1"/>
  <c r="T28" i="17" s="1"/>
  <c r="U28" i="17" s="1"/>
  <c r="V28" i="17" s="1"/>
  <c r="W28" i="17" s="1"/>
  <c r="O28" i="16"/>
  <c r="P28" i="16" s="1"/>
  <c r="Q28" i="16" s="1"/>
  <c r="R28" i="16" s="1"/>
  <c r="S28" i="16" s="1"/>
  <c r="T28" i="16" s="1"/>
  <c r="U28" i="16" s="1"/>
  <c r="V28" i="16" s="1"/>
  <c r="W28" i="16" s="1"/>
  <c r="C16" i="8"/>
  <c r="S3" i="6" l="1"/>
  <c r="G3" i="6"/>
  <c r="W3" i="6"/>
  <c r="R3" i="6"/>
  <c r="F3" i="6"/>
  <c r="Q3" i="6"/>
  <c r="E3" i="6"/>
  <c r="P3" i="6"/>
  <c r="D3" i="6"/>
  <c r="O3" i="6"/>
  <c r="J3" i="6"/>
  <c r="I3" i="6"/>
  <c r="H3" i="6"/>
  <c r="V3" i="6"/>
  <c r="L3" i="6"/>
  <c r="U3" i="6"/>
  <c r="T3" i="6"/>
  <c r="N3" i="6"/>
  <c r="M3" i="6"/>
  <c r="K3" i="6"/>
  <c r="H43" i="1" l="1"/>
  <c r="F28" i="12" l="1"/>
  <c r="G28" i="12" s="1"/>
  <c r="H28" i="12" s="1"/>
  <c r="I28" i="12" s="1"/>
  <c r="J28" i="12" s="1"/>
  <c r="K28" i="12" s="1"/>
  <c r="L28" i="12" s="1"/>
  <c r="M28" i="12" s="1"/>
  <c r="N28" i="12" s="1"/>
  <c r="G3" i="12"/>
  <c r="D28" i="11"/>
  <c r="E28" i="11" s="1"/>
  <c r="F28" i="11" s="1"/>
  <c r="G28" i="11" s="1"/>
  <c r="H28" i="11" s="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T28" i="11" s="1"/>
  <c r="U28" i="11" s="1"/>
  <c r="V28" i="11" s="1"/>
  <c r="W28" i="11" s="1"/>
  <c r="C26" i="11"/>
  <c r="Y24" i="11"/>
  <c r="Q3" i="11"/>
  <c r="E3" i="11"/>
  <c r="D3" i="11"/>
  <c r="P3" i="11" l="1"/>
  <c r="R3" i="12"/>
  <c r="S3" i="12"/>
  <c r="F3" i="12"/>
  <c r="I3" i="12"/>
  <c r="N3" i="11"/>
  <c r="O3" i="11"/>
  <c r="H3" i="12"/>
  <c r="U3" i="12"/>
  <c r="K3" i="12"/>
  <c r="W3" i="12"/>
  <c r="L3" i="12"/>
  <c r="D3" i="12"/>
  <c r="P3" i="12"/>
  <c r="M3" i="12"/>
  <c r="E3" i="12"/>
  <c r="Q3" i="12"/>
  <c r="T3" i="12"/>
  <c r="M3" i="11"/>
  <c r="N3" i="12"/>
  <c r="O3" i="12"/>
  <c r="J3" i="12"/>
  <c r="V3" i="12"/>
  <c r="R3" i="11"/>
  <c r="H3" i="11"/>
  <c r="T3" i="11"/>
  <c r="G3" i="11"/>
  <c r="U3" i="11"/>
  <c r="J3" i="11"/>
  <c r="V3" i="11"/>
  <c r="S3" i="11"/>
  <c r="I3" i="11"/>
  <c r="K3" i="11"/>
  <c r="W3" i="11"/>
  <c r="F3" i="11"/>
  <c r="L3" i="11"/>
  <c r="O28" i="12"/>
  <c r="P28" i="12" s="1"/>
  <c r="Q28" i="12" s="1"/>
  <c r="R28" i="12" s="1"/>
  <c r="S28" i="12" s="1"/>
  <c r="T28" i="12" s="1"/>
  <c r="U28" i="12" s="1"/>
  <c r="V28" i="12" s="1"/>
  <c r="W28" i="12" s="1"/>
  <c r="D18" i="8" l="1"/>
  <c r="E18" i="8" s="1"/>
  <c r="F18" i="8" s="1"/>
  <c r="D27" i="7"/>
  <c r="E27" i="7" s="1"/>
  <c r="F27" i="7" s="1"/>
  <c r="G27" i="7" s="1"/>
  <c r="H27" i="7" s="1"/>
  <c r="I27" i="7" s="1"/>
  <c r="J27" i="7" s="1"/>
  <c r="K27" i="7" s="1"/>
  <c r="L27" i="7" s="1"/>
  <c r="M27" i="7" s="1"/>
  <c r="N27" i="7" s="1"/>
  <c r="O27" i="7" s="1"/>
  <c r="P27" i="7" s="1"/>
  <c r="Q27" i="7" s="1"/>
  <c r="R27" i="7" s="1"/>
  <c r="S27" i="7" s="1"/>
  <c r="T27" i="7" s="1"/>
  <c r="U27" i="7" s="1"/>
  <c r="V27" i="7" s="1"/>
  <c r="W27" i="7" s="1"/>
  <c r="K24" i="3"/>
  <c r="G18" i="8" l="1"/>
  <c r="H18" i="8" l="1"/>
  <c r="I18" i="8" l="1"/>
  <c r="J18" i="8" l="1"/>
  <c r="C25" i="6"/>
  <c r="C38" i="6" l="1"/>
  <c r="E38" i="6" s="1"/>
  <c r="F38" i="6" s="1"/>
  <c r="G38" i="6" s="1"/>
  <c r="H38" i="6" s="1"/>
  <c r="I38" i="6" s="1"/>
  <c r="J38" i="6" s="1"/>
  <c r="K38" i="6" s="1"/>
  <c r="L38" i="6" s="1"/>
  <c r="M38" i="6" s="1"/>
  <c r="N38" i="6" s="1"/>
  <c r="O38" i="6" s="1"/>
  <c r="P38" i="6" s="1"/>
  <c r="Q38" i="6" s="1"/>
  <c r="R38" i="6" s="1"/>
  <c r="S38" i="6" s="1"/>
  <c r="T38" i="6" s="1"/>
  <c r="U38" i="6" s="1"/>
  <c r="V38" i="6" s="1"/>
  <c r="W38" i="6" s="1"/>
  <c r="E5" i="15"/>
  <c r="E4" i="15"/>
  <c r="K18" i="8"/>
  <c r="C3" i="10"/>
  <c r="I3" i="7"/>
  <c r="F27" i="6"/>
  <c r="G27" i="6" s="1"/>
  <c r="H27" i="6" s="1"/>
  <c r="I27" i="6" s="1"/>
  <c r="J27" i="6" s="1"/>
  <c r="K27" i="6" s="1"/>
  <c r="L27" i="6" s="1"/>
  <c r="M27" i="6" s="1"/>
  <c r="N27" i="6" s="1"/>
  <c r="E27" i="5"/>
  <c r="F27" i="5" s="1"/>
  <c r="G27" i="5" s="1"/>
  <c r="H27" i="5" s="1"/>
  <c r="I27" i="5" s="1"/>
  <c r="N24" i="3"/>
  <c r="T3" i="7" l="1"/>
  <c r="J3" i="7"/>
  <c r="V3" i="7"/>
  <c r="O27" i="6"/>
  <c r="P27" i="6" s="1"/>
  <c r="Q27" i="6" s="1"/>
  <c r="R27" i="6" s="1"/>
  <c r="S27" i="6" s="1"/>
  <c r="T27" i="6" s="1"/>
  <c r="U27" i="6" s="1"/>
  <c r="V27" i="6" s="1"/>
  <c r="L18" i="8"/>
  <c r="H3" i="7"/>
  <c r="L3" i="7"/>
  <c r="G3" i="7"/>
  <c r="S3" i="7"/>
  <c r="K3" i="7"/>
  <c r="U3" i="7"/>
  <c r="D3" i="10"/>
  <c r="M3" i="7"/>
  <c r="N3" i="7"/>
  <c r="O3" i="7"/>
  <c r="D3" i="7"/>
  <c r="P3" i="7"/>
  <c r="E3" i="7"/>
  <c r="Q3" i="7"/>
  <c r="F3" i="7"/>
  <c r="R3" i="7"/>
  <c r="C38" i="5"/>
  <c r="C25" i="7"/>
  <c r="J27" i="5"/>
  <c r="K27" i="5" s="1"/>
  <c r="L27" i="5" s="1"/>
  <c r="M27" i="5" s="1"/>
  <c r="N27" i="5" s="1"/>
  <c r="M18" i="8" l="1"/>
  <c r="D38" i="5"/>
  <c r="E3" i="10"/>
  <c r="O27" i="5"/>
  <c r="P27" i="5" s="1"/>
  <c r="Q27" i="5" s="1"/>
  <c r="R27" i="5" s="1"/>
  <c r="S27" i="5" s="1"/>
  <c r="T27" i="5" s="1"/>
  <c r="U27" i="5" s="1"/>
  <c r="V27" i="5" s="1"/>
  <c r="W27" i="5" s="1"/>
  <c r="N18" i="8" l="1"/>
  <c r="F3" i="10"/>
  <c r="E38" i="5"/>
  <c r="F38" i="5" s="1"/>
  <c r="O18" i="8" l="1"/>
  <c r="G3" i="10"/>
  <c r="O18" i="3"/>
  <c r="N18" i="3"/>
  <c r="K22" i="3"/>
  <c r="J21" i="3"/>
  <c r="L21" i="3" s="1"/>
  <c r="N19" i="3" l="1"/>
  <c r="V18" i="17"/>
  <c r="W18" i="17" s="1"/>
  <c r="V18" i="16"/>
  <c r="W18" i="16" s="1"/>
  <c r="V18" i="5"/>
  <c r="W18" i="5" s="1"/>
  <c r="V18" i="7"/>
  <c r="W18" i="7" s="1"/>
  <c r="V6" i="14"/>
  <c r="V18" i="11"/>
  <c r="W18" i="11" s="1"/>
  <c r="V18" i="6"/>
  <c r="W18" i="6" s="1"/>
  <c r="V8" i="14"/>
  <c r="W8" i="14" s="1"/>
  <c r="V18" i="12"/>
  <c r="W18" i="12" s="1"/>
  <c r="V6" i="8"/>
  <c r="P18" i="8"/>
  <c r="Q18" i="8" s="1"/>
  <c r="R18" i="8" s="1"/>
  <c r="S18" i="8" s="1"/>
  <c r="T18" i="8" s="1"/>
  <c r="U18" i="8" s="1"/>
  <c r="V18" i="8" s="1"/>
  <c r="W18" i="8" s="1"/>
  <c r="H3" i="10"/>
  <c r="G38" i="5"/>
  <c r="V3" i="8"/>
  <c r="V8" i="8"/>
  <c r="V9" i="8" s="1"/>
  <c r="N25" i="3"/>
  <c r="O19" i="3"/>
  <c r="S3" i="5"/>
  <c r="G3" i="5"/>
  <c r="I3" i="5"/>
  <c r="H3" i="5"/>
  <c r="T3" i="5"/>
  <c r="W3" i="5"/>
  <c r="N3" i="5"/>
  <c r="M3" i="5"/>
  <c r="L3" i="5"/>
  <c r="R3" i="5"/>
  <c r="F3" i="5"/>
  <c r="O3" i="5"/>
  <c r="U3" i="5"/>
  <c r="D3" i="5"/>
  <c r="K3" i="5"/>
  <c r="Q3" i="5"/>
  <c r="E3" i="5"/>
  <c r="V3" i="5"/>
  <c r="J3" i="5"/>
  <c r="P3" i="5"/>
  <c r="V7" i="14" l="1"/>
  <c r="V9" i="14"/>
  <c r="W9" i="14" s="1"/>
  <c r="V4" i="8"/>
  <c r="V7" i="8" s="1"/>
  <c r="V10" i="8" s="1"/>
  <c r="W8" i="8"/>
  <c r="W9" i="8" s="1"/>
  <c r="H38" i="5"/>
  <c r="I3" i="10"/>
  <c r="U27" i="1"/>
  <c r="T27" i="1"/>
  <c r="E25" i="4"/>
  <c r="E24" i="4"/>
  <c r="E23" i="4"/>
  <c r="E22" i="4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H28" i="1"/>
  <c r="I28" i="1" s="1"/>
  <c r="J28" i="1" s="1"/>
  <c r="K28" i="1" s="1"/>
  <c r="V10" i="14" l="1"/>
  <c r="V11" i="14" s="1"/>
  <c r="V12" i="14" s="1"/>
  <c r="V16" i="14" s="1"/>
  <c r="V11" i="8"/>
  <c r="V12" i="8" s="1"/>
  <c r="V16" i="8" s="1"/>
  <c r="J3" i="10"/>
  <c r="I38" i="5"/>
  <c r="L15" i="3"/>
  <c r="L4" i="3"/>
  <c r="L16" i="3"/>
  <c r="L5" i="3"/>
  <c r="L6" i="3"/>
  <c r="L18" i="3"/>
  <c r="L7" i="3"/>
  <c r="L8" i="3"/>
  <c r="L9" i="3"/>
  <c r="L3" i="3"/>
  <c r="L19" i="3"/>
  <c r="L20" i="3"/>
  <c r="L10" i="3"/>
  <c r="L11" i="3"/>
  <c r="L17" i="3"/>
  <c r="L12" i="3"/>
  <c r="L13" i="3"/>
  <c r="L14" i="3"/>
  <c r="J18" i="3"/>
  <c r="R29" i="1" s="1"/>
  <c r="J10" i="3"/>
  <c r="J29" i="1" s="1"/>
  <c r="K4" i="3"/>
  <c r="J5" i="3"/>
  <c r="J8" i="3"/>
  <c r="H29" i="1" s="1"/>
  <c r="J11" i="3"/>
  <c r="K29" i="1" s="1"/>
  <c r="J14" i="3"/>
  <c r="N29" i="1" s="1"/>
  <c r="J17" i="3"/>
  <c r="Q29" i="1" s="1"/>
  <c r="J20" i="3"/>
  <c r="J4" i="3"/>
  <c r="J19" i="3"/>
  <c r="S29" i="1" s="1"/>
  <c r="K10" i="3"/>
  <c r="K17" i="3"/>
  <c r="J16" i="3"/>
  <c r="P29" i="1" s="1"/>
  <c r="K19" i="3"/>
  <c r="K5" i="3"/>
  <c r="J7" i="3"/>
  <c r="G26" i="1" s="1"/>
  <c r="G27" i="1" s="1"/>
  <c r="K13" i="3"/>
  <c r="K20" i="3"/>
  <c r="J13" i="3"/>
  <c r="M29" i="1" s="1"/>
  <c r="K7" i="3"/>
  <c r="K16" i="3"/>
  <c r="K8" i="3"/>
  <c r="K11" i="3"/>
  <c r="K14" i="3"/>
  <c r="J3" i="3"/>
  <c r="J6" i="3"/>
  <c r="J9" i="3"/>
  <c r="I29" i="1" s="1"/>
  <c r="J12" i="3"/>
  <c r="L29" i="1" s="1"/>
  <c r="J15" i="3"/>
  <c r="O29" i="1" s="1"/>
  <c r="K3" i="3"/>
  <c r="K6" i="3"/>
  <c r="K9" i="3"/>
  <c r="K12" i="3"/>
  <c r="K15" i="3"/>
  <c r="K18" i="3"/>
  <c r="G30" i="1" l="1"/>
  <c r="G32" i="1" s="1"/>
  <c r="G33" i="1" s="1"/>
  <c r="R18" i="5"/>
  <c r="R18" i="12"/>
  <c r="R6" i="14"/>
  <c r="R18" i="17"/>
  <c r="R18" i="11"/>
  <c r="R18" i="6"/>
  <c r="R18" i="16"/>
  <c r="R18" i="7"/>
  <c r="R8" i="14"/>
  <c r="R9" i="14" s="1"/>
  <c r="R6" i="8"/>
  <c r="R3" i="14"/>
  <c r="R4" i="14" s="1"/>
  <c r="Q18" i="11"/>
  <c r="Q18" i="17"/>
  <c r="Q18" i="16"/>
  <c r="Q6" i="14"/>
  <c r="Q18" i="6"/>
  <c r="Q18" i="12"/>
  <c r="Q18" i="7"/>
  <c r="Q3" i="14"/>
  <c r="Q4" i="14" s="1"/>
  <c r="Q6" i="8"/>
  <c r="Q18" i="5"/>
  <c r="Q8" i="14"/>
  <c r="Q9" i="14" s="1"/>
  <c r="E4" i="14"/>
  <c r="P18" i="17"/>
  <c r="P8" i="14"/>
  <c r="P9" i="14" s="1"/>
  <c r="P18" i="16"/>
  <c r="P18" i="11"/>
  <c r="P6" i="14"/>
  <c r="P18" i="12"/>
  <c r="P3" i="14"/>
  <c r="P4" i="14" s="1"/>
  <c r="P18" i="6"/>
  <c r="P6" i="8"/>
  <c r="P18" i="7"/>
  <c r="P18" i="5"/>
  <c r="U18" i="12"/>
  <c r="U18" i="5"/>
  <c r="U18" i="6"/>
  <c r="U18" i="17"/>
  <c r="U6" i="14"/>
  <c r="U18" i="7"/>
  <c r="U4" i="14"/>
  <c r="U18" i="16"/>
  <c r="U8" i="14"/>
  <c r="U9" i="14" s="1"/>
  <c r="U6" i="8"/>
  <c r="U18" i="11"/>
  <c r="D4" i="14"/>
  <c r="D7" i="14" s="1"/>
  <c r="T6" i="8"/>
  <c r="T18" i="7"/>
  <c r="T18" i="16"/>
  <c r="T18" i="17"/>
  <c r="T6" i="14"/>
  <c r="T18" i="6"/>
  <c r="T18" i="5"/>
  <c r="T8" i="14"/>
  <c r="T9" i="14" s="1"/>
  <c r="T18" i="11"/>
  <c r="T18" i="12"/>
  <c r="O18" i="16"/>
  <c r="N18" i="16" s="1"/>
  <c r="O18" i="11"/>
  <c r="N18" i="11" s="1"/>
  <c r="O18" i="5"/>
  <c r="N18" i="5" s="1"/>
  <c r="M18" i="5" s="1"/>
  <c r="L18" i="5" s="1"/>
  <c r="K18" i="5" s="1"/>
  <c r="J18" i="5" s="1"/>
  <c r="I18" i="5" s="1"/>
  <c r="H18" i="5" s="1"/>
  <c r="G18" i="5" s="1"/>
  <c r="F18" i="5" s="1"/>
  <c r="E18" i="5" s="1"/>
  <c r="D18" i="5" s="1"/>
  <c r="O18" i="6"/>
  <c r="N18" i="6" s="1"/>
  <c r="M18" i="6" s="1"/>
  <c r="L18" i="6" s="1"/>
  <c r="K18" i="6" s="1"/>
  <c r="J18" i="6" s="1"/>
  <c r="I18" i="6" s="1"/>
  <c r="H18" i="6" s="1"/>
  <c r="G18" i="6" s="1"/>
  <c r="F18" i="6" s="1"/>
  <c r="E18" i="6" s="1"/>
  <c r="D18" i="6" s="1"/>
  <c r="O7" i="14"/>
  <c r="O18" i="17"/>
  <c r="N18" i="17" s="1"/>
  <c r="O8" i="14"/>
  <c r="O18" i="12"/>
  <c r="N18" i="12" s="1"/>
  <c r="O6" i="8"/>
  <c r="O18" i="7"/>
  <c r="N18" i="7" s="1"/>
  <c r="M18" i="7" s="1"/>
  <c r="L18" i="7" s="1"/>
  <c r="K18" i="7" s="1"/>
  <c r="J18" i="7" s="1"/>
  <c r="I18" i="7" s="1"/>
  <c r="H18" i="7" s="1"/>
  <c r="G18" i="7" s="1"/>
  <c r="F18" i="7" s="1"/>
  <c r="E18" i="7" s="1"/>
  <c r="D18" i="7" s="1"/>
  <c r="S8" i="14"/>
  <c r="S9" i="14" s="1"/>
  <c r="S18" i="17"/>
  <c r="S6" i="14"/>
  <c r="S18" i="6"/>
  <c r="S18" i="16"/>
  <c r="S18" i="7"/>
  <c r="S18" i="12"/>
  <c r="S6" i="8"/>
  <c r="S18" i="5"/>
  <c r="S3" i="14"/>
  <c r="S4" i="14" s="1"/>
  <c r="S18" i="11"/>
  <c r="R8" i="8"/>
  <c r="R9" i="8" s="1"/>
  <c r="R3" i="8"/>
  <c r="E3" i="8"/>
  <c r="E4" i="8" s="1"/>
  <c r="P3" i="8"/>
  <c r="P8" i="8"/>
  <c r="P9" i="8" s="1"/>
  <c r="Q8" i="8"/>
  <c r="Q9" i="8" s="1"/>
  <c r="Q3" i="8"/>
  <c r="U8" i="8"/>
  <c r="U9" i="8" s="1"/>
  <c r="U3" i="8"/>
  <c r="U4" i="8" s="1"/>
  <c r="U7" i="8" s="1"/>
  <c r="T8" i="8"/>
  <c r="T9" i="8" s="1"/>
  <c r="T3" i="8"/>
  <c r="D3" i="8"/>
  <c r="D4" i="8" s="1"/>
  <c r="K3" i="10"/>
  <c r="J38" i="5"/>
  <c r="O3" i="8"/>
  <c r="O8" i="8"/>
  <c r="O9" i="8" s="1"/>
  <c r="S8" i="8"/>
  <c r="S9" i="8" s="1"/>
  <c r="S3" i="8"/>
  <c r="S4" i="8" s="1"/>
  <c r="O24" i="3"/>
  <c r="H26" i="1"/>
  <c r="D7" i="8" l="1"/>
  <c r="B28" i="14"/>
  <c r="N6" i="14" s="1"/>
  <c r="E7" i="14"/>
  <c r="O9" i="14"/>
  <c r="O10" i="14" s="1"/>
  <c r="O11" i="14" s="1"/>
  <c r="O12" i="14" s="1"/>
  <c r="O16" i="14" s="1"/>
  <c r="R7" i="14"/>
  <c r="R10" i="14" s="1"/>
  <c r="R11" i="14" s="1"/>
  <c r="R12" i="14" s="1"/>
  <c r="R16" i="14" s="1"/>
  <c r="U7" i="14"/>
  <c r="U10" i="14" s="1"/>
  <c r="U11" i="14" s="1"/>
  <c r="U12" i="14" s="1"/>
  <c r="U16" i="14" s="1"/>
  <c r="P7" i="14"/>
  <c r="P10" i="14" s="1"/>
  <c r="P11" i="14" s="1"/>
  <c r="P12" i="14" s="1"/>
  <c r="P16" i="14" s="1"/>
  <c r="Q7" i="14"/>
  <c r="Q10" i="14" s="1"/>
  <c r="Q11" i="14" s="1"/>
  <c r="Q12" i="14" s="1"/>
  <c r="Q16" i="14" s="1"/>
  <c r="S7" i="14"/>
  <c r="S10" i="14" s="1"/>
  <c r="S11" i="14" s="1"/>
  <c r="S12" i="14" s="1"/>
  <c r="S16" i="14" s="1"/>
  <c r="T7" i="14"/>
  <c r="T10" i="14" s="1"/>
  <c r="T11" i="14" s="1"/>
  <c r="T12" i="14" s="1"/>
  <c r="T16" i="14" s="1"/>
  <c r="H27" i="1"/>
  <c r="H30" i="1" s="1"/>
  <c r="H32" i="1" s="1"/>
  <c r="H33" i="1" s="1"/>
  <c r="H35" i="1"/>
  <c r="S7" i="8"/>
  <c r="S10" i="8" s="1"/>
  <c r="S11" i="8" s="1"/>
  <c r="S12" i="8" s="1"/>
  <c r="S16" i="8" s="1"/>
  <c r="G6" i="14"/>
  <c r="H6" i="14"/>
  <c r="I6" i="14"/>
  <c r="K6" i="14"/>
  <c r="L6" i="14"/>
  <c r="M6" i="14"/>
  <c r="J6" i="14"/>
  <c r="M18" i="17"/>
  <c r="L18" i="17" s="1"/>
  <c r="K18" i="17" s="1"/>
  <c r="J18" i="17" s="1"/>
  <c r="I18" i="17" s="1"/>
  <c r="H18" i="17" s="1"/>
  <c r="G18" i="17" s="1"/>
  <c r="F18" i="17" s="1"/>
  <c r="E18" i="17" s="1"/>
  <c r="D18" i="17" s="1"/>
  <c r="N31" i="17"/>
  <c r="N30" i="7"/>
  <c r="M18" i="12"/>
  <c r="L18" i="12" s="1"/>
  <c r="K18" i="12" s="1"/>
  <c r="J18" i="12" s="1"/>
  <c r="I18" i="12" s="1"/>
  <c r="H18" i="12" s="1"/>
  <c r="G18" i="12" s="1"/>
  <c r="F18" i="12" s="1"/>
  <c r="E18" i="12" s="1"/>
  <c r="D18" i="12" s="1"/>
  <c r="N31" i="12"/>
  <c r="M18" i="16"/>
  <c r="L18" i="16" s="1"/>
  <c r="K18" i="16" s="1"/>
  <c r="J18" i="16" s="1"/>
  <c r="I18" i="16" s="1"/>
  <c r="H18" i="16" s="1"/>
  <c r="G18" i="16" s="1"/>
  <c r="F18" i="16" s="1"/>
  <c r="E18" i="16" s="1"/>
  <c r="D18" i="16" s="1"/>
  <c r="N31" i="16"/>
  <c r="M18" i="11"/>
  <c r="L18" i="11" s="1"/>
  <c r="K18" i="11" s="1"/>
  <c r="J18" i="11" s="1"/>
  <c r="I18" i="11" s="1"/>
  <c r="H18" i="11" s="1"/>
  <c r="G18" i="11" s="1"/>
  <c r="F18" i="11" s="1"/>
  <c r="E18" i="11" s="1"/>
  <c r="D18" i="11" s="1"/>
  <c r="N31" i="11"/>
  <c r="I2" i="16"/>
  <c r="I17" i="16" s="1"/>
  <c r="I2" i="17"/>
  <c r="I17" i="17" s="1"/>
  <c r="I4" i="14"/>
  <c r="I4" i="8"/>
  <c r="I2" i="11"/>
  <c r="I17" i="11" s="1"/>
  <c r="I2" i="12"/>
  <c r="I17" i="12" s="1"/>
  <c r="B28" i="8"/>
  <c r="U10" i="8"/>
  <c r="U11" i="8" s="1"/>
  <c r="U12" i="8" s="1"/>
  <c r="U16" i="8" s="1"/>
  <c r="N9" i="8"/>
  <c r="E7" i="8"/>
  <c r="O4" i="8"/>
  <c r="O7" i="8" s="1"/>
  <c r="O10" i="8" s="1"/>
  <c r="Q4" i="8"/>
  <c r="Q7" i="8" s="1"/>
  <c r="Q10" i="8" s="1"/>
  <c r="R4" i="8"/>
  <c r="R7" i="8" s="1"/>
  <c r="R10" i="8" s="1"/>
  <c r="T4" i="8"/>
  <c r="T7" i="8" s="1"/>
  <c r="T10" i="8" s="1"/>
  <c r="P4" i="8"/>
  <c r="P7" i="8" s="1"/>
  <c r="P10" i="8" s="1"/>
  <c r="K38" i="5"/>
  <c r="I2" i="7"/>
  <c r="I17" i="7" s="1"/>
  <c r="L3" i="10"/>
  <c r="I2" i="6"/>
  <c r="I17" i="6" s="1"/>
  <c r="I2" i="5"/>
  <c r="I17" i="5" s="1"/>
  <c r="I26" i="1"/>
  <c r="J26" i="1" s="1"/>
  <c r="N28" i="1"/>
  <c r="F6" i="14" l="1"/>
  <c r="N9" i="14"/>
  <c r="M9" i="14" s="1"/>
  <c r="L9" i="14" s="1"/>
  <c r="K9" i="14" s="1"/>
  <c r="J9" i="14" s="1"/>
  <c r="I9" i="14" s="1"/>
  <c r="H9" i="14" s="1"/>
  <c r="G9" i="14" s="1"/>
  <c r="F9" i="14" s="1"/>
  <c r="E9" i="14" s="1"/>
  <c r="D9" i="14" s="1"/>
  <c r="D10" i="14" s="1"/>
  <c r="I19" i="17"/>
  <c r="I20" i="17" s="1"/>
  <c r="I21" i="17" s="1"/>
  <c r="I26" i="17" s="1"/>
  <c r="I19" i="16"/>
  <c r="I20" i="16" s="1"/>
  <c r="I21" i="16" s="1"/>
  <c r="I26" i="16" s="1"/>
  <c r="I19" i="12"/>
  <c r="I7" i="14"/>
  <c r="I10" i="14" s="1"/>
  <c r="I11" i="14" s="1"/>
  <c r="I12" i="14" s="1"/>
  <c r="I16" i="14" s="1"/>
  <c r="D11" i="14"/>
  <c r="D12" i="14" s="1"/>
  <c r="J2" i="17"/>
  <c r="J17" i="17" s="1"/>
  <c r="J19" i="17" s="1"/>
  <c r="J2" i="16"/>
  <c r="J17" i="16" s="1"/>
  <c r="J19" i="16" s="1"/>
  <c r="J4" i="14"/>
  <c r="J4" i="8"/>
  <c r="J2" i="11"/>
  <c r="J17" i="11" s="1"/>
  <c r="J19" i="11" s="1"/>
  <c r="J2" i="12"/>
  <c r="J17" i="12" s="1"/>
  <c r="J19" i="12" s="1"/>
  <c r="N6" i="8"/>
  <c r="K6" i="8"/>
  <c r="L6" i="8"/>
  <c r="M6" i="8"/>
  <c r="F6" i="8"/>
  <c r="G6" i="8"/>
  <c r="H6" i="8"/>
  <c r="I6" i="8"/>
  <c r="I7" i="8" s="1"/>
  <c r="J6" i="8"/>
  <c r="I19" i="11"/>
  <c r="E10" i="14"/>
  <c r="E11" i="14" s="1"/>
  <c r="E12" i="14" s="1"/>
  <c r="E16" i="14" s="1"/>
  <c r="I20" i="12"/>
  <c r="I21" i="12" s="1"/>
  <c r="I26" i="12" s="1"/>
  <c r="T11" i="8"/>
  <c r="T12" i="8" s="1"/>
  <c r="T16" i="8" s="1"/>
  <c r="P11" i="8"/>
  <c r="P12" i="8" s="1"/>
  <c r="P16" i="8" s="1"/>
  <c r="M9" i="8"/>
  <c r="Q11" i="8"/>
  <c r="Q12" i="8" s="1"/>
  <c r="Q16" i="8" s="1"/>
  <c r="O11" i="8"/>
  <c r="O12" i="8" s="1"/>
  <c r="O16" i="8" s="1"/>
  <c r="R11" i="8"/>
  <c r="R12" i="8" s="1"/>
  <c r="R16" i="8" s="1"/>
  <c r="M3" i="10"/>
  <c r="J2" i="7"/>
  <c r="J17" i="7" s="1"/>
  <c r="J19" i="7" s="1"/>
  <c r="I19" i="6"/>
  <c r="I21" i="6" s="1"/>
  <c r="I25" i="6" s="1"/>
  <c r="I19" i="7"/>
  <c r="I20" i="7" s="1"/>
  <c r="I21" i="7" s="1"/>
  <c r="I25" i="7" s="1"/>
  <c r="L38" i="5"/>
  <c r="J2" i="6"/>
  <c r="J17" i="6" s="1"/>
  <c r="J19" i="6" s="1"/>
  <c r="J2" i="5"/>
  <c r="J17" i="5" s="1"/>
  <c r="I27" i="1"/>
  <c r="I30" i="1" s="1"/>
  <c r="K26" i="1"/>
  <c r="J27" i="1"/>
  <c r="J30" i="1" s="1"/>
  <c r="O28" i="1"/>
  <c r="D16" i="14" l="1"/>
  <c r="J7" i="8"/>
  <c r="J7" i="14"/>
  <c r="J10" i="14" s="1"/>
  <c r="J11" i="14" s="1"/>
  <c r="J12" i="14" s="1"/>
  <c r="J16" i="14" s="1"/>
  <c r="J20" i="17"/>
  <c r="J21" i="17" s="1"/>
  <c r="J26" i="17" s="1"/>
  <c r="J20" i="16"/>
  <c r="J21" i="16" s="1"/>
  <c r="J26" i="16" s="1"/>
  <c r="I20" i="11"/>
  <c r="I21" i="11" s="1"/>
  <c r="I26" i="11" s="1"/>
  <c r="J20" i="11"/>
  <c r="J21" i="11" s="1"/>
  <c r="J26" i="11" s="1"/>
  <c r="J20" i="12"/>
  <c r="J21" i="12" s="1"/>
  <c r="J26" i="12" s="1"/>
  <c r="I40" i="6"/>
  <c r="I39" i="6"/>
  <c r="L9" i="8"/>
  <c r="N3" i="10"/>
  <c r="M38" i="5"/>
  <c r="J20" i="7"/>
  <c r="J21" i="7" s="1"/>
  <c r="J25" i="7" s="1"/>
  <c r="I32" i="1"/>
  <c r="I33" i="1" s="1"/>
  <c r="J32" i="1"/>
  <c r="J33" i="1" s="1"/>
  <c r="J21" i="6"/>
  <c r="J25" i="6" s="1"/>
  <c r="K27" i="1"/>
  <c r="K30" i="1" s="1"/>
  <c r="L26" i="1"/>
  <c r="P28" i="1"/>
  <c r="K2" i="16" l="1"/>
  <c r="K17" i="16" s="1"/>
  <c r="K19" i="16" s="1"/>
  <c r="K2" i="17"/>
  <c r="K17" i="17" s="1"/>
  <c r="K19" i="17" s="1"/>
  <c r="K4" i="14"/>
  <c r="K4" i="8"/>
  <c r="K7" i="8" s="1"/>
  <c r="K2" i="11"/>
  <c r="K17" i="11" s="1"/>
  <c r="K19" i="11" s="1"/>
  <c r="K2" i="12"/>
  <c r="K17" i="12" s="1"/>
  <c r="K19" i="12" s="1"/>
  <c r="L2" i="16"/>
  <c r="L17" i="16" s="1"/>
  <c r="L19" i="16" s="1"/>
  <c r="L2" i="17"/>
  <c r="L17" i="17" s="1"/>
  <c r="L19" i="17" s="1"/>
  <c r="L20" i="17" s="1"/>
  <c r="L21" i="17" s="1"/>
  <c r="L26" i="17" s="1"/>
  <c r="L4" i="14"/>
  <c r="L4" i="8"/>
  <c r="L7" i="8" s="1"/>
  <c r="L10" i="8" s="1"/>
  <c r="L2" i="11"/>
  <c r="L17" i="11" s="1"/>
  <c r="L19" i="11" s="1"/>
  <c r="L2" i="12"/>
  <c r="L17" i="12" s="1"/>
  <c r="L19" i="12" s="1"/>
  <c r="J40" i="6"/>
  <c r="J39" i="6"/>
  <c r="K9" i="8"/>
  <c r="L2" i="7"/>
  <c r="L17" i="7" s="1"/>
  <c r="L19" i="7" s="1"/>
  <c r="L20" i="7" s="1"/>
  <c r="L21" i="7" s="1"/>
  <c r="L25" i="7" s="1"/>
  <c r="K2" i="7"/>
  <c r="K17" i="7" s="1"/>
  <c r="K19" i="7" s="1"/>
  <c r="K20" i="7" s="1"/>
  <c r="K21" i="7" s="1"/>
  <c r="K25" i="7" s="1"/>
  <c r="N38" i="5"/>
  <c r="O3" i="10"/>
  <c r="L2" i="6"/>
  <c r="L17" i="6" s="1"/>
  <c r="L19" i="6" s="1"/>
  <c r="L21" i="6" s="1"/>
  <c r="L25" i="6" s="1"/>
  <c r="L2" i="5"/>
  <c r="L17" i="5" s="1"/>
  <c r="K32" i="1"/>
  <c r="K33" i="1" s="1"/>
  <c r="K2" i="6"/>
  <c r="K17" i="6" s="1"/>
  <c r="K19" i="6" s="1"/>
  <c r="K2" i="5"/>
  <c r="K17" i="5" s="1"/>
  <c r="L27" i="1"/>
  <c r="L30" i="1" s="1"/>
  <c r="L32" i="1" s="1"/>
  <c r="L33" i="1" s="1"/>
  <c r="M26" i="1"/>
  <c r="Q28" i="1"/>
  <c r="K7" i="14" l="1"/>
  <c r="K10" i="14" s="1"/>
  <c r="K11" i="14" s="1"/>
  <c r="K12" i="14" s="1"/>
  <c r="K16" i="14" s="1"/>
  <c r="L7" i="14"/>
  <c r="L10" i="14" s="1"/>
  <c r="L11" i="14" s="1"/>
  <c r="L12" i="14" s="1"/>
  <c r="L16" i="14" s="1"/>
  <c r="L20" i="16"/>
  <c r="L21" i="16" s="1"/>
  <c r="L26" i="16" s="1"/>
  <c r="K20" i="12"/>
  <c r="K21" i="12" s="1"/>
  <c r="K26" i="12" s="1"/>
  <c r="L20" i="12"/>
  <c r="L21" i="12" s="1"/>
  <c r="L26" i="12" s="1"/>
  <c r="N2" i="7"/>
  <c r="N17" i="7" s="1"/>
  <c r="N19" i="7" s="1"/>
  <c r="N20" i="7" s="1"/>
  <c r="N21" i="7" s="1"/>
  <c r="N25" i="7" s="1"/>
  <c r="N2" i="17"/>
  <c r="N17" i="17" s="1"/>
  <c r="N19" i="17" s="1"/>
  <c r="N20" i="17" s="1"/>
  <c r="N21" i="17" s="1"/>
  <c r="N26" i="17" s="1"/>
  <c r="N2" i="16"/>
  <c r="N17" i="16" s="1"/>
  <c r="N19" i="16" s="1"/>
  <c r="N20" i="16" s="1"/>
  <c r="N21" i="16" s="1"/>
  <c r="N26" i="16" s="1"/>
  <c r="N4" i="14"/>
  <c r="N4" i="8"/>
  <c r="N7" i="8" s="1"/>
  <c r="N10" i="8" s="1"/>
  <c r="N11" i="8" s="1"/>
  <c r="N12" i="8" s="1"/>
  <c r="N16" i="8" s="1"/>
  <c r="N2" i="12"/>
  <c r="N17" i="12" s="1"/>
  <c r="N19" i="12" s="1"/>
  <c r="N2" i="11"/>
  <c r="N17" i="11" s="1"/>
  <c r="N19" i="11" s="1"/>
  <c r="M2" i="17"/>
  <c r="M17" i="17" s="1"/>
  <c r="M19" i="17" s="1"/>
  <c r="M20" i="17" s="1"/>
  <c r="M21" i="17" s="1"/>
  <c r="M26" i="17" s="1"/>
  <c r="M2" i="16"/>
  <c r="M17" i="16" s="1"/>
  <c r="M19" i="16" s="1"/>
  <c r="M4" i="14"/>
  <c r="M4" i="8"/>
  <c r="M7" i="8" s="1"/>
  <c r="M10" i="8" s="1"/>
  <c r="M11" i="8" s="1"/>
  <c r="M12" i="8" s="1"/>
  <c r="M16" i="8" s="1"/>
  <c r="M2" i="12"/>
  <c r="M17" i="12" s="1"/>
  <c r="M19" i="12" s="1"/>
  <c r="M2" i="11"/>
  <c r="M17" i="11" s="1"/>
  <c r="M19" i="11" s="1"/>
  <c r="K20" i="11"/>
  <c r="K21" i="11" s="1"/>
  <c r="K26" i="11" s="1"/>
  <c r="L20" i="11"/>
  <c r="L21" i="11" s="1"/>
  <c r="L26" i="11" s="1"/>
  <c r="K20" i="17"/>
  <c r="K21" i="17" s="1"/>
  <c r="K26" i="17" s="1"/>
  <c r="K20" i="16"/>
  <c r="K21" i="16" s="1"/>
  <c r="K26" i="16" s="1"/>
  <c r="L39" i="6"/>
  <c r="L40" i="6"/>
  <c r="L11" i="8"/>
  <c r="L12" i="8" s="1"/>
  <c r="L16" i="8" s="1"/>
  <c r="J9" i="8"/>
  <c r="K10" i="8"/>
  <c r="P3" i="10"/>
  <c r="M2" i="7"/>
  <c r="M17" i="7" s="1"/>
  <c r="M19" i="7" s="1"/>
  <c r="M20" i="7" s="1"/>
  <c r="M21" i="7" s="1"/>
  <c r="M25" i="7" s="1"/>
  <c r="O38" i="5"/>
  <c r="N2" i="6"/>
  <c r="N17" i="6" s="1"/>
  <c r="N19" i="6" s="1"/>
  <c r="N21" i="6" s="1"/>
  <c r="N25" i="6" s="1"/>
  <c r="N2" i="5"/>
  <c r="N17" i="5" s="1"/>
  <c r="N19" i="5" s="1"/>
  <c r="N20" i="5" s="1"/>
  <c r="N21" i="5" s="1"/>
  <c r="K21" i="6"/>
  <c r="K25" i="6" s="1"/>
  <c r="M2" i="6"/>
  <c r="M17" i="6" s="1"/>
  <c r="M19" i="6" s="1"/>
  <c r="M21" i="6" s="1"/>
  <c r="M25" i="6" s="1"/>
  <c r="M2" i="5"/>
  <c r="M17" i="5" s="1"/>
  <c r="N26" i="1"/>
  <c r="M27" i="1"/>
  <c r="M30" i="1" s="1"/>
  <c r="R28" i="1"/>
  <c r="M7" i="14" l="1"/>
  <c r="M10" i="14" s="1"/>
  <c r="M11" i="14" s="1"/>
  <c r="M12" i="14" s="1"/>
  <c r="M16" i="14" s="1"/>
  <c r="N7" i="14"/>
  <c r="N10" i="14" s="1"/>
  <c r="N11" i="14" s="1"/>
  <c r="N12" i="14" s="1"/>
  <c r="N16" i="14" s="1"/>
  <c r="M20" i="16"/>
  <c r="M21" i="16" s="1"/>
  <c r="M26" i="16" s="1"/>
  <c r="N20" i="11"/>
  <c r="N21" i="11" s="1"/>
  <c r="N26" i="11" s="1"/>
  <c r="N20" i="12"/>
  <c r="N21" i="12" s="1"/>
  <c r="N26" i="12" s="1"/>
  <c r="M20" i="12"/>
  <c r="M21" i="12" s="1"/>
  <c r="M26" i="12" s="1"/>
  <c r="N25" i="5"/>
  <c r="N40" i="5"/>
  <c r="N39" i="5"/>
  <c r="M20" i="11"/>
  <c r="M21" i="11" s="1"/>
  <c r="M26" i="11" s="1"/>
  <c r="K40" i="6"/>
  <c r="K39" i="6"/>
  <c r="M40" i="6"/>
  <c r="M39" i="6"/>
  <c r="N40" i="6"/>
  <c r="N39" i="6"/>
  <c r="K11" i="8"/>
  <c r="K12" i="8" s="1"/>
  <c r="K16" i="8" s="1"/>
  <c r="I9" i="8"/>
  <c r="J10" i="8"/>
  <c r="P38" i="5"/>
  <c r="Q3" i="10"/>
  <c r="M32" i="1"/>
  <c r="M33" i="1" s="1"/>
  <c r="N27" i="1"/>
  <c r="N30" i="1" s="1"/>
  <c r="O26" i="1"/>
  <c r="S28" i="1"/>
  <c r="O2" i="16" l="1"/>
  <c r="O17" i="16" s="1"/>
  <c r="O19" i="16" s="1"/>
  <c r="O2" i="17"/>
  <c r="O17" i="17" s="1"/>
  <c r="O19" i="17" s="1"/>
  <c r="O20" i="17" s="1"/>
  <c r="O21" i="17" s="1"/>
  <c r="O26" i="17" s="1"/>
  <c r="O2" i="11"/>
  <c r="O17" i="11" s="1"/>
  <c r="O19" i="11" s="1"/>
  <c r="O2" i="12"/>
  <c r="O17" i="12" s="1"/>
  <c r="O19" i="12" s="1"/>
  <c r="J11" i="8"/>
  <c r="J12" i="8" s="1"/>
  <c r="J16" i="8" s="1"/>
  <c r="H9" i="8"/>
  <c r="I10" i="8"/>
  <c r="R3" i="10"/>
  <c r="O2" i="7"/>
  <c r="O17" i="7" s="1"/>
  <c r="O19" i="7" s="1"/>
  <c r="O20" i="7" s="1"/>
  <c r="O21" i="7" s="1"/>
  <c r="O25" i="7" s="1"/>
  <c r="Q38" i="5"/>
  <c r="N32" i="1"/>
  <c r="N33" i="1" s="1"/>
  <c r="O2" i="6"/>
  <c r="O17" i="6" s="1"/>
  <c r="O19" i="6" s="1"/>
  <c r="O21" i="6" s="1"/>
  <c r="O25" i="6" s="1"/>
  <c r="O2" i="5"/>
  <c r="O17" i="5" s="1"/>
  <c r="O19" i="5" s="1"/>
  <c r="O20" i="5" s="1"/>
  <c r="O21" i="5" s="1"/>
  <c r="P26" i="1"/>
  <c r="O27" i="1"/>
  <c r="O30" i="1" s="1"/>
  <c r="T28" i="1"/>
  <c r="T30" i="1" s="1"/>
  <c r="E28" i="1"/>
  <c r="D28" i="1"/>
  <c r="C28" i="1"/>
  <c r="B28" i="1"/>
  <c r="F27" i="1"/>
  <c r="F30" i="1" s="1"/>
  <c r="F32" i="1" s="1"/>
  <c r="F33" i="1" s="1"/>
  <c r="E26" i="1"/>
  <c r="E27" i="1" s="1"/>
  <c r="D26" i="1"/>
  <c r="D27" i="1" s="1"/>
  <c r="C26" i="1"/>
  <c r="C27" i="1" s="1"/>
  <c r="B26" i="1"/>
  <c r="B27" i="1" s="1"/>
  <c r="H2" i="17" l="1"/>
  <c r="H17" i="17" s="1"/>
  <c r="H19" i="17" s="1"/>
  <c r="H2" i="16"/>
  <c r="H17" i="16" s="1"/>
  <c r="H19" i="16" s="1"/>
  <c r="H4" i="14"/>
  <c r="H4" i="8"/>
  <c r="H7" i="8" s="1"/>
  <c r="H10" i="8" s="1"/>
  <c r="H2" i="11"/>
  <c r="H17" i="11" s="1"/>
  <c r="H19" i="11" s="1"/>
  <c r="H2" i="12"/>
  <c r="H17" i="12" s="1"/>
  <c r="H19" i="12" s="1"/>
  <c r="V2" i="6"/>
  <c r="V17" i="6" s="1"/>
  <c r="V19" i="6" s="1"/>
  <c r="V21" i="6" s="1"/>
  <c r="V25" i="6" s="1"/>
  <c r="O25" i="5"/>
  <c r="O40" i="5"/>
  <c r="O39" i="5"/>
  <c r="O20" i="11"/>
  <c r="O21" i="11"/>
  <c r="O26" i="11" s="1"/>
  <c r="P2" i="16"/>
  <c r="P17" i="16" s="1"/>
  <c r="P19" i="16" s="1"/>
  <c r="P20" i="16" s="1"/>
  <c r="P21" i="16" s="1"/>
  <c r="P26" i="16" s="1"/>
  <c r="P2" i="17"/>
  <c r="P17" i="17" s="1"/>
  <c r="P19" i="17" s="1"/>
  <c r="P2" i="11"/>
  <c r="P17" i="11" s="1"/>
  <c r="P19" i="11" s="1"/>
  <c r="P2" i="12"/>
  <c r="P17" i="12" s="1"/>
  <c r="P19" i="12" s="1"/>
  <c r="O20" i="12"/>
  <c r="O21" i="12" s="1"/>
  <c r="O26" i="12" s="1"/>
  <c r="O20" i="16"/>
  <c r="O21" i="16" s="1"/>
  <c r="O26" i="16" s="1"/>
  <c r="O40" i="6"/>
  <c r="O39" i="6"/>
  <c r="I11" i="8"/>
  <c r="I12" i="8" s="1"/>
  <c r="I16" i="8" s="1"/>
  <c r="G9" i="8"/>
  <c r="P2" i="7"/>
  <c r="P17" i="7" s="1"/>
  <c r="P19" i="7" s="1"/>
  <c r="P20" i="7" s="1"/>
  <c r="P21" i="7" s="1"/>
  <c r="P25" i="7" s="1"/>
  <c r="C30" i="1"/>
  <c r="C32" i="1" s="1"/>
  <c r="C33" i="1" s="1"/>
  <c r="R38" i="5"/>
  <c r="S3" i="10"/>
  <c r="D30" i="1"/>
  <c r="D32" i="1" s="1"/>
  <c r="D33" i="1" s="1"/>
  <c r="E30" i="1"/>
  <c r="E32" i="1" s="1"/>
  <c r="E33" i="1" s="1"/>
  <c r="H2" i="7"/>
  <c r="H17" i="7" s="1"/>
  <c r="H19" i="7" s="1"/>
  <c r="H2" i="5"/>
  <c r="H17" i="5" s="1"/>
  <c r="H2" i="6"/>
  <c r="H17" i="6" s="1"/>
  <c r="H19" i="6" s="1"/>
  <c r="H21" i="6" s="1"/>
  <c r="H25" i="6" s="1"/>
  <c r="O32" i="1"/>
  <c r="O33" i="1" s="1"/>
  <c r="P2" i="6"/>
  <c r="P17" i="6" s="1"/>
  <c r="P19" i="6" s="1"/>
  <c r="P2" i="5"/>
  <c r="P17" i="5" s="1"/>
  <c r="P19" i="5" s="1"/>
  <c r="P20" i="5" s="1"/>
  <c r="P21" i="5" s="1"/>
  <c r="P27" i="1"/>
  <c r="P30" i="1" s="1"/>
  <c r="Q26" i="1"/>
  <c r="U28" i="1"/>
  <c r="U30" i="1" s="1"/>
  <c r="U33" i="1" s="1"/>
  <c r="B30" i="1"/>
  <c r="B32" i="1" s="1"/>
  <c r="B33" i="1" s="1"/>
  <c r="H7" i="14" l="1"/>
  <c r="H10" i="14" s="1"/>
  <c r="H11" i="14" s="1"/>
  <c r="H12" i="14" s="1"/>
  <c r="H16" i="14" s="1"/>
  <c r="G2" i="17"/>
  <c r="G17" i="17" s="1"/>
  <c r="G19" i="17" s="1"/>
  <c r="G20" i="17" s="1"/>
  <c r="G21" i="17" s="1"/>
  <c r="G26" i="17" s="1"/>
  <c r="G2" i="16"/>
  <c r="G17" i="16" s="1"/>
  <c r="G19" i="16" s="1"/>
  <c r="G20" i="16" s="1"/>
  <c r="G21" i="16" s="1"/>
  <c r="G26" i="16" s="1"/>
  <c r="G4" i="14"/>
  <c r="G4" i="8"/>
  <c r="G7" i="8" s="1"/>
  <c r="G10" i="8" s="1"/>
  <c r="G2" i="11"/>
  <c r="G17" i="11" s="1"/>
  <c r="G19" i="11" s="1"/>
  <c r="G2" i="12"/>
  <c r="G17" i="12" s="1"/>
  <c r="G19" i="12" s="1"/>
  <c r="F2" i="17"/>
  <c r="F17" i="17" s="1"/>
  <c r="F19" i="17" s="1"/>
  <c r="F2" i="16"/>
  <c r="F17" i="16" s="1"/>
  <c r="F19" i="16" s="1"/>
  <c r="F4" i="14"/>
  <c r="F4" i="8"/>
  <c r="F7" i="8" s="1"/>
  <c r="F2" i="12"/>
  <c r="F17" i="12" s="1"/>
  <c r="F19" i="12" s="1"/>
  <c r="F2" i="11"/>
  <c r="F17" i="11" s="1"/>
  <c r="F19" i="11" s="1"/>
  <c r="P25" i="5"/>
  <c r="P40" i="5"/>
  <c r="P39" i="5"/>
  <c r="H20" i="16"/>
  <c r="H21" i="16" s="1"/>
  <c r="H26" i="16" s="1"/>
  <c r="H20" i="17"/>
  <c r="H21" i="17" s="1"/>
  <c r="H26" i="17" s="1"/>
  <c r="V2" i="16"/>
  <c r="V17" i="16" s="1"/>
  <c r="V19" i="16" s="1"/>
  <c r="V2" i="17"/>
  <c r="V17" i="17" s="1"/>
  <c r="V19" i="17" s="1"/>
  <c r="V2" i="11"/>
  <c r="V17" i="11" s="1"/>
  <c r="V19" i="11" s="1"/>
  <c r="V20" i="11" s="1"/>
  <c r="V21" i="11" s="1"/>
  <c r="V26" i="11" s="1"/>
  <c r="V2" i="12"/>
  <c r="V17" i="12" s="1"/>
  <c r="V19" i="12" s="1"/>
  <c r="P20" i="12"/>
  <c r="P21" i="12" s="1"/>
  <c r="P26" i="12" s="1"/>
  <c r="H20" i="12"/>
  <c r="H21" i="12" s="1"/>
  <c r="H26" i="12" s="1"/>
  <c r="P20" i="11"/>
  <c r="P21" i="11" s="1"/>
  <c r="P26" i="11" s="1"/>
  <c r="H20" i="11"/>
  <c r="H21" i="11" s="1"/>
  <c r="H26" i="11" s="1"/>
  <c r="V2" i="5"/>
  <c r="V17" i="5" s="1"/>
  <c r="V19" i="5" s="1"/>
  <c r="V20" i="5" s="1"/>
  <c r="V21" i="5" s="1"/>
  <c r="V25" i="5" s="1"/>
  <c r="D2" i="16"/>
  <c r="D17" i="16" s="1"/>
  <c r="D19" i="16" s="1"/>
  <c r="D20" i="16" s="1"/>
  <c r="D21" i="16" s="1"/>
  <c r="D26" i="16" s="1"/>
  <c r="D2" i="17"/>
  <c r="D17" i="17" s="1"/>
  <c r="D19" i="17" s="1"/>
  <c r="D2" i="11"/>
  <c r="D17" i="11" s="1"/>
  <c r="D19" i="11" s="1"/>
  <c r="D20" i="11" s="1"/>
  <c r="D21" i="11" s="1"/>
  <c r="D26" i="11" s="1"/>
  <c r="D2" i="12"/>
  <c r="D17" i="12" s="1"/>
  <c r="D19" i="12" s="1"/>
  <c r="V2" i="7"/>
  <c r="V17" i="7" s="1"/>
  <c r="V19" i="7" s="1"/>
  <c r="V20" i="7" s="1"/>
  <c r="V21" i="7" s="1"/>
  <c r="V25" i="7" s="1"/>
  <c r="P20" i="17"/>
  <c r="P21" i="17" s="1"/>
  <c r="P26" i="17" s="1"/>
  <c r="Q2" i="17"/>
  <c r="Q17" i="17" s="1"/>
  <c r="Q19" i="17" s="1"/>
  <c r="Q2" i="16"/>
  <c r="Q17" i="16" s="1"/>
  <c r="Q19" i="16" s="1"/>
  <c r="Q2" i="12"/>
  <c r="Q17" i="12" s="1"/>
  <c r="Q19" i="12" s="1"/>
  <c r="Q2" i="11"/>
  <c r="Q17" i="11" s="1"/>
  <c r="Q19" i="11" s="1"/>
  <c r="E2" i="5"/>
  <c r="E17" i="5" s="1"/>
  <c r="E2" i="17"/>
  <c r="E17" i="17" s="1"/>
  <c r="E19" i="17" s="1"/>
  <c r="E2" i="16"/>
  <c r="E17" i="16" s="1"/>
  <c r="E19" i="16" s="1"/>
  <c r="E2" i="11"/>
  <c r="E17" i="11" s="1"/>
  <c r="E19" i="11" s="1"/>
  <c r="E2" i="12"/>
  <c r="E17" i="12" s="1"/>
  <c r="E19" i="12" s="1"/>
  <c r="V40" i="6"/>
  <c r="V39" i="6"/>
  <c r="H40" i="6"/>
  <c r="H39" i="6"/>
  <c r="H11" i="8"/>
  <c r="H12" i="8" s="1"/>
  <c r="H16" i="8" s="1"/>
  <c r="F9" i="8"/>
  <c r="E2" i="7"/>
  <c r="E17" i="7" s="1"/>
  <c r="E19" i="7" s="1"/>
  <c r="E20" i="7" s="1"/>
  <c r="E21" i="7" s="1"/>
  <c r="E25" i="7" s="1"/>
  <c r="Q2" i="7"/>
  <c r="Q17" i="7" s="1"/>
  <c r="Q19" i="7" s="1"/>
  <c r="Q20" i="7" s="1"/>
  <c r="Q21" i="7" s="1"/>
  <c r="Q25" i="7" s="1"/>
  <c r="T3" i="10"/>
  <c r="S38" i="5"/>
  <c r="E2" i="6"/>
  <c r="E17" i="6" s="1"/>
  <c r="E21" i="6" s="1"/>
  <c r="F2" i="7"/>
  <c r="F17" i="7" s="1"/>
  <c r="F19" i="7" s="1"/>
  <c r="F20" i="7" s="1"/>
  <c r="F21" i="7" s="1"/>
  <c r="F25" i="7" s="1"/>
  <c r="F2" i="6"/>
  <c r="F17" i="6" s="1"/>
  <c r="F19" i="6" s="1"/>
  <c r="F21" i="6" s="1"/>
  <c r="F25" i="6" s="1"/>
  <c r="F2" i="5"/>
  <c r="F17" i="5" s="1"/>
  <c r="H20" i="7"/>
  <c r="H21" i="7" s="1"/>
  <c r="H25" i="7" s="1"/>
  <c r="D2" i="7"/>
  <c r="D17" i="7" s="1"/>
  <c r="D19" i="7" s="1"/>
  <c r="D20" i="7" s="1"/>
  <c r="D21" i="7" s="1"/>
  <c r="D25" i="7" s="1"/>
  <c r="D2" i="5"/>
  <c r="D17" i="5" s="1"/>
  <c r="D19" i="5" s="1"/>
  <c r="G2" i="7"/>
  <c r="G17" i="7" s="1"/>
  <c r="G19" i="7" s="1"/>
  <c r="G20" i="7" s="1"/>
  <c r="G21" i="7" s="1"/>
  <c r="G25" i="7" s="1"/>
  <c r="G2" i="6"/>
  <c r="G17" i="6" s="1"/>
  <c r="G19" i="6" s="1"/>
  <c r="G21" i="6" s="1"/>
  <c r="G25" i="6" s="1"/>
  <c r="G2" i="5"/>
  <c r="G17" i="5" s="1"/>
  <c r="P32" i="1"/>
  <c r="P33" i="1" s="1"/>
  <c r="P21" i="6"/>
  <c r="P25" i="6" s="1"/>
  <c r="Q2" i="6"/>
  <c r="Q17" i="6" s="1"/>
  <c r="Q19" i="6" s="1"/>
  <c r="Q21" i="6" s="1"/>
  <c r="Q25" i="6" s="1"/>
  <c r="Q2" i="5"/>
  <c r="Q17" i="5" s="1"/>
  <c r="Q19" i="5" s="1"/>
  <c r="Q20" i="5" s="1"/>
  <c r="Q21" i="5" s="1"/>
  <c r="Q27" i="1"/>
  <c r="Q30" i="1" s="1"/>
  <c r="G7" i="14" l="1"/>
  <c r="G10" i="14" s="1"/>
  <c r="G11" i="14" s="1"/>
  <c r="G12" i="14" s="1"/>
  <c r="G16" i="14" s="1"/>
  <c r="F7" i="14"/>
  <c r="F10" i="14" s="1"/>
  <c r="F11" i="14" s="1"/>
  <c r="F12" i="14" s="1"/>
  <c r="F16" i="14" s="1"/>
  <c r="D20" i="5"/>
  <c r="D21" i="5" s="1"/>
  <c r="D39" i="5" s="1"/>
  <c r="V39" i="5"/>
  <c r="V40" i="5"/>
  <c r="F20" i="17"/>
  <c r="F21" i="17"/>
  <c r="F26" i="17" s="1"/>
  <c r="E20" i="12"/>
  <c r="E21" i="12"/>
  <c r="E26" i="12" s="1"/>
  <c r="E20" i="11"/>
  <c r="E21" i="11" s="1"/>
  <c r="E26" i="11" s="1"/>
  <c r="D20" i="12"/>
  <c r="D21" i="12" s="1"/>
  <c r="D26" i="12" s="1"/>
  <c r="G20" i="12"/>
  <c r="G21" i="12" s="1"/>
  <c r="G26" i="12" s="1"/>
  <c r="E20" i="16"/>
  <c r="E21" i="16" s="1"/>
  <c r="E26" i="16" s="1"/>
  <c r="V20" i="12"/>
  <c r="V21" i="12" s="1"/>
  <c r="V26" i="12" s="1"/>
  <c r="G20" i="11"/>
  <c r="G21" i="11"/>
  <c r="G26" i="11" s="1"/>
  <c r="E20" i="17"/>
  <c r="E21" i="17"/>
  <c r="E26" i="17" s="1"/>
  <c r="D20" i="17"/>
  <c r="D21" i="17"/>
  <c r="D26" i="17" s="1"/>
  <c r="F20" i="11"/>
  <c r="F21" i="11" s="1"/>
  <c r="F26" i="11" s="1"/>
  <c r="W2" i="17"/>
  <c r="W17" i="17" s="1"/>
  <c r="W19" i="17" s="1"/>
  <c r="W2" i="16"/>
  <c r="W17" i="16" s="1"/>
  <c r="W19" i="16" s="1"/>
  <c r="W4" i="14"/>
  <c r="W7" i="14" s="1"/>
  <c r="W10" i="14" s="1"/>
  <c r="W4" i="8"/>
  <c r="W2" i="11"/>
  <c r="W17" i="11" s="1"/>
  <c r="W19" i="11" s="1"/>
  <c r="W2" i="12"/>
  <c r="W17" i="12" s="1"/>
  <c r="W19" i="12" s="1"/>
  <c r="F20" i="12"/>
  <c r="F21" i="12" s="1"/>
  <c r="F26" i="12" s="1"/>
  <c r="Q25" i="5"/>
  <c r="Q40" i="5"/>
  <c r="Q39" i="5"/>
  <c r="Q20" i="11"/>
  <c r="Q21" i="11" s="1"/>
  <c r="Q26" i="11" s="1"/>
  <c r="V20" i="17"/>
  <c r="V21" i="17" s="1"/>
  <c r="V26" i="17" s="1"/>
  <c r="Q20" i="12"/>
  <c r="Q21" i="12" s="1"/>
  <c r="Q26" i="12" s="1"/>
  <c r="V20" i="16"/>
  <c r="V21" i="16" s="1"/>
  <c r="V26" i="16" s="1"/>
  <c r="R2" i="17"/>
  <c r="R17" i="17" s="1"/>
  <c r="R19" i="17" s="1"/>
  <c r="R2" i="16"/>
  <c r="R17" i="16" s="1"/>
  <c r="R19" i="16" s="1"/>
  <c r="R20" i="16" s="1"/>
  <c r="R21" i="16" s="1"/>
  <c r="R26" i="16" s="1"/>
  <c r="R2" i="12"/>
  <c r="R17" i="12" s="1"/>
  <c r="R19" i="12" s="1"/>
  <c r="R2" i="11"/>
  <c r="R17" i="11" s="1"/>
  <c r="R19" i="11" s="1"/>
  <c r="Q20" i="16"/>
  <c r="Q21" i="16" s="1"/>
  <c r="Q26" i="16" s="1"/>
  <c r="Q20" i="17"/>
  <c r="Q21" i="17" s="1"/>
  <c r="Q26" i="17" s="1"/>
  <c r="F20" i="16"/>
  <c r="F21" i="16" s="1"/>
  <c r="F26" i="16" s="1"/>
  <c r="F39" i="6"/>
  <c r="F40" i="6"/>
  <c r="E39" i="6"/>
  <c r="E40" i="6"/>
  <c r="Q39" i="6"/>
  <c r="Q40" i="6"/>
  <c r="G39" i="6"/>
  <c r="G40" i="6"/>
  <c r="P40" i="6"/>
  <c r="P39" i="6"/>
  <c r="G11" i="8"/>
  <c r="G12" i="8" s="1"/>
  <c r="G16" i="8" s="1"/>
  <c r="E9" i="8"/>
  <c r="F10" i="8"/>
  <c r="T38" i="5"/>
  <c r="U3" i="10"/>
  <c r="W2" i="7"/>
  <c r="W17" i="7" s="1"/>
  <c r="W19" i="7" s="1"/>
  <c r="W20" i="7" s="1"/>
  <c r="W21" i="7" s="1"/>
  <c r="W25" i="7" s="1"/>
  <c r="R2" i="7"/>
  <c r="R17" i="7" s="1"/>
  <c r="R19" i="7" s="1"/>
  <c r="R20" i="7" s="1"/>
  <c r="R21" i="7" s="1"/>
  <c r="R25" i="7" s="1"/>
  <c r="W2" i="5"/>
  <c r="W2" i="6"/>
  <c r="W17" i="6" s="1"/>
  <c r="W19" i="6" s="1"/>
  <c r="Q32" i="1"/>
  <c r="Q33" i="1" s="1"/>
  <c r="R2" i="6"/>
  <c r="R17" i="6" s="1"/>
  <c r="R19" i="6" s="1"/>
  <c r="R2" i="5"/>
  <c r="R17" i="5" s="1"/>
  <c r="R19" i="5" s="1"/>
  <c r="R20" i="5" s="1"/>
  <c r="R21" i="5" s="1"/>
  <c r="R27" i="1"/>
  <c r="R30" i="1" s="1"/>
  <c r="S27" i="1"/>
  <c r="S30" i="1" s="1"/>
  <c r="W7" i="8" l="1"/>
  <c r="W10" i="8" s="1"/>
  <c r="W11" i="8" s="1"/>
  <c r="W12" i="8" s="1"/>
  <c r="W16" i="8" s="1"/>
  <c r="D40" i="6"/>
  <c r="W17" i="5"/>
  <c r="W19" i="5" s="1"/>
  <c r="S2" i="16"/>
  <c r="S17" i="16" s="1"/>
  <c r="S19" i="16" s="1"/>
  <c r="S20" i="16" s="1"/>
  <c r="S21" i="16" s="1"/>
  <c r="S26" i="16" s="1"/>
  <c r="S2" i="17"/>
  <c r="S17" i="17" s="1"/>
  <c r="S19" i="17" s="1"/>
  <c r="S20" i="17" s="1"/>
  <c r="S21" i="17" s="1"/>
  <c r="S26" i="17" s="1"/>
  <c r="S2" i="12"/>
  <c r="S17" i="12" s="1"/>
  <c r="S19" i="12" s="1"/>
  <c r="S2" i="11"/>
  <c r="S17" i="11" s="1"/>
  <c r="S19" i="11" s="1"/>
  <c r="W20" i="11"/>
  <c r="W21" i="11" s="1"/>
  <c r="W26" i="11" s="1"/>
  <c r="W11" i="14"/>
  <c r="W12" i="14" s="1"/>
  <c r="W16" i="14" s="1"/>
  <c r="C25" i="14" s="1"/>
  <c r="R20" i="11"/>
  <c r="R21" i="11" s="1"/>
  <c r="R26" i="11" s="1"/>
  <c r="R20" i="12"/>
  <c r="R21" i="12"/>
  <c r="R26" i="12" s="1"/>
  <c r="W20" i="16"/>
  <c r="W21" i="16" s="1"/>
  <c r="W26" i="16" s="1"/>
  <c r="W20" i="17"/>
  <c r="W21" i="17" s="1"/>
  <c r="W26" i="17" s="1"/>
  <c r="S32" i="1"/>
  <c r="S33" i="1" s="1"/>
  <c r="R32" i="1"/>
  <c r="R33" i="1" s="1"/>
  <c r="R20" i="17"/>
  <c r="R21" i="17" s="1"/>
  <c r="R26" i="17" s="1"/>
  <c r="R25" i="5"/>
  <c r="R40" i="5"/>
  <c r="R39" i="5"/>
  <c r="W20" i="12"/>
  <c r="W21" i="12" s="1"/>
  <c r="W26" i="12" s="1"/>
  <c r="V3" i="10"/>
  <c r="W3" i="10"/>
  <c r="F4" i="15" s="1"/>
  <c r="F5" i="15" s="1"/>
  <c r="F11" i="8"/>
  <c r="F12" i="8" s="1"/>
  <c r="F16" i="8" s="1"/>
  <c r="D9" i="8"/>
  <c r="D10" i="8" s="1"/>
  <c r="E10" i="8"/>
  <c r="U38" i="5"/>
  <c r="S2" i="7"/>
  <c r="S17" i="7" s="1"/>
  <c r="S19" i="7" s="1"/>
  <c r="S20" i="7" s="1"/>
  <c r="S21" i="7" s="1"/>
  <c r="S25" i="7" s="1"/>
  <c r="U2" i="7"/>
  <c r="U17" i="7" s="1"/>
  <c r="U19" i="7" s="1"/>
  <c r="U20" i="7" s="1"/>
  <c r="U21" i="7" s="1"/>
  <c r="U25" i="7" s="1"/>
  <c r="U2" i="6"/>
  <c r="U17" i="6" s="1"/>
  <c r="U19" i="6" s="1"/>
  <c r="U21" i="6" s="1"/>
  <c r="U25" i="6" s="1"/>
  <c r="U2" i="5"/>
  <c r="U17" i="5" s="1"/>
  <c r="U19" i="5" s="1"/>
  <c r="U20" i="5" s="1"/>
  <c r="U21" i="5" s="1"/>
  <c r="R21" i="6"/>
  <c r="R25" i="6" s="1"/>
  <c r="S2" i="6"/>
  <c r="S17" i="6" s="1"/>
  <c r="S19" i="6" s="1"/>
  <c r="S2" i="5"/>
  <c r="S17" i="5" s="1"/>
  <c r="S19" i="5" s="1"/>
  <c r="S20" i="5" s="1"/>
  <c r="S21" i="5" s="1"/>
  <c r="W21" i="6"/>
  <c r="W25" i="6" s="1"/>
  <c r="W20" i="5" l="1"/>
  <c r="W21" i="5" s="1"/>
  <c r="T2" i="17"/>
  <c r="T17" i="17" s="1"/>
  <c r="T19" i="17" s="1"/>
  <c r="T2" i="16"/>
  <c r="T17" i="16" s="1"/>
  <c r="T19" i="16" s="1"/>
  <c r="T2" i="11"/>
  <c r="T17" i="11" s="1"/>
  <c r="T19" i="11" s="1"/>
  <c r="T2" i="12"/>
  <c r="T17" i="12" s="1"/>
  <c r="T19" i="12" s="1"/>
  <c r="S25" i="5"/>
  <c r="S40" i="5"/>
  <c r="S39" i="5"/>
  <c r="T2" i="5"/>
  <c r="T17" i="5" s="1"/>
  <c r="T19" i="5" s="1"/>
  <c r="T20" i="5" s="1"/>
  <c r="T21" i="5" s="1"/>
  <c r="T25" i="5" s="1"/>
  <c r="S20" i="11"/>
  <c r="S21" i="11" s="1"/>
  <c r="S26" i="11" s="1"/>
  <c r="T2" i="6"/>
  <c r="T17" i="6" s="1"/>
  <c r="T19" i="6" s="1"/>
  <c r="T21" i="6" s="1"/>
  <c r="T25" i="6" s="1"/>
  <c r="S20" i="12"/>
  <c r="S21" i="12" s="1"/>
  <c r="S26" i="12" s="1"/>
  <c r="T2" i="7"/>
  <c r="T17" i="7" s="1"/>
  <c r="T19" i="7" s="1"/>
  <c r="T20" i="7" s="1"/>
  <c r="T21" i="7" s="1"/>
  <c r="T25" i="7" s="1"/>
  <c r="C30" i="7" s="1"/>
  <c r="U25" i="5"/>
  <c r="U39" i="5"/>
  <c r="U40" i="5"/>
  <c r="C21" i="14"/>
  <c r="U2" i="16"/>
  <c r="U17" i="16" s="1"/>
  <c r="U19" i="16" s="1"/>
  <c r="U2" i="17"/>
  <c r="U17" i="17" s="1"/>
  <c r="U19" i="17" s="1"/>
  <c r="U2" i="11"/>
  <c r="U17" i="11" s="1"/>
  <c r="U19" i="11" s="1"/>
  <c r="U20" i="11" s="1"/>
  <c r="U21" i="11" s="1"/>
  <c r="U26" i="11" s="1"/>
  <c r="U2" i="12"/>
  <c r="U17" i="12" s="1"/>
  <c r="U19" i="12" s="1"/>
  <c r="W39" i="6"/>
  <c r="W40" i="6"/>
  <c r="U40" i="6"/>
  <c r="U39" i="6"/>
  <c r="R39" i="6"/>
  <c r="R40" i="6"/>
  <c r="E11" i="8"/>
  <c r="E12" i="8" s="1"/>
  <c r="E16" i="8" s="1"/>
  <c r="D11" i="8"/>
  <c r="D12" i="8" s="1"/>
  <c r="D16" i="8" s="1"/>
  <c r="V38" i="5"/>
  <c r="W38" i="5" s="1"/>
  <c r="S21" i="6"/>
  <c r="S25" i="6" s="1"/>
  <c r="C34" i="7" l="1"/>
  <c r="W40" i="5"/>
  <c r="W39" i="5"/>
  <c r="T20" i="12"/>
  <c r="T21" i="12" s="1"/>
  <c r="T26" i="12" s="1"/>
  <c r="U20" i="17"/>
  <c r="U21" i="17"/>
  <c r="U26" i="17" s="1"/>
  <c r="T20" i="11"/>
  <c r="T21" i="11" s="1"/>
  <c r="T26" i="11" s="1"/>
  <c r="U20" i="16"/>
  <c r="U21" i="16" s="1"/>
  <c r="U26" i="16" s="1"/>
  <c r="T20" i="16"/>
  <c r="T21" i="16" s="1"/>
  <c r="T26" i="16" s="1"/>
  <c r="T20" i="17"/>
  <c r="T21" i="17" s="1"/>
  <c r="T26" i="17" s="1"/>
  <c r="C25" i="8"/>
  <c r="T40" i="6"/>
  <c r="T39" i="6"/>
  <c r="T39" i="5"/>
  <c r="T40" i="5"/>
  <c r="U20" i="12"/>
  <c r="U21" i="12" s="1"/>
  <c r="U26" i="12" s="1"/>
  <c r="S39" i="6"/>
  <c r="S40" i="6"/>
  <c r="C21" i="8"/>
  <c r="C31" i="12" l="1"/>
  <c r="C35" i="11"/>
  <c r="D32" i="11"/>
  <c r="C35" i="12"/>
  <c r="C31" i="16"/>
  <c r="D5" i="15"/>
  <c r="H5" i="15" s="1"/>
  <c r="D4" i="15"/>
  <c r="H4" i="15" s="1"/>
  <c r="C35" i="17"/>
  <c r="C31" i="17"/>
  <c r="C35" i="16"/>
  <c r="C31" i="11"/>
  <c r="M19" i="5"/>
  <c r="M20" i="5" s="1"/>
  <c r="M21" i="5" s="1"/>
  <c r="M25" i="5" l="1"/>
  <c r="M40" i="5"/>
  <c r="M39" i="5"/>
  <c r="L19" i="5"/>
  <c r="L20" i="5" s="1"/>
  <c r="L21" i="5" s="1"/>
  <c r="K19" i="5"/>
  <c r="L25" i="5" l="1"/>
  <c r="L40" i="5"/>
  <c r="L39" i="5"/>
  <c r="K20" i="5"/>
  <c r="K21" i="5" s="1"/>
  <c r="J19" i="5"/>
  <c r="K39" i="5" l="1"/>
  <c r="K25" i="5"/>
  <c r="K40" i="5"/>
  <c r="I19" i="5"/>
  <c r="J20" i="5"/>
  <c r="J21" i="5" s="1"/>
  <c r="J39" i="5" l="1"/>
  <c r="J25" i="5"/>
  <c r="J40" i="5"/>
  <c r="H19" i="5"/>
  <c r="I20" i="5"/>
  <c r="I21" i="5" s="1"/>
  <c r="I39" i="5" l="1"/>
  <c r="I25" i="5"/>
  <c r="I40" i="5"/>
  <c r="G19" i="5"/>
  <c r="H20" i="5"/>
  <c r="H21" i="5" s="1"/>
  <c r="H25" i="5" l="1"/>
  <c r="H39" i="5"/>
  <c r="H40" i="5"/>
  <c r="F19" i="5"/>
  <c r="G20" i="5"/>
  <c r="G21" i="5" s="1"/>
  <c r="G25" i="5" l="1"/>
  <c r="G39" i="5"/>
  <c r="G40" i="5"/>
  <c r="F20" i="5"/>
  <c r="F21" i="5" s="1"/>
  <c r="F25" i="5" s="1"/>
  <c r="E19" i="5"/>
  <c r="F40" i="5" l="1"/>
  <c r="F39" i="5"/>
  <c r="E20" i="5"/>
  <c r="E21" i="5" s="1"/>
  <c r="E25" i="5" l="1"/>
  <c r="E40" i="5"/>
  <c r="E39" i="5"/>
  <c r="C39" i="5" s="1"/>
  <c r="D25" i="5"/>
  <c r="D6" i="15"/>
  <c r="H6" i="15" s="1"/>
  <c r="D40" i="5"/>
  <c r="C40" i="5" s="1"/>
  <c r="C30" i="5"/>
  <c r="D7" i="15" l="1"/>
  <c r="H7" i="15" s="1"/>
  <c r="C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D2" authorId="0" shapeId="0" xr:uid="{991871EB-196D-48C7-95D0-8EBABC8E1D1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</t>
        </r>
      </text>
    </comment>
    <comment ref="D3" authorId="0" shapeId="0" xr:uid="{AA0A4567-547E-4A28-A14C-0C9FC9FA8FB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</t>
        </r>
      </text>
    </comment>
    <comment ref="M18" authorId="0" shapeId="0" xr:uid="{C32F32E9-BB2C-476E-AC19-F878ACC93E82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critério de mesmo % da depreciação contábil de 2016 em relação à BRA</t>
        </r>
      </text>
    </comment>
    <comment ref="N18" authorId="0" shapeId="0" xr:uid="{7CA9A9A3-09BC-4515-8A04-5B5E9BC2D48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C34" authorId="0" shapeId="0" xr:uid="{41434413-94C2-4622-B36D-ED02F57ADF7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Nota Técnica nº 13/2019-SIM
https://www.gov.br/anp/pt-br/assuntos/movimentacao-estocagem-e-comercializacao-de-gas-natural/transporte-de-gas-natural/arquivos/arquivos-chamadas-publicas/nota-tecnica-n0132019-sim.pdf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D2" authorId="0" shapeId="0" xr:uid="{DA453D31-5C0B-4B62-830A-274F9727600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</t>
        </r>
      </text>
    </comment>
    <comment ref="D3" authorId="0" shapeId="0" xr:uid="{DA3AD191-4665-4BCD-9DB2-F7E382AD420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</t>
        </r>
      </text>
    </comment>
    <comment ref="M18" authorId="0" shapeId="0" xr:uid="{84C71DAE-33BC-4F53-B404-D3B7229DDCC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critério de mesmo % da depreciação contábil de 2016 em relação à BRA</t>
        </r>
      </text>
    </comment>
    <comment ref="N18" authorId="0" shapeId="0" xr:uid="{084765A0-DE75-4CAE-B113-B6F902C54EA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W24" authorId="0" shapeId="0" xr:uid="{30ED7422-2031-4ED1-AF76-0DBF426A5FC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Confirmar cálculo do valor residual.
VR = BRAinicial - Depreciação acumulada</t>
        </r>
      </text>
    </comment>
    <comment ref="C34" authorId="0" shapeId="0" xr:uid="{4934A3D6-EFCF-43F0-BDDA-16FB553E70F2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Nota Técnica nº 13/2019-SIM
https://www.gov.br/anp/pt-br/assuntos/movimentacao-estocagem-e-comercializacao-de-gas-natural/transporte-de-gas-natural/arquivos/arquivos-chamadas-publicas/nota-tecnica-n0132019-sim.pdf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D2" authorId="0" shapeId="0" xr:uid="{E407FF76-57F9-4009-A403-34985C4FCD25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</t>
        </r>
      </text>
    </comment>
    <comment ref="D3" authorId="0" shapeId="0" xr:uid="{203438D9-7AB3-4D68-A94B-0ED0D2F32CA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</t>
        </r>
      </text>
    </comment>
    <comment ref="M18" authorId="0" shapeId="0" xr:uid="{072040F6-43AE-4383-8E89-E5620191693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critério de mesmo % da depreciação contábil de 2016 em relação à BRA</t>
        </r>
      </text>
    </comment>
    <comment ref="N18" authorId="0" shapeId="0" xr:uid="{0046947D-DD93-40BE-8DFC-F02D88B27866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W24" authorId="0" shapeId="0" xr:uid="{3401592D-A9BB-45B6-B672-446A5EE628E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Confirmar cálculo do valor residual.
VR = BRAinicial - Depreciação acumulada</t>
        </r>
      </text>
    </comment>
    <comment ref="C34" authorId="0" shapeId="0" xr:uid="{570DFE26-CB2E-452E-8B75-BBCB61FDFD96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Nota Técnica nº 13/2019-SIM
https://www.gov.br/anp/pt-br/assuntos/movimentacao-estocagem-e-comercializacao-de-gas-natural/transporte-de-gas-natural/arquivos/arquivos-chamadas-publicas/nota-tecnica-n0132019-sim.pdf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B2" authorId="0" shapeId="0" xr:uid="{EC9E1670-1CD5-47F4-AA5E-474D6D05A61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 Malha SE
Referência aba 'Receita Máxima'.</t>
        </r>
      </text>
    </comment>
    <comment ref="D2" authorId="0" shapeId="0" xr:uid="{42B9DA2C-1913-4184-B245-8A51696D4E2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 Malha SE
Referência aba 'Receita Máxima'.</t>
        </r>
      </text>
    </comment>
    <comment ref="B3" authorId="0" shapeId="0" xr:uid="{C71FD98F-B57E-47AD-A29D-CD3D553E78B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
Específico MALHAS SE - pág.18
Referência aba 'OPEX'</t>
        </r>
      </text>
    </comment>
    <comment ref="D3" authorId="0" shapeId="0" xr:uid="{E09B5396-CF84-4CA2-9DEC-754B2E6B9286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
Específico MALHAS SE - pág.18
Referência aba 'OPEX'</t>
        </r>
      </text>
    </comment>
    <comment ref="B17" authorId="0" shapeId="0" xr:uid="{6C7399E4-D240-4531-9864-7AB3848D20B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EBITDA = Receita Operacional Líquida - O&amp;M + G&amp;A</t>
        </r>
      </text>
    </comment>
    <comment ref="N18" authorId="0" shapeId="0" xr:uid="{BD79978A-334A-4A2C-BE06-2FAA2A238B9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 nos DREs</t>
        </r>
      </text>
    </comment>
    <comment ref="O18" authorId="0" shapeId="0" xr:uid="{2993BA75-F65D-42B4-9A82-1B43123B079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A partir de 2017, utiliza-se depreciação contábil informada em DRE * critério de rateio capacidade contratada Malhas SE</t>
        </r>
      </text>
    </comment>
    <comment ref="W18" authorId="0" shapeId="0" xr:uid="{195E7AC5-D311-4FEB-A6BB-F5C11A7EEB8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Para 2025, que não tem demonstratativo final, utiliza-se dado de 2024 (mais atualizado)</t>
        </r>
      </text>
    </comment>
    <comment ref="B19" authorId="0" shapeId="0" xr:uid="{F6254B05-D1E5-4F28-9FE9-37A54ECB437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 - EBITDA - Depreciação contábil</t>
        </r>
      </text>
    </comment>
    <comment ref="B20" authorId="0" shapeId="0" xr:uid="{B5954C01-759E-453A-9868-D9CFB2A1318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dos tributos considerando 34% do EBIT (25% IRPJ e 9% CSLL)</t>
        </r>
      </text>
    </comment>
    <comment ref="B21" authorId="0" shapeId="0" xr:uid="{5AE42EFC-783C-4164-993C-A8BCBFD9668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NOPAT = EBIT - Tributos</t>
        </r>
      </text>
    </comment>
    <comment ref="B22" authorId="0" shapeId="0" xr:uid="{A205558B-93BB-4B93-9F90-D3301067F37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reportados na planilha Anexo_02___Planilha_evolucao_bra_nts_sei_5133887
Ref. Dez/2025</t>
        </r>
      </text>
    </comment>
    <comment ref="B25" authorId="0" shapeId="0" xr:uid="{C1863E07-B422-409F-894C-9559115C7C5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Fluxo de Caixa = NOPAT - CAPEX + Depreciação contábil + Valor Residual - Capital de Giro</t>
        </r>
      </text>
    </comment>
    <comment ref="C25" authorId="0" shapeId="0" xr:uid="{0E1DAF25-1C69-4658-B875-B050133861C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base inicial conforme Anexo_02___Planilha_evolucao_bra_nts_sei_5133887</t>
        </r>
      </text>
    </comment>
    <comment ref="B27" authorId="0" shapeId="0" xr:uid="{D52C7433-C4C8-491E-9234-13CA0CCEC6B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valores reportados no Anexo_02___Planilha_evolucao_bra_nts_sei_5133887</t>
        </r>
      </text>
    </comment>
    <comment ref="B28" authorId="0" shapeId="0" xr:uid="{164F759C-D7C0-4992-95C3-3C6D6C765D67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valores reportados no Anexo_02___Planilha_evolucao_bra_nts_sei_5133887</t>
        </r>
      </text>
    </comment>
    <comment ref="C33" authorId="0" shapeId="0" xr:uid="{3B01D945-41B9-411E-85E5-2DFBE8EA84E5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Nota Técnica nº 13/2019-SIM
https://www.gov.br/anp/pt-br/assuntos/movimentacao-estocagem-e-comercializacao-de-gas-natural/transporte-de-gas-natural/arquivos/arquivos-chamadas-publicas/nota-tecnica-n0132019-sim.pdf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B4" authorId="0" shapeId="0" xr:uid="{2ADCDB7C-C7ED-4B85-95EF-D099F3EC74E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 valor de Receita operacional líquida reportado no DRE multiplicado pelo critério de rateio (capacidade contratada Malhas SE)</t>
        </r>
      </text>
    </comment>
    <comment ref="D4" authorId="0" shapeId="0" xr:uid="{AA1A810C-79D5-4148-B1ED-7491F90E2ED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reportada no DRE porque Malha SE = ativos + antigos
</t>
        </r>
      </text>
    </comment>
    <comment ref="E4" authorId="0" shapeId="0" xr:uid="{5BC2A762-C623-43CA-8F0F-E841C67DD73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reportada no DRE porque Malha SE = ativos + antigos
</t>
        </r>
      </text>
    </comment>
    <comment ref="F4" authorId="0" shapeId="0" xr:uid="{70220EC9-6490-4E06-BB90-00AA46247AA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G4" authorId="0" shapeId="0" xr:uid="{7BAA4134-BE32-436D-9F4F-F0DAF14A7F4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H4" authorId="0" shapeId="0" xr:uid="{3A4994E5-D458-401B-A148-C1789E0A74C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I4" authorId="0" shapeId="0" xr:uid="{8AAB631F-D5FE-434F-B5DC-0E844CDCCD9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J4" authorId="0" shapeId="0" xr:uid="{CD0DCC5C-0D21-4AFA-9CAB-FF042F390B0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K4" authorId="0" shapeId="0" xr:uid="{B7778E3A-6A9F-43A1-A320-4530C18D803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L4" authorId="0" shapeId="0" xr:uid="{E4838038-C209-4A4C-A32A-5ED9FD5835E5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M4" authorId="0" shapeId="0" xr:uid="{39227105-3AA5-4573-B794-62FE8237BBF5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N4" authorId="0" shapeId="0" xr:uid="{B5FD677F-A42F-44A3-9013-16326E77179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W4" authorId="0" shapeId="0" xr:uid="{E8C80C16-07DF-4441-9BC3-8ACA8E581F7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B6" authorId="0" shapeId="0" xr:uid="{4C646086-3BF5-49AA-BBF6-3897F7274FB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dados da planilha O_M_e_G_A_Alocados_ao_Malhas_SE_2017_2024
Processo SEI</t>
        </r>
      </text>
    </comment>
    <comment ref="D6" authorId="0" shapeId="0" xr:uid="{C7A9A7B2-64A5-4D42-AE36-0B64069C1DC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O&amp;M e G&amp;A reportados no DRE porque Malha SE = ativos + antigos
</t>
        </r>
      </text>
    </comment>
    <comment ref="E6" authorId="0" shapeId="0" xr:uid="{88728E44-A6D7-4923-B0B7-1575F6475CE6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O&amp;M e G&amp;A reportados no DRE porque Malha SE = ativos + antigos
</t>
        </r>
      </text>
    </comment>
    <comment ref="F6" authorId="0" shapeId="0" xr:uid="{C7A6B24B-C0E6-4B94-B498-B8C10642A2A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G6" authorId="0" shapeId="0" xr:uid="{5CBB3C32-F053-471F-BE3A-80864C8C6DD6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H6" authorId="0" shapeId="0" xr:uid="{636AD84E-7BBA-41DE-BC90-4EF85B0FA680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I6" authorId="0" shapeId="0" xr:uid="{EC5D8156-E917-49F1-A4B2-41E30C43E7E0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J6" authorId="0" shapeId="0" xr:uid="{AA1551DF-CA6E-4DC4-9771-3EDD1E8BE5A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K6" authorId="0" shapeId="0" xr:uid="{776315A7-01C8-458D-8F7F-EF25498AD69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L6" authorId="0" shapeId="0" xr:uid="{73DD93FC-A0A0-42B9-9B06-C1384F630807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M6" authorId="0" shapeId="0" xr:uid="{D65B2E92-4DC4-4D1A-A3F5-53CEBC3DEB5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N6" authorId="0" shapeId="0" xr:uid="{C2973FEF-AB26-4011-BC26-1D932B7A605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O6" authorId="0" shapeId="0" xr:uid="{35B1C81E-98DD-406D-A968-811692C664A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de 2017 a 2024 considerando dados da planilha O_M_e_G_A_Alocados_ao_Malhas_SE_2017_2024
Processo SEI</t>
        </r>
      </text>
    </comment>
    <comment ref="W6" authorId="0" shapeId="0" xr:uid="{CF942B73-C98A-4877-9E5B-E7563B18256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
Específico MALHAS SE - pág.18
</t>
        </r>
      </text>
    </comment>
    <comment ref="B7" authorId="0" shapeId="0" xr:uid="{836EEE94-FFC2-472D-9BDB-5A844008FC5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EBITDA = Receita Operacional Líquida - O&amp;M + G&amp;A</t>
        </r>
      </text>
    </comment>
    <comment ref="D9" authorId="0" shapeId="0" xr:uid="{5F7A9B0B-3ED2-4975-92B0-D1472F3C551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E9" authorId="0" shapeId="0" xr:uid="{C75023B6-A7B6-42DC-939C-054CA8F1AC1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F9" authorId="0" shapeId="0" xr:uid="{E0D859AB-80FE-46BE-B441-0426F3BD0FA0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G9" authorId="0" shapeId="0" xr:uid="{EEF6EF2F-4DAB-4502-99C3-5C71F3F115F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H9" authorId="0" shapeId="0" xr:uid="{A165DCBE-0C83-48FC-87E7-AFF8AE4F204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I9" authorId="0" shapeId="0" xr:uid="{6C0734DB-CB43-4584-95A2-07F6980608E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J9" authorId="0" shapeId="0" xr:uid="{C6648D39-C4A3-4AB6-9F33-E0255DAFF67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K9" authorId="0" shapeId="0" xr:uid="{0B613DB5-5126-4813-82D3-EECC06E60CC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L9" authorId="0" shapeId="0" xr:uid="{B1A20CF8-7DDC-4F81-BD7E-36B41866126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M9" authorId="0" shapeId="0" xr:uid="{646B2CD4-CF30-49CB-87D1-76B3209B5CD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Mesmo valores de base que 2017, mesmo valor de depreciação contábil</t>
        </r>
      </text>
    </comment>
    <comment ref="N9" authorId="0" shapeId="0" xr:uid="{F0F60416-F7EC-4621-BB72-3B50D4D3A3B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Mesmo valores de base que 2017, mesmo valor de depreciação contábil</t>
        </r>
      </text>
    </comment>
    <comment ref="O9" authorId="0" shapeId="0" xr:uid="{81BB3AAF-8214-4769-9BBA-789A428AB6D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A partir de 2017, considera depreciação informada no DRE multiplicada pelo critério de rateio (capacidade contratada Malhas SE)</t>
        </r>
      </text>
    </comment>
    <comment ref="W9" authorId="0" shapeId="0" xr:uid="{EADBD44F-1848-4BC7-9AD9-E555ADB567D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Para 2025, que não tem demonstratativo final, utiliza-se dado de 2024 (mais atualizado)</t>
        </r>
      </text>
    </comment>
    <comment ref="B10" authorId="0" shapeId="0" xr:uid="{CF910213-9A1B-4224-A290-1333050013C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 - EBITDA - Depreciação contábil</t>
        </r>
      </text>
    </comment>
    <comment ref="B11" authorId="0" shapeId="0" xr:uid="{E8319A1D-5346-48E8-BE5A-C2484170946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dos tributos considerando 34% do EBIT (25% IRPJ e 9% CSLL)</t>
        </r>
      </text>
    </comment>
    <comment ref="B12" authorId="0" shapeId="0" xr:uid="{B2A2F5CF-9F4B-4B3C-9DD3-DF34CA92100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NOPAT = EBIT - Tributos</t>
        </r>
      </text>
    </comment>
    <comment ref="B13" authorId="0" shapeId="0" xr:uid="{8806D4F7-7A08-4D61-8943-160FD71B482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reportados na planilha Anexo_02___Planilha_evolucao_bra_nts_sei_5133887
Ref. Dez/2025</t>
        </r>
      </text>
    </comment>
    <comment ref="B16" authorId="0" shapeId="0" xr:uid="{381CADB2-4FD6-44BA-BB75-76B9B52B95A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Fluxo de Caixa = NOPAT - CAPEX + Depreciação contábil + Valor Residual - Capital de Giro</t>
        </r>
      </text>
    </comment>
    <comment ref="C16" authorId="0" shapeId="0" xr:uid="{D73FB76B-C4A2-422A-81C5-802404A0374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base inicial conforme Anexo_02___Planilha_evolucao_bra_nts_sei_5133887</t>
        </r>
      </text>
    </comment>
    <comment ref="B18" authorId="0" shapeId="0" xr:uid="{D5170DC0-AFCF-4A2B-A5D1-63052DDAB37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valores reportados no Anexo_02___Planilha_evolucao_bra_nts_sei_5133887</t>
        </r>
      </text>
    </comment>
    <comment ref="B19" authorId="0" shapeId="0" xr:uid="{FCFDE060-FE5F-4A73-8A2D-03558B3ADA97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valores reportados no Anexo_02___Planilha_evolucao_bra_nts_sei_5133887</t>
        </r>
      </text>
    </comment>
    <comment ref="C24" authorId="0" shapeId="0" xr:uid="{8EF3246E-9EFE-4B00-9323-5F14AF918D5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Nota Técnica nº 13/2019-SIM
https://www.gov.br/anp/pt-br/assuntos/movimentacao-estocagem-e-comercializacao-de-gas-natural/transporte-de-gas-natural/arquivos/arquivos-chamadas-publicas/nota-tecnica-n0132019-sim.pdf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B2" authorId="0" shapeId="0" xr:uid="{FC9C6EE5-7F1D-45F6-8656-3E1A668A99C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 Malha SE
Referência aba 'Receita Máxima'.</t>
        </r>
      </text>
    </comment>
    <comment ref="D2" authorId="0" shapeId="0" xr:uid="{8AFB6F5E-A01F-44EE-B785-652815CDD240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</t>
        </r>
      </text>
    </comment>
    <comment ref="B3" authorId="0" shapeId="0" xr:uid="{59414A99-66C0-4033-B3FD-BD1C13FE3BC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
Específico MALHAS SE - pág.18
Referência aba 'OPEX'</t>
        </r>
      </text>
    </comment>
    <comment ref="D3" authorId="0" shapeId="0" xr:uid="{06A578F3-6D1D-475E-AE4A-2E1CA698B897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
Malhas SE</t>
        </r>
      </text>
    </comment>
    <comment ref="B17" authorId="0" shapeId="0" xr:uid="{A72516F0-B4F2-497D-B29D-278B482E793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EBITDA = Receita Operacional Líquida - O&amp;M + G&amp;A</t>
        </r>
      </text>
    </comment>
    <comment ref="D18" authorId="0" shapeId="0" xr:uid="{1CBBF40D-6914-44C7-9746-DAC2FEDF6AB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critério de mesmo % da depreciação contábil de 2016 em relação à BRA</t>
        </r>
      </text>
    </comment>
    <comment ref="M18" authorId="0" shapeId="0" xr:uid="{7C55CC77-2BF0-476C-B0B7-819DA04E92B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critério de mesmo % da depreciação contábil de 2016 em relação à BRA</t>
        </r>
      </text>
    </comment>
    <comment ref="N18" authorId="0" shapeId="0" xr:uid="{54E8ABC5-986C-460E-897B-2F863BE7DAC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O18" authorId="0" shapeId="0" xr:uid="{EECDBBBF-1217-4E06-83B2-DBE0E3CC97A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A partir de 2017, utiliza-se depreciação contábil informada em DRE * critério de rateio capacidade contratada Malhas SE</t>
        </r>
      </text>
    </comment>
    <comment ref="W18" authorId="0" shapeId="0" xr:uid="{ECB4FAF2-ED4D-4C57-BE27-A3F250CF3BC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Para 2025, que não tem demonstratativo final, utiliza-se dado de 2024 (mais atualizado)</t>
        </r>
      </text>
    </comment>
    <comment ref="B19" authorId="0" shapeId="0" xr:uid="{37B3BE71-3B34-452B-90BE-B4104E119D5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 - EBITDA - Depreciação contábil</t>
        </r>
      </text>
    </comment>
    <comment ref="B20" authorId="0" shapeId="0" xr:uid="{AC78AA86-BD15-42D6-AD24-092A0CAAEA2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dos tributos considerando 34% do EBIT (25% IRPJ e 9% CSLL)</t>
        </r>
      </text>
    </comment>
    <comment ref="B21" authorId="0" shapeId="0" xr:uid="{701462FB-4480-4ED5-9549-C731C0C5165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NOPAT = EBIT - Tributos</t>
        </r>
      </text>
    </comment>
    <comment ref="B22" authorId="0" shapeId="0" xr:uid="{21E064F5-26F7-4C66-94E1-724B1E742D1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reportados pela NTS na planilha 'avaliacao_nts_anp'</t>
        </r>
      </text>
    </comment>
    <comment ref="C25" authorId="0" shapeId="0" xr:uid="{31E90E75-EC1C-42A8-BDA1-29CF56167F8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Base de ativos inicial reportada pela NTS na planilha 'avaliacao_nts_anp'</t>
        </r>
      </text>
    </comment>
    <comment ref="B27" authorId="0" shapeId="0" xr:uid="{68DB4B1A-FF2B-4524-AA6E-509104F048D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reportados pela NTS na planilha 'avaliacao_nts_anp'</t>
        </r>
      </text>
    </comment>
    <comment ref="B28" authorId="0" shapeId="0" xr:uid="{891AC606-2B04-45A2-82BA-85E043BB7C7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reportados pela NTS na planilha 'avaliacao_nts_anp'</t>
        </r>
      </text>
    </comment>
    <comment ref="C33" authorId="0" shapeId="0" xr:uid="{DA150C25-3BB0-4007-A0DC-FCE18FA0F98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Nota Técnica nº 13/2019-SIM
https://www.gov.br/anp/pt-br/assuntos/movimentacao-estocagem-e-comercializacao-de-gas-natural/transporte-de-gas-natural/arquivos/arquivos-chamadas-publicas/nota-tecnica-n0132019-sim.pdf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B4" authorId="0" shapeId="0" xr:uid="{1FD866D5-1707-4FB9-8013-00840BC9BC70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 valor de Receita operacional líquida reportado no DRE multiplicado pelo critério de rateio (capacidade contratada Malhas SE)</t>
        </r>
      </text>
    </comment>
    <comment ref="D4" authorId="0" shapeId="0" xr:uid="{ADAC47C5-5534-426A-A5E2-DE90CFD7C68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reportada no DRE porque Malha SE = ativos + antigos
</t>
        </r>
      </text>
    </comment>
    <comment ref="E4" authorId="0" shapeId="0" xr:uid="{E3BC808F-9E64-4ADD-A3D7-142732F8E89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reportada no DRE porque Malha SE = ativos + antigos
</t>
        </r>
      </text>
    </comment>
    <comment ref="F4" authorId="0" shapeId="0" xr:uid="{B82E7366-3B41-4C92-95B9-42C79C60DBD0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G4" authorId="0" shapeId="0" xr:uid="{A5077476-0053-4977-8D88-AEE29589F6C5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H4" authorId="0" shapeId="0" xr:uid="{B1981254-1192-4CA3-AD23-D0168EF11450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I4" authorId="0" shapeId="0" xr:uid="{9E0FF4C0-0DA3-4AC3-B2FF-FA104C214F7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J4" authorId="0" shapeId="0" xr:uid="{48518490-F017-49CC-AD21-2ED531E304B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K4" authorId="0" shapeId="0" xr:uid="{C4D827FD-ABFD-4D4B-BAD6-133E259238A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L4" authorId="0" shapeId="0" xr:uid="{18B3584F-4807-4194-9522-4460ECA8894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M4" authorId="0" shapeId="0" xr:uid="{C842095A-D13E-43C1-8778-A8385B70DD6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N4" authorId="0" shapeId="0" xr:uid="{A01B66AE-DEEE-455D-BC45-ADD52D63698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W4" authorId="0" shapeId="0" xr:uid="{34357A23-CC7E-413F-9373-2FCC58E3117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receita = tarifa * capacidade, porque não há informação reportada no DRE</t>
        </r>
      </text>
    </comment>
    <comment ref="B6" authorId="0" shapeId="0" xr:uid="{394BB00A-5A09-474B-BD4A-CF2E7073B137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dados da planilha O_M_e_G_A_Alocados_ao_Malhas_SE_2017_2024
Processo SEI</t>
        </r>
      </text>
    </comment>
    <comment ref="D6" authorId="0" shapeId="0" xr:uid="{06A6750A-DA76-4851-8E1D-A73C5D4B50F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O&amp;M e G&amp;A reportados no DRE porque Malha SE = ativos + antigos
</t>
        </r>
      </text>
    </comment>
    <comment ref="E6" authorId="0" shapeId="0" xr:uid="{ABAED31C-21DE-469E-B294-D36F91F34CB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Considerando O&amp;M e G&amp;A reportados no DRE porque Malha SE = ativos + antigos
</t>
        </r>
      </text>
    </comment>
    <comment ref="F6" authorId="0" shapeId="0" xr:uid="{5DAB2FE6-FCAB-4AB3-A8F1-1843CE24060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G6" authorId="0" shapeId="0" xr:uid="{AA892F4D-05FB-4A70-9DB7-1CE194C2136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H6" authorId="0" shapeId="0" xr:uid="{0195EA53-9E7E-4C72-93E7-2A55667112F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I6" authorId="0" shapeId="0" xr:uid="{00C481FE-3F4B-448F-9549-CC57C4193CE7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J6" authorId="0" shapeId="0" xr:uid="{8D3EF42E-613A-4920-A1CE-CD09976BD26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K6" authorId="0" shapeId="0" xr:uid="{34A20636-4E0B-4B8A-B3AF-E12554B5EF96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L6" authorId="0" shapeId="0" xr:uid="{5986B29F-55AA-4C80-9E8F-210C5C4CA1E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M6" authorId="0" shapeId="0" xr:uid="{D6D054A2-3F68-49BD-AC27-4413D591433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N6" authorId="0" shapeId="0" xr:uid="{42A84E38-F849-44C5-A2EA-BFF935D445F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média da representatividade entre O&amp;M e G&amp;A e base de ativos de 2017-2024</t>
        </r>
      </text>
    </comment>
    <comment ref="W6" authorId="0" shapeId="0" xr:uid="{27AC2592-90C5-4D81-9EC7-3953F3529C7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Aplicando critério de valor anunciado na NT ANP
Malhas SE</t>
        </r>
      </text>
    </comment>
    <comment ref="B7" authorId="0" shapeId="0" xr:uid="{EE2F4852-2775-4B11-800F-22ECA98937C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EBITDA = Receita Operacional Líquida - O&amp;M + G&amp;A</t>
        </r>
      </text>
    </comment>
    <comment ref="W8" authorId="0" shapeId="0" xr:uid="{34270529-5FE9-4152-89C7-FE459385B90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a depreciação de 2024;</t>
        </r>
      </text>
    </comment>
    <comment ref="D9" authorId="0" shapeId="0" xr:uid="{F6F033BD-74DB-4D1A-861F-62F270D8D7F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E9" authorId="0" shapeId="0" xr:uid="{150BF68F-F9DD-4FCC-9853-B35FEC2FD76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F9" authorId="0" shapeId="0" xr:uid="{89DD0E8E-966F-4373-AEC4-4F3AFF68FC36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G9" authorId="0" shapeId="0" xr:uid="{089E8BAB-A4AB-4BA4-9D96-95A25144A47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H9" authorId="0" shapeId="0" xr:uid="{00834FD2-8617-45B4-8F88-D0C2976AA3F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I9" authorId="0" shapeId="0" xr:uid="{E4F36C5B-8632-413C-BDA8-95FB290BAFD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J9" authorId="0" shapeId="0" xr:uid="{EB6795BA-C844-49F2-8BEF-258E6F8A0F07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K9" authorId="0" shapeId="0" xr:uid="{18369678-C831-4DDE-A5F1-F246B1683A8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L9" authorId="0" shapeId="0" xr:uid="{BC8FCAB0-E3EF-4648-B113-5C69E63524E5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M9" authorId="0" shapeId="0" xr:uid="{E4BA0466-4442-48EE-8B1B-F91C34FF4E7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Mesmo valores de base que 2017, mesmo valor de depreciação contábil</t>
        </r>
      </text>
    </comment>
    <comment ref="N9" authorId="0" shapeId="0" xr:uid="{6B8B7A69-17A2-426B-B8DD-449704343B8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Mesmo valores de base que 2017, mesmo valor de depreciação contábil</t>
        </r>
      </text>
    </comment>
    <comment ref="B10" authorId="0" shapeId="0" xr:uid="{61BA2161-E1F8-4C6F-8FEB-E905E2FB7C71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 - EBITDA - Depreciação contábil</t>
        </r>
      </text>
    </comment>
    <comment ref="B11" authorId="0" shapeId="0" xr:uid="{2FFBD02B-9DB8-4A77-94EE-50F8086995B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dos tributos considerando 34% do EBIT (25% IRPJ e 9% CSLL)</t>
        </r>
      </text>
    </comment>
    <comment ref="B12" authorId="0" shapeId="0" xr:uid="{E0D74488-27C9-40EE-9CDB-E30961E08FE5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NOPAT = EBIT - Tributos</t>
        </r>
      </text>
    </comment>
    <comment ref="B13" authorId="0" shapeId="0" xr:uid="{C2C16D59-FA30-4AC0-9AE7-21D0639E51F6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reportados pela NTS na planilha 'avaliacao_nts_anp'</t>
        </r>
      </text>
    </comment>
    <comment ref="C16" authorId="0" shapeId="0" xr:uid="{61C803A5-B8B4-4954-ADEB-7BB7753FC5C5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Base de ativos inicial reportada pela NTS na planilha 'avaliacao_nts_anp'</t>
        </r>
      </text>
    </comment>
    <comment ref="B18" authorId="0" shapeId="0" xr:uid="{A204DA64-8E48-49FF-96A2-54EED6760E80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reportados pela NTS na planilha 'avaliacao_nts_anp'</t>
        </r>
      </text>
    </comment>
    <comment ref="B19" authorId="0" shapeId="0" xr:uid="{736EB721-F6D9-4A9D-941F-6641C2DAAF4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reportados pela NTS na planilha 'avaliacao_nts_anp'</t>
        </r>
      </text>
    </comment>
    <comment ref="C24" authorId="0" shapeId="0" xr:uid="{05FF60EF-515A-4DFC-9B8C-30178B8DEA1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Nota Técnica nº 13/2019-SIM
https://www.gov.br/anp/pt-br/assuntos/movimentacao-estocagem-e-comercializacao-de-gas-natural/transporte-de-gas-natural/arquivos/arquivos-chamadas-publicas/nota-tecnica-n0132019-sim.pdf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B2" authorId="0" shapeId="0" xr:uid="{A12617E3-5F81-420D-8668-3F191168E247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 Malha SE
Referência aba 'Receita Máxima'.</t>
        </r>
      </text>
    </comment>
    <comment ref="D2" authorId="0" shapeId="0" xr:uid="{4369A27D-826B-4CBE-ADB1-5902DC8A5299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</t>
        </r>
      </text>
    </comment>
    <comment ref="B3" authorId="0" shapeId="0" xr:uid="{7B3707A3-BD08-427C-A1BC-1180888433B5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
Específico MALHAS SE - pág.18
Referência aba 'OPEX'</t>
        </r>
      </text>
    </comment>
    <comment ref="D3" authorId="0" shapeId="0" xr:uid="{7E84F39B-DE13-40BA-980B-DFBE751E035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</t>
        </r>
      </text>
    </comment>
    <comment ref="B17" authorId="0" shapeId="0" xr:uid="{755E65A5-876A-4548-83D1-E9E8B2A62E1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EBITDA = Receita Operacional Líquida - O&amp;M + G&amp;A</t>
        </r>
      </text>
    </comment>
    <comment ref="M18" authorId="0" shapeId="0" xr:uid="{463A5092-3EE3-44F9-B221-8EFFEF39C03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critério de mesmo % da depreciação contábil de 2016 em relação à BRA</t>
        </r>
      </text>
    </comment>
    <comment ref="N18" authorId="0" shapeId="0" xr:uid="{5C5D3B70-214B-4E1A-AB49-7D95A172F690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B19" authorId="0" shapeId="0" xr:uid="{2A29B536-ACBB-4168-8DB5-B67280785A3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EBIT - EBITDA - Depreciação contábil</t>
        </r>
      </text>
    </comment>
    <comment ref="B20" authorId="0" shapeId="0" xr:uid="{0D4AA52F-B188-4FCB-8EEC-FE3ACC1F168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dos tributos considerando 34% do EBIT (25% IRPJ e 9% CSLL)</t>
        </r>
      </text>
    </comment>
    <comment ref="B21" authorId="0" shapeId="0" xr:uid="{0D01EC00-3935-42B4-A0F1-34AD4AE8417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NOPAT = EBIT - Tributos</t>
        </r>
      </text>
    </comment>
    <comment ref="B22" authorId="0" shapeId="0" xr:uid="{007AB7C5-1772-445C-B4D1-9C19D69B3842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reconhecidos pela ANP na planilha 'avaliacao_nts_anp'</t>
        </r>
      </text>
    </comment>
    <comment ref="W23" authorId="0" shapeId="0" xr:uid="{A8E290EA-9489-4360-8590-DD349772DE56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Confirmar cálculo do valor residual.
VR = BRAinicial - Depreciação acumulada</t>
        </r>
      </text>
    </comment>
    <comment ref="C25" authorId="0" shapeId="0" xr:uid="{DA31FCC5-3404-44E2-A9F0-0F2796F6ED0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Base Residual 0.
Ativos &gt;30 completamente depreciados</t>
        </r>
      </text>
    </comment>
    <comment ref="B27" authorId="0" shapeId="0" xr:uid="{1E03D79B-17CD-415B-BA80-15CCDEB50B6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reconhecidos pela ANP na planilha 'avaliacao_nts_anp'</t>
        </r>
      </text>
    </comment>
    <comment ref="B28" authorId="0" shapeId="0" xr:uid="{B16E47D8-3B87-453E-9DC5-20021D0A879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Valores reconhecidos pela ANP na planilha 'avaliacao_nts_anp'</t>
        </r>
      </text>
    </comment>
    <comment ref="C33" authorId="0" shapeId="0" xr:uid="{68BA31F6-2F68-40BE-A695-C42C3D21CCC8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Nota Técnica nº 13/2019-SIM
https://www.gov.br/anp/pt-br/assuntos/movimentacao-estocagem-e-comercializacao-de-gas-natural/transporte-de-gas-natural/arquivos/arquivos-chamadas-publicas/nota-tecnica-n0132019-sim.pdf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R26" authorId="0" shapeId="0" xr:uid="{54BDA11C-09F1-42CD-9DEB-31A8D97AB61D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sei-3630604_proposta-tarifaria-nts_doc-4</t>
        </r>
      </text>
    </comment>
    <comment ref="S26" authorId="0" shapeId="0" xr:uid="{CD73A653-50E5-4DBF-9219-7B418C2E6CFF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sei-3630604_proposta-tarifaria-nts_doc-4</t>
        </r>
      </text>
    </comment>
    <comment ref="T26" authorId="0" shapeId="0" xr:uid="{1AF71E6D-EAD0-4957-93D8-840C4D30E8DC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sei-3630601-proposta-tarifaria-1</t>
        </r>
      </text>
    </comment>
    <comment ref="U26" authorId="0" shapeId="0" xr:uid="{98A552F9-B8CD-4A84-98E1-3D2ADFD6C13B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Tarifa reportada pela POC (Portal de Oferta de Capacidade)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Soares</author>
  </authors>
  <commentList>
    <comment ref="D2" authorId="0" shapeId="0" xr:uid="{8B7E96F0-DFA9-456B-885C-2B1BEA708E74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Cálculo de Receita com base em Tarifa * Capacidade Contratada</t>
        </r>
      </text>
    </comment>
    <comment ref="D3" authorId="0" shapeId="0" xr:uid="{FFC5BF0E-BFD8-442A-B887-2EAC8D0E42B3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como premissa valores de O&amp;M e G&amp;A reportados na NOTA TÉCNICA Nº 7/2026/SIM-CTR/SIM/ANP-RJ</t>
        </r>
      </text>
    </comment>
    <comment ref="M18" authorId="0" shapeId="0" xr:uid="{BB210C2E-B505-46C4-8C38-E0D5F51D130A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Utilizando critério de mesmo % da depreciação contábil de 2016 em relação à BRA</t>
        </r>
      </text>
    </comment>
    <comment ref="N18" authorId="0" shapeId="0" xr:uid="{CF821334-AAAD-4DBF-BE1C-9DEAA5D990E2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Premissa de manter a mesma depreciação contábil de 2017 (último dado devidamente atualizado)</t>
        </r>
      </text>
    </comment>
    <comment ref="C34" authorId="0" shapeId="0" xr:uid="{9FBE39A3-FAA4-4623-845C-E9DB1D71445E}">
      <text>
        <r>
          <rPr>
            <b/>
            <sz val="9"/>
            <color indexed="81"/>
            <rFont val="Segoe UI"/>
            <family val="2"/>
          </rPr>
          <t>Clara Soares:</t>
        </r>
        <r>
          <rPr>
            <sz val="9"/>
            <color indexed="81"/>
            <rFont val="Segoe UI"/>
            <family val="2"/>
          </rPr>
          <t xml:space="preserve">
Nota Técnica nº 13/2019-SIM
https://www.gov.br/anp/pt-br/assuntos/movimentacao-estocagem-e-comercializacao-de-gas-natural/transporte-de-gas-natural/arquivos/arquivos-chamadas-publicas/nota-tecnica-n0132019-sim.pdf</t>
        </r>
      </text>
    </comment>
  </commentList>
</comments>
</file>

<file path=xl/sharedStrings.xml><?xml version="1.0" encoding="utf-8"?>
<sst xmlns="http://schemas.openxmlformats.org/spreadsheetml/2006/main" count="704" uniqueCount="418">
  <si>
    <t>Microsoft Word - 44407[1].doc</t>
  </si>
  <si>
    <t>Tarifa (R$/MMBtu)</t>
  </si>
  <si>
    <t>Tarifa (R$/m³)</t>
  </si>
  <si>
    <t>Volume (MMm³/dia)</t>
  </si>
  <si>
    <t>IGPM (%)</t>
  </si>
  <si>
    <t>Receita Anual (R$)</t>
  </si>
  <si>
    <t>Data de Início</t>
  </si>
  <si>
    <t>Data de Fim</t>
  </si>
  <si>
    <t>Capacidade Contratada (Milhões de m³/dia)</t>
  </si>
  <si>
    <t>Tarifa de Serviço de Transporte (R$/MMBtu)</t>
  </si>
  <si>
    <t>Meses</t>
  </si>
  <si>
    <t>Ano</t>
  </si>
  <si>
    <t>Mês</t>
  </si>
  <si>
    <t>Data</t>
  </si>
  <si>
    <t>IGP-M</t>
  </si>
  <si>
    <t>IPCA</t>
  </si>
  <si>
    <t>ANUAL</t>
  </si>
  <si>
    <t>01/2004</t>
  </si>
  <si>
    <t>02/2004</t>
  </si>
  <si>
    <t>03/2004</t>
  </si>
  <si>
    <t>04/2004</t>
  </si>
  <si>
    <t>05/2004</t>
  </si>
  <si>
    <t>06/2004</t>
  </si>
  <si>
    <t>07/2004</t>
  </si>
  <si>
    <t>08/2004</t>
  </si>
  <si>
    <t>09/2004</t>
  </si>
  <si>
    <t>10/2004</t>
  </si>
  <si>
    <t>11/2004</t>
  </si>
  <si>
    <t>12/2004</t>
  </si>
  <si>
    <t>01/2005</t>
  </si>
  <si>
    <t>02/2005</t>
  </si>
  <si>
    <t>03/2005</t>
  </si>
  <si>
    <t>04/2005</t>
  </si>
  <si>
    <t>05/2005</t>
  </si>
  <si>
    <t>06/2005</t>
  </si>
  <si>
    <t>07/2005</t>
  </si>
  <si>
    <t>08/2005</t>
  </si>
  <si>
    <t>09/2005</t>
  </si>
  <si>
    <t>10/2005</t>
  </si>
  <si>
    <t>11/2005</t>
  </si>
  <si>
    <t>12/2005</t>
  </si>
  <si>
    <t>01/2006</t>
  </si>
  <si>
    <t>02/2006</t>
  </si>
  <si>
    <t>03/2006</t>
  </si>
  <si>
    <t>04/2006</t>
  </si>
  <si>
    <t>05/2006</t>
  </si>
  <si>
    <t>06/2006</t>
  </si>
  <si>
    <t>07/2006</t>
  </si>
  <si>
    <t>08/2006</t>
  </si>
  <si>
    <t>09/2006</t>
  </si>
  <si>
    <t>10/2006</t>
  </si>
  <si>
    <t>11/2006</t>
  </si>
  <si>
    <t>12/2006</t>
  </si>
  <si>
    <t>01/2007</t>
  </si>
  <si>
    <t>02/2007</t>
  </si>
  <si>
    <t>03/2007</t>
  </si>
  <si>
    <t>04/2007</t>
  </si>
  <si>
    <t>05/2007</t>
  </si>
  <si>
    <t>06/2007</t>
  </si>
  <si>
    <t>07/2007</t>
  </si>
  <si>
    <t>08/2007</t>
  </si>
  <si>
    <t>09/2007</t>
  </si>
  <si>
    <t>10/2007</t>
  </si>
  <si>
    <t>11/2007</t>
  </si>
  <si>
    <t>12/2007</t>
  </si>
  <si>
    <t>01/2008</t>
  </si>
  <si>
    <t>02/2008</t>
  </si>
  <si>
    <t>03/2008</t>
  </si>
  <si>
    <t>04/2008</t>
  </si>
  <si>
    <t>05/2008</t>
  </si>
  <si>
    <t>06/2008</t>
  </si>
  <si>
    <t>07/2008</t>
  </si>
  <si>
    <t>08/2008</t>
  </si>
  <si>
    <t>09/2008</t>
  </si>
  <si>
    <t>10/2008</t>
  </si>
  <si>
    <t>11/2008</t>
  </si>
  <si>
    <t>12/2008</t>
  </si>
  <si>
    <t>01/2009</t>
  </si>
  <si>
    <t>02/2009</t>
  </si>
  <si>
    <t>03/2009</t>
  </si>
  <si>
    <t>04/2009</t>
  </si>
  <si>
    <t>05/2009</t>
  </si>
  <si>
    <t>06/2009</t>
  </si>
  <si>
    <t>07/2009</t>
  </si>
  <si>
    <t>08/2009</t>
  </si>
  <si>
    <t>09/2009</t>
  </si>
  <si>
    <t>10/2009</t>
  </si>
  <si>
    <t>11/2009</t>
  </si>
  <si>
    <t>12/2009</t>
  </si>
  <si>
    <t>01/2010</t>
  </si>
  <si>
    <t>02/2010</t>
  </si>
  <si>
    <t>03/2010</t>
  </si>
  <si>
    <t>04/2010</t>
  </si>
  <si>
    <t>05/2010</t>
  </si>
  <si>
    <t>06/2010</t>
  </si>
  <si>
    <t>07/2010</t>
  </si>
  <si>
    <t>08/2010</t>
  </si>
  <si>
    <t>09/2010</t>
  </si>
  <si>
    <t>10/2010</t>
  </si>
  <si>
    <t>11/2010</t>
  </si>
  <si>
    <t>12/2010</t>
  </si>
  <si>
    <t>01/2011</t>
  </si>
  <si>
    <t>02/2011</t>
  </si>
  <si>
    <t>03/2011</t>
  </si>
  <si>
    <t>04/2011</t>
  </si>
  <si>
    <t>05/2011</t>
  </si>
  <si>
    <t>06/2011</t>
  </si>
  <si>
    <t>07/2011</t>
  </si>
  <si>
    <t>08/2011</t>
  </si>
  <si>
    <t>09/2011</t>
  </si>
  <si>
    <t>10/2011</t>
  </si>
  <si>
    <t>11/2011</t>
  </si>
  <si>
    <t>12/2011</t>
  </si>
  <si>
    <t>01/2012</t>
  </si>
  <si>
    <t>02/2012</t>
  </si>
  <si>
    <t>03/2012</t>
  </si>
  <si>
    <t>04/2012</t>
  </si>
  <si>
    <t>05/2012</t>
  </si>
  <si>
    <t>06/2012</t>
  </si>
  <si>
    <t>07/2012</t>
  </si>
  <si>
    <t>08/2012</t>
  </si>
  <si>
    <t>09/2012</t>
  </si>
  <si>
    <t>10/2012</t>
  </si>
  <si>
    <t>11/2012</t>
  </si>
  <si>
    <t>12/2012</t>
  </si>
  <si>
    <t>01/2013</t>
  </si>
  <si>
    <t>02/2013</t>
  </si>
  <si>
    <t>03/2013</t>
  </si>
  <si>
    <t>04/2013</t>
  </si>
  <si>
    <t>05/2013</t>
  </si>
  <si>
    <t>06/2013</t>
  </si>
  <si>
    <t>07/2013</t>
  </si>
  <si>
    <t>08/2013</t>
  </si>
  <si>
    <t>09/2013</t>
  </si>
  <si>
    <t>10/2013</t>
  </si>
  <si>
    <t>11/2013</t>
  </si>
  <si>
    <t>12/2013</t>
  </si>
  <si>
    <t>01/2014</t>
  </si>
  <si>
    <t>02/2014</t>
  </si>
  <si>
    <t>03/2014</t>
  </si>
  <si>
    <t>04/2014</t>
  </si>
  <si>
    <t>05/2014</t>
  </si>
  <si>
    <t>06/2014</t>
  </si>
  <si>
    <t>07/2014</t>
  </si>
  <si>
    <t>08/2014</t>
  </si>
  <si>
    <t>09/2014</t>
  </si>
  <si>
    <t>10/2014</t>
  </si>
  <si>
    <t>11/2014</t>
  </si>
  <si>
    <t>12/2014</t>
  </si>
  <si>
    <t>01/2015</t>
  </si>
  <si>
    <t>02/2015</t>
  </si>
  <si>
    <t>03/2015</t>
  </si>
  <si>
    <t>04/2015</t>
  </si>
  <si>
    <t>05/2015</t>
  </si>
  <si>
    <t>06/2015</t>
  </si>
  <si>
    <t>07/2015</t>
  </si>
  <si>
    <t>08/2015</t>
  </si>
  <si>
    <t>09/2015</t>
  </si>
  <si>
    <t>10/2015</t>
  </si>
  <si>
    <t>11/2015</t>
  </si>
  <si>
    <t>12/2015</t>
  </si>
  <si>
    <t>01/2016</t>
  </si>
  <si>
    <t>02/2016</t>
  </si>
  <si>
    <t>03/2016</t>
  </si>
  <si>
    <t>04/2016</t>
  </si>
  <si>
    <t>05/2016</t>
  </si>
  <si>
    <t>06/2016</t>
  </si>
  <si>
    <t>07/2016</t>
  </si>
  <si>
    <t>08/2016</t>
  </si>
  <si>
    <t>09/2016</t>
  </si>
  <si>
    <t>10/2016</t>
  </si>
  <si>
    <t>11/2016</t>
  </si>
  <si>
    <t>12/2016</t>
  </si>
  <si>
    <t>01/2017</t>
  </si>
  <si>
    <t>02/2017</t>
  </si>
  <si>
    <t>03/2017</t>
  </si>
  <si>
    <t>04/2017</t>
  </si>
  <si>
    <t>05/2017</t>
  </si>
  <si>
    <t>06/2017</t>
  </si>
  <si>
    <t>07/2017</t>
  </si>
  <si>
    <t>08/2017</t>
  </si>
  <si>
    <t>09/2017</t>
  </si>
  <si>
    <t>10/2017</t>
  </si>
  <si>
    <t>11/2017</t>
  </si>
  <si>
    <t>12/2017</t>
  </si>
  <si>
    <t>01/2018</t>
  </si>
  <si>
    <t>02/2018</t>
  </si>
  <si>
    <t>03/2018</t>
  </si>
  <si>
    <t>04/2018</t>
  </si>
  <si>
    <t>05/2018</t>
  </si>
  <si>
    <t>06/2018</t>
  </si>
  <si>
    <t>07/2018</t>
  </si>
  <si>
    <t>08/2018</t>
  </si>
  <si>
    <t>09/2018</t>
  </si>
  <si>
    <t>10/2018</t>
  </si>
  <si>
    <t>11/2018</t>
  </si>
  <si>
    <t>12/2018</t>
  </si>
  <si>
    <t>01/2019</t>
  </si>
  <si>
    <t>02/2019</t>
  </si>
  <si>
    <t>03/2019</t>
  </si>
  <si>
    <t>04/2019</t>
  </si>
  <si>
    <t>05/2019</t>
  </si>
  <si>
    <t>06/2019</t>
  </si>
  <si>
    <t>07/2019</t>
  </si>
  <si>
    <t>08/2019</t>
  </si>
  <si>
    <t>09/2019</t>
  </si>
  <si>
    <t>10/2019</t>
  </si>
  <si>
    <t>11/2019</t>
  </si>
  <si>
    <t>12/2019</t>
  </si>
  <si>
    <t>01/2020</t>
  </si>
  <si>
    <t>02/2020</t>
  </si>
  <si>
    <t>03/2020</t>
  </si>
  <si>
    <t>04/2020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</si>
  <si>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</si>
  <si>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</si>
  <si>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</si>
  <si>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</si>
  <si>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</si>
  <si>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</si>
  <si>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</si>
  <si>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</si>
  <si>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01/2021</t>
  </si>
  <si>
    <t>02/2021</t>
  </si>
  <si>
    <t>03/2021</t>
  </si>
  <si>
    <t>04/2021</t>
  </si>
  <si>
    <t>05/2021</t>
  </si>
  <si>
    <t>06/2021</t>
  </si>
  <si>
    <t>07/2021</t>
  </si>
  <si>
    <t>08/2021</t>
  </si>
  <si>
    <t>09/2021</t>
  </si>
  <si>
    <t>10/2021</t>
  </si>
  <si>
    <t>11/2021</t>
  </si>
  <si>
    <t>12/2021</t>
  </si>
  <si>
    <t>01/2022</t>
  </si>
  <si>
    <t>02/2022</t>
  </si>
  <si>
    <t>03/2022</t>
  </si>
  <si>
    <t>04/2022</t>
  </si>
  <si>
    <t>05/2022</t>
  </si>
  <si>
    <t>06/2022</t>
  </si>
  <si>
    <t>07/2022</t>
  </si>
  <si>
    <t>08/2022</t>
  </si>
  <si>
    <t>09/2022</t>
  </si>
  <si>
    <t>10/2022</t>
  </si>
  <si>
    <t>11/2022</t>
  </si>
  <si>
    <t>12/2022</t>
  </si>
  <si>
    <t>01/2023</t>
  </si>
  <si>
    <t>02/2023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</si>
  <si>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</si>
  <si>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</si>
  <si>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</si>
  <si>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</si>
  <si>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</si>
  <si>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</si>
  <si>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</si>
  <si>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</si>
  <si>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</si>
  <si>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</si>
  <si>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</si>
  <si>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</si>
  <si>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</si>
  <si>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</si>
  <si>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</si>
  <si>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</si>
  <si>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</si>
  <si>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</si>
  <si>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</si>
  <si>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</si>
  <si>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</si>
  <si>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12/2024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</si>
  <si>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</si>
  <si>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</si>
  <si>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</si>
  <si>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</si>
  <si>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</si>
  <si>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</si>
  <si>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</si>
  <si>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</si>
  <si>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</si>
  <si>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</si>
  <si>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</si>
  <si>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</si>
  <si>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01/2026</t>
  </si>
  <si>
    <t>Descrição</t>
  </si>
  <si>
    <t>Total 2026-2030</t>
  </si>
  <si>
    <t>Custo com Pessoal</t>
  </si>
  <si>
    <t>Manutenção e Operação de Compressores</t>
  </si>
  <si>
    <t>Manutenção do Sistema de Proteção Catódica</t>
  </si>
  <si>
    <t>Outras Manutenções</t>
  </si>
  <si>
    <t>Conservação, Manutenção e Aluguel da Faixa de Servidão do Duto</t>
  </si>
  <si>
    <t>Combustíveis e Lubrificantes</t>
  </si>
  <si>
    <t>Energia Elétrica para Acionamento dos Compressores</t>
  </si>
  <si>
    <t>Gás de Uso no Sistema</t>
  </si>
  <si>
    <t>Gás para Balanceamento</t>
  </si>
  <si>
    <t>Serviços de Utilidade Pública e Comunicação</t>
  </si>
  <si>
    <t>Passagem de PIG de limpeza</t>
  </si>
  <si>
    <t>Aluguéis e Seguros</t>
  </si>
  <si>
    <t>Outros Custos e Despesas Operacionais</t>
  </si>
  <si>
    <t>Despesas Gerais e Administrativas (G&amp;A)</t>
  </si>
  <si>
    <t>Estudos e Projetos</t>
  </si>
  <si>
    <t>TOTAL</t>
  </si>
  <si>
    <t>OPEX Total</t>
  </si>
  <si>
    <t>O&amp;M</t>
  </si>
  <si>
    <t>G&amp;A</t>
  </si>
  <si>
    <t>Variação Anual</t>
  </si>
  <si>
    <t>-</t>
  </si>
  <si>
    <t>Componente</t>
  </si>
  <si>
    <t>Total 2026–2030</t>
  </si>
  <si>
    <t>Situação Regulatória</t>
  </si>
  <si>
    <t>OPEX Malhas SE</t>
  </si>
  <si>
    <t>Elegível</t>
  </si>
  <si>
    <t>Estudos e Projetos + Abertura de Mercado</t>
  </si>
  <si>
    <t>Segregação requerida¹</t>
  </si>
  <si>
    <t>OPEX GASDUC III</t>
  </si>
  <si>
    <t>—</t>
  </si>
  <si>
    <t>OPEX GASPAJ</t>
  </si>
  <si>
    <t>GASIG</t>
  </si>
  <si>
    <t>ECOMP Japeri</t>
  </si>
  <si>
    <t>Elegível²</t>
  </si>
  <si>
    <t>ERP SJC</t>
  </si>
  <si>
    <t>Não elegível⁴</t>
  </si>
  <si>
    <t>PR Macaé</t>
  </si>
  <si>
    <t>Elegível³</t>
  </si>
  <si>
    <t>Novo PR A</t>
  </si>
  <si>
    <t>Novo PR B</t>
  </si>
  <si>
    <t>Novo PE A</t>
  </si>
  <si>
    <t>Novo PE B</t>
  </si>
  <si>
    <t>Aumento GASBEL II</t>
  </si>
  <si>
    <t>ECOMP Macaé</t>
  </si>
  <si>
    <t>GASINF</t>
  </si>
  <si>
    <t>Total Proposto</t>
  </si>
  <si>
    <t>Subtotal Não Elegível</t>
  </si>
  <si>
    <t>OPEX Elegível para Análise</t>
  </si>
  <si>
    <t>Anual Médio</t>
  </si>
  <si>
    <t>% do Total OPEX</t>
  </si>
  <si>
    <t>Custos de Manutenção e Operação (O&amp;M)</t>
  </si>
  <si>
    <t>Conservação, Manutenção e Aluguel da Faixa de Servidão</t>
  </si>
  <si>
    <t>Custo com Pessoal (O&amp;M)</t>
  </si>
  <si>
    <t>Subtotal O&amp;M</t>
  </si>
  <si>
    <t>Despesas Gerais e Administrativas¹</t>
  </si>
  <si>
    <t>Subtotal G&amp;A</t>
  </si>
  <si>
    <t>TOTAL OPEX (2026–2030)</t>
  </si>
  <si>
    <t>O&amp;M+G&amp;A</t>
  </si>
  <si>
    <t>EBITDA</t>
  </si>
  <si>
    <t>EBIT</t>
  </si>
  <si>
    <t>Tributos (IR+CSLL)</t>
  </si>
  <si>
    <t>(-) Salários e Benefícios</t>
  </si>
  <si>
    <t>(-) Manutenção e Operação de Compressores</t>
  </si>
  <si>
    <t>(-) Manutenção do Sistema de Proteção Catódica</t>
  </si>
  <si>
    <t>(-) Outras Manutenções</t>
  </si>
  <si>
    <t>(-) Conservação e Manutenção da Faixa de Servidão do Duto</t>
  </si>
  <si>
    <t>(-) Combustíveis e Lubrificantes</t>
  </si>
  <si>
    <t>(-) Gás de Uso no Sistema / Energia Elétrica para Acionamento dos Compressores</t>
  </si>
  <si>
    <t>(-) Serviços de Utilidade Pública (Energia Elétrica, Água e Esgoto etc.) e Comunicação</t>
  </si>
  <si>
    <t>(-) Aluguéis e Seguros</t>
  </si>
  <si>
    <t>(-) Aquisição e Passagem de Pigs de Limpeza e Instrumentados</t>
  </si>
  <si>
    <t>(-) Outros Custos e Despesas</t>
  </si>
  <si>
    <t>(-) Despesas Gerais e Administrativas (G&amp;A) Atribuíveis ao Empreendimento</t>
  </si>
  <si>
    <t>Receita Operacional Líquida</t>
  </si>
  <si>
    <t>(-) Estudos e Projetos</t>
  </si>
  <si>
    <t>Receita Anual Moeda Dez/25</t>
  </si>
  <si>
    <t>set/24-dez/25</t>
  </si>
  <si>
    <t>jan/24-ago/24</t>
  </si>
  <si>
    <t>Receita Anual Moeda Ago/24</t>
  </si>
  <si>
    <t>Depreciação regulatória</t>
  </si>
  <si>
    <t>FCFF - Fluxo de Caixa Livre da Firma = (1) - (2) + (3) + (4) - (5)</t>
  </si>
  <si>
    <t>NOPAT (lucro operacional após impostos) (1)</t>
  </si>
  <si>
    <t>CAPEX /Investimentos (2)</t>
  </si>
  <si>
    <t>Depreciação contábil (3)</t>
  </si>
  <si>
    <t>Valor Residual (4)</t>
  </si>
  <si>
    <t>Variação da Necessidade Líquida de Capital de Giro (5)</t>
  </si>
  <si>
    <t>Valor Presente Líquido do Fluxo de Caixa Livre da Firma</t>
  </si>
  <si>
    <t>Taxa de Desconto do Fluxo de Caixa Livre da Firma</t>
  </si>
  <si>
    <t>Taxa Interna de Retorno (a.a.) - WACC 1</t>
  </si>
  <si>
    <t>Conf</t>
  </si>
  <si>
    <t xml:space="preserve"> Base de Ativos VNR</t>
  </si>
  <si>
    <t xml:space="preserve"> Base de Ativos CHCI</t>
  </si>
  <si>
    <t>Ago/24xTempo</t>
  </si>
  <si>
    <t xml:space="preserve"> Base de Ativos CHCI Bruta [R$]</t>
  </si>
  <si>
    <t xml:space="preserve"> Base de Ativos VNR Bruta [R$]</t>
  </si>
  <si>
    <t>Cálculo do valor econômico da concessão.</t>
  </si>
  <si>
    <t>Receita Operacional Líquida Atualizada pela inflação (dez/25)</t>
  </si>
  <si>
    <t>Recita Operacional Líquida critério rateio (Dez/25)</t>
  </si>
  <si>
    <t>Capacidade Contratada</t>
  </si>
  <si>
    <t>Malha SE</t>
  </si>
  <si>
    <t>O&amp;M+G&amp;A critério rateio (Dez/25)</t>
  </si>
  <si>
    <t>Depreciação contábil critério rateio (3)</t>
  </si>
  <si>
    <t>O&amp;M e G&amp;A</t>
  </si>
  <si>
    <t>CHCI</t>
  </si>
  <si>
    <t>Taxa Interna de Retorno depois dos impostos - WACC</t>
  </si>
  <si>
    <t>Valor Presente Líquido dos investimentos</t>
  </si>
  <si>
    <t>Premissas:</t>
  </si>
  <si>
    <t>[R$ Dez 2025]</t>
  </si>
  <si>
    <t>Fluxo de caixa sem investimentos [R$] - 7,25%</t>
  </si>
  <si>
    <t>Fluxo de caixa sem investimentos [R$] - 12%</t>
  </si>
  <si>
    <t>Valor Presente do Fluxo de Caixa sem investimentos (M R$) - Valor economico obtido pela NTS (Malha SE)</t>
  </si>
  <si>
    <t>VP dos investimentos  [R$] - 7,25%</t>
  </si>
  <si>
    <t>VP dos investimentos  [R$] - 12%</t>
  </si>
  <si>
    <t>Metodologia</t>
  </si>
  <si>
    <t>Taxa de Ref</t>
  </si>
  <si>
    <t>Comparativo da Base Bruta e Valor Presente do Fluxo de Caixa</t>
  </si>
  <si>
    <t>Valor presente dos investimentos Malha SE (M R$)</t>
  </si>
  <si>
    <t>VP da receita adicional obtida pela NTS (Malha SE)</t>
  </si>
  <si>
    <t>Representatividade OPEX Malhas SE x Total projetado</t>
  </si>
  <si>
    <t>Rev Anual Médio com glosas</t>
  </si>
  <si>
    <t>Proporção Capacidade Malha SE x Total</t>
  </si>
  <si>
    <t>CRN</t>
  </si>
  <si>
    <t>Valor Bruto da BRA proposto pela NTS (Nota Técnica), atualizado ref. dez/25</t>
  </si>
  <si>
    <r>
      <t xml:space="preserve">Receita Operacional Líquida </t>
    </r>
    <r>
      <rPr>
        <sz val="11"/>
        <color theme="1"/>
        <rFont val="Calibri"/>
        <family val="2"/>
        <scheme val="minor"/>
      </rPr>
      <t>(Tarifa x Capacidade contratada Malhas SE)</t>
    </r>
  </si>
  <si>
    <t>Média OPEX sem glosas</t>
  </si>
  <si>
    <t>Média OPEX com glosas</t>
  </si>
  <si>
    <t>Depreciação contábil (critério rateio por capacidade contratada Malhas SE) (3)</t>
  </si>
  <si>
    <t>Critério de Rateio</t>
  </si>
  <si>
    <t>Malhas SE</t>
  </si>
  <si>
    <t>Total</t>
  </si>
  <si>
    <t>O&amp;M+G&amp;A DRE</t>
  </si>
  <si>
    <t>Receita Operacional Líquida (M R$) (Moeda Corrente)</t>
  </si>
  <si>
    <t xml:space="preserve"> Base de Ativos CRN ANP</t>
  </si>
  <si>
    <t xml:space="preserve"> Base de Ativos CRN 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</si>
</sst>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_-* #,##0.0000_-;\-* #,##0.0000_-;_-* &quot;-&quot;??_-;_-@_-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&quot;R$&quot;\ #,##0.0;[Red]\-&quot;R$&quot;\ #,##0.0"/>
    <numFmt numFmtId="169" formatCode="#,##0.0_ ;[Red]\-#,##0.0\ "/>
    <numFmt numFmtId="170" formatCode="0.0"/>
    <numFmt numFmtId="171" formatCode="_-* #,##0.00_-;\-* #,##0.00_-;_-* &quot;-&quot;?_-;_-@_-"/>
    <numFmt numFmtId="172" formatCode="_-* #,##0.000_-;\-* #,##0.000_-;_-* &quot;-&quot;??_-;_-@_-"/>
    <numFmt numFmtId="173" formatCode="_-* #,##0.0000_-;\-* #,##0.0000_-;_-* &quot;-&quot;??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b/>
      <sz val="10"/>
      <color rgb="FF1F1F1F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1F1F1F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name val="Arial"/>
      <family val="2"/>
    </font>
    <font>
      <b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3"/>
    <xf numFmtId="0" fontId="2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 readingOrder="1"/>
    </xf>
    <xf numFmtId="0" fontId="6" fillId="0" borderId="1" xfId="0" applyFont="1" applyBorder="1" applyAlignment="1">
      <alignment vertical="center" wrapText="1" readingOrder="1"/>
    </xf>
    <xf numFmtId="14" fontId="5" fillId="0" borderId="1" xfId="0" applyNumberFormat="1" applyFont="1" applyBorder="1" applyAlignment="1">
      <alignment horizontal="left" vertical="center" wrapText="1" indent="1" readingOrder="1"/>
    </xf>
    <xf numFmtId="0" fontId="5" fillId="0" borderId="1" xfId="0" applyFont="1" applyBorder="1" applyAlignment="1">
      <alignment vertical="center" wrapText="1" readingOrder="1"/>
    </xf>
    <xf numFmtId="43" fontId="5" fillId="0" borderId="1" xfId="1" applyFont="1" applyBorder="1" applyAlignment="1">
      <alignment horizontal="left" vertical="center" wrapText="1" indent="1" readingOrder="1"/>
    </xf>
    <xf numFmtId="0" fontId="0" fillId="0" borderId="0" xfId="0" quotePrefix="1"/>
    <xf numFmtId="0" fontId="8" fillId="0" borderId="0" xfId="0" applyFont="1"/>
    <xf numFmtId="43" fontId="0" fillId="0" borderId="0" xfId="0" applyNumberFormat="1"/>
    <xf numFmtId="0" fontId="2" fillId="4" borderId="2" xfId="0" applyFont="1" applyFill="1" applyBorder="1" applyAlignment="1">
      <alignment horizontal="center" vertical="center"/>
    </xf>
    <xf numFmtId="164" fontId="0" fillId="0" borderId="2" xfId="1" applyNumberFormat="1" applyFont="1" applyBorder="1"/>
    <xf numFmtId="164" fontId="0" fillId="0" borderId="2" xfId="1" applyNumberFormat="1" applyFont="1" applyFill="1" applyBorder="1"/>
    <xf numFmtId="0" fontId="0" fillId="0" borderId="2" xfId="0" applyBorder="1"/>
    <xf numFmtId="2" fontId="0" fillId="0" borderId="2" xfId="0" applyNumberFormat="1" applyBorder="1"/>
    <xf numFmtId="43" fontId="0" fillId="0" borderId="2" xfId="0" applyNumberFormat="1" applyBorder="1"/>
    <xf numFmtId="10" fontId="0" fillId="0" borderId="0" xfId="0" applyNumberFormat="1"/>
    <xf numFmtId="10" fontId="0" fillId="0" borderId="2" xfId="2" applyNumberFormat="1" applyFont="1" applyBorder="1"/>
    <xf numFmtId="0" fontId="8" fillId="0" borderId="0" xfId="0" applyFont="1" applyAlignment="1">
      <alignment horizontal="center"/>
    </xf>
    <xf numFmtId="0" fontId="10" fillId="6" borderId="3" xfId="4" applyFill="1" applyBorder="1" applyAlignment="1">
      <alignment horizontal="center" wrapText="1"/>
    </xf>
    <xf numFmtId="0" fontId="10" fillId="0" borderId="0" xfId="4"/>
    <xf numFmtId="0" fontId="10" fillId="0" borderId="4" xfId="4" applyBorder="1" applyAlignment="1">
      <alignment horizontal="center" wrapText="1"/>
    </xf>
    <xf numFmtId="0" fontId="10" fillId="0" borderId="2" xfId="4" applyBorder="1"/>
    <xf numFmtId="10" fontId="0" fillId="0" borderId="2" xfId="5" applyNumberFormat="1" applyFont="1" applyBorder="1"/>
    <xf numFmtId="10" fontId="0" fillId="7" borderId="2" xfId="5" applyNumberFormat="1" applyFont="1" applyFill="1" applyBorder="1"/>
    <xf numFmtId="0" fontId="10" fillId="0" borderId="5" xfId="4" applyBorder="1" applyAlignment="1">
      <alignment horizontal="center" wrapText="1"/>
    </xf>
    <xf numFmtId="0" fontId="10" fillId="6" borderId="6" xfId="4" applyFill="1" applyBorder="1" applyAlignment="1">
      <alignment horizontal="center" wrapText="1"/>
    </xf>
    <xf numFmtId="0" fontId="10" fillId="8" borderId="4" xfId="4" applyFill="1" applyBorder="1" applyAlignment="1">
      <alignment horizontal="center" wrapText="1"/>
    </xf>
    <xf numFmtId="0" fontId="7" fillId="0" borderId="1" xfId="4" applyFont="1" applyBorder="1" applyAlignment="1">
      <alignment vertical="center" wrapText="1" readingOrder="1"/>
    </xf>
    <xf numFmtId="0" fontId="11" fillId="0" borderId="1" xfId="4" applyFont="1" applyBorder="1" applyAlignment="1">
      <alignment vertical="center" wrapText="1" readingOrder="1"/>
    </xf>
    <xf numFmtId="3" fontId="7" fillId="0" borderId="1" xfId="4" applyNumberFormat="1" applyFont="1" applyBorder="1" applyAlignment="1">
      <alignment vertical="center" wrapText="1" readingOrder="1"/>
    </xf>
    <xf numFmtId="0" fontId="11" fillId="0" borderId="1" xfId="4" quotePrefix="1" applyFont="1" applyBorder="1" applyAlignment="1">
      <alignment vertical="center" wrapText="1" readingOrder="1"/>
    </xf>
    <xf numFmtId="165" fontId="11" fillId="0" borderId="1" xfId="4" applyNumberFormat="1" applyFont="1" applyBorder="1" applyAlignment="1">
      <alignment vertical="center" wrapText="1" readingOrder="1"/>
    </xf>
    <xf numFmtId="10" fontId="11" fillId="0" borderId="1" xfId="4" applyNumberFormat="1" applyFont="1" applyBorder="1" applyAlignment="1">
      <alignment vertical="center" wrapText="1" readingOrder="1"/>
    </xf>
    <xf numFmtId="10" fontId="7" fillId="0" borderId="1" xfId="4" applyNumberFormat="1" applyFont="1" applyBorder="1" applyAlignment="1">
      <alignment vertical="center" wrapText="1" readingOrder="1"/>
    </xf>
    <xf numFmtId="164" fontId="0" fillId="9" borderId="2" xfId="1" applyNumberFormat="1" applyFont="1" applyFill="1" applyBorder="1"/>
    <xf numFmtId="0" fontId="9" fillId="9" borderId="2" xfId="0" applyFont="1" applyFill="1" applyBorder="1"/>
    <xf numFmtId="0" fontId="0" fillId="9" borderId="2" xfId="0" applyFill="1" applyBorder="1"/>
    <xf numFmtId="10" fontId="0" fillId="9" borderId="2" xfId="2" applyNumberFormat="1" applyFont="1" applyFill="1" applyBorder="1"/>
    <xf numFmtId="166" fontId="0" fillId="0" borderId="0" xfId="0" applyNumberFormat="1"/>
    <xf numFmtId="166" fontId="0" fillId="0" borderId="0" xfId="1" applyNumberFormat="1" applyFont="1"/>
    <xf numFmtId="0" fontId="3" fillId="2" borderId="0" xfId="0" applyFont="1" applyFill="1"/>
    <xf numFmtId="43" fontId="10" fillId="0" borderId="0" xfId="1" applyFont="1"/>
    <xf numFmtId="166" fontId="10" fillId="0" borderId="0" xfId="1" applyNumberFormat="1" applyFont="1"/>
    <xf numFmtId="166" fontId="10" fillId="0" borderId="0" xfId="4" applyNumberFormat="1"/>
    <xf numFmtId="0" fontId="10" fillId="0" borderId="0" xfId="4" quotePrefix="1"/>
    <xf numFmtId="17" fontId="10" fillId="7" borderId="2" xfId="4" applyNumberFormat="1" applyFill="1" applyBorder="1"/>
    <xf numFmtId="9" fontId="10" fillId="0" borderId="0" xfId="2" applyFont="1"/>
    <xf numFmtId="43" fontId="10" fillId="0" borderId="0" xfId="4" applyNumberFormat="1"/>
    <xf numFmtId="0" fontId="14" fillId="6" borderId="2" xfId="4" applyFont="1" applyFill="1" applyBorder="1" applyAlignment="1">
      <alignment horizontal="center" wrapText="1"/>
    </xf>
    <xf numFmtId="10" fontId="10" fillId="0" borderId="0" xfId="2" applyNumberFormat="1" applyFont="1"/>
    <xf numFmtId="0" fontId="15" fillId="0" borderId="0" xfId="4" applyFont="1"/>
    <xf numFmtId="166" fontId="15" fillId="0" borderId="0" xfId="1" applyNumberFormat="1" applyFont="1"/>
    <xf numFmtId="166" fontId="15" fillId="0" borderId="0" xfId="4" applyNumberFormat="1" applyFont="1"/>
    <xf numFmtId="43" fontId="15" fillId="0" borderId="0" xfId="4" applyNumberFormat="1" applyFont="1"/>
    <xf numFmtId="0" fontId="0" fillId="10" borderId="0" xfId="0" applyFill="1"/>
    <xf numFmtId="166" fontId="0" fillId="10" borderId="0" xfId="1" applyNumberFormat="1" applyFont="1" applyFill="1"/>
    <xf numFmtId="166" fontId="3" fillId="2" borderId="0" xfId="0" applyNumberFormat="1" applyFont="1" applyFill="1"/>
    <xf numFmtId="0" fontId="3" fillId="11" borderId="0" xfId="0" applyFont="1" applyFill="1"/>
    <xf numFmtId="166" fontId="3" fillId="11" borderId="0" xfId="0" applyNumberFormat="1" applyFont="1" applyFill="1"/>
    <xf numFmtId="0" fontId="3" fillId="12" borderId="0" xfId="0" applyFont="1" applyFill="1"/>
    <xf numFmtId="166" fontId="3" fillId="12" borderId="0" xfId="0" applyNumberFormat="1" applyFont="1" applyFill="1"/>
    <xf numFmtId="0" fontId="0" fillId="13" borderId="0" xfId="0" quotePrefix="1" applyFill="1"/>
    <xf numFmtId="166" fontId="0" fillId="13" borderId="0" xfId="1" applyNumberFormat="1" applyFont="1" applyFill="1"/>
    <xf numFmtId="166" fontId="0" fillId="7" borderId="0" xfId="1" applyNumberFormat="1" applyFont="1" applyFill="1"/>
    <xf numFmtId="0" fontId="2" fillId="14" borderId="0" xfId="0" applyFont="1" applyFill="1"/>
    <xf numFmtId="43" fontId="0" fillId="13" borderId="0" xfId="1" applyFont="1" applyFill="1" applyAlignment="1">
      <alignment horizontal="center"/>
    </xf>
    <xf numFmtId="43" fontId="8" fillId="0" borderId="0" xfId="0" applyNumberFormat="1" applyFont="1"/>
    <xf numFmtId="0" fontId="16" fillId="0" borderId="0" xfId="0" applyFont="1" applyAlignment="1">
      <alignment horizontal="right"/>
    </xf>
    <xf numFmtId="166" fontId="0" fillId="15" borderId="0" xfId="1" applyNumberFormat="1" applyFont="1" applyFill="1"/>
    <xf numFmtId="0" fontId="3" fillId="16" borderId="0" xfId="0" applyFont="1" applyFill="1" applyAlignment="1">
      <alignment horizontal="left"/>
    </xf>
    <xf numFmtId="166" fontId="3" fillId="16" borderId="0" xfId="1" applyNumberFormat="1" applyFont="1" applyFill="1" applyAlignment="1">
      <alignment horizontal="left"/>
    </xf>
    <xf numFmtId="8" fontId="2" fillId="14" borderId="0" xfId="0" applyNumberFormat="1" applyFont="1" applyFill="1"/>
    <xf numFmtId="167" fontId="0" fillId="0" borderId="0" xfId="0" applyNumberFormat="1"/>
    <xf numFmtId="9" fontId="0" fillId="0" borderId="0" xfId="2" applyFont="1"/>
    <xf numFmtId="9" fontId="0" fillId="7" borderId="0" xfId="2" applyFont="1" applyFill="1"/>
    <xf numFmtId="166" fontId="3" fillId="12" borderId="0" xfId="1" applyNumberFormat="1" applyFont="1" applyFill="1"/>
    <xf numFmtId="0" fontId="3" fillId="0" borderId="0" xfId="0" applyFont="1"/>
    <xf numFmtId="43" fontId="0" fillId="0" borderId="0" xfId="1" applyFont="1"/>
    <xf numFmtId="43" fontId="0" fillId="0" borderId="0" xfId="0" quotePrefix="1" applyNumberFormat="1"/>
    <xf numFmtId="166" fontId="9" fillId="0" borderId="0" xfId="1" applyNumberFormat="1" applyFont="1"/>
    <xf numFmtId="9" fontId="8" fillId="0" borderId="0" xfId="2" applyFont="1"/>
    <xf numFmtId="6" fontId="2" fillId="14" borderId="0" xfId="0" applyNumberFormat="1" applyFont="1" applyFill="1"/>
    <xf numFmtId="166" fontId="8" fillId="0" borderId="0" xfId="1" applyNumberFormat="1" applyFont="1"/>
    <xf numFmtId="10" fontId="0" fillId="0" borderId="7" xfId="0" applyNumberFormat="1" applyBorder="1"/>
    <xf numFmtId="9" fontId="0" fillId="0" borderId="7" xfId="0" applyNumberFormat="1" applyBorder="1"/>
    <xf numFmtId="166" fontId="3" fillId="2" borderId="0" xfId="1" applyNumberFormat="1" applyFont="1" applyFill="1"/>
    <xf numFmtId="0" fontId="3" fillId="2" borderId="8" xfId="0" applyFont="1" applyFill="1" applyBorder="1"/>
    <xf numFmtId="10" fontId="3" fillId="2" borderId="9" xfId="0" applyNumberFormat="1" applyFont="1" applyFill="1" applyBorder="1"/>
    <xf numFmtId="0" fontId="3" fillId="2" borderId="10" xfId="0" applyFont="1" applyFill="1" applyBorder="1"/>
    <xf numFmtId="10" fontId="3" fillId="2" borderId="11" xfId="0" applyNumberFormat="1" applyFont="1" applyFill="1" applyBorder="1"/>
    <xf numFmtId="0" fontId="2" fillId="19" borderId="0" xfId="0" applyFont="1" applyFill="1"/>
    <xf numFmtId="6" fontId="2" fillId="19" borderId="0" xfId="0" applyNumberFormat="1" applyFont="1" applyFill="1"/>
    <xf numFmtId="166" fontId="16" fillId="20" borderId="0" xfId="1" applyNumberFormat="1" applyFont="1" applyFill="1"/>
    <xf numFmtId="43" fontId="3" fillId="0" borderId="0" xfId="0" applyNumberFormat="1" applyFont="1"/>
    <xf numFmtId="166" fontId="3" fillId="11" borderId="0" xfId="1" applyNumberFormat="1" applyFont="1" applyFill="1"/>
    <xf numFmtId="168" fontId="0" fillId="0" borderId="2" xfId="0" applyNumberFormat="1" applyBorder="1"/>
    <xf numFmtId="166" fontId="18" fillId="20" borderId="0" xfId="1" applyNumberFormat="1" applyFont="1" applyFill="1" applyAlignment="1">
      <alignment horizontal="left"/>
    </xf>
    <xf numFmtId="166" fontId="0" fillId="13" borderId="0" xfId="1" quotePrefix="1" applyNumberFormat="1" applyFont="1" applyFill="1"/>
    <xf numFmtId="166" fontId="16" fillId="0" borderId="0" xfId="1" applyNumberFormat="1" applyFont="1" applyAlignment="1">
      <alignment horizontal="right"/>
    </xf>
    <xf numFmtId="43" fontId="20" fillId="0" borderId="0" xfId="0" quotePrefix="1" applyNumberFormat="1" applyFont="1"/>
    <xf numFmtId="0" fontId="19" fillId="0" borderId="0" xfId="0" quotePrefix="1" applyFont="1"/>
    <xf numFmtId="166" fontId="3" fillId="0" borderId="0" xfId="1" applyNumberFormat="1" applyFont="1"/>
    <xf numFmtId="9" fontId="3" fillId="11" borderId="0" xfId="2" applyFont="1" applyFill="1"/>
    <xf numFmtId="0" fontId="2" fillId="3" borderId="2" xfId="0" applyFont="1" applyFill="1" applyBorder="1" applyAlignment="1">
      <alignment horizontal="center" vertical="center"/>
    </xf>
    <xf numFmtId="166" fontId="0" fillId="0" borderId="2" xfId="1" applyNumberFormat="1" applyFont="1" applyBorder="1"/>
    <xf numFmtId="0" fontId="3" fillId="2" borderId="2" xfId="0" applyFont="1" applyFill="1" applyBorder="1"/>
    <xf numFmtId="166" fontId="3" fillId="2" borderId="2" xfId="0" applyNumberFormat="1" applyFont="1" applyFill="1" applyBorder="1"/>
    <xf numFmtId="166" fontId="0" fillId="10" borderId="2" xfId="1" applyNumberFormat="1" applyFont="1" applyFill="1" applyBorder="1"/>
    <xf numFmtId="0" fontId="3" fillId="11" borderId="2" xfId="0" applyFont="1" applyFill="1" applyBorder="1"/>
    <xf numFmtId="166" fontId="3" fillId="11" borderId="2" xfId="0" applyNumberFormat="1" applyFont="1" applyFill="1" applyBorder="1"/>
    <xf numFmtId="166" fontId="3" fillId="11" borderId="2" xfId="1" applyNumberFormat="1" applyFont="1" applyFill="1" applyBorder="1"/>
    <xf numFmtId="166" fontId="0" fillId="0" borderId="2" xfId="0" applyNumberFormat="1" applyBorder="1"/>
    <xf numFmtId="166" fontId="0" fillId="13" borderId="2" xfId="1" applyNumberFormat="1" applyFont="1" applyFill="1" applyBorder="1"/>
    <xf numFmtId="166" fontId="0" fillId="7" borderId="2" xfId="1" applyNumberFormat="1" applyFont="1" applyFill="1" applyBorder="1"/>
    <xf numFmtId="43" fontId="0" fillId="13" borderId="2" xfId="1" applyFont="1" applyFill="1" applyBorder="1" applyAlignment="1">
      <alignment horizontal="center"/>
    </xf>
    <xf numFmtId="166" fontId="3" fillId="12" borderId="2" xfId="1" applyNumberFormat="1" applyFont="1" applyFill="1" applyBorder="1"/>
    <xf numFmtId="0" fontId="0" fillId="10" borderId="2" xfId="0" applyFill="1" applyBorder="1"/>
    <xf numFmtId="166" fontId="0" fillId="13" borderId="2" xfId="1" quotePrefix="1" applyNumberFormat="1" applyFont="1" applyFill="1" applyBorder="1"/>
    <xf numFmtId="0" fontId="0" fillId="13" borderId="2" xfId="0" quotePrefix="1" applyFill="1" applyBorder="1"/>
    <xf numFmtId="0" fontId="3" fillId="16" borderId="2" xfId="0" applyFont="1" applyFill="1" applyBorder="1" applyAlignment="1">
      <alignment horizontal="left"/>
    </xf>
    <xf numFmtId="43" fontId="0" fillId="15" borderId="2" xfId="0" applyNumberFormat="1" applyFill="1" applyBorder="1"/>
    <xf numFmtId="166" fontId="0" fillId="15" borderId="2" xfId="1" applyNumberFormat="1" applyFont="1" applyFill="1" applyBorder="1"/>
    <xf numFmtId="166" fontId="3" fillId="16" borderId="2" xfId="1" applyNumberFormat="1" applyFont="1" applyFill="1" applyBorder="1" applyAlignment="1">
      <alignment horizontal="left"/>
    </xf>
    <xf numFmtId="0" fontId="2" fillId="14" borderId="2" xfId="0" applyFont="1" applyFill="1" applyBorder="1"/>
    <xf numFmtId="6" fontId="2" fillId="14" borderId="2" xfId="0" applyNumberFormat="1" applyFont="1" applyFill="1" applyBorder="1"/>
    <xf numFmtId="0" fontId="2" fillId="19" borderId="2" xfId="0" applyFont="1" applyFill="1" applyBorder="1"/>
    <xf numFmtId="6" fontId="2" fillId="19" borderId="2" xfId="0" applyNumberFormat="1" applyFont="1" applyFill="1" applyBorder="1"/>
    <xf numFmtId="10" fontId="3" fillId="2" borderId="2" xfId="0" applyNumberFormat="1" applyFont="1" applyFill="1" applyBorder="1"/>
    <xf numFmtId="166" fontId="3" fillId="5" borderId="2" xfId="1" applyNumberFormat="1" applyFont="1" applyFill="1" applyBorder="1"/>
    <xf numFmtId="166" fontId="3" fillId="18" borderId="2" xfId="1" applyNumberFormat="1" applyFont="1" applyFill="1" applyBorder="1"/>
    <xf numFmtId="0" fontId="3" fillId="9" borderId="2" xfId="0" applyFont="1" applyFill="1" applyBorder="1"/>
    <xf numFmtId="166" fontId="3" fillId="9" borderId="2" xfId="0" applyNumberFormat="1" applyFont="1" applyFill="1" applyBorder="1"/>
    <xf numFmtId="166" fontId="3" fillId="17" borderId="2" xfId="1" applyNumberFormat="1" applyFont="1" applyFill="1" applyBorder="1"/>
    <xf numFmtId="166" fontId="0" fillId="0" borderId="2" xfId="1" applyNumberFormat="1" applyFont="1" applyFill="1" applyBorder="1"/>
    <xf numFmtId="166" fontId="0" fillId="15" borderId="2" xfId="0" applyNumberFormat="1" applyFill="1" applyBorder="1"/>
    <xf numFmtId="0" fontId="2" fillId="3" borderId="12" xfId="0" applyFont="1" applyFill="1" applyBorder="1" applyAlignment="1">
      <alignment horizontal="center" vertical="center" wrapText="1"/>
    </xf>
    <xf numFmtId="167" fontId="0" fillId="0" borderId="2" xfId="1" applyNumberFormat="1" applyFont="1" applyBorder="1"/>
    <xf numFmtId="6" fontId="2" fillId="7" borderId="2" xfId="0" applyNumberFormat="1" applyFont="1" applyFill="1" applyBorder="1"/>
    <xf numFmtId="0" fontId="2" fillId="21" borderId="2" xfId="0" applyFont="1" applyFill="1" applyBorder="1" applyAlignment="1">
      <alignment horizontal="center" vertical="center" wrapText="1"/>
    </xf>
    <xf numFmtId="169" fontId="0" fillId="0" borderId="2" xfId="0" applyNumberFormat="1" applyBorder="1"/>
    <xf numFmtId="0" fontId="11" fillId="22" borderId="1" xfId="4" applyFont="1" applyFill="1" applyBorder="1" applyAlignment="1">
      <alignment vertical="center" wrapText="1" readingOrder="1"/>
    </xf>
    <xf numFmtId="4" fontId="11" fillId="22" borderId="1" xfId="4" applyNumberFormat="1" applyFont="1" applyFill="1" applyBorder="1" applyAlignment="1">
      <alignment vertical="center" wrapText="1" readingOrder="1"/>
    </xf>
    <xf numFmtId="0" fontId="7" fillId="17" borderId="1" xfId="4" applyFont="1" applyFill="1" applyBorder="1" applyAlignment="1">
      <alignment vertical="center" wrapText="1" readingOrder="1"/>
    </xf>
    <xf numFmtId="10" fontId="7" fillId="17" borderId="1" xfId="4" applyNumberFormat="1" applyFont="1" applyFill="1" applyBorder="1" applyAlignment="1">
      <alignment vertical="center" wrapText="1" readingOrder="1"/>
    </xf>
    <xf numFmtId="4" fontId="7" fillId="17" borderId="1" xfId="4" applyNumberFormat="1" applyFont="1" applyFill="1" applyBorder="1" applyAlignment="1">
      <alignment vertical="center" wrapText="1" readingOrder="1"/>
    </xf>
    <xf numFmtId="9" fontId="7" fillId="17" borderId="1" xfId="4" applyNumberFormat="1" applyFont="1" applyFill="1" applyBorder="1" applyAlignment="1">
      <alignment vertical="center" wrapText="1" readingOrder="1"/>
    </xf>
    <xf numFmtId="167" fontId="7" fillId="17" borderId="1" xfId="4" applyNumberFormat="1" applyFont="1" applyFill="1" applyBorder="1" applyAlignment="1">
      <alignment vertical="center" wrapText="1" readingOrder="1"/>
    </xf>
    <xf numFmtId="0" fontId="11" fillId="13" borderId="1" xfId="4" applyFont="1" applyFill="1" applyBorder="1" applyAlignment="1">
      <alignment vertical="center" wrapText="1" readingOrder="1"/>
    </xf>
    <xf numFmtId="167" fontId="11" fillId="13" borderId="1" xfId="1" applyNumberFormat="1" applyFont="1" applyFill="1" applyBorder="1" applyAlignment="1">
      <alignment vertical="center" wrapText="1" readingOrder="1"/>
    </xf>
    <xf numFmtId="0" fontId="7" fillId="3" borderId="1" xfId="4" quotePrefix="1" applyFont="1" applyFill="1" applyBorder="1" applyAlignment="1">
      <alignment vertical="center" wrapText="1" readingOrder="1"/>
    </xf>
    <xf numFmtId="0" fontId="7" fillId="11" borderId="1" xfId="4" applyFont="1" applyFill="1" applyBorder="1" applyAlignment="1">
      <alignment vertical="center" wrapText="1" readingOrder="1"/>
    </xf>
    <xf numFmtId="4" fontId="7" fillId="11" borderId="1" xfId="4" applyNumberFormat="1" applyFont="1" applyFill="1" applyBorder="1" applyAlignment="1">
      <alignment vertical="center" wrapText="1" readingOrder="1"/>
    </xf>
    <xf numFmtId="0" fontId="11" fillId="11" borderId="1" xfId="4" applyFont="1" applyFill="1" applyBorder="1" applyAlignment="1">
      <alignment vertical="center" wrapText="1" readingOrder="1"/>
    </xf>
    <xf numFmtId="0" fontId="7" fillId="13" borderId="1" xfId="4" applyFont="1" applyFill="1" applyBorder="1" applyAlignment="1">
      <alignment vertical="center" wrapText="1" readingOrder="1"/>
    </xf>
    <xf numFmtId="4" fontId="7" fillId="13" borderId="1" xfId="4" applyNumberFormat="1" applyFont="1" applyFill="1" applyBorder="1" applyAlignment="1">
      <alignment vertical="center" wrapText="1" readingOrder="1"/>
    </xf>
    <xf numFmtId="0" fontId="3" fillId="12" borderId="2" xfId="0" applyFont="1" applyFill="1" applyBorder="1"/>
    <xf numFmtId="9" fontId="14" fillId="12" borderId="2" xfId="2" applyFont="1" applyFill="1" applyBorder="1"/>
    <xf numFmtId="171" fontId="7" fillId="17" borderId="1" xfId="4" applyNumberFormat="1" applyFont="1" applyFill="1" applyBorder="1" applyAlignment="1">
      <alignment vertical="center" wrapText="1" readingOrder="1"/>
    </xf>
    <xf numFmtId="172" fontId="14" fillId="12" borderId="2" xfId="1" applyNumberFormat="1" applyFont="1" applyFill="1" applyBorder="1"/>
    <xf numFmtId="173" fontId="0" fillId="0" borderId="0" xfId="0" applyNumberFormat="1"/>
    <xf numFmtId="172" fontId="0" fillId="0" borderId="0" xfId="1" applyNumberFormat="1" applyFont="1"/>
    <xf numFmtId="164" fontId="0" fillId="0" borderId="0" xfId="1" applyNumberFormat="1" applyFont="1"/>
    <xf numFmtId="166" fontId="9" fillId="0" borderId="2" xfId="1" applyNumberFormat="1" applyFont="1" applyBorder="1"/>
    <xf numFmtId="166" fontId="21" fillId="7" borderId="0" xfId="0" applyNumberFormat="1" applyFont="1" applyFill="1"/>
    <xf numFmtId="166" fontId="22" fillId="0" borderId="0" xfId="1" applyNumberFormat="1" applyFont="1"/>
    <xf numFmtId="166" fontId="3" fillId="13" borderId="2" xfId="1" applyNumberFormat="1" applyFont="1" applyFill="1" applyBorder="1"/>
    <xf numFmtId="0" fontId="2" fillId="19" borderId="2" xfId="0" applyFont="1" applyFill="1" applyBorder="1" applyAlignment="1">
      <alignment horizontal="center" vertical="center" wrapText="1"/>
    </xf>
    <xf numFmtId="10" fontId="0" fillId="0" borderId="2" xfId="0" applyNumberFormat="1" applyBorder="1"/>
    <xf numFmtId="9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center" vertical="center" wrapText="1"/>
    </xf>
    <xf numFmtId="170" fontId="10" fillId="9" borderId="2" xfId="4" applyNumberFormat="1" applyFill="1" applyBorder="1"/>
    <xf numFmtId="0" fontId="10" fillId="10" borderId="2" xfId="4" applyFill="1" applyBorder="1"/>
    <xf numFmtId="9" fontId="23" fillId="0" borderId="0" xfId="2" applyFont="1"/>
    <xf numFmtId="9" fontId="3" fillId="16" borderId="2" xfId="2" applyFont="1" applyFill="1" applyBorder="1"/>
    <xf numFmtId="0" fontId="0" fillId="0" borderId="2" xfId="0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2" xfId="0" applyFont="1" applyFill="1" applyBorder="1"/>
    <xf numFmtId="0" fontId="24" fillId="9" borderId="2" xfId="0" applyFont="1" applyFill="1" applyBorder="1"/>
    <xf numFmtId="166" fontId="16" fillId="9" borderId="2" xfId="0" applyNumberFormat="1" applyFont="1" applyFill="1" applyBorder="1"/>
    <xf numFmtId="0" fontId="2" fillId="3" borderId="15" xfId="0" applyFont="1" applyFill="1" applyBorder="1" applyAlignment="1">
      <alignment horizontal="center" vertical="center"/>
    </xf>
    <xf numFmtId="0" fontId="8" fillId="10" borderId="2" xfId="0" applyFont="1" applyFill="1" applyBorder="1"/>
    <xf numFmtId="166" fontId="8" fillId="10" borderId="2" xfId="0" applyNumberFormat="1" applyFont="1" applyFill="1" applyBorder="1"/>
    <xf numFmtId="166" fontId="16" fillId="10" borderId="2" xfId="0" applyNumberFormat="1" applyFont="1" applyFill="1" applyBorder="1"/>
    <xf numFmtId="166" fontId="8" fillId="9" borderId="2" xfId="0" applyNumberFormat="1" applyFont="1" applyFill="1" applyBorder="1"/>
    <xf numFmtId="0" fontId="22" fillId="9" borderId="2" xfId="0" applyFont="1" applyFill="1" applyBorder="1"/>
    <xf numFmtId="166" fontId="17" fillId="10" borderId="2" xfId="1" applyNumberFormat="1" applyFont="1" applyFill="1" applyBorder="1"/>
    <xf numFmtId="3" fontId="22" fillId="10" borderId="2" xfId="0" applyNumberFormat="1" applyFont="1" applyFill="1" applyBorder="1"/>
    <xf numFmtId="3" fontId="8" fillId="10" borderId="2" xfId="0" applyNumberFormat="1" applyFont="1" applyFill="1" applyBorder="1"/>
    <xf numFmtId="166" fontId="8" fillId="10" borderId="2" xfId="1" applyNumberFormat="1" applyFont="1" applyFill="1" applyBorder="1"/>
    <xf numFmtId="166" fontId="3" fillId="12" borderId="2" xfId="0" applyNumberFormat="1" applyFont="1" applyFill="1" applyBorder="1"/>
    <xf numFmtId="166" fontId="3" fillId="2" borderId="2" xfId="1" applyNumberFormat="1" applyFont="1" applyFill="1" applyBorder="1"/>
    <xf numFmtId="166" fontId="16" fillId="10" borderId="2" xfId="1" applyNumberFormat="1" applyFont="1" applyFill="1" applyBorder="1"/>
    <xf numFmtId="166" fontId="22" fillId="10" borderId="2" xfId="1" applyNumberFormat="1" applyFont="1" applyFill="1" applyBorder="1"/>
  </cellXfs>
  <cellStyles count="6">
    <cellStyle name="Hiperlink" xfId="3" builtinId="8"/>
    <cellStyle name="Normal" xfId="0" builtinId="0"/>
    <cellStyle name="Normal 2" xfId="4" xr:uid="{86DA0C43-7970-41B3-B9F3-DD6B1767F0A2}"/>
    <cellStyle name="Porcentagem" xfId="2" builtinId="5"/>
    <cellStyle name="Porcentagem 2" xfId="5" xr:uid="{5AD3F71B-3AED-4C2E-B21C-89B5BD10423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1">
                <a:effectLst/>
              </a:rPr>
              <a:t>Evolução </a:t>
            </a:r>
            <a:r>
              <a:rPr lang="es-AR" sz="1400" b="1"/>
              <a:t>Base Ativos Bruta [M R$]</a:t>
            </a:r>
          </a:p>
        </c:rich>
      </c:tx>
      <c:layout>
        <c:manualLayout>
          <c:xMode val="edge"/>
          <c:yMode val="edge"/>
          <c:x val="0.36968036641358493"/>
          <c:y val="2.95230144392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7.0465592794897919E-2"/>
          <c:y val="0.13687607569398699"/>
          <c:w val="0.91553148072377388"/>
          <c:h val="0.72698592397300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'Comparativa Base Bruta'!$B$3</c:f>
              <c:strCache>
                <c:ptCount val="1"/>
                <c:pt idx="0">
                  <c:v>CHCI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'Comparativa Base Bruta'!$C$2:$W$2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'Comparativa Base Bruta'!$C$3:$W$3</c:f>
              <c:numCache>
                <c:formatCode>_-* #,##0.0_-;\-* #,##0.0_-;_-* "-"??_-;_-@_-</c:formatCode>
                <c:ptCount val="21"/>
                <c:pt idx="0">
                  <c:v>168.79797011399</c:v>
                </c:pt>
                <c:pt idx="1">
                  <c:v>306.13281908090192</c:v>
                </c:pt>
                <c:pt idx="2">
                  <c:v>2454.2839962581602</c:v>
                </c:pt>
                <c:pt idx="3">
                  <c:v>5909.5014573179451</c:v>
                </c:pt>
                <c:pt idx="4">
                  <c:v>6012.3555484030012</c:v>
                </c:pt>
                <c:pt idx="5">
                  <c:v>7115.129658404936</c:v>
                </c:pt>
                <c:pt idx="6">
                  <c:v>7446.6494289614002</c:v>
                </c:pt>
                <c:pt idx="7">
                  <c:v>7784.1455106387602</c:v>
                </c:pt>
                <c:pt idx="8">
                  <c:v>8141.937638325564</c:v>
                </c:pt>
                <c:pt idx="9">
                  <c:v>8280.4737543714145</c:v>
                </c:pt>
                <c:pt idx="10">
                  <c:v>8359.4455359055846</c:v>
                </c:pt>
                <c:pt idx="11">
                  <c:v>8422.7447858459145</c:v>
                </c:pt>
                <c:pt idx="12">
                  <c:v>8482.2182643970045</c:v>
                </c:pt>
                <c:pt idx="13">
                  <c:v>8512.7215328725197</c:v>
                </c:pt>
                <c:pt idx="14">
                  <c:v>8512.7215328725197</c:v>
                </c:pt>
                <c:pt idx="15">
                  <c:v>8590.7468474196849</c:v>
                </c:pt>
                <c:pt idx="16">
                  <c:v>8644.5910760923543</c:v>
                </c:pt>
                <c:pt idx="17">
                  <c:v>8658.173141633828</c:v>
                </c:pt>
                <c:pt idx="18">
                  <c:v>8884.8174966721836</c:v>
                </c:pt>
                <c:pt idx="19">
                  <c:v>9228.7325546974225</c:v>
                </c:pt>
                <c:pt idx="20">
                  <c:v>9228.7325546974225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6-4343-9F1B-154D12371BEE}"/>
            </c:ext>
          </c:extLst>
        </c:ser>
        <c:ser>
          <c:idx val="1"/>
          <c:order val="1"/>
          <c:tx>
            <c:strRef>
              <c:f>'Comparativa Base Bruta'!$B$4</c:f>
              <c:strCache>
                <c:ptCount val="1"/>
                <c:pt idx="0">
                  <c:v>CRN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'Comparativa Base Bruta'!$C$2:$W$2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'Comparativa Base Bruta'!$C$4:$W$4</c:f>
              <c:numCache>
                <c:formatCode>_-* #,##0.0_-;\-* #,##0.0_-;_-* "-"??_-;_-@_-</c:formatCode>
                <c:ptCount val="21"/>
                <c:pt idx="0">
                  <c:v>9697.2810330446246</c:v>
                </c:pt>
                <c:pt idx="1">
                  <c:v>9697.2810330446246</c:v>
                </c:pt>
                <c:pt idx="2">
                  <c:v>9697.2810330446246</c:v>
                </c:pt>
                <c:pt idx="3">
                  <c:v>17238.141747561032</c:v>
                </c:pt>
                <c:pt idx="4">
                  <c:v>17266.999288220188</c:v>
                </c:pt>
                <c:pt idx="5">
                  <c:v>17266.999288220188</c:v>
                </c:pt>
                <c:pt idx="6">
                  <c:v>17994.124518156892</c:v>
                </c:pt>
                <c:pt idx="7">
                  <c:v>17994.124518156892</c:v>
                </c:pt>
                <c:pt idx="8">
                  <c:v>18048.052104240709</c:v>
                </c:pt>
                <c:pt idx="9">
                  <c:v>18067.66033808656</c:v>
                </c:pt>
                <c:pt idx="10">
                  <c:v>18067.66033808656</c:v>
                </c:pt>
                <c:pt idx="11">
                  <c:v>18067.66033808656</c:v>
                </c:pt>
                <c:pt idx="12">
                  <c:v>18067.66033808656</c:v>
                </c:pt>
                <c:pt idx="13">
                  <c:v>18067.66033808656</c:v>
                </c:pt>
                <c:pt idx="14">
                  <c:v>18067.66033808656</c:v>
                </c:pt>
                <c:pt idx="15">
                  <c:v>18067.66033808656</c:v>
                </c:pt>
                <c:pt idx="16">
                  <c:v>18067.66033808656</c:v>
                </c:pt>
                <c:pt idx="17">
                  <c:v>18122.030347519416</c:v>
                </c:pt>
                <c:pt idx="18">
                  <c:v>18122.030347519416</c:v>
                </c:pt>
                <c:pt idx="19">
                  <c:v>18122.030347519416</c:v>
                </c:pt>
                <c:pt idx="20">
                  <c:v>18122.030347519416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6-4343-9F1B-154D1237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7700575"/>
        <c:axId val="737701535"/>
      </c:barChart>
      <c:catAx>
        <c:axId val="73770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37701535"/>
        <c:crosses val="autoZero"/>
        <c:auto val="1"/>
        <c:lblAlgn val="ctr"/>
        <c:lblOffset val="100"/>
        <c:noMultiLvlLbl val="0"/>
      </c:catAx>
      <c:valAx>
        <c:axId val="73770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3770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49203236800769"/>
          <c:y val="0.93682966705172177"/>
          <c:w val="0.16930000797737144"/>
          <c:h val="6.2992961741593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</xdr:colOff>
      <xdr:row>5</xdr:row>
      <xdr:rowOff>122872</xdr:rowOff>
    </xdr:from>
    <xdr:to>
      <xdr:col>12</xdr:col>
      <xdr:colOff>259080</xdr:colOff>
      <xdr:row>25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5B123F-839A-92D5-1F1D-1C5F8BEEE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541814</xdr:colOff>
      <xdr:row>21</xdr:row>
      <xdr:rowOff>57564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2FBE60-9BFD-FDF4-187A-0F4761B71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9167654" cy="4778154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35</xdr:row>
      <xdr:rowOff>45720</xdr:rowOff>
    </xdr:from>
    <xdr:to>
      <xdr:col>6</xdr:col>
      <xdr:colOff>895350</xdr:colOff>
      <xdr:row>58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E9D51BF-5F72-635C-8ADA-226F666E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7056120"/>
          <a:ext cx="7338060" cy="425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veloso\Meus%20documentos\G&#225;s%20Natural\CPAC\Tarifa\Da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terial%20de%20Estudo\Modelagem%20Tarif&#225;ria\Receita%20Anual%20M&#225;xima%20(ANP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uantumamerica0.sharepoint.com/sites/GNBP/Documentos%20compartidos/COMMIT/2026%20-%20CP%20BRA%20NTS/Dados%20ABEGAS/6.V___O_M_e_G_A_Alocados_ao_Malhas_SE_2017_2024.xlsx" TargetMode="External"/><Relationship Id="rId1" Type="http://schemas.openxmlformats.org/officeDocument/2006/relationships/externalLinkPath" Target="Dados%20ABEGAS/6.V___O_M_e_G_A_Alocados_ao_Malhas_SE_2017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Bill"/>
      <sheetName val="TIPS"/>
      <sheetName val="EMBI+"/>
      <sheetName val="Plan2"/>
      <sheetName val="Plan3"/>
    </sheetNames>
    <sheetDataSet>
      <sheetData sheetId="0"/>
      <sheetData sheetId="1" refreshError="1">
        <row r="20">
          <cell r="D20">
            <v>2.3399999999999997E-2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WACC"/>
      <sheetName val="Input (Assets)"/>
      <sheetName val="Assets"/>
      <sheetName val="Dívida BNDES"/>
      <sheetName val="Tarifa (FCLA)"/>
    </sheetNames>
    <sheetDataSet>
      <sheetData sheetId="0">
        <row r="4">
          <cell r="C4">
            <v>5138</v>
          </cell>
        </row>
        <row r="5">
          <cell r="C5">
            <v>20</v>
          </cell>
        </row>
        <row r="8">
          <cell r="C8">
            <v>4.7555936835712062E-2</v>
          </cell>
        </row>
        <row r="9">
          <cell r="C9">
            <v>1.3000000000000001E-2</v>
          </cell>
        </row>
        <row r="10">
          <cell r="C10">
            <v>0.01</v>
          </cell>
        </row>
        <row r="11">
          <cell r="C11">
            <v>5.8999999999999997E-2</v>
          </cell>
        </row>
        <row r="12">
          <cell r="C12">
            <v>0</v>
          </cell>
        </row>
        <row r="13">
          <cell r="C13">
            <v>0.6</v>
          </cell>
        </row>
        <row r="14">
          <cell r="C14">
            <v>0</v>
          </cell>
        </row>
        <row r="15">
          <cell r="C15">
            <v>0.62</v>
          </cell>
        </row>
      </sheetData>
      <sheetData sheetId="1">
        <row r="30">
          <cell r="E30">
            <v>0.12080333089268684</v>
          </cell>
        </row>
      </sheetData>
      <sheetData sheetId="2">
        <row r="7">
          <cell r="F7">
            <v>5138</v>
          </cell>
          <cell r="G7">
            <v>30</v>
          </cell>
          <cell r="H7">
            <v>30</v>
          </cell>
          <cell r="I7">
            <v>5138</v>
          </cell>
          <cell r="J7">
            <v>30</v>
          </cell>
          <cell r="K7">
            <v>30</v>
          </cell>
        </row>
        <row r="8">
          <cell r="F8">
            <v>0</v>
          </cell>
          <cell r="G8" t="str">
            <v>n/a</v>
          </cell>
          <cell r="H8" t="str">
            <v>n/a</v>
          </cell>
          <cell r="I8">
            <v>0</v>
          </cell>
          <cell r="J8" t="str">
            <v>n/a</v>
          </cell>
          <cell r="K8" t="str">
            <v>n/a</v>
          </cell>
        </row>
        <row r="9">
          <cell r="F9">
            <v>0</v>
          </cell>
          <cell r="G9" t="str">
            <v>n/a</v>
          </cell>
          <cell r="H9" t="str">
            <v>n/a</v>
          </cell>
          <cell r="I9">
            <v>0</v>
          </cell>
          <cell r="J9" t="str">
            <v>n/a</v>
          </cell>
          <cell r="K9" t="str">
            <v>n/a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&amp;M e G&amp;A Malhas SE"/>
    </sheetNames>
    <sheetDataSet>
      <sheetData sheetId="0">
        <row r="15">
          <cell r="C15">
            <v>-198644.9</v>
          </cell>
          <cell r="E15">
            <v>-219701.96</v>
          </cell>
          <cell r="G15">
            <v>-238365.2</v>
          </cell>
          <cell r="I15">
            <v>-260090.3119158</v>
          </cell>
          <cell r="K15">
            <v>-277670.2098516</v>
          </cell>
          <cell r="M15">
            <v>-228964.13999999998</v>
          </cell>
          <cell r="O15">
            <v>-257521.31322839999</v>
          </cell>
          <cell r="Q15">
            <v>-251850.83372060003</v>
          </cell>
        </row>
        <row r="21">
          <cell r="C21">
            <v>-40409.74</v>
          </cell>
          <cell r="E21">
            <v>-29651.5</v>
          </cell>
          <cell r="G21">
            <v>-33844.559999999998</v>
          </cell>
          <cell r="I21">
            <v>-44165.1962872</v>
          </cell>
          <cell r="K21">
            <v>-53932.866224199992</v>
          </cell>
          <cell r="M21">
            <v>-70257.16</v>
          </cell>
          <cell r="O21">
            <v>-73241.310011599999</v>
          </cell>
          <cell r="Q21">
            <v>-77466.479222599984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.xml"/><Relationship Id="rId1" Type="http://schemas.openxmlformats.org/officeDocument/2006/relationships/hyperlink" Target="https://www.gov.br/anp/pt-br/assuntos/movimentacao-estocagem-e-comercializacao-de-gas-natural/transporte-de-gas-natural/arquivos/detalhamento-tarifas-transporte.pdf" TargetMode="External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9EDD-39EE-4003-BDE6-80672DD80CD3}">
  <dimension ref="B1:Y5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8" sqref="C18"/>
    </sheetView>
  </sheetViews>
  <sheetFormatPr defaultColWidth="9.109375" defaultRowHeight="14.4" x14ac:dyDescent="0.3"/>
  <cols>
    <col min="1" max="1" width="2.6640625" customWidth="1"/>
    <col min="2" max="2" width="63.88671875" customWidth="1"/>
    <col min="3" max="3" width="18.6640625" bestFit="1" customWidth="1"/>
    <col min="4" max="11" width="14.109375" customWidth="1"/>
    <col min="12" max="19" width="14.44140625" customWidth="1"/>
    <col min="20" max="22" width="14.33203125" customWidth="1"/>
    <col min="23" max="23" width="16.6640625" customWidth="1"/>
    <col min="25" max="25" width="16.5546875" bestFit="1" customWidth="1"/>
  </cols>
  <sheetData>
    <row r="1" spans="2:23" x14ac:dyDescent="0.3">
      <c r="C1" s="2">
        <v>2005</v>
      </c>
      <c r="D1" s="2">
        <v>2006</v>
      </c>
      <c r="E1" s="2">
        <v>2007</v>
      </c>
      <c r="F1" s="2">
        <v>2008</v>
      </c>
      <c r="G1" s="2">
        <v>2009</v>
      </c>
      <c r="H1" s="2">
        <v>2010</v>
      </c>
      <c r="I1" s="2">
        <v>2011</v>
      </c>
      <c r="J1" s="2">
        <v>2012</v>
      </c>
      <c r="K1" s="2">
        <v>2013</v>
      </c>
      <c r="L1" s="2">
        <v>2014</v>
      </c>
      <c r="M1" s="2">
        <v>2015</v>
      </c>
      <c r="N1" s="2">
        <v>2016</v>
      </c>
      <c r="O1" s="2">
        <v>2017</v>
      </c>
      <c r="P1" s="2">
        <v>2018</v>
      </c>
      <c r="Q1" s="2">
        <v>2019</v>
      </c>
      <c r="R1" s="2">
        <v>2020</v>
      </c>
      <c r="S1" s="2">
        <v>2021</v>
      </c>
      <c r="T1" s="2">
        <v>2022</v>
      </c>
      <c r="U1" s="2">
        <v>2023</v>
      </c>
      <c r="V1" s="2">
        <v>2024</v>
      </c>
      <c r="W1" s="2">
        <v>2025</v>
      </c>
    </row>
    <row r="2" spans="2:23" s="41" customFormat="1" x14ac:dyDescent="0.3">
      <c r="B2" s="41" t="s">
        <v>357</v>
      </c>
      <c r="D2" s="41">
        <f>'Receita Máxima'!B$33</f>
        <v>1170861606.7908237</v>
      </c>
      <c r="E2" s="41">
        <f>'Receita Máxima'!C$33</f>
        <v>1260651591.3092952</v>
      </c>
      <c r="F2" s="41">
        <f>'Receita Máxima'!D$33</f>
        <v>1604687072.4031281</v>
      </c>
      <c r="G2" s="41">
        <f>'Receita Máxima'!E$33</f>
        <v>1931763483.2743187</v>
      </c>
      <c r="H2" s="41">
        <f>'Receita Máxima'!F$33</f>
        <v>2005531351.3887157</v>
      </c>
      <c r="I2" s="41">
        <f>'Receita Máxima'!G$33</f>
        <v>2005531351.3887162</v>
      </c>
      <c r="J2" s="41">
        <f>'Receita Máxima'!H$33</f>
        <v>2005531351.3887169</v>
      </c>
      <c r="K2" s="41">
        <f>'Receita Máxima'!I$33</f>
        <v>2005531351.3887169</v>
      </c>
      <c r="L2" s="41">
        <f>'Receita Máxima'!J$33</f>
        <v>2005531351.3887167</v>
      </c>
      <c r="M2" s="41">
        <f>'Receita Máxima'!K$33</f>
        <v>2005531351.388716</v>
      </c>
      <c r="N2" s="41">
        <f>'Receita Máxima'!L$33</f>
        <v>2125116130.8075159</v>
      </c>
      <c r="O2" s="41">
        <f>'Receita Máxima'!M$33</f>
        <v>2125116130.8075163</v>
      </c>
      <c r="P2" s="41">
        <f>'Receita Máxima'!N$33</f>
        <v>2125116130.8075161</v>
      </c>
      <c r="Q2" s="41">
        <f>'Receita Máxima'!O$33</f>
        <v>2125116130.8075163</v>
      </c>
      <c r="R2" s="41">
        <f>'Receita Máxima'!P$33</f>
        <v>2125116130.8075161</v>
      </c>
      <c r="S2" s="41">
        <f>'Receita Máxima'!Q$33</f>
        <v>2125116130.8075161</v>
      </c>
      <c r="T2" s="41">
        <f>'Receita Máxima'!R$33</f>
        <v>2159114460.1986637</v>
      </c>
      <c r="U2" s="41">
        <f>'Receita Máxima'!S$33</f>
        <v>2159115995.306078</v>
      </c>
      <c r="V2" s="41">
        <f>'Receita Máxima'!T$33</f>
        <v>2068550075.0645785</v>
      </c>
      <c r="W2" s="41">
        <f>'Receita Máxima'!U$33</f>
        <v>2057301062.7291756</v>
      </c>
    </row>
    <row r="3" spans="2:23" s="41" customFormat="1" x14ac:dyDescent="0.3">
      <c r="B3" s="87" t="s">
        <v>341</v>
      </c>
      <c r="C3" s="87"/>
      <c r="D3" s="87">
        <f>SUM(D4:D16)</f>
        <v>387739772.06288707</v>
      </c>
      <c r="E3" s="87">
        <f t="shared" ref="E3:W3" si="0">SUM(E4:E16)</f>
        <v>387739772.06288707</v>
      </c>
      <c r="F3" s="87">
        <f t="shared" si="0"/>
        <v>387739772.06288707</v>
      </c>
      <c r="G3" s="87">
        <f t="shared" si="0"/>
        <v>387739772.06288707</v>
      </c>
      <c r="H3" s="87">
        <f t="shared" si="0"/>
        <v>387739772.06288707</v>
      </c>
      <c r="I3" s="87">
        <f t="shared" si="0"/>
        <v>387739772.06288707</v>
      </c>
      <c r="J3" s="87">
        <f t="shared" si="0"/>
        <v>387739772.06288707</v>
      </c>
      <c r="K3" s="87">
        <f t="shared" si="0"/>
        <v>387739772.06288707</v>
      </c>
      <c r="L3" s="87">
        <f t="shared" si="0"/>
        <v>387739772.06288707</v>
      </c>
      <c r="M3" s="87">
        <f t="shared" si="0"/>
        <v>387739772.06288707</v>
      </c>
      <c r="N3" s="87">
        <f t="shared" si="0"/>
        <v>387739772.06288707</v>
      </c>
      <c r="O3" s="87">
        <f t="shared" si="0"/>
        <v>387739772.06288707</v>
      </c>
      <c r="P3" s="87">
        <f t="shared" si="0"/>
        <v>387739772.06288707</v>
      </c>
      <c r="Q3" s="87">
        <f t="shared" si="0"/>
        <v>387739772.06288707</v>
      </c>
      <c r="R3" s="87">
        <f t="shared" si="0"/>
        <v>387739772.06288707</v>
      </c>
      <c r="S3" s="87">
        <f t="shared" si="0"/>
        <v>387739772.06288707</v>
      </c>
      <c r="T3" s="87">
        <f t="shared" si="0"/>
        <v>387739772.06288707</v>
      </c>
      <c r="U3" s="87">
        <f t="shared" si="0"/>
        <v>387739772.06288707</v>
      </c>
      <c r="V3" s="87">
        <f t="shared" si="0"/>
        <v>387739772.06288707</v>
      </c>
      <c r="W3" s="87">
        <f t="shared" si="0"/>
        <v>387739772.06288707</v>
      </c>
    </row>
    <row r="4" spans="2:23" x14ac:dyDescent="0.3">
      <c r="B4" s="56" t="s">
        <v>345</v>
      </c>
      <c r="C4" s="57"/>
      <c r="D4" s="57">
        <f>(OPEX!$E$52*10^6)*OPEX!$B$75</f>
        <v>67603002.818530008</v>
      </c>
      <c r="E4" s="57">
        <f>(OPEX!$E$52*10^6)*OPEX!$B$75</f>
        <v>67603002.818530008</v>
      </c>
      <c r="F4" s="57">
        <f>(OPEX!$E$52*10^6)*OPEX!$B$75</f>
        <v>67603002.818530008</v>
      </c>
      <c r="G4" s="57">
        <f>(OPEX!$E$52*10^6)*OPEX!$B$75</f>
        <v>67603002.818530008</v>
      </c>
      <c r="H4" s="57">
        <f>(OPEX!$E$52*10^6)*OPEX!$B$75</f>
        <v>67603002.818530008</v>
      </c>
      <c r="I4" s="57">
        <f>(OPEX!$E$52*10^6)*OPEX!$B$75</f>
        <v>67603002.818530008</v>
      </c>
      <c r="J4" s="57">
        <f>(OPEX!$E$52*10^6)*OPEX!$B$75</f>
        <v>67603002.818530008</v>
      </c>
      <c r="K4" s="57">
        <f>(OPEX!$E$52*10^6)*OPEX!$B$75</f>
        <v>67603002.818530008</v>
      </c>
      <c r="L4" s="57">
        <f>(OPEX!$E$52*10^6)*OPEX!$B$75</f>
        <v>67603002.818530008</v>
      </c>
      <c r="M4" s="57">
        <f>(OPEX!$E$52*10^6)*OPEX!$B$75</f>
        <v>67603002.818530008</v>
      </c>
      <c r="N4" s="57">
        <f>(OPEX!$E$52*10^6)*OPEX!$B$75</f>
        <v>67603002.818530008</v>
      </c>
      <c r="O4" s="57">
        <f>(OPEX!$E$52*10^6)*OPEX!$B$75</f>
        <v>67603002.818530008</v>
      </c>
      <c r="P4" s="57">
        <f>(OPEX!$E$52*10^6)*OPEX!$B$75</f>
        <v>67603002.818530008</v>
      </c>
      <c r="Q4" s="57">
        <f>(OPEX!$E$52*10^6)*OPEX!$B$75</f>
        <v>67603002.818530008</v>
      </c>
      <c r="R4" s="57">
        <f>(OPEX!$E$52*10^6)*OPEX!$B$75</f>
        <v>67603002.818530008</v>
      </c>
      <c r="S4" s="57">
        <f>(OPEX!$E$52*10^6)*OPEX!$B$75</f>
        <v>67603002.818530008</v>
      </c>
      <c r="T4" s="57">
        <f>(OPEX!$E$52*10^6)*OPEX!$B$75</f>
        <v>67603002.818530008</v>
      </c>
      <c r="U4" s="57">
        <f>(OPEX!$E$52*10^6)*OPEX!$B$75</f>
        <v>67603002.818530008</v>
      </c>
      <c r="V4" s="57">
        <f>(OPEX!$E$52*10^6)*OPEX!$B$75</f>
        <v>67603002.818530008</v>
      </c>
      <c r="W4" s="57">
        <f>(OPEX!$E$52*10^6)*OPEX!$B$75</f>
        <v>67603002.818530008</v>
      </c>
    </row>
    <row r="5" spans="2:23" x14ac:dyDescent="0.3">
      <c r="B5" s="56" t="s">
        <v>346</v>
      </c>
      <c r="C5" s="57"/>
      <c r="D5" s="57">
        <f>(OPEX!$E$53*10^6)*OPEX!$B$75</f>
        <v>19054939.654549394</v>
      </c>
      <c r="E5" s="57">
        <f>(OPEX!$E$53*10^6)*OPEX!$B$75</f>
        <v>19054939.654549394</v>
      </c>
      <c r="F5" s="57">
        <f>(OPEX!$E$53*10^6)*OPEX!$B$75</f>
        <v>19054939.654549394</v>
      </c>
      <c r="G5" s="57">
        <f>(OPEX!$E$53*10^6)*OPEX!$B$75</f>
        <v>19054939.654549394</v>
      </c>
      <c r="H5" s="57">
        <f>(OPEX!$E$53*10^6)*OPEX!$B$75</f>
        <v>19054939.654549394</v>
      </c>
      <c r="I5" s="57">
        <f>(OPEX!$E$53*10^6)*OPEX!$B$75</f>
        <v>19054939.654549394</v>
      </c>
      <c r="J5" s="57">
        <f>(OPEX!$E$53*10^6)*OPEX!$B$75</f>
        <v>19054939.654549394</v>
      </c>
      <c r="K5" s="57">
        <f>(OPEX!$E$53*10^6)*OPEX!$B$75</f>
        <v>19054939.654549394</v>
      </c>
      <c r="L5" s="57">
        <f>(OPEX!$E$53*10^6)*OPEX!$B$75</f>
        <v>19054939.654549394</v>
      </c>
      <c r="M5" s="57">
        <f>(OPEX!$E$53*10^6)*OPEX!$B$75</f>
        <v>19054939.654549394</v>
      </c>
      <c r="N5" s="57">
        <f>(OPEX!$E$53*10^6)*OPEX!$B$75</f>
        <v>19054939.654549394</v>
      </c>
      <c r="O5" s="57">
        <f>(OPEX!$E$53*10^6)*OPEX!$B$75</f>
        <v>19054939.654549394</v>
      </c>
      <c r="P5" s="57">
        <f>(OPEX!$E$53*10^6)*OPEX!$B$75</f>
        <v>19054939.654549394</v>
      </c>
      <c r="Q5" s="57">
        <f>(OPEX!$E$53*10^6)*OPEX!$B$75</f>
        <v>19054939.654549394</v>
      </c>
      <c r="R5" s="57">
        <f>(OPEX!$E$53*10^6)*OPEX!$B$75</f>
        <v>19054939.654549394</v>
      </c>
      <c r="S5" s="57">
        <f>(OPEX!$E$53*10^6)*OPEX!$B$75</f>
        <v>19054939.654549394</v>
      </c>
      <c r="T5" s="57">
        <f>(OPEX!$E$53*10^6)*OPEX!$B$75</f>
        <v>19054939.654549394</v>
      </c>
      <c r="U5" s="57">
        <f>(OPEX!$E$53*10^6)*OPEX!$B$75</f>
        <v>19054939.654549394</v>
      </c>
      <c r="V5" s="57">
        <f>(OPEX!$E$53*10^6)*OPEX!$B$75</f>
        <v>19054939.654549394</v>
      </c>
      <c r="W5" s="57">
        <f>(OPEX!$E$53*10^6)*OPEX!$B$75</f>
        <v>19054939.654549394</v>
      </c>
    </row>
    <row r="6" spans="2:23" x14ac:dyDescent="0.3">
      <c r="B6" s="56" t="s">
        <v>347</v>
      </c>
      <c r="C6" s="57"/>
      <c r="D6" s="57">
        <f>(OPEX!$E$55*10^6)*OPEX!$B$75</f>
        <v>700549.25200549234</v>
      </c>
      <c r="E6" s="57">
        <f>(OPEX!$E$55*10^6)*OPEX!$B$75</f>
        <v>700549.25200549234</v>
      </c>
      <c r="F6" s="57">
        <f>(OPEX!$E$55*10^6)*OPEX!$B$75</f>
        <v>700549.25200549234</v>
      </c>
      <c r="G6" s="57">
        <f>(OPEX!$E$55*10^6)*OPEX!$B$75</f>
        <v>700549.25200549234</v>
      </c>
      <c r="H6" s="57">
        <f>(OPEX!$E$55*10^6)*OPEX!$B$75</f>
        <v>700549.25200549234</v>
      </c>
      <c r="I6" s="57">
        <f>(OPEX!$E$55*10^6)*OPEX!$B$75</f>
        <v>700549.25200549234</v>
      </c>
      <c r="J6" s="57">
        <f>(OPEX!$E$55*10^6)*OPEX!$B$75</f>
        <v>700549.25200549234</v>
      </c>
      <c r="K6" s="57">
        <f>(OPEX!$E$55*10^6)*OPEX!$B$75</f>
        <v>700549.25200549234</v>
      </c>
      <c r="L6" s="57">
        <f>(OPEX!$E$55*10^6)*OPEX!$B$75</f>
        <v>700549.25200549234</v>
      </c>
      <c r="M6" s="57">
        <f>(OPEX!$E$55*10^6)*OPEX!$B$75</f>
        <v>700549.25200549234</v>
      </c>
      <c r="N6" s="57">
        <f>(OPEX!$E$55*10^6)*OPEX!$B$75</f>
        <v>700549.25200549234</v>
      </c>
      <c r="O6" s="57">
        <f>(OPEX!$E$55*10^6)*OPEX!$B$75</f>
        <v>700549.25200549234</v>
      </c>
      <c r="P6" s="57">
        <f>(OPEX!$E$55*10^6)*OPEX!$B$75</f>
        <v>700549.25200549234</v>
      </c>
      <c r="Q6" s="57">
        <f>(OPEX!$E$55*10^6)*OPEX!$B$75</f>
        <v>700549.25200549234</v>
      </c>
      <c r="R6" s="57">
        <f>(OPEX!$E$55*10^6)*OPEX!$B$75</f>
        <v>700549.25200549234</v>
      </c>
      <c r="S6" s="57">
        <f>(OPEX!$E$55*10^6)*OPEX!$B$75</f>
        <v>700549.25200549234</v>
      </c>
      <c r="T6" s="57">
        <f>(OPEX!$E$55*10^6)*OPEX!$B$75</f>
        <v>700549.25200549234</v>
      </c>
      <c r="U6" s="57">
        <f>(OPEX!$E$55*10^6)*OPEX!$B$75</f>
        <v>700549.25200549234</v>
      </c>
      <c r="V6" s="57">
        <f>(OPEX!$E$55*10^6)*OPEX!$B$75</f>
        <v>700549.25200549234</v>
      </c>
      <c r="W6" s="57">
        <f>(OPEX!$E$55*10^6)*OPEX!$B$75</f>
        <v>700549.25200549234</v>
      </c>
    </row>
    <row r="7" spans="2:23" x14ac:dyDescent="0.3">
      <c r="B7" s="56" t="s">
        <v>348</v>
      </c>
      <c r="C7" s="57"/>
      <c r="D7" s="57">
        <f>(OPEX!$E$54*10^6)*OPEX!$B$75</f>
        <v>40071417.214714162</v>
      </c>
      <c r="E7" s="57">
        <f>(OPEX!$E$54*10^6)*OPEX!$B$75</f>
        <v>40071417.214714162</v>
      </c>
      <c r="F7" s="57">
        <f>(OPEX!$E$54*10^6)*OPEX!$B$75</f>
        <v>40071417.214714162</v>
      </c>
      <c r="G7" s="57">
        <f>(OPEX!$E$54*10^6)*OPEX!$B$75</f>
        <v>40071417.214714162</v>
      </c>
      <c r="H7" s="57">
        <f>(OPEX!$E$54*10^6)*OPEX!$B$75</f>
        <v>40071417.214714162</v>
      </c>
      <c r="I7" s="57">
        <f>(OPEX!$E$54*10^6)*OPEX!$B$75</f>
        <v>40071417.214714162</v>
      </c>
      <c r="J7" s="57">
        <f>(OPEX!$E$54*10^6)*OPEX!$B$75</f>
        <v>40071417.214714162</v>
      </c>
      <c r="K7" s="57">
        <f>(OPEX!$E$54*10^6)*OPEX!$B$75</f>
        <v>40071417.214714162</v>
      </c>
      <c r="L7" s="57">
        <f>(OPEX!$E$54*10^6)*OPEX!$B$75</f>
        <v>40071417.214714162</v>
      </c>
      <c r="M7" s="57">
        <f>(OPEX!$E$54*10^6)*OPEX!$B$75</f>
        <v>40071417.214714162</v>
      </c>
      <c r="N7" s="57">
        <f>(OPEX!$E$54*10^6)*OPEX!$B$75</f>
        <v>40071417.214714162</v>
      </c>
      <c r="O7" s="57">
        <f>(OPEX!$E$54*10^6)*OPEX!$B$75</f>
        <v>40071417.214714162</v>
      </c>
      <c r="P7" s="57">
        <f>(OPEX!$E$54*10^6)*OPEX!$B$75</f>
        <v>40071417.214714162</v>
      </c>
      <c r="Q7" s="57">
        <f>(OPEX!$E$54*10^6)*OPEX!$B$75</f>
        <v>40071417.214714162</v>
      </c>
      <c r="R7" s="57">
        <f>(OPEX!$E$54*10^6)*OPEX!$B$75</f>
        <v>40071417.214714162</v>
      </c>
      <c r="S7" s="57">
        <f>(OPEX!$E$54*10^6)*OPEX!$B$75</f>
        <v>40071417.214714162</v>
      </c>
      <c r="T7" s="57">
        <f>(OPEX!$E$54*10^6)*OPEX!$B$75</f>
        <v>40071417.214714162</v>
      </c>
      <c r="U7" s="57">
        <f>(OPEX!$E$54*10^6)*OPEX!$B$75</f>
        <v>40071417.214714162</v>
      </c>
      <c r="V7" s="57">
        <f>(OPEX!$E$54*10^6)*OPEX!$B$75</f>
        <v>40071417.214714162</v>
      </c>
      <c r="W7" s="57">
        <f>(OPEX!$E$54*10^6)*OPEX!$B$75</f>
        <v>40071417.214714162</v>
      </c>
    </row>
    <row r="8" spans="2:23" x14ac:dyDescent="0.3">
      <c r="B8" s="56" t="s">
        <v>349</v>
      </c>
      <c r="C8" s="57"/>
      <c r="D8" s="57">
        <f>(OPEX!$E$51*10^6)*OPEX!$B$75</f>
        <v>71035694.153356925</v>
      </c>
      <c r="E8" s="57">
        <f>(OPEX!$E$51*10^6)*OPEX!$B$75</f>
        <v>71035694.153356925</v>
      </c>
      <c r="F8" s="57">
        <f>(OPEX!$E$51*10^6)*OPEX!$B$75</f>
        <v>71035694.153356925</v>
      </c>
      <c r="G8" s="57">
        <f>(OPEX!$E$51*10^6)*OPEX!$B$75</f>
        <v>71035694.153356925</v>
      </c>
      <c r="H8" s="57">
        <f>(OPEX!$E$51*10^6)*OPEX!$B$75</f>
        <v>71035694.153356925</v>
      </c>
      <c r="I8" s="57">
        <f>(OPEX!$E$51*10^6)*OPEX!$B$75</f>
        <v>71035694.153356925</v>
      </c>
      <c r="J8" s="57">
        <f>(OPEX!$E$51*10^6)*OPEX!$B$75</f>
        <v>71035694.153356925</v>
      </c>
      <c r="K8" s="57">
        <f>(OPEX!$E$51*10^6)*OPEX!$B$75</f>
        <v>71035694.153356925</v>
      </c>
      <c r="L8" s="57">
        <f>(OPEX!$E$51*10^6)*OPEX!$B$75</f>
        <v>71035694.153356925</v>
      </c>
      <c r="M8" s="57">
        <f>(OPEX!$E$51*10^6)*OPEX!$B$75</f>
        <v>71035694.153356925</v>
      </c>
      <c r="N8" s="57">
        <f>(OPEX!$E$51*10^6)*OPEX!$B$75</f>
        <v>71035694.153356925</v>
      </c>
      <c r="O8" s="57">
        <f>(OPEX!$E$51*10^6)*OPEX!$B$75</f>
        <v>71035694.153356925</v>
      </c>
      <c r="P8" s="57">
        <f>(OPEX!$E$51*10^6)*OPEX!$B$75</f>
        <v>71035694.153356925</v>
      </c>
      <c r="Q8" s="57">
        <f>(OPEX!$E$51*10^6)*OPEX!$B$75</f>
        <v>71035694.153356925</v>
      </c>
      <c r="R8" s="57">
        <f>(OPEX!$E$51*10^6)*OPEX!$B$75</f>
        <v>71035694.153356925</v>
      </c>
      <c r="S8" s="57">
        <f>(OPEX!$E$51*10^6)*OPEX!$B$75</f>
        <v>71035694.153356925</v>
      </c>
      <c r="T8" s="57">
        <f>(OPEX!$E$51*10^6)*OPEX!$B$75</f>
        <v>71035694.153356925</v>
      </c>
      <c r="U8" s="57">
        <f>(OPEX!$E$51*10^6)*OPEX!$B$75</f>
        <v>71035694.153356925</v>
      </c>
      <c r="V8" s="57">
        <f>(OPEX!$E$51*10^6)*OPEX!$B$75</f>
        <v>71035694.153356925</v>
      </c>
      <c r="W8" s="57">
        <f>(OPEX!$E$51*10^6)*OPEX!$B$75</f>
        <v>71035694.153356925</v>
      </c>
    </row>
    <row r="9" spans="2:23" x14ac:dyDescent="0.3">
      <c r="B9" s="56" t="s">
        <v>350</v>
      </c>
      <c r="C9" s="57"/>
      <c r="D9" s="57">
        <f>(OPEX!$E$56*10^6)*OPEX!$B$75</f>
        <v>840659.10240659083</v>
      </c>
      <c r="E9" s="57">
        <f>(OPEX!$E$56*10^6)*OPEX!$B$75</f>
        <v>840659.10240659083</v>
      </c>
      <c r="F9" s="57">
        <f>(OPEX!$E$56*10^6)*OPEX!$B$75</f>
        <v>840659.10240659083</v>
      </c>
      <c r="G9" s="57">
        <f>(OPEX!$E$56*10^6)*OPEX!$B$75</f>
        <v>840659.10240659083</v>
      </c>
      <c r="H9" s="57">
        <f>(OPEX!$E$56*10^6)*OPEX!$B$75</f>
        <v>840659.10240659083</v>
      </c>
      <c r="I9" s="57">
        <f>(OPEX!$E$56*10^6)*OPEX!$B$75</f>
        <v>840659.10240659083</v>
      </c>
      <c r="J9" s="57">
        <f>(OPEX!$E$56*10^6)*OPEX!$B$75</f>
        <v>840659.10240659083</v>
      </c>
      <c r="K9" s="57">
        <f>(OPEX!$E$56*10^6)*OPEX!$B$75</f>
        <v>840659.10240659083</v>
      </c>
      <c r="L9" s="57">
        <f>(OPEX!$E$56*10^6)*OPEX!$B$75</f>
        <v>840659.10240659083</v>
      </c>
      <c r="M9" s="57">
        <f>(OPEX!$E$56*10^6)*OPEX!$B$75</f>
        <v>840659.10240659083</v>
      </c>
      <c r="N9" s="57">
        <f>(OPEX!$E$56*10^6)*OPEX!$B$75</f>
        <v>840659.10240659083</v>
      </c>
      <c r="O9" s="57">
        <f>(OPEX!$E$56*10^6)*OPEX!$B$75</f>
        <v>840659.10240659083</v>
      </c>
      <c r="P9" s="57">
        <f>(OPEX!$E$56*10^6)*OPEX!$B$75</f>
        <v>840659.10240659083</v>
      </c>
      <c r="Q9" s="57">
        <f>(OPEX!$E$56*10^6)*OPEX!$B$75</f>
        <v>840659.10240659083</v>
      </c>
      <c r="R9" s="57">
        <f>(OPEX!$E$56*10^6)*OPEX!$B$75</f>
        <v>840659.10240659083</v>
      </c>
      <c r="S9" s="57">
        <f>(OPEX!$E$56*10^6)*OPEX!$B$75</f>
        <v>840659.10240659083</v>
      </c>
      <c r="T9" s="57">
        <f>(OPEX!$E$56*10^6)*OPEX!$B$75</f>
        <v>840659.10240659083</v>
      </c>
      <c r="U9" s="57">
        <f>(OPEX!$E$56*10^6)*OPEX!$B$75</f>
        <v>840659.10240659083</v>
      </c>
      <c r="V9" s="57">
        <f>(OPEX!$E$56*10^6)*OPEX!$B$75</f>
        <v>840659.10240659083</v>
      </c>
      <c r="W9" s="57">
        <f>(OPEX!$E$56*10^6)*OPEX!$B$75</f>
        <v>840659.10240659083</v>
      </c>
    </row>
    <row r="10" spans="2:23" x14ac:dyDescent="0.3">
      <c r="B10" s="56" t="s">
        <v>351</v>
      </c>
      <c r="C10" s="57"/>
      <c r="D10" s="57">
        <f>((OPEX!$E$57+OPEX!$B$62)*10^6)*OPEX!$B$75</f>
        <v>840659.10240659083</v>
      </c>
      <c r="E10" s="57">
        <f>((OPEX!$E$57+OPEX!$B$62)*10^6)*OPEX!$B$75</f>
        <v>840659.10240659083</v>
      </c>
      <c r="F10" s="57">
        <f>((OPEX!$E$57+OPEX!$B$62)*10^6)*OPEX!$B$75</f>
        <v>840659.10240659083</v>
      </c>
      <c r="G10" s="57">
        <f>((OPEX!$E$57+OPEX!$B$62)*10^6)*OPEX!$B$75</f>
        <v>840659.10240659083</v>
      </c>
      <c r="H10" s="57">
        <f>((OPEX!$E$57+OPEX!$B$62)*10^6)*OPEX!$B$75</f>
        <v>840659.10240659083</v>
      </c>
      <c r="I10" s="57">
        <f>((OPEX!$E$57+OPEX!$B$62)*10^6)*OPEX!$B$75</f>
        <v>840659.10240659083</v>
      </c>
      <c r="J10" s="57">
        <f>((OPEX!$E$57+OPEX!$B$62)*10^6)*OPEX!$B$75</f>
        <v>840659.10240659083</v>
      </c>
      <c r="K10" s="57">
        <f>((OPEX!$E$57+OPEX!$B$62)*10^6)*OPEX!$B$75</f>
        <v>840659.10240659083</v>
      </c>
      <c r="L10" s="57">
        <f>((OPEX!$E$57+OPEX!$B$62)*10^6)*OPEX!$B$75</f>
        <v>840659.10240659083</v>
      </c>
      <c r="M10" s="57">
        <f>((OPEX!$E$57+OPEX!$B$62)*10^6)*OPEX!$B$75</f>
        <v>840659.10240659083</v>
      </c>
      <c r="N10" s="57">
        <f>((OPEX!$E$57+OPEX!$B$62)*10^6)*OPEX!$B$75</f>
        <v>840659.10240659083</v>
      </c>
      <c r="O10" s="57">
        <f>((OPEX!$E$57+OPEX!$B$62)*10^6)*OPEX!$B$75</f>
        <v>840659.10240659083</v>
      </c>
      <c r="P10" s="57">
        <f>((OPEX!$E$57+OPEX!$B$62)*10^6)*OPEX!$B$75</f>
        <v>840659.10240659083</v>
      </c>
      <c r="Q10" s="57">
        <f>((OPEX!$E$57+OPEX!$B$62)*10^6)*OPEX!$B$75</f>
        <v>840659.10240659083</v>
      </c>
      <c r="R10" s="57">
        <f>((OPEX!$E$57+OPEX!$B$62)*10^6)*OPEX!$B$75</f>
        <v>840659.10240659083</v>
      </c>
      <c r="S10" s="57">
        <f>((OPEX!$E$57+OPEX!$B$62)*10^6)*OPEX!$B$75</f>
        <v>840659.10240659083</v>
      </c>
      <c r="T10" s="57">
        <f>((OPEX!$E$57+OPEX!$B$62)*10^6)*OPEX!$B$75</f>
        <v>840659.10240659083</v>
      </c>
      <c r="U10" s="57">
        <f>((OPEX!$E$57+OPEX!$B$62)*10^6)*OPEX!$B$75</f>
        <v>840659.10240659083</v>
      </c>
      <c r="V10" s="57">
        <f>((OPEX!$E$57+OPEX!$B$62)*10^6)*OPEX!$B$75</f>
        <v>840659.10240659083</v>
      </c>
      <c r="W10" s="57">
        <f>((OPEX!$E$57+OPEX!$B$62)*10^6)*OPEX!$B$75</f>
        <v>840659.10240659083</v>
      </c>
    </row>
    <row r="11" spans="2:23" x14ac:dyDescent="0.3">
      <c r="B11" s="56" t="s">
        <v>352</v>
      </c>
      <c r="C11" s="57"/>
      <c r="D11" s="57">
        <f>(OPEX!$E$58*10^6)*OPEX!$B$75</f>
        <v>1891482.9804148297</v>
      </c>
      <c r="E11" s="57">
        <f>(OPEX!$E$58*10^6)*OPEX!$B$75</f>
        <v>1891482.9804148297</v>
      </c>
      <c r="F11" s="57">
        <f>(OPEX!$E$58*10^6)*OPEX!$B$75</f>
        <v>1891482.9804148297</v>
      </c>
      <c r="G11" s="57">
        <f>(OPEX!$E$58*10^6)*OPEX!$B$75</f>
        <v>1891482.9804148297</v>
      </c>
      <c r="H11" s="57">
        <f>(OPEX!$E$58*10^6)*OPEX!$B$75</f>
        <v>1891482.9804148297</v>
      </c>
      <c r="I11" s="57">
        <f>(OPEX!$E$58*10^6)*OPEX!$B$75</f>
        <v>1891482.9804148297</v>
      </c>
      <c r="J11" s="57">
        <f>(OPEX!$E$58*10^6)*OPEX!$B$75</f>
        <v>1891482.9804148297</v>
      </c>
      <c r="K11" s="57">
        <f>(OPEX!$E$58*10^6)*OPEX!$B$75</f>
        <v>1891482.9804148297</v>
      </c>
      <c r="L11" s="57">
        <f>(OPEX!$E$58*10^6)*OPEX!$B$75</f>
        <v>1891482.9804148297</v>
      </c>
      <c r="M11" s="57">
        <f>(OPEX!$E$58*10^6)*OPEX!$B$75</f>
        <v>1891482.9804148297</v>
      </c>
      <c r="N11" s="57">
        <f>(OPEX!$E$58*10^6)*OPEX!$B$75</f>
        <v>1891482.9804148297</v>
      </c>
      <c r="O11" s="57">
        <f>(OPEX!$E$58*10^6)*OPEX!$B$75</f>
        <v>1891482.9804148297</v>
      </c>
      <c r="P11" s="57">
        <f>(OPEX!$E$58*10^6)*OPEX!$B$75</f>
        <v>1891482.9804148297</v>
      </c>
      <c r="Q11" s="57">
        <f>(OPEX!$E$58*10^6)*OPEX!$B$75</f>
        <v>1891482.9804148297</v>
      </c>
      <c r="R11" s="57">
        <f>(OPEX!$E$58*10^6)*OPEX!$B$75</f>
        <v>1891482.9804148297</v>
      </c>
      <c r="S11" s="57">
        <f>(OPEX!$E$58*10^6)*OPEX!$B$75</f>
        <v>1891482.9804148297</v>
      </c>
      <c r="T11" s="57">
        <f>(OPEX!$E$58*10^6)*OPEX!$B$75</f>
        <v>1891482.9804148297</v>
      </c>
      <c r="U11" s="57">
        <f>(OPEX!$E$58*10^6)*OPEX!$B$75</f>
        <v>1891482.9804148297</v>
      </c>
      <c r="V11" s="57">
        <f>(OPEX!$E$58*10^6)*OPEX!$B$75</f>
        <v>1891482.9804148297</v>
      </c>
      <c r="W11" s="57">
        <f>(OPEX!$E$58*10^6)*OPEX!$B$75</f>
        <v>1891482.9804148297</v>
      </c>
    </row>
    <row r="12" spans="2:23" x14ac:dyDescent="0.3">
      <c r="B12" s="56" t="s">
        <v>353</v>
      </c>
      <c r="C12" s="57"/>
      <c r="D12" s="57">
        <f>(OPEX!$E$60*10^6)*OPEX!$B$75</f>
        <v>22207411.288574111</v>
      </c>
      <c r="E12" s="57">
        <f>(OPEX!$E$60*10^6)*OPEX!$B$75</f>
        <v>22207411.288574111</v>
      </c>
      <c r="F12" s="57">
        <f>(OPEX!$E$60*10^6)*OPEX!$B$75</f>
        <v>22207411.288574111</v>
      </c>
      <c r="G12" s="57">
        <f>(OPEX!$E$60*10^6)*OPEX!$B$75</f>
        <v>22207411.288574111</v>
      </c>
      <c r="H12" s="57">
        <f>(OPEX!$E$60*10^6)*OPEX!$B$75</f>
        <v>22207411.288574111</v>
      </c>
      <c r="I12" s="57">
        <f>(OPEX!$E$60*10^6)*OPEX!$B$75</f>
        <v>22207411.288574111</v>
      </c>
      <c r="J12" s="57">
        <f>(OPEX!$E$60*10^6)*OPEX!$B$75</f>
        <v>22207411.288574111</v>
      </c>
      <c r="K12" s="57">
        <f>(OPEX!$E$60*10^6)*OPEX!$B$75</f>
        <v>22207411.288574111</v>
      </c>
      <c r="L12" s="57">
        <f>(OPEX!$E$60*10^6)*OPEX!$B$75</f>
        <v>22207411.288574111</v>
      </c>
      <c r="M12" s="57">
        <f>(OPEX!$E$60*10^6)*OPEX!$B$75</f>
        <v>22207411.288574111</v>
      </c>
      <c r="N12" s="57">
        <f>(OPEX!$E$60*10^6)*OPEX!$B$75</f>
        <v>22207411.288574111</v>
      </c>
      <c r="O12" s="57">
        <f>(OPEX!$E$60*10^6)*OPEX!$B$75</f>
        <v>22207411.288574111</v>
      </c>
      <c r="P12" s="57">
        <f>(OPEX!$E$60*10^6)*OPEX!$B$75</f>
        <v>22207411.288574111</v>
      </c>
      <c r="Q12" s="57">
        <f>(OPEX!$E$60*10^6)*OPEX!$B$75</f>
        <v>22207411.288574111</v>
      </c>
      <c r="R12" s="57">
        <f>(OPEX!$E$60*10^6)*OPEX!$B$75</f>
        <v>22207411.288574111</v>
      </c>
      <c r="S12" s="57">
        <f>(OPEX!$E$60*10^6)*OPEX!$B$75</f>
        <v>22207411.288574111</v>
      </c>
      <c r="T12" s="57">
        <f>(OPEX!$E$60*10^6)*OPEX!$B$75</f>
        <v>22207411.288574111</v>
      </c>
      <c r="U12" s="57">
        <f>(OPEX!$E$60*10^6)*OPEX!$B$75</f>
        <v>22207411.288574111</v>
      </c>
      <c r="V12" s="57">
        <f>(OPEX!$E$60*10^6)*OPEX!$B$75</f>
        <v>22207411.288574111</v>
      </c>
      <c r="W12" s="57">
        <f>(OPEX!$E$60*10^6)*OPEX!$B$75</f>
        <v>22207411.288574111</v>
      </c>
    </row>
    <row r="13" spans="2:23" x14ac:dyDescent="0.3">
      <c r="B13" s="56" t="s">
        <v>354</v>
      </c>
      <c r="C13" s="57"/>
      <c r="D13" s="57">
        <f>(OPEX!$E$59*10^6)*OPEX!$B$75</f>
        <v>140109.85040109849</v>
      </c>
      <c r="E13" s="57">
        <f>(OPEX!$E$59*10^6)*OPEX!$B$75</f>
        <v>140109.85040109849</v>
      </c>
      <c r="F13" s="57">
        <f>(OPEX!$E$59*10^6)*OPEX!$B$75</f>
        <v>140109.85040109849</v>
      </c>
      <c r="G13" s="57">
        <f>(OPEX!$E$59*10^6)*OPEX!$B$75</f>
        <v>140109.85040109849</v>
      </c>
      <c r="H13" s="57">
        <f>(OPEX!$E$59*10^6)*OPEX!$B$75</f>
        <v>140109.85040109849</v>
      </c>
      <c r="I13" s="57">
        <f>(OPEX!$E$59*10^6)*OPEX!$B$75</f>
        <v>140109.85040109849</v>
      </c>
      <c r="J13" s="57">
        <f>(OPEX!$E$59*10^6)*OPEX!$B$75</f>
        <v>140109.85040109849</v>
      </c>
      <c r="K13" s="57">
        <f>(OPEX!$E$59*10^6)*OPEX!$B$75</f>
        <v>140109.85040109849</v>
      </c>
      <c r="L13" s="57">
        <f>(OPEX!$E$59*10^6)*OPEX!$B$75</f>
        <v>140109.85040109849</v>
      </c>
      <c r="M13" s="57">
        <f>(OPEX!$E$59*10^6)*OPEX!$B$75</f>
        <v>140109.85040109849</v>
      </c>
      <c r="N13" s="57">
        <f>(OPEX!$E$59*10^6)*OPEX!$B$75</f>
        <v>140109.85040109849</v>
      </c>
      <c r="O13" s="57">
        <f>(OPEX!$E$59*10^6)*OPEX!$B$75</f>
        <v>140109.85040109849</v>
      </c>
      <c r="P13" s="57">
        <f>(OPEX!$E$59*10^6)*OPEX!$B$75</f>
        <v>140109.85040109849</v>
      </c>
      <c r="Q13" s="57">
        <f>(OPEX!$E$59*10^6)*OPEX!$B$75</f>
        <v>140109.85040109849</v>
      </c>
      <c r="R13" s="57">
        <f>(OPEX!$E$59*10^6)*OPEX!$B$75</f>
        <v>140109.85040109849</v>
      </c>
      <c r="S13" s="57">
        <f>(OPEX!$E$59*10^6)*OPEX!$B$75</f>
        <v>140109.85040109849</v>
      </c>
      <c r="T13" s="57">
        <f>(OPEX!$E$59*10^6)*OPEX!$B$75</f>
        <v>140109.85040109849</v>
      </c>
      <c r="U13" s="57">
        <f>(OPEX!$E$59*10^6)*OPEX!$B$75</f>
        <v>140109.85040109849</v>
      </c>
      <c r="V13" s="57">
        <f>(OPEX!$E$59*10^6)*OPEX!$B$75</f>
        <v>140109.85040109849</v>
      </c>
      <c r="W13" s="57">
        <f>(OPEX!$E$59*10^6)*OPEX!$B$75</f>
        <v>140109.85040109849</v>
      </c>
    </row>
    <row r="14" spans="2:23" x14ac:dyDescent="0.3">
      <c r="B14" s="56" t="s">
        <v>355</v>
      </c>
      <c r="C14" s="57"/>
      <c r="D14" s="57">
        <f>(OPEX!$E$61*10^6)*OPEX!$B$75</f>
        <v>55553555.68403554</v>
      </c>
      <c r="E14" s="57">
        <f>(OPEX!$E$61*10^6)*OPEX!$B$75</f>
        <v>55553555.68403554</v>
      </c>
      <c r="F14" s="57">
        <f>(OPEX!$E$61*10^6)*OPEX!$B$75</f>
        <v>55553555.68403554</v>
      </c>
      <c r="G14" s="57">
        <f>(OPEX!$E$61*10^6)*OPEX!$B$75</f>
        <v>55553555.68403554</v>
      </c>
      <c r="H14" s="57">
        <f>(OPEX!$E$61*10^6)*OPEX!$B$75</f>
        <v>55553555.68403554</v>
      </c>
      <c r="I14" s="57">
        <f>(OPEX!$E$61*10^6)*OPEX!$B$75</f>
        <v>55553555.68403554</v>
      </c>
      <c r="J14" s="57">
        <f>(OPEX!$E$61*10^6)*OPEX!$B$75</f>
        <v>55553555.68403554</v>
      </c>
      <c r="K14" s="57">
        <f>(OPEX!$E$61*10^6)*OPEX!$B$75</f>
        <v>55553555.68403554</v>
      </c>
      <c r="L14" s="57">
        <f>(OPEX!$E$61*10^6)*OPEX!$B$75</f>
        <v>55553555.68403554</v>
      </c>
      <c r="M14" s="57">
        <f>(OPEX!$E$61*10^6)*OPEX!$B$75</f>
        <v>55553555.68403554</v>
      </c>
      <c r="N14" s="57">
        <f>(OPEX!$E$61*10^6)*OPEX!$B$75</f>
        <v>55553555.68403554</v>
      </c>
      <c r="O14" s="57">
        <f>(OPEX!$E$61*10^6)*OPEX!$B$75</f>
        <v>55553555.68403554</v>
      </c>
      <c r="P14" s="57">
        <f>(OPEX!$E$61*10^6)*OPEX!$B$75</f>
        <v>55553555.68403554</v>
      </c>
      <c r="Q14" s="57">
        <f>(OPEX!$E$61*10^6)*OPEX!$B$75</f>
        <v>55553555.68403554</v>
      </c>
      <c r="R14" s="57">
        <f>(OPEX!$E$61*10^6)*OPEX!$B$75</f>
        <v>55553555.68403554</v>
      </c>
      <c r="S14" s="57">
        <f>(OPEX!$E$61*10^6)*OPEX!$B$75</f>
        <v>55553555.68403554</v>
      </c>
      <c r="T14" s="57">
        <f>(OPEX!$E$61*10^6)*OPEX!$B$75</f>
        <v>55553555.68403554</v>
      </c>
      <c r="U14" s="57">
        <f>(OPEX!$E$61*10^6)*OPEX!$B$75</f>
        <v>55553555.68403554</v>
      </c>
      <c r="V14" s="57">
        <f>(OPEX!$E$61*10^6)*OPEX!$B$75</f>
        <v>55553555.68403554</v>
      </c>
      <c r="W14" s="57">
        <f>(OPEX!$E$61*10^6)*OPEX!$B$75</f>
        <v>55553555.68403554</v>
      </c>
    </row>
    <row r="15" spans="2:23" x14ac:dyDescent="0.3">
      <c r="B15" s="56" t="s">
        <v>356</v>
      </c>
      <c r="C15" s="57"/>
      <c r="D15" s="57">
        <f>(OPEX!$E$67*10^6)*OPEX!$B$75</f>
        <v>70531070.754800111</v>
      </c>
      <c r="E15" s="57">
        <f>(OPEX!$E$67*10^6)*OPEX!$B$75</f>
        <v>70531070.754800111</v>
      </c>
      <c r="F15" s="57">
        <f>(OPEX!$E$67*10^6)*OPEX!$B$75</f>
        <v>70531070.754800111</v>
      </c>
      <c r="G15" s="57">
        <f>(OPEX!$E$67*10^6)*OPEX!$B$75</f>
        <v>70531070.754800111</v>
      </c>
      <c r="H15" s="57">
        <f>(OPEX!$E$67*10^6)*OPEX!$B$75</f>
        <v>70531070.754800111</v>
      </c>
      <c r="I15" s="57">
        <f>(OPEX!$E$67*10^6)*OPEX!$B$75</f>
        <v>70531070.754800111</v>
      </c>
      <c r="J15" s="57">
        <f>(OPEX!$E$67*10^6)*OPEX!$B$75</f>
        <v>70531070.754800111</v>
      </c>
      <c r="K15" s="57">
        <f>(OPEX!$E$67*10^6)*OPEX!$B$75</f>
        <v>70531070.754800111</v>
      </c>
      <c r="L15" s="57">
        <f>(OPEX!$E$67*10^6)*OPEX!$B$75</f>
        <v>70531070.754800111</v>
      </c>
      <c r="M15" s="57">
        <f>(OPEX!$E$67*10^6)*OPEX!$B$75</f>
        <v>70531070.754800111</v>
      </c>
      <c r="N15" s="57">
        <f>(OPEX!$E$67*10^6)*OPEX!$B$75</f>
        <v>70531070.754800111</v>
      </c>
      <c r="O15" s="57">
        <f>(OPEX!$E$67*10^6)*OPEX!$B$75</f>
        <v>70531070.754800111</v>
      </c>
      <c r="P15" s="57">
        <f>(OPEX!$E$67*10^6)*OPEX!$B$75</f>
        <v>70531070.754800111</v>
      </c>
      <c r="Q15" s="57">
        <f>(OPEX!$E$67*10^6)*OPEX!$B$75</f>
        <v>70531070.754800111</v>
      </c>
      <c r="R15" s="57">
        <f>(OPEX!$E$67*10^6)*OPEX!$B$75</f>
        <v>70531070.754800111</v>
      </c>
      <c r="S15" s="57">
        <f>(OPEX!$E$67*10^6)*OPEX!$B$75</f>
        <v>70531070.754800111</v>
      </c>
      <c r="T15" s="57">
        <f>(OPEX!$E$67*10^6)*OPEX!$B$75</f>
        <v>70531070.754800111</v>
      </c>
      <c r="U15" s="57">
        <f>(OPEX!$E$67*10^6)*OPEX!$B$75</f>
        <v>70531070.754800111</v>
      </c>
      <c r="V15" s="57">
        <f>(OPEX!$E$67*10^6)*OPEX!$B$75</f>
        <v>70531070.754800111</v>
      </c>
      <c r="W15" s="57">
        <f>(OPEX!$E$67*10^6)*OPEX!$B$75</f>
        <v>70531070.754800111</v>
      </c>
    </row>
    <row r="16" spans="2:23" x14ac:dyDescent="0.3">
      <c r="B16" s="56" t="s">
        <v>358</v>
      </c>
      <c r="C16" s="57"/>
      <c r="D16" s="57">
        <f>(OPEX!$E$69*10^6)*OPEX!$B$75</f>
        <v>37269220.206692196</v>
      </c>
      <c r="E16" s="57">
        <f>(OPEX!$E$69*10^6)*OPEX!$B$75</f>
        <v>37269220.206692196</v>
      </c>
      <c r="F16" s="57">
        <f>(OPEX!$E$69*10^6)*OPEX!$B$75</f>
        <v>37269220.206692196</v>
      </c>
      <c r="G16" s="57">
        <f>(OPEX!$E$69*10^6)*OPEX!$B$75</f>
        <v>37269220.206692196</v>
      </c>
      <c r="H16" s="57">
        <f>(OPEX!$E$69*10^6)*OPEX!$B$75</f>
        <v>37269220.206692196</v>
      </c>
      <c r="I16" s="57">
        <f>(OPEX!$E$69*10^6)*OPEX!$B$75</f>
        <v>37269220.206692196</v>
      </c>
      <c r="J16" s="57">
        <f>(OPEX!$E$69*10^6)*OPEX!$B$75</f>
        <v>37269220.206692196</v>
      </c>
      <c r="K16" s="57">
        <f>(OPEX!$E$69*10^6)*OPEX!$B$75</f>
        <v>37269220.206692196</v>
      </c>
      <c r="L16" s="57">
        <f>(OPEX!$E$69*10^6)*OPEX!$B$75</f>
        <v>37269220.206692196</v>
      </c>
      <c r="M16" s="57">
        <f>(OPEX!$E$69*10^6)*OPEX!$B$75</f>
        <v>37269220.206692196</v>
      </c>
      <c r="N16" s="57">
        <f>(OPEX!$E$69*10^6)*OPEX!$B$75</f>
        <v>37269220.206692196</v>
      </c>
      <c r="O16" s="57">
        <f>(OPEX!$E$69*10^6)*OPEX!$B$75</f>
        <v>37269220.206692196</v>
      </c>
      <c r="P16" s="57">
        <f>(OPEX!$E$69*10^6)*OPEX!$B$75</f>
        <v>37269220.206692196</v>
      </c>
      <c r="Q16" s="57">
        <f>(OPEX!$E$69*10^6)*OPEX!$B$75</f>
        <v>37269220.206692196</v>
      </c>
      <c r="R16" s="57">
        <f>(OPEX!$E$69*10^6)*OPEX!$B$75</f>
        <v>37269220.206692196</v>
      </c>
      <c r="S16" s="57">
        <f>(OPEX!$E$69*10^6)*OPEX!$B$75</f>
        <v>37269220.206692196</v>
      </c>
      <c r="T16" s="57">
        <f>(OPEX!$E$69*10^6)*OPEX!$B$75</f>
        <v>37269220.206692196</v>
      </c>
      <c r="U16" s="57">
        <f>(OPEX!$E$69*10^6)*OPEX!$B$75</f>
        <v>37269220.206692196</v>
      </c>
      <c r="V16" s="57">
        <f>(OPEX!$E$69*10^6)*OPEX!$B$75</f>
        <v>37269220.206692196</v>
      </c>
      <c r="W16" s="57">
        <f>(OPEX!$E$69*10^6)*OPEX!$B$75</f>
        <v>37269220.206692196</v>
      </c>
    </row>
    <row r="17" spans="2:25" s="41" customFormat="1" x14ac:dyDescent="0.3">
      <c r="B17" s="96" t="s">
        <v>342</v>
      </c>
      <c r="C17" s="96"/>
      <c r="D17" s="96">
        <f>D2-D3</f>
        <v>783121834.72793663</v>
      </c>
      <c r="E17" s="96">
        <f t="shared" ref="E17:V17" si="1">E2-E3</f>
        <v>872911819.2464081</v>
      </c>
      <c r="F17" s="96">
        <f t="shared" si="1"/>
        <v>1216947300.340241</v>
      </c>
      <c r="G17" s="96">
        <f t="shared" si="1"/>
        <v>1544023711.2114315</v>
      </c>
      <c r="H17" s="96">
        <f t="shared" si="1"/>
        <v>1617791579.3258286</v>
      </c>
      <c r="I17" s="96">
        <f t="shared" si="1"/>
        <v>1617791579.325829</v>
      </c>
      <c r="J17" s="96">
        <f t="shared" si="1"/>
        <v>1617791579.32583</v>
      </c>
      <c r="K17" s="96">
        <f t="shared" si="1"/>
        <v>1617791579.32583</v>
      </c>
      <c r="L17" s="96">
        <f t="shared" si="1"/>
        <v>1617791579.3258295</v>
      </c>
      <c r="M17" s="96">
        <f t="shared" si="1"/>
        <v>1617791579.325829</v>
      </c>
      <c r="N17" s="96">
        <f>N2-N3</f>
        <v>1737376358.7446289</v>
      </c>
      <c r="O17" s="96">
        <f t="shared" si="1"/>
        <v>1737376358.7446294</v>
      </c>
      <c r="P17" s="96">
        <f t="shared" si="1"/>
        <v>1737376358.7446289</v>
      </c>
      <c r="Q17" s="96">
        <f t="shared" si="1"/>
        <v>1737376358.7446294</v>
      </c>
      <c r="R17" s="96">
        <f t="shared" si="1"/>
        <v>1737376358.7446289</v>
      </c>
      <c r="S17" s="96">
        <f t="shared" si="1"/>
        <v>1737376358.7446289</v>
      </c>
      <c r="T17" s="96">
        <f t="shared" si="1"/>
        <v>1771374688.1357765</v>
      </c>
      <c r="U17" s="96">
        <f t="shared" si="1"/>
        <v>1771376223.2431908</v>
      </c>
      <c r="V17" s="96">
        <f t="shared" si="1"/>
        <v>1680810303.0016913</v>
      </c>
      <c r="W17" s="96">
        <f>W2-W3</f>
        <v>1669561290.6662884</v>
      </c>
    </row>
    <row r="18" spans="2:25" s="41" customFormat="1" x14ac:dyDescent="0.3">
      <c r="B18" s="41" t="s">
        <v>367</v>
      </c>
      <c r="D18" s="41">
        <f t="shared" ref="D18:M18" si="2">E18</f>
        <v>201964577.66580552</v>
      </c>
      <c r="E18" s="41">
        <f t="shared" si="2"/>
        <v>201964577.66580552</v>
      </c>
      <c r="F18" s="41">
        <f t="shared" si="2"/>
        <v>201964577.66580552</v>
      </c>
      <c r="G18" s="41">
        <f t="shared" si="2"/>
        <v>201964577.66580552</v>
      </c>
      <c r="H18" s="41">
        <f t="shared" si="2"/>
        <v>201964577.66580552</v>
      </c>
      <c r="I18" s="41">
        <f t="shared" si="2"/>
        <v>201964577.66580552</v>
      </c>
      <c r="J18" s="41">
        <f t="shared" si="2"/>
        <v>201964577.66580552</v>
      </c>
      <c r="K18" s="41">
        <f t="shared" si="2"/>
        <v>201964577.66580552</v>
      </c>
      <c r="L18" s="41">
        <f t="shared" si="2"/>
        <v>201964577.66580552</v>
      </c>
      <c r="M18" s="41">
        <f t="shared" si="2"/>
        <v>201964577.66580552</v>
      </c>
      <c r="N18" s="41">
        <f>O18</f>
        <v>201964577.66580552</v>
      </c>
      <c r="O18" s="41">
        <f>((406049*1000)*(1+(SUMIFS(Inflação!$L$1:$L$20,Inflação!$I$1:$I$20,O$1)+Inflação!$K$22))*'Receita Máxima'!$H$47)</f>
        <v>201964577.66580552</v>
      </c>
      <c r="P18" s="41">
        <f>((422429*1000)*(1+(SUMIFS(Inflação!$L$1:$L$20,Inflação!$I$1:$I$20,P$1)+Inflação!$K$22))*'Receita Máxima'!$H$47)</f>
        <v>211173709.34135738</v>
      </c>
      <c r="Q18" s="41">
        <f>((336045*1000)*(1+(SUMIFS(Inflação!$L$1:$L$20,Inflação!$I$1:$I$20,Q$1)+Inflação!$K$22))*'Receita Máxima'!$H$47)</f>
        <v>156625074.53007716</v>
      </c>
      <c r="R18" s="41">
        <f>(((439093*1000)*(1+(SUMIFS(Inflação!$L$1:$L$20,Inflação!$I$1:$I$20,R$1)+Inflação!$K$22))*'Receita Máxima'!$H$47))</f>
        <v>191242559.43487641</v>
      </c>
      <c r="S18" s="41">
        <f>((450910*1000)*(1+(SUMIFS(Inflação!$L$1:$L$20,Inflação!$I$1:$I$20,S$1)+Inflação!$K$22))*'Receita Máxima'!$H$47)</f>
        <v>160957538.14162177</v>
      </c>
      <c r="T18" s="41">
        <f>((461439*1000)*(1+(SUMIFS(Inflação!$L$1:$L$20,Inflação!$I$1:$I$20,T$1)+Inflação!$K$22))*'Receita Máxima'!$H$47)</f>
        <v>141056134.32001835</v>
      </c>
      <c r="U18" s="41">
        <f>((478771*1000)*(1+(SUMIFS(Inflação!$L$1:$L$20,Inflação!$I$1:$I$20,U$1)+Inflação!$K$22))*'Receita Máxima'!$H$47)</f>
        <v>139218185.77947769</v>
      </c>
      <c r="V18" s="41">
        <f>((457834*1000)*(1+(Inflação!$K$22))*'Receita Máxima'!$H$47)</f>
        <v>134705644.19142976</v>
      </c>
      <c r="W18" s="41">
        <f>V18</f>
        <v>134705644.19142976</v>
      </c>
    </row>
    <row r="19" spans="2:25" x14ac:dyDescent="0.3">
      <c r="B19" s="59" t="s">
        <v>343</v>
      </c>
      <c r="C19" s="59"/>
      <c r="D19" s="60">
        <f>D17-D18</f>
        <v>581157257.06213117</v>
      </c>
      <c r="E19" s="60">
        <f t="shared" ref="E19:W19" si="3">E17-E18</f>
        <v>670947241.58060265</v>
      </c>
      <c r="F19" s="60">
        <f t="shared" si="3"/>
        <v>1014982722.6744354</v>
      </c>
      <c r="G19" s="60">
        <f t="shared" si="3"/>
        <v>1342059133.5456259</v>
      </c>
      <c r="H19" s="60">
        <f t="shared" si="3"/>
        <v>1415827001.660023</v>
      </c>
      <c r="I19" s="60">
        <f t="shared" si="3"/>
        <v>1415827001.6600235</v>
      </c>
      <c r="J19" s="60">
        <f t="shared" si="3"/>
        <v>1415827001.6600244</v>
      </c>
      <c r="K19" s="60">
        <f t="shared" si="3"/>
        <v>1415827001.6600244</v>
      </c>
      <c r="L19" s="60">
        <f t="shared" si="3"/>
        <v>1415827001.6600239</v>
      </c>
      <c r="M19" s="60">
        <f t="shared" si="3"/>
        <v>1415827001.6600235</v>
      </c>
      <c r="N19" s="60">
        <f t="shared" si="3"/>
        <v>1535411781.0788233</v>
      </c>
      <c r="O19" s="60">
        <f t="shared" si="3"/>
        <v>1535411781.0788238</v>
      </c>
      <c r="P19" s="60">
        <f t="shared" si="3"/>
        <v>1526202649.4032714</v>
      </c>
      <c r="Q19" s="60">
        <f t="shared" si="3"/>
        <v>1580751284.2145522</v>
      </c>
      <c r="R19" s="60">
        <f t="shared" si="3"/>
        <v>1546133799.3097525</v>
      </c>
      <c r="S19" s="60">
        <f t="shared" si="3"/>
        <v>1576418820.6030071</v>
      </c>
      <c r="T19" s="60">
        <f t="shared" si="3"/>
        <v>1630318553.8157582</v>
      </c>
      <c r="U19" s="60">
        <f t="shared" si="3"/>
        <v>1632158037.4637132</v>
      </c>
      <c r="V19" s="60">
        <f t="shared" si="3"/>
        <v>1546104658.8102615</v>
      </c>
      <c r="W19" s="60">
        <f t="shared" si="3"/>
        <v>1534855646.4748585</v>
      </c>
    </row>
    <row r="20" spans="2:25" s="41" customFormat="1" x14ac:dyDescent="0.3">
      <c r="B20" s="41" t="s">
        <v>344</v>
      </c>
      <c r="D20" s="41">
        <f>34%*D19</f>
        <v>197593467.4011246</v>
      </c>
      <c r="E20" s="41">
        <f t="shared" ref="E20:W20" si="4">34%*E19</f>
        <v>228122062.13740492</v>
      </c>
      <c r="F20" s="41">
        <f t="shared" si="4"/>
        <v>345094125.70930803</v>
      </c>
      <c r="G20" s="41">
        <f t="shared" si="4"/>
        <v>456300105.40551287</v>
      </c>
      <c r="H20" s="41">
        <f t="shared" si="4"/>
        <v>481381180.56440783</v>
      </c>
      <c r="I20" s="41">
        <f t="shared" si="4"/>
        <v>481381180.564408</v>
      </c>
      <c r="J20" s="41">
        <f t="shared" si="4"/>
        <v>481381180.5644083</v>
      </c>
      <c r="K20" s="41">
        <f t="shared" si="4"/>
        <v>481381180.5644083</v>
      </c>
      <c r="L20" s="41">
        <f t="shared" si="4"/>
        <v>481381180.56440818</v>
      </c>
      <c r="M20" s="41">
        <f t="shared" si="4"/>
        <v>481381180.564408</v>
      </c>
      <c r="N20" s="41">
        <f t="shared" si="4"/>
        <v>522040005.5668</v>
      </c>
      <c r="O20" s="41">
        <f t="shared" si="4"/>
        <v>522040005.56680012</v>
      </c>
      <c r="P20" s="41">
        <f t="shared" si="4"/>
        <v>518908900.79711235</v>
      </c>
      <c r="Q20" s="41">
        <f t="shared" si="4"/>
        <v>537455436.6329478</v>
      </c>
      <c r="R20" s="41">
        <f t="shared" si="4"/>
        <v>525685491.76531589</v>
      </c>
      <c r="S20" s="41">
        <f t="shared" si="4"/>
        <v>535982399.00502247</v>
      </c>
      <c r="T20" s="41">
        <f t="shared" si="4"/>
        <v>554308308.2973578</v>
      </c>
      <c r="U20" s="41">
        <f t="shared" si="4"/>
        <v>554933732.73766255</v>
      </c>
      <c r="V20" s="41">
        <f t="shared" si="4"/>
        <v>525675583.99548894</v>
      </c>
      <c r="W20" s="41">
        <f t="shared" si="4"/>
        <v>521850919.80145192</v>
      </c>
    </row>
    <row r="21" spans="2:25" x14ac:dyDescent="0.3">
      <c r="B21" s="59" t="s">
        <v>365</v>
      </c>
      <c r="C21" s="59"/>
      <c r="D21" s="60">
        <f>D19-D20</f>
        <v>383563789.66100657</v>
      </c>
      <c r="E21" s="60">
        <f t="shared" ref="E21:W21" si="5">E19-E20</f>
        <v>442825179.44319773</v>
      </c>
      <c r="F21" s="60">
        <f t="shared" si="5"/>
        <v>669888596.96512735</v>
      </c>
      <c r="G21" s="60">
        <f t="shared" si="5"/>
        <v>885759028.14011312</v>
      </c>
      <c r="H21" s="60">
        <f t="shared" si="5"/>
        <v>934445821.09561515</v>
      </c>
      <c r="I21" s="60">
        <f t="shared" si="5"/>
        <v>934445821.09561539</v>
      </c>
      <c r="J21" s="60">
        <f t="shared" si="5"/>
        <v>934445821.0956161</v>
      </c>
      <c r="K21" s="60">
        <f t="shared" si="5"/>
        <v>934445821.0956161</v>
      </c>
      <c r="L21" s="60">
        <f t="shared" si="5"/>
        <v>934445821.09561574</v>
      </c>
      <c r="M21" s="60">
        <f t="shared" si="5"/>
        <v>934445821.09561539</v>
      </c>
      <c r="N21" s="60">
        <f t="shared" si="5"/>
        <v>1013371775.5120233</v>
      </c>
      <c r="O21" s="60">
        <f t="shared" si="5"/>
        <v>1013371775.5120237</v>
      </c>
      <c r="P21" s="60">
        <f t="shared" si="5"/>
        <v>1007293748.6061591</v>
      </c>
      <c r="Q21" s="60">
        <f t="shared" si="5"/>
        <v>1043295847.5816044</v>
      </c>
      <c r="R21" s="60">
        <f t="shared" si="5"/>
        <v>1020448307.5444366</v>
      </c>
      <c r="S21" s="60">
        <f t="shared" si="5"/>
        <v>1040436421.5979846</v>
      </c>
      <c r="T21" s="60">
        <f t="shared" si="5"/>
        <v>1076010245.5184004</v>
      </c>
      <c r="U21" s="60">
        <f t="shared" si="5"/>
        <v>1077224304.7260506</v>
      </c>
      <c r="V21" s="60">
        <f t="shared" si="5"/>
        <v>1020429074.8147726</v>
      </c>
      <c r="W21" s="60">
        <f t="shared" si="5"/>
        <v>1013004726.6734066</v>
      </c>
    </row>
    <row r="23" spans="2:25" x14ac:dyDescent="0.3">
      <c r="B23" s="63" t="s">
        <v>366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1"/>
      <c r="Y23" s="69"/>
    </row>
    <row r="24" spans="2:25" x14ac:dyDescent="0.3">
      <c r="B24" s="63" t="s">
        <v>368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5">
        <v>0</v>
      </c>
      <c r="X24" s="41"/>
      <c r="Y24" s="68"/>
    </row>
    <row r="25" spans="2:25" x14ac:dyDescent="0.3">
      <c r="B25" s="63" t="s">
        <v>369</v>
      </c>
      <c r="C25" s="64" t="s">
        <v>304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41"/>
    </row>
    <row r="26" spans="2:25" x14ac:dyDescent="0.3">
      <c r="B26" s="61" t="s">
        <v>364</v>
      </c>
      <c r="C26" s="77">
        <f>-C28</f>
        <v>-7509931631.984005</v>
      </c>
      <c r="D26" s="77">
        <f>D21-D23+D18+D24-D25</f>
        <v>585528367.32681203</v>
      </c>
      <c r="E26" s="77">
        <f t="shared" ref="E26:V26" si="6">E21-E23+E18+E24-E25</f>
        <v>644789757.10900331</v>
      </c>
      <c r="F26" s="77">
        <f t="shared" si="6"/>
        <v>871853174.63093281</v>
      </c>
      <c r="G26" s="77">
        <f t="shared" si="6"/>
        <v>1087723605.8059187</v>
      </c>
      <c r="H26" s="77">
        <f t="shared" si="6"/>
        <v>1136410398.7614207</v>
      </c>
      <c r="I26" s="62">
        <f t="shared" si="6"/>
        <v>1136410398.761421</v>
      </c>
      <c r="J26" s="62">
        <f t="shared" si="6"/>
        <v>1136410398.7614217</v>
      </c>
      <c r="K26" s="62">
        <f t="shared" si="6"/>
        <v>1136410398.7614217</v>
      </c>
      <c r="L26" s="62">
        <f t="shared" si="6"/>
        <v>1136410398.7614212</v>
      </c>
      <c r="M26" s="62">
        <f t="shared" si="6"/>
        <v>1136410398.761421</v>
      </c>
      <c r="N26" s="62">
        <f t="shared" si="6"/>
        <v>1215336353.1778288</v>
      </c>
      <c r="O26" s="62">
        <f t="shared" si="6"/>
        <v>1215336353.1778293</v>
      </c>
      <c r="P26" s="62">
        <f t="shared" si="6"/>
        <v>1218467457.9475164</v>
      </c>
      <c r="Q26" s="62">
        <f t="shared" si="6"/>
        <v>1199920922.1116815</v>
      </c>
      <c r="R26" s="62">
        <f t="shared" si="6"/>
        <v>1211690866.9793129</v>
      </c>
      <c r="S26" s="62">
        <f t="shared" si="6"/>
        <v>1201393959.7396064</v>
      </c>
      <c r="T26" s="62">
        <f t="shared" si="6"/>
        <v>1217066379.8384187</v>
      </c>
      <c r="U26" s="62">
        <f t="shared" si="6"/>
        <v>1216442490.5055282</v>
      </c>
      <c r="V26" s="62">
        <f t="shared" si="6"/>
        <v>1155134719.0062025</v>
      </c>
      <c r="W26" s="62">
        <f>W21-W23+W18+W24-W25</f>
        <v>1147710370.8648365</v>
      </c>
    </row>
    <row r="27" spans="2:25" x14ac:dyDescent="0.3">
      <c r="B27" s="8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2:25" x14ac:dyDescent="0.3">
      <c r="B28" s="71" t="s">
        <v>375</v>
      </c>
      <c r="C28" s="165">
        <v>7509931631.984005</v>
      </c>
      <c r="D28" s="70">
        <f>(C28-C29)+D23-D29</f>
        <v>7269828657.8045063</v>
      </c>
      <c r="E28" s="70">
        <f>(D28)+E23-E29</f>
        <v>6043449167.9679766</v>
      </c>
      <c r="F28" s="70">
        <f t="shared" ref="F28:W28" si="7">(E28)+F23-F29</f>
        <v>4171431206.1241865</v>
      </c>
      <c r="G28" s="70">
        <f t="shared" si="7"/>
        <v>4114246357.4290447</v>
      </c>
      <c r="H28" s="70">
        <f t="shared" si="7"/>
        <v>3530380546.9818797</v>
      </c>
      <c r="I28" s="70">
        <f t="shared" si="7"/>
        <v>3345477375.1609068</v>
      </c>
      <c r="J28" s="70">
        <f t="shared" si="7"/>
        <v>3170320486.2535086</v>
      </c>
      <c r="K28" s="70">
        <f t="shared" si="7"/>
        <v>3003229982.1271777</v>
      </c>
      <c r="L28" s="70">
        <f t="shared" si="7"/>
        <v>2936101522.6694202</v>
      </c>
      <c r="M28" s="70">
        <f t="shared" si="7"/>
        <v>2900219241.8609676</v>
      </c>
      <c r="N28" s="70">
        <f t="shared" si="7"/>
        <v>2874227461.7107935</v>
      </c>
      <c r="O28" s="70">
        <f t="shared" si="7"/>
        <v>2849296601.9100318</v>
      </c>
      <c r="P28" s="70">
        <f t="shared" si="7"/>
        <v>2839120981.3898296</v>
      </c>
      <c r="Q28" s="70">
        <f t="shared" si="7"/>
        <v>2839120981.3898296</v>
      </c>
      <c r="R28" s="70">
        <f t="shared" si="7"/>
        <v>2797157243.3008833</v>
      </c>
      <c r="S28" s="70">
        <f t="shared" si="7"/>
        <v>2788439760.0906353</v>
      </c>
      <c r="T28" s="70">
        <f t="shared" si="7"/>
        <v>2786433350.9288001</v>
      </c>
      <c r="U28" s="70">
        <f t="shared" si="7"/>
        <v>2729467180.5649333</v>
      </c>
      <c r="V28" s="70">
        <f t="shared" si="7"/>
        <v>2726711796.4947329</v>
      </c>
      <c r="W28" s="70">
        <f t="shared" si="7"/>
        <v>2726711796.4947329</v>
      </c>
    </row>
    <row r="29" spans="2:25" s="41" customFormat="1" x14ac:dyDescent="0.3">
      <c r="B29" s="72" t="s">
        <v>363</v>
      </c>
      <c r="C29" s="70">
        <v>103708190.86785901</v>
      </c>
      <c r="D29" s="70">
        <v>136394783.31163999</v>
      </c>
      <c r="E29" s="70">
        <v>1226379489.83653</v>
      </c>
      <c r="F29" s="70">
        <v>1872017961.8437901</v>
      </c>
      <c r="G29" s="70">
        <v>57184848.695142001</v>
      </c>
      <c r="H29" s="70">
        <v>583865810.44716501</v>
      </c>
      <c r="I29" s="70">
        <v>184903171.82097301</v>
      </c>
      <c r="J29" s="70">
        <v>175156888.90739799</v>
      </c>
      <c r="K29" s="70">
        <v>167090504.126331</v>
      </c>
      <c r="L29" s="70">
        <v>67128459.457757398</v>
      </c>
      <c r="M29" s="70">
        <v>35882280.808452435</v>
      </c>
      <c r="N29" s="70">
        <v>25991780.150174074</v>
      </c>
      <c r="O29" s="70">
        <v>24930859.800761517</v>
      </c>
      <c r="P29" s="70">
        <v>10175620.520202344</v>
      </c>
      <c r="Q29" s="70">
        <v>0</v>
      </c>
      <c r="R29" s="70">
        <v>41963738.08894629</v>
      </c>
      <c r="S29" s="70">
        <v>8717483.2102479357</v>
      </c>
      <c r="T29" s="70">
        <v>2006409.1618352039</v>
      </c>
      <c r="U29" s="70">
        <v>56966170.363866724</v>
      </c>
      <c r="V29" s="70">
        <v>2755384.070200637</v>
      </c>
      <c r="W29" s="70">
        <v>0</v>
      </c>
    </row>
    <row r="31" spans="2:25" x14ac:dyDescent="0.3">
      <c r="B31" s="66" t="s">
        <v>370</v>
      </c>
      <c r="C31" s="73">
        <f>NPV($C$34,D26:W26)+(-C28)</f>
        <v>0</v>
      </c>
      <c r="D31" s="80" t="s">
        <v>379</v>
      </c>
      <c r="E31" s="41"/>
      <c r="N31" s="76">
        <f>N18/N28</f>
        <v>7.0267430242139731E-2</v>
      </c>
    </row>
    <row r="32" spans="2:25" x14ac:dyDescent="0.3">
      <c r="B32" s="92" t="s">
        <v>389</v>
      </c>
      <c r="C32" s="93">
        <f>NPV(C34,FCR_CHCI!D22:W22)+FCR_CHCI!C27</f>
        <v>5829763827.3973904</v>
      </c>
    </row>
    <row r="33" spans="2:23" ht="15" thickBot="1" x14ac:dyDescent="0.35">
      <c r="C33" s="74"/>
    </row>
    <row r="34" spans="2:23" x14ac:dyDescent="0.3">
      <c r="B34" s="88" t="s">
        <v>371</v>
      </c>
      <c r="C34" s="89">
        <v>0.12</v>
      </c>
      <c r="D34" s="10"/>
    </row>
    <row r="35" spans="2:23" ht="15" thickBot="1" x14ac:dyDescent="0.35">
      <c r="B35" s="90" t="s">
        <v>388</v>
      </c>
      <c r="C35" s="91">
        <f>IRR(C26:W26)</f>
        <v>0.12000000000000011</v>
      </c>
      <c r="D35" s="10"/>
    </row>
    <row r="36" spans="2:23" x14ac:dyDescent="0.3">
      <c r="B36" s="8"/>
      <c r="D36" s="10"/>
    </row>
    <row r="37" spans="2:23" x14ac:dyDescent="0.3">
      <c r="C37" s="10"/>
      <c r="D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2:23" x14ac:dyDescent="0.3">
      <c r="D38" s="10"/>
    </row>
    <row r="39" spans="2:23" x14ac:dyDescent="0.3">
      <c r="D39" s="10"/>
    </row>
    <row r="40" spans="2:23" x14ac:dyDescent="0.3">
      <c r="D40" s="10"/>
    </row>
    <row r="41" spans="2:23" x14ac:dyDescent="0.3">
      <c r="D41" s="10"/>
    </row>
    <row r="42" spans="2:23" x14ac:dyDescent="0.3">
      <c r="D42" s="95"/>
    </row>
    <row r="43" spans="2:23" x14ac:dyDescent="0.3">
      <c r="D43" s="80"/>
    </row>
    <row r="44" spans="2:23" x14ac:dyDescent="0.3">
      <c r="D44" s="80"/>
    </row>
    <row r="45" spans="2:23" x14ac:dyDescent="0.3">
      <c r="D45" s="80"/>
    </row>
    <row r="46" spans="2:23" x14ac:dyDescent="0.3">
      <c r="D46" s="80"/>
    </row>
    <row r="47" spans="2:23" x14ac:dyDescent="0.3">
      <c r="D47" s="80"/>
    </row>
    <row r="48" spans="2:23" x14ac:dyDescent="0.3">
      <c r="D48" s="80"/>
    </row>
    <row r="49" spans="4:4" x14ac:dyDescent="0.3">
      <c r="D49" s="80"/>
    </row>
    <row r="51" spans="4:4" x14ac:dyDescent="0.3">
      <c r="D51" s="80"/>
    </row>
    <row r="52" spans="4:4" x14ac:dyDescent="0.3">
      <c r="D52" s="80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8BC1-B115-4BA3-81F1-BCDF1C2990FB}">
  <sheetPr>
    <tabColor theme="5" tint="0.39997558519241921"/>
  </sheetPr>
  <dimension ref="A1:U48"/>
  <sheetViews>
    <sheetView showGridLines="0" workbookViewId="0">
      <selection activeCell="B24" sqref="B24"/>
    </sheetView>
  </sheetViews>
  <sheetFormatPr defaultColWidth="9.109375" defaultRowHeight="14.4" x14ac:dyDescent="0.3"/>
  <cols>
    <col min="1" max="1" width="25.88671875" customWidth="1"/>
    <col min="2" max="2" width="13.88671875" customWidth="1"/>
    <col min="3" max="3" width="14.6640625" customWidth="1"/>
    <col min="4" max="4" width="14.33203125" customWidth="1"/>
    <col min="5" max="5" width="13.77734375" customWidth="1"/>
    <col min="6" max="6" width="14.5546875" customWidth="1"/>
    <col min="7" max="7" width="14.44140625" customWidth="1"/>
    <col min="8" max="8" width="14.33203125" customWidth="1"/>
    <col min="9" max="9" width="16.6640625" customWidth="1"/>
    <col min="10" max="10" width="14" customWidth="1"/>
    <col min="11" max="21" width="13.77734375" customWidth="1"/>
  </cols>
  <sheetData>
    <row r="1" spans="1:18" x14ac:dyDescent="0.3">
      <c r="A1" s="1" t="s">
        <v>0</v>
      </c>
    </row>
    <row r="9" spans="1:18" ht="15" thickBot="1" x14ac:dyDescent="0.35"/>
    <row r="10" spans="1:18" ht="55.8" thickBot="1" x14ac:dyDescent="0.35">
      <c r="N10" s="3" t="s">
        <v>6</v>
      </c>
      <c r="O10" s="3" t="s">
        <v>7</v>
      </c>
      <c r="P10" s="3" t="s">
        <v>8</v>
      </c>
      <c r="Q10" s="4" t="s">
        <v>9</v>
      </c>
      <c r="R10" s="19" t="s">
        <v>10</v>
      </c>
    </row>
    <row r="11" spans="1:18" ht="15" thickBot="1" x14ac:dyDescent="0.35">
      <c r="N11" s="5">
        <v>38718</v>
      </c>
      <c r="O11" s="5">
        <v>38776</v>
      </c>
      <c r="P11" s="7">
        <v>26.8</v>
      </c>
      <c r="Q11" s="6">
        <v>0.86687000000000003</v>
      </c>
      <c r="R11" s="9">
        <v>2</v>
      </c>
    </row>
    <row r="12" spans="1:18" ht="15" thickBot="1" x14ac:dyDescent="0.35">
      <c r="N12" s="5">
        <v>38777</v>
      </c>
      <c r="O12" s="5">
        <v>39082</v>
      </c>
      <c r="P12" s="7">
        <v>27.37</v>
      </c>
      <c r="Q12" s="6">
        <v>0.86687000000000003</v>
      </c>
      <c r="R12" s="9">
        <v>10</v>
      </c>
    </row>
    <row r="13" spans="1:18" ht="15" thickBot="1" x14ac:dyDescent="0.35">
      <c r="N13" s="5">
        <v>39083</v>
      </c>
      <c r="O13" s="5">
        <v>39263</v>
      </c>
      <c r="P13" s="7">
        <v>27.37</v>
      </c>
      <c r="Q13" s="6">
        <v>0.76137999999999995</v>
      </c>
      <c r="R13" s="9">
        <v>6</v>
      </c>
    </row>
    <row r="14" spans="1:18" ht="15" thickBot="1" x14ac:dyDescent="0.35">
      <c r="N14" s="5">
        <v>39264</v>
      </c>
      <c r="O14" s="5">
        <v>39294</v>
      </c>
      <c r="P14" s="7">
        <v>32.369999999999997</v>
      </c>
      <c r="Q14" s="6">
        <v>0.76137999999999995</v>
      </c>
      <c r="R14" s="9">
        <v>1</v>
      </c>
    </row>
    <row r="15" spans="1:18" ht="15" thickBot="1" x14ac:dyDescent="0.35">
      <c r="N15" s="5">
        <v>39295</v>
      </c>
      <c r="O15" s="5">
        <v>39447</v>
      </c>
      <c r="P15" s="7">
        <v>32.369999999999997</v>
      </c>
      <c r="Q15" s="6">
        <v>1.0349699999999999</v>
      </c>
      <c r="R15" s="9">
        <v>5</v>
      </c>
    </row>
    <row r="16" spans="1:18" ht="15" thickBot="1" x14ac:dyDescent="0.35">
      <c r="N16" s="5">
        <v>39448</v>
      </c>
      <c r="O16" s="5">
        <v>39629</v>
      </c>
      <c r="P16" s="7">
        <v>32.369999999999997</v>
      </c>
      <c r="Q16" s="6">
        <v>1.0349699999999999</v>
      </c>
      <c r="R16" s="9">
        <v>6</v>
      </c>
    </row>
    <row r="17" spans="1:21" ht="15" thickBot="1" x14ac:dyDescent="0.35">
      <c r="N17" s="5">
        <v>39630</v>
      </c>
      <c r="O17" s="5">
        <v>39813</v>
      </c>
      <c r="P17" s="7">
        <v>37.69</v>
      </c>
      <c r="Q17" s="6">
        <v>1.0349699999999999</v>
      </c>
      <c r="R17" s="9">
        <v>6</v>
      </c>
    </row>
    <row r="18" spans="1:21" ht="15" thickBot="1" x14ac:dyDescent="0.35">
      <c r="N18" s="5">
        <v>39814</v>
      </c>
      <c r="O18" s="5">
        <v>39964</v>
      </c>
      <c r="P18" s="7">
        <v>37.69</v>
      </c>
      <c r="Q18" s="6">
        <v>1.20357</v>
      </c>
      <c r="R18" s="9">
        <v>5</v>
      </c>
    </row>
    <row r="19" spans="1:21" ht="15" thickBot="1" x14ac:dyDescent="0.35">
      <c r="N19" s="5">
        <v>39965</v>
      </c>
      <c r="O19" s="5">
        <v>40178</v>
      </c>
      <c r="P19" s="7">
        <v>41.34</v>
      </c>
      <c r="Q19" s="6">
        <v>1.20357</v>
      </c>
      <c r="R19" s="9">
        <v>7</v>
      </c>
    </row>
    <row r="20" spans="1:21" ht="15" thickBot="1" x14ac:dyDescent="0.35">
      <c r="N20" s="5">
        <v>40179</v>
      </c>
      <c r="O20" s="5">
        <v>40543</v>
      </c>
      <c r="P20" s="7">
        <v>41.34</v>
      </c>
      <c r="Q20" s="6">
        <v>1.1828700000000001</v>
      </c>
      <c r="R20" s="9">
        <v>12</v>
      </c>
    </row>
    <row r="24" spans="1:21" x14ac:dyDescent="0.3">
      <c r="B24" s="9">
        <v>12</v>
      </c>
      <c r="C24" s="9">
        <v>12</v>
      </c>
      <c r="D24" s="9">
        <v>12</v>
      </c>
      <c r="E24" s="9">
        <v>12</v>
      </c>
      <c r="F24" s="9">
        <v>12</v>
      </c>
      <c r="G24" s="9">
        <v>12</v>
      </c>
      <c r="H24" s="9">
        <v>12</v>
      </c>
      <c r="I24" s="9">
        <v>12</v>
      </c>
      <c r="J24" s="9">
        <v>12</v>
      </c>
      <c r="K24" s="9">
        <v>12</v>
      </c>
      <c r="L24" s="9">
        <v>12</v>
      </c>
      <c r="M24" s="9">
        <v>12</v>
      </c>
      <c r="N24" s="9">
        <v>12</v>
      </c>
      <c r="O24" s="9">
        <v>12</v>
      </c>
      <c r="P24" s="9">
        <v>12</v>
      </c>
      <c r="Q24" s="9">
        <v>12</v>
      </c>
      <c r="R24" s="9">
        <v>12</v>
      </c>
      <c r="S24" s="9">
        <v>12</v>
      </c>
      <c r="T24" s="9">
        <v>12</v>
      </c>
      <c r="U24" s="9">
        <v>12</v>
      </c>
    </row>
    <row r="25" spans="1:21" x14ac:dyDescent="0.3">
      <c r="B25" s="11">
        <v>2006</v>
      </c>
      <c r="C25" s="11">
        <v>2007</v>
      </c>
      <c r="D25" s="11">
        <v>2008</v>
      </c>
      <c r="E25" s="11">
        <v>2009</v>
      </c>
      <c r="F25" s="11">
        <v>2010</v>
      </c>
      <c r="G25" s="11">
        <v>2011</v>
      </c>
      <c r="H25" s="11">
        <v>2012</v>
      </c>
      <c r="I25" s="11">
        <v>2013</v>
      </c>
      <c r="J25" s="11">
        <v>2014</v>
      </c>
      <c r="K25" s="11">
        <v>2015</v>
      </c>
      <c r="L25" s="11">
        <v>2016</v>
      </c>
      <c r="M25" s="11">
        <v>2017</v>
      </c>
      <c r="N25" s="11">
        <v>2018</v>
      </c>
      <c r="O25" s="11">
        <v>2019</v>
      </c>
      <c r="P25" s="11">
        <v>2020</v>
      </c>
      <c r="Q25" s="11">
        <v>2021</v>
      </c>
      <c r="R25" s="11">
        <v>2022</v>
      </c>
      <c r="S25" s="11">
        <v>2023</v>
      </c>
      <c r="T25" s="11">
        <v>2024</v>
      </c>
      <c r="U25" s="11">
        <v>2025</v>
      </c>
    </row>
    <row r="26" spans="1:21" x14ac:dyDescent="0.3">
      <c r="A26" s="107" t="s">
        <v>1</v>
      </c>
      <c r="B26" s="12">
        <f>SUMPRODUCT(P11:P12,R11:R12,Q11:Q12)/SUMPRODUCT(P11:P12,R11:R12)</f>
        <v>0.86686999999999992</v>
      </c>
      <c r="C26" s="12">
        <f>SUMPRODUCT(P13:P15,R13:R15,Q13:Q15)/SUMPRODUCT(P13:P15,R13:R15)</f>
        <v>0.8849168304318713</v>
      </c>
      <c r="D26" s="12">
        <f>SUMPRODUCT(P16:P17,R16:R17,Q16:Q17)/SUMPRODUCT(P16:P17,R16:R17)</f>
        <v>1.0349699999999999</v>
      </c>
      <c r="E26" s="12">
        <f>SUMPRODUCT(P18:P19,R18:R19,Q18:Q19)/SUMPRODUCT(P18:P19,R18:R19)</f>
        <v>1.20357</v>
      </c>
      <c r="F26" s="13">
        <v>1.1828700000000001</v>
      </c>
      <c r="G26" s="36">
        <f>F26*(1+G29)</f>
        <v>1.3168080610088035</v>
      </c>
      <c r="H26" s="36">
        <f t="shared" ref="H26:Q26" si="0">G26*(1+H29)</f>
        <v>1.3839233057189266</v>
      </c>
      <c r="I26" s="36">
        <f t="shared" si="0"/>
        <v>1.4921218179525786</v>
      </c>
      <c r="J26" s="36">
        <f t="shared" si="0"/>
        <v>1.5743468386819253</v>
      </c>
      <c r="K26" s="36">
        <f t="shared" si="0"/>
        <v>1.6323734083644212</v>
      </c>
      <c r="L26" s="36">
        <f t="shared" si="0"/>
        <v>1.8044119671000423</v>
      </c>
      <c r="M26" s="36">
        <f t="shared" si="0"/>
        <v>1.9338407820044055</v>
      </c>
      <c r="N26" s="36">
        <f t="shared" si="0"/>
        <v>1.9237666232302184</v>
      </c>
      <c r="O26" s="36">
        <f t="shared" si="0"/>
        <v>2.0687584781915409</v>
      </c>
      <c r="P26" s="36">
        <f t="shared" si="0"/>
        <v>2.219859162667893</v>
      </c>
      <c r="Q26" s="36">
        <f t="shared" si="0"/>
        <v>2.7334979702298403</v>
      </c>
      <c r="R26" s="12">
        <v>3.2711100000000002</v>
      </c>
      <c r="S26" s="12">
        <v>3.44943</v>
      </c>
      <c r="T26" s="12">
        <v>3.3264399999999998</v>
      </c>
      <c r="U26" s="12">
        <v>3.44943</v>
      </c>
    </row>
    <row r="27" spans="1:21" x14ac:dyDescent="0.3">
      <c r="A27" s="107" t="s">
        <v>2</v>
      </c>
      <c r="B27" s="12">
        <f t="shared" ref="B27:F27" si="1">B26/26.8081</f>
        <v>3.2336122291396999E-2</v>
      </c>
      <c r="C27" s="12">
        <f t="shared" si="1"/>
        <v>3.3009308023764138E-2</v>
      </c>
      <c r="D27" s="12">
        <f t="shared" si="1"/>
        <v>3.8606615164819585E-2</v>
      </c>
      <c r="E27" s="12">
        <f t="shared" si="1"/>
        <v>4.4895759117580133E-2</v>
      </c>
      <c r="F27" s="12">
        <f t="shared" si="1"/>
        <v>4.4123604432988538E-2</v>
      </c>
      <c r="G27" s="36">
        <f>G26/26.8081</f>
        <v>4.9119783237484324E-2</v>
      </c>
      <c r="H27" s="36">
        <f t="shared" ref="H27:S27" si="2">H26/26.8081</f>
        <v>5.1623326745234711E-2</v>
      </c>
      <c r="I27" s="36">
        <f t="shared" si="2"/>
        <v>5.5659364817073148E-2</v>
      </c>
      <c r="J27" s="36">
        <f t="shared" si="2"/>
        <v>5.8726535587450258E-2</v>
      </c>
      <c r="K27" s="36">
        <f t="shared" si="2"/>
        <v>6.0891051897166204E-2</v>
      </c>
      <c r="L27" s="36">
        <f t="shared" si="2"/>
        <v>6.7308461513499368E-2</v>
      </c>
      <c r="M27" s="36">
        <f t="shared" si="2"/>
        <v>7.2136435704298535E-2</v>
      </c>
      <c r="N27" s="36">
        <f t="shared" si="2"/>
        <v>7.1760647835177369E-2</v>
      </c>
      <c r="O27" s="36">
        <f t="shared" si="2"/>
        <v>7.7169157015660975E-2</v>
      </c>
      <c r="P27" s="36">
        <f t="shared" si="2"/>
        <v>8.2805538724038369E-2</v>
      </c>
      <c r="Q27" s="36">
        <f t="shared" si="2"/>
        <v>0.10196537502582578</v>
      </c>
      <c r="R27" s="12">
        <f t="shared" si="2"/>
        <v>0.12201946426639711</v>
      </c>
      <c r="S27" s="12">
        <f t="shared" si="2"/>
        <v>0.12867118520148763</v>
      </c>
      <c r="T27" s="12">
        <f t="shared" ref="T27" si="3">T26/26.8081</f>
        <v>0.12408339270593589</v>
      </c>
      <c r="U27" s="12">
        <f t="shared" ref="U27" si="4">U26/26.8081</f>
        <v>0.12867118520148763</v>
      </c>
    </row>
    <row r="28" spans="1:21" x14ac:dyDescent="0.3">
      <c r="A28" s="107" t="s">
        <v>3</v>
      </c>
      <c r="B28" s="15">
        <f>(SUMPRODUCT(P11:P12,R11:R12)/SUM(R11:R12))</f>
        <v>27.275000000000002</v>
      </c>
      <c r="C28" s="16">
        <f>(SUMPRODUCT(P13:P15,R13:R15)/SUM(R13:R15))</f>
        <v>29.87</v>
      </c>
      <c r="D28" s="16">
        <f>(SUMPRODUCT(P16:P17,R16:R17)/SUM(R16:R17))</f>
        <v>35.029999999999994</v>
      </c>
      <c r="E28" s="16">
        <f>(SUMPRODUCT(P18:P19,R18:R19)/SUM(R18:R19))</f>
        <v>39.819166666666668</v>
      </c>
      <c r="F28" s="14">
        <v>41.34</v>
      </c>
      <c r="G28" s="37">
        <f>F28</f>
        <v>41.34</v>
      </c>
      <c r="H28" s="37">
        <f t="shared" ref="H28:U28" si="5">G28</f>
        <v>41.34</v>
      </c>
      <c r="I28" s="37">
        <f t="shared" si="5"/>
        <v>41.34</v>
      </c>
      <c r="J28" s="37">
        <f t="shared" si="5"/>
        <v>41.34</v>
      </c>
      <c r="K28" s="37">
        <f t="shared" si="5"/>
        <v>41.34</v>
      </c>
      <c r="L28" s="38">
        <v>43.805</v>
      </c>
      <c r="M28" s="38">
        <v>43.805</v>
      </c>
      <c r="N28" s="38">
        <f t="shared" si="5"/>
        <v>43.805</v>
      </c>
      <c r="O28" s="38">
        <f t="shared" si="5"/>
        <v>43.805</v>
      </c>
      <c r="P28" s="38">
        <f t="shared" si="5"/>
        <v>43.805</v>
      </c>
      <c r="Q28" s="38">
        <f t="shared" si="5"/>
        <v>43.805</v>
      </c>
      <c r="R28" s="14">
        <f t="shared" si="5"/>
        <v>43.805</v>
      </c>
      <c r="S28" s="14">
        <f t="shared" si="5"/>
        <v>43.805</v>
      </c>
      <c r="T28" s="14">
        <f t="shared" si="5"/>
        <v>43.805</v>
      </c>
      <c r="U28" s="14">
        <f t="shared" si="5"/>
        <v>43.805</v>
      </c>
    </row>
    <row r="29" spans="1:21" x14ac:dyDescent="0.3">
      <c r="A29" s="107" t="s">
        <v>4</v>
      </c>
      <c r="B29" s="14"/>
      <c r="C29" s="12"/>
      <c r="D29" s="14"/>
      <c r="E29" s="14"/>
      <c r="F29" s="14"/>
      <c r="G29" s="39">
        <f>Inflação!$J7</f>
        <v>0.11323142949673537</v>
      </c>
      <c r="H29" s="39">
        <f>Inflação!$J8</f>
        <v>5.0968130206239914E-2</v>
      </c>
      <c r="I29" s="39">
        <f>Inflação!$J9</f>
        <v>7.818244825167131E-2</v>
      </c>
      <c r="J29" s="39">
        <f>Inflação!$J10</f>
        <v>5.5106104434671455E-2</v>
      </c>
      <c r="K29" s="39">
        <f>Inflação!$J11</f>
        <v>3.6857551498040264E-2</v>
      </c>
      <c r="L29" s="39">
        <f>Inflação!$J12</f>
        <v>0.10539166948817025</v>
      </c>
      <c r="M29" s="39">
        <f>Inflação!$J13</f>
        <v>7.1729082528960708E-2</v>
      </c>
      <c r="N29" s="39">
        <f>Inflação!$J14</f>
        <v>-5.2094044493907754E-3</v>
      </c>
      <c r="O29" s="39">
        <f>Inflação!$J15</f>
        <v>7.5368734029632511E-2</v>
      </c>
      <c r="P29" s="39">
        <f>Inflação!$J16</f>
        <v>7.3039306458065001E-2</v>
      </c>
      <c r="Q29" s="39">
        <f>Inflação!$J17</f>
        <v>0.23138351126052559</v>
      </c>
      <c r="R29" s="18">
        <f>Inflação!$J18</f>
        <v>0.17783212339450416</v>
      </c>
      <c r="S29" s="18">
        <f>Inflação!$J19</f>
        <v>5.4512855725947995E-2</v>
      </c>
      <c r="T29" s="18"/>
      <c r="U29" s="14"/>
    </row>
    <row r="30" spans="1:21" s="41" customFormat="1" x14ac:dyDescent="0.3">
      <c r="A30" s="107" t="s">
        <v>5</v>
      </c>
      <c r="B30" s="130">
        <f>((B28*10^6)*B27*365)</f>
        <v>321918223.45671642</v>
      </c>
      <c r="C30" s="130">
        <f t="shared" ref="C30:U30" si="6">((C28*10^6)*C27*365)</f>
        <v>359885631.19448972</v>
      </c>
      <c r="D30" s="130">
        <f t="shared" si="6"/>
        <v>493622251.16662484</v>
      </c>
      <c r="E30" s="130">
        <f t="shared" si="6"/>
        <v>652514775.94924664</v>
      </c>
      <c r="F30" s="130">
        <f t="shared" si="6"/>
        <v>665785479.64980733</v>
      </c>
      <c r="G30" s="130">
        <f t="shared" si="6"/>
        <v>741173321.2487247</v>
      </c>
      <c r="H30" s="130">
        <f t="shared" si="6"/>
        <v>778949539.59152114</v>
      </c>
      <c r="I30" s="130">
        <f t="shared" si="6"/>
        <v>839849721.66129851</v>
      </c>
      <c r="J30" s="130">
        <f t="shared" si="6"/>
        <v>886130568.13259566</v>
      </c>
      <c r="K30" s="130">
        <f t="shared" si="6"/>
        <v>918791171.18153048</v>
      </c>
      <c r="L30" s="130">
        <f t="shared" si="6"/>
        <v>1076183212.1585765</v>
      </c>
      <c r="M30" s="130">
        <f t="shared" si="6"/>
        <v>1153376846.599781</v>
      </c>
      <c r="N30" s="130">
        <f t="shared" si="6"/>
        <v>1147368440.1232798</v>
      </c>
      <c r="O30" s="130">
        <f t="shared" si="6"/>
        <v>1233844146.9209256</v>
      </c>
      <c r="P30" s="130">
        <f t="shared" si="6"/>
        <v>1323963267.6893728</v>
      </c>
      <c r="Q30" s="130">
        <f t="shared" si="6"/>
        <v>1630306537.3472989</v>
      </c>
      <c r="R30" s="130">
        <f t="shared" si="6"/>
        <v>1950947860.7491767</v>
      </c>
      <c r="S30" s="130">
        <f t="shared" si="6"/>
        <v>2057301062.7291756</v>
      </c>
      <c r="T30" s="130">
        <f t="shared" si="6"/>
        <v>1983947651.3814857</v>
      </c>
      <c r="U30" s="130">
        <f t="shared" si="6"/>
        <v>2057301062.7291756</v>
      </c>
    </row>
    <row r="32" spans="1:21" x14ac:dyDescent="0.3">
      <c r="A32" s="157" t="s">
        <v>362</v>
      </c>
      <c r="B32" s="167">
        <f>B30*(1+(Inflação!$D$249/(SUMIFS(Inflação!$D:$D,Inflação!$A:$A,'Receita Máxima'!B$25-1,Inflação!$B:$B,12))-1))</f>
        <v>1101781422.0040379</v>
      </c>
      <c r="C32" s="167">
        <f>C30*(1+(Inflação!$D$249/(SUMIFS(Inflação!$D:$D,Inflação!$A:$A,'Receita Máxima'!C$25-1,Inflação!$B:$B,12))-1))</f>
        <v>1186273847.2836003</v>
      </c>
      <c r="D32" s="167">
        <f>D30*(1+(Inflação!$D$249/(SUMIFS(Inflação!$D:$D,Inflação!$A:$A,'Receita Máxima'!D$25-1,Inflação!$B:$B,12))-1))</f>
        <v>1510011425.987148</v>
      </c>
      <c r="E32" s="167">
        <f>E30*(1+(Inflação!$D$249/(SUMIFS(Inflação!$D:$D,Inflação!$A:$A,'Receita Máxima'!E$25-1,Inflação!$B:$B,12))-1))</f>
        <v>1817790510.1962159</v>
      </c>
      <c r="F32" s="167">
        <f>F30*(1+(Inflação!$D$249/(SUMIFS(Inflação!$D:$D,Inflação!$A:$A,'Receita Máxima'!F$25-1,Inflação!$B:$B,12))-1))</f>
        <v>1887206115.0447288</v>
      </c>
      <c r="G32" s="167">
        <f>G30*(1+(Inflação!$D$249/(SUMIFS(Inflação!$D:$D,Inflação!$A:$A,'Receita Máxima'!G$25-1,Inflação!$B:$B,12))-1))</f>
        <v>1887206115.0447292</v>
      </c>
      <c r="H32" s="167">
        <f>H30*(1+(Inflação!$D$249/(SUMIFS(Inflação!$D:$D,Inflação!$A:$A,'Receita Máxima'!H$25-1,Inflação!$B:$B,12))-1))</f>
        <v>1887206115.0447297</v>
      </c>
      <c r="I32" s="167">
        <f>I30*(1+(Inflação!$D$249/(SUMIFS(Inflação!$D:$D,Inflação!$A:$A,'Receita Máxima'!I$25-1,Inflação!$B:$B,12))-1))</f>
        <v>1887206115.0447297</v>
      </c>
      <c r="J32" s="167">
        <f>J30*(1+(Inflação!$D$249/(SUMIFS(Inflação!$D:$D,Inflação!$A:$A,'Receita Máxima'!J$25-1,Inflação!$B:$B,12))-1))</f>
        <v>1887206115.0447295</v>
      </c>
      <c r="K32" s="167">
        <f>K30*(1+(Inflação!$D$249/(SUMIFS(Inflação!$D:$D,Inflação!$A:$A,'Receita Máxima'!K$25-1,Inflação!$B:$B,12))-1))</f>
        <v>1887206115.044729</v>
      </c>
      <c r="L32" s="167">
        <f>L30*(1+(Inflação!$D$249/(SUMIFS(Inflação!$D:$D,Inflação!$A:$A,'Receita Máxima'!L$25-1,Inflação!$B:$B,12))-1))</f>
        <v>1999735458.8663366</v>
      </c>
      <c r="M32" s="167">
        <f>M30*(1+(Inflação!$D$249/(SUMIFS(Inflação!$D:$D,Inflação!$A:$A,'Receita Máxima'!M$25-1,Inflação!$B:$B,12))-1))</f>
        <v>1999735458.8663371</v>
      </c>
      <c r="N32" s="167">
        <f>N30*(1+(Inflação!$D$249/(SUMIFS(Inflação!$D:$D,Inflação!$A:$A,'Receita Máxima'!N$25-1,Inflação!$B:$B,12))-1))</f>
        <v>1999735458.8663368</v>
      </c>
      <c r="O32" s="167">
        <f>O30*(1+(Inflação!$D$249/(SUMIFS(Inflação!$D:$D,Inflação!$A:$A,'Receita Máxima'!O$25-1,Inflação!$B:$B,12))-1))</f>
        <v>1999735458.8663371</v>
      </c>
      <c r="P32" s="167">
        <f>P30*(1+(Inflação!$D$249/(SUMIFS(Inflação!$D:$D,Inflação!$A:$A,'Receita Máxima'!P$25-1,Inflação!$B:$B,12))-1))</f>
        <v>1999735458.8663368</v>
      </c>
      <c r="Q32" s="167">
        <f>Q30*(1+(Inflação!$D$249/(SUMIFS(Inflação!$D:$D,Inflação!$A:$A,'Receita Máxima'!Q$25-1,Inflação!$B:$B,12))-1))</f>
        <v>1999735458.8663368</v>
      </c>
      <c r="R32" s="167">
        <f>R30*(1+(Inflação!$D$249/(SUMIFS(Inflação!$D:$D,Inflação!$A:$A,'Receita Máxima'!R$25-1,Inflação!$B:$B,12))-1))</f>
        <v>2031727905.697871</v>
      </c>
      <c r="S32" s="167">
        <f>S30*(1+(Inflação!$D$249/(SUMIFS(Inflação!$D:$D,Inflação!$A:$A,'Receita Máxima'!S$25-1,Inflação!$B:$B,12))-1))</f>
        <v>2031729350.2348003</v>
      </c>
      <c r="T32" s="167"/>
      <c r="U32" s="167"/>
    </row>
    <row r="33" spans="1:21" x14ac:dyDescent="0.3">
      <c r="A33" s="127" t="s">
        <v>359</v>
      </c>
      <c r="B33" s="112">
        <f>B32*(1+Inflação!$K$22)</f>
        <v>1170861606.7908237</v>
      </c>
      <c r="C33" s="112">
        <f>C32*(1+Inflação!$K$22)</f>
        <v>1260651591.3092952</v>
      </c>
      <c r="D33" s="112">
        <f>D32*(1+Inflação!$K$22)</f>
        <v>1604687072.4031281</v>
      </c>
      <c r="E33" s="112">
        <f>E32*(1+Inflação!$K$22)</f>
        <v>1931763483.2743187</v>
      </c>
      <c r="F33" s="112">
        <f>F32*(1+Inflação!$K$22)</f>
        <v>2005531351.3887157</v>
      </c>
      <c r="G33" s="112">
        <f>G32*(1+Inflação!$K$22)</f>
        <v>2005531351.3887162</v>
      </c>
      <c r="H33" s="112">
        <f>H32*(1+Inflação!$K$22)</f>
        <v>2005531351.3887169</v>
      </c>
      <c r="I33" s="112">
        <f>I32*(1+Inflação!$K$22)</f>
        <v>2005531351.3887169</v>
      </c>
      <c r="J33" s="112">
        <f>J32*(1+Inflação!$K$22)</f>
        <v>2005531351.3887167</v>
      </c>
      <c r="K33" s="112">
        <f>K32*(1+Inflação!$K$22)</f>
        <v>2005531351.388716</v>
      </c>
      <c r="L33" s="112">
        <f>L32*(1+Inflação!$K$22)</f>
        <v>2125116130.8075159</v>
      </c>
      <c r="M33" s="112">
        <f>M32*(1+Inflação!$K$22)</f>
        <v>2125116130.8075163</v>
      </c>
      <c r="N33" s="112">
        <f>N32*(1+Inflação!$K$22)</f>
        <v>2125116130.8075161</v>
      </c>
      <c r="O33" s="112">
        <f>O32*(1+Inflação!$K$22)</f>
        <v>2125116130.8075163</v>
      </c>
      <c r="P33" s="112">
        <f>P32*(1+Inflação!$K$22)</f>
        <v>2125116130.8075161</v>
      </c>
      <c r="Q33" s="112">
        <f>Q32*(1+Inflação!$K$22)</f>
        <v>2125116130.8075161</v>
      </c>
      <c r="R33" s="112">
        <f>R32*(1+Inflação!$K$22)</f>
        <v>2159114460.1986637</v>
      </c>
      <c r="S33" s="112">
        <f>S32*(1+Inflação!$K$22)</f>
        <v>2159115995.306078</v>
      </c>
      <c r="T33" s="112">
        <f>T30*(1+(Inflação!E265/Inflação!E253-1))</f>
        <v>2068550075.0645785</v>
      </c>
      <c r="U33" s="112">
        <f>U30</f>
        <v>2057301062.7291756</v>
      </c>
    </row>
    <row r="35" spans="1:21" x14ac:dyDescent="0.3">
      <c r="F35" s="17"/>
      <c r="H35" s="161">
        <f>H26/26.8081</f>
        <v>5.1623326745234711E-2</v>
      </c>
      <c r="M35" s="81"/>
      <c r="N35" s="81"/>
      <c r="O35" s="81"/>
      <c r="P35" s="81"/>
      <c r="Q35" s="81"/>
      <c r="R35" s="81"/>
      <c r="S35" s="81"/>
      <c r="T35" s="81"/>
    </row>
    <row r="36" spans="1:21" x14ac:dyDescent="0.3">
      <c r="F36" s="17"/>
      <c r="M36" s="81"/>
      <c r="N36" s="81"/>
      <c r="O36" s="81"/>
      <c r="P36" s="81"/>
      <c r="Q36" s="81"/>
      <c r="R36" s="81"/>
      <c r="S36" s="81"/>
      <c r="T36" s="81"/>
    </row>
    <row r="37" spans="1:21" x14ac:dyDescent="0.3">
      <c r="F37" s="17"/>
      <c r="H37" s="179" t="s">
        <v>382</v>
      </c>
      <c r="I37" s="179"/>
    </row>
    <row r="38" spans="1:21" x14ac:dyDescent="0.3">
      <c r="F38" s="17"/>
      <c r="G38" t="s">
        <v>383</v>
      </c>
      <c r="H38" s="14">
        <v>43.8</v>
      </c>
      <c r="I38" s="14" t="s">
        <v>412</v>
      </c>
      <c r="M38" s="82"/>
      <c r="N38" s="82"/>
      <c r="O38" s="82"/>
      <c r="P38" s="82"/>
      <c r="Q38" s="82"/>
      <c r="R38" s="82"/>
      <c r="S38" s="82"/>
      <c r="T38" s="82"/>
    </row>
    <row r="39" spans="1:21" x14ac:dyDescent="0.3">
      <c r="F39" s="17"/>
      <c r="H39" s="14">
        <v>5</v>
      </c>
      <c r="I39" s="14"/>
      <c r="M39" s="82"/>
      <c r="N39" s="82"/>
      <c r="O39" s="82"/>
      <c r="P39" s="82"/>
      <c r="Q39" s="82"/>
      <c r="R39" s="82"/>
      <c r="S39" s="82"/>
      <c r="T39" s="82"/>
    </row>
    <row r="40" spans="1:21" x14ac:dyDescent="0.3">
      <c r="F40" s="17"/>
      <c r="H40" s="14">
        <v>40</v>
      </c>
      <c r="I40" s="14"/>
    </row>
    <row r="41" spans="1:21" x14ac:dyDescent="0.3">
      <c r="F41" s="17"/>
      <c r="H41" s="14">
        <v>49.4</v>
      </c>
      <c r="I41" s="14"/>
    </row>
    <row r="42" spans="1:21" x14ac:dyDescent="0.3">
      <c r="F42" s="17"/>
      <c r="H42" s="14">
        <v>20</v>
      </c>
      <c r="I42" s="14"/>
    </row>
    <row r="43" spans="1:21" x14ac:dyDescent="0.3">
      <c r="F43" s="17"/>
      <c r="H43" s="180">
        <f>SUM(H38:H42)</f>
        <v>158.19999999999999</v>
      </c>
      <c r="I43" s="180" t="s">
        <v>413</v>
      </c>
    </row>
    <row r="44" spans="1:21" x14ac:dyDescent="0.3">
      <c r="F44" s="17"/>
    </row>
    <row r="45" spans="1:21" x14ac:dyDescent="0.3">
      <c r="F45" s="17"/>
    </row>
    <row r="46" spans="1:21" x14ac:dyDescent="0.3">
      <c r="F46" s="17"/>
      <c r="H46" s="178" t="s">
        <v>404</v>
      </c>
      <c r="I46" s="178"/>
      <c r="J46" s="178"/>
    </row>
    <row r="47" spans="1:21" x14ac:dyDescent="0.3">
      <c r="F47" s="17"/>
      <c r="H47" s="177">
        <f>H38/H43</f>
        <v>0.27686472819216185</v>
      </c>
      <c r="I47" s="178" t="s">
        <v>411</v>
      </c>
      <c r="J47" s="178"/>
    </row>
    <row r="48" spans="1:21" x14ac:dyDescent="0.3">
      <c r="F48" s="17"/>
    </row>
  </sheetData>
  <mergeCells count="3">
    <mergeCell ref="H37:I37"/>
    <mergeCell ref="H46:J46"/>
    <mergeCell ref="I47:J47"/>
  </mergeCells>
  <hyperlinks>
    <hyperlink ref="A1" r:id="rId1" display="https://www.gov.br/anp/pt-br/assuntos/movimentacao-estocagem-e-comercializacao-de-gas-natural/transporte-de-gas-natural/arquivos/detalhamento-tarifas-transporte.pdf" xr:uid="{F793FC39-1BA1-4E58-92E3-38A40B2442E2}"/>
  </hyperlinks>
  <pageMargins left="0.511811024" right="0.511811024" top="0.78740157499999996" bottom="0.78740157499999996" header="0.31496062000000002" footer="0.31496062000000002"/>
  <ignoredErrors>
    <ignoredError sqref="B26:E26" formulaRange="1"/>
  </ignoredError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9B8F-2570-44C8-AEC6-DE73CB2B5C98}">
  <dimension ref="B1:Y41"/>
  <sheetViews>
    <sheetView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G43" sqref="G43"/>
    </sheetView>
  </sheetViews>
  <sheetFormatPr defaultColWidth="9.109375" defaultRowHeight="14.4" x14ac:dyDescent="0.3"/>
  <cols>
    <col min="1" max="1" width="2.6640625" customWidth="1"/>
    <col min="2" max="2" width="63.88671875" customWidth="1"/>
    <col min="3" max="3" width="18.6640625" bestFit="1" customWidth="1"/>
    <col min="4" max="4" width="16.109375" customWidth="1"/>
    <col min="5" max="20" width="15.44140625" customWidth="1"/>
    <col min="21" max="23" width="15.6640625" customWidth="1"/>
    <col min="25" max="25" width="16.5546875" bestFit="1" customWidth="1"/>
  </cols>
  <sheetData>
    <row r="1" spans="2:23" x14ac:dyDescent="0.3">
      <c r="C1" s="2">
        <v>2005</v>
      </c>
      <c r="D1" s="2">
        <v>2006</v>
      </c>
      <c r="E1" s="2">
        <v>2007</v>
      </c>
      <c r="F1" s="2">
        <v>2008</v>
      </c>
      <c r="G1" s="2">
        <v>2009</v>
      </c>
      <c r="H1" s="2">
        <v>2010</v>
      </c>
      <c r="I1" s="2">
        <v>2011</v>
      </c>
      <c r="J1" s="2">
        <v>2012</v>
      </c>
      <c r="K1" s="2">
        <v>2013</v>
      </c>
      <c r="L1" s="2">
        <v>2014</v>
      </c>
      <c r="M1" s="2">
        <v>2015</v>
      </c>
      <c r="N1" s="2">
        <v>2016</v>
      </c>
      <c r="O1" s="2">
        <v>2017</v>
      </c>
      <c r="P1" s="2">
        <v>2018</v>
      </c>
      <c r="Q1" s="2">
        <v>2019</v>
      </c>
      <c r="R1" s="2">
        <v>2020</v>
      </c>
      <c r="S1" s="2">
        <v>2021</v>
      </c>
      <c r="T1" s="2">
        <v>2022</v>
      </c>
      <c r="U1" s="2">
        <v>2023</v>
      </c>
      <c r="V1" s="2">
        <v>2024</v>
      </c>
      <c r="W1" s="2">
        <v>2025</v>
      </c>
    </row>
    <row r="2" spans="2:23" s="41" customFormat="1" x14ac:dyDescent="0.3">
      <c r="B2" s="41" t="s">
        <v>357</v>
      </c>
      <c r="D2" s="41">
        <f>'Receita Máxima'!B$33</f>
        <v>1170861606.7908237</v>
      </c>
      <c r="E2" s="41">
        <f>'Receita Máxima'!C$33</f>
        <v>1260651591.3092952</v>
      </c>
      <c r="F2" s="41">
        <f>'Receita Máxima'!D$33</f>
        <v>1604687072.4031281</v>
      </c>
      <c r="G2" s="41">
        <f>'Receita Máxima'!E$33</f>
        <v>1931763483.2743187</v>
      </c>
      <c r="H2" s="41">
        <f>'Receita Máxima'!F$33</f>
        <v>2005531351.3887157</v>
      </c>
      <c r="I2" s="41">
        <f>'Receita Máxima'!G$33</f>
        <v>2005531351.3887162</v>
      </c>
      <c r="J2" s="41">
        <f>'Receita Máxima'!H$33</f>
        <v>2005531351.3887169</v>
      </c>
      <c r="K2" s="41">
        <f>'Receita Máxima'!I$33</f>
        <v>2005531351.3887169</v>
      </c>
      <c r="L2" s="41">
        <f>'Receita Máxima'!J$33</f>
        <v>2005531351.3887167</v>
      </c>
      <c r="M2" s="41">
        <f>'Receita Máxima'!K$33</f>
        <v>2005531351.388716</v>
      </c>
      <c r="N2" s="41">
        <f>'Receita Máxima'!L$33</f>
        <v>2125116130.8075159</v>
      </c>
      <c r="O2" s="41">
        <f>'Receita Máxima'!M$33</f>
        <v>2125116130.8075163</v>
      </c>
      <c r="P2" s="41">
        <f>'Receita Máxima'!N$33</f>
        <v>2125116130.8075161</v>
      </c>
      <c r="Q2" s="41">
        <f>'Receita Máxima'!O$33</f>
        <v>2125116130.8075163</v>
      </c>
      <c r="R2" s="41">
        <f>'Receita Máxima'!P$33</f>
        <v>2125116130.8075161</v>
      </c>
      <c r="S2" s="41">
        <f>'Receita Máxima'!Q$33</f>
        <v>2125116130.8075161</v>
      </c>
      <c r="T2" s="41">
        <f>'Receita Máxima'!R$33</f>
        <v>2159114460.1986637</v>
      </c>
      <c r="U2" s="41">
        <f>'Receita Máxima'!S$33</f>
        <v>2159115995.306078</v>
      </c>
      <c r="V2" s="41">
        <f>'Receita Máxima'!T$33</f>
        <v>2068550075.0645785</v>
      </c>
      <c r="W2" s="41">
        <f>'Receita Máxima'!U$33</f>
        <v>2057301062.7291756</v>
      </c>
    </row>
    <row r="3" spans="2:23" x14ac:dyDescent="0.3">
      <c r="B3" s="42" t="s">
        <v>341</v>
      </c>
      <c r="C3" s="42"/>
      <c r="D3" s="58">
        <f>SUM(D4:D16)</f>
        <v>387739772.06288707</v>
      </c>
      <c r="E3" s="58">
        <f t="shared" ref="E3:W3" si="0">SUM(E4:E16)</f>
        <v>387739772.06288707</v>
      </c>
      <c r="F3" s="58">
        <f t="shared" si="0"/>
        <v>387739772.06288707</v>
      </c>
      <c r="G3" s="58">
        <f t="shared" si="0"/>
        <v>387739772.06288707</v>
      </c>
      <c r="H3" s="58">
        <f t="shared" si="0"/>
        <v>387739772.06288707</v>
      </c>
      <c r="I3" s="58">
        <f t="shared" si="0"/>
        <v>387739772.06288707</v>
      </c>
      <c r="J3" s="58">
        <f t="shared" si="0"/>
        <v>387739772.06288707</v>
      </c>
      <c r="K3" s="58">
        <f t="shared" si="0"/>
        <v>387739772.06288707</v>
      </c>
      <c r="L3" s="58">
        <f t="shared" si="0"/>
        <v>387739772.06288707</v>
      </c>
      <c r="M3" s="58">
        <f t="shared" si="0"/>
        <v>387739772.06288707</v>
      </c>
      <c r="N3" s="58">
        <f t="shared" si="0"/>
        <v>387739772.06288707</v>
      </c>
      <c r="O3" s="58">
        <f t="shared" si="0"/>
        <v>387739772.06288707</v>
      </c>
      <c r="P3" s="58">
        <f t="shared" si="0"/>
        <v>387739772.06288707</v>
      </c>
      <c r="Q3" s="58">
        <f t="shared" si="0"/>
        <v>387739772.06288707</v>
      </c>
      <c r="R3" s="58">
        <f t="shared" si="0"/>
        <v>387739772.06288707</v>
      </c>
      <c r="S3" s="58">
        <f t="shared" si="0"/>
        <v>387739772.06288707</v>
      </c>
      <c r="T3" s="58">
        <f t="shared" si="0"/>
        <v>387739772.06288707</v>
      </c>
      <c r="U3" s="58">
        <f t="shared" si="0"/>
        <v>387739772.06288707</v>
      </c>
      <c r="V3" s="58">
        <f t="shared" si="0"/>
        <v>387739772.06288707</v>
      </c>
      <c r="W3" s="58">
        <f t="shared" si="0"/>
        <v>387739772.06288707</v>
      </c>
    </row>
    <row r="4" spans="2:23" x14ac:dyDescent="0.3">
      <c r="B4" s="56" t="s">
        <v>345</v>
      </c>
      <c r="C4" s="57"/>
      <c r="D4" s="57">
        <f>(OPEX!$E$52*10^6)*OPEX!$B$75</f>
        <v>67603002.818530008</v>
      </c>
      <c r="E4" s="57">
        <f>(OPEX!$E$52*10^6)*OPEX!$B$75</f>
        <v>67603002.818530008</v>
      </c>
      <c r="F4" s="57">
        <f>(OPEX!$E$52*10^6)*OPEX!$B$75</f>
        <v>67603002.818530008</v>
      </c>
      <c r="G4" s="57">
        <f>(OPEX!$E$52*10^6)*OPEX!$B$75</f>
        <v>67603002.818530008</v>
      </c>
      <c r="H4" s="57">
        <f>(OPEX!$E$52*10^6)*OPEX!$B$75</f>
        <v>67603002.818530008</v>
      </c>
      <c r="I4" s="57">
        <f>(OPEX!$E$52*10^6)*OPEX!$B$75</f>
        <v>67603002.818530008</v>
      </c>
      <c r="J4" s="57">
        <f>(OPEX!$E$52*10^6)*OPEX!$B$75</f>
        <v>67603002.818530008</v>
      </c>
      <c r="K4" s="57">
        <f>(OPEX!$E$52*10^6)*OPEX!$B$75</f>
        <v>67603002.818530008</v>
      </c>
      <c r="L4" s="57">
        <f>(OPEX!$E$52*10^6)*OPEX!$B$75</f>
        <v>67603002.818530008</v>
      </c>
      <c r="M4" s="57">
        <f>(OPEX!$E$52*10^6)*OPEX!$B$75</f>
        <v>67603002.818530008</v>
      </c>
      <c r="N4" s="57">
        <f>(OPEX!$E$52*10^6)*OPEX!$B$75</f>
        <v>67603002.818530008</v>
      </c>
      <c r="O4" s="57">
        <f>(OPEX!$E$52*10^6)*OPEX!$B$75</f>
        <v>67603002.818530008</v>
      </c>
      <c r="P4" s="57">
        <f>(OPEX!$E$52*10^6)*OPEX!$B$75</f>
        <v>67603002.818530008</v>
      </c>
      <c r="Q4" s="57">
        <f>(OPEX!$E$52*10^6)*OPEX!$B$75</f>
        <v>67603002.818530008</v>
      </c>
      <c r="R4" s="57">
        <f>(OPEX!$E$52*10^6)*OPEX!$B$75</f>
        <v>67603002.818530008</v>
      </c>
      <c r="S4" s="57">
        <f>(OPEX!$E$52*10^6)*OPEX!$B$75</f>
        <v>67603002.818530008</v>
      </c>
      <c r="T4" s="57">
        <f>(OPEX!$E$52*10^6)*OPEX!$B$75</f>
        <v>67603002.818530008</v>
      </c>
      <c r="U4" s="57">
        <f>(OPEX!$E$52*10^6)*OPEX!$B$75</f>
        <v>67603002.818530008</v>
      </c>
      <c r="V4" s="57">
        <f>(OPEX!$E$52*10^6)*OPEX!$B$75</f>
        <v>67603002.818530008</v>
      </c>
      <c r="W4" s="57">
        <f>(OPEX!$E$52*10^6)*OPEX!$B$75</f>
        <v>67603002.818530008</v>
      </c>
    </row>
    <row r="5" spans="2:23" x14ac:dyDescent="0.3">
      <c r="B5" s="56" t="s">
        <v>346</v>
      </c>
      <c r="C5" s="57"/>
      <c r="D5" s="57">
        <f>(OPEX!$E$53*10^6)*OPEX!$B$75</f>
        <v>19054939.654549394</v>
      </c>
      <c r="E5" s="57">
        <f>(OPEX!$E$53*10^6)*OPEX!$B$75</f>
        <v>19054939.654549394</v>
      </c>
      <c r="F5" s="57">
        <f>(OPEX!$E$53*10^6)*OPEX!$B$75</f>
        <v>19054939.654549394</v>
      </c>
      <c r="G5" s="57">
        <f>(OPEX!$E$53*10^6)*OPEX!$B$75</f>
        <v>19054939.654549394</v>
      </c>
      <c r="H5" s="57">
        <f>(OPEX!$E$53*10^6)*OPEX!$B$75</f>
        <v>19054939.654549394</v>
      </c>
      <c r="I5" s="57">
        <f>(OPEX!$E$53*10^6)*OPEX!$B$75</f>
        <v>19054939.654549394</v>
      </c>
      <c r="J5" s="57">
        <f>(OPEX!$E$53*10^6)*OPEX!$B$75</f>
        <v>19054939.654549394</v>
      </c>
      <c r="K5" s="57">
        <f>(OPEX!$E$53*10^6)*OPEX!$B$75</f>
        <v>19054939.654549394</v>
      </c>
      <c r="L5" s="57">
        <f>(OPEX!$E$53*10^6)*OPEX!$B$75</f>
        <v>19054939.654549394</v>
      </c>
      <c r="M5" s="57">
        <f>(OPEX!$E$53*10^6)*OPEX!$B$75</f>
        <v>19054939.654549394</v>
      </c>
      <c r="N5" s="57">
        <f>(OPEX!$E$53*10^6)*OPEX!$B$75</f>
        <v>19054939.654549394</v>
      </c>
      <c r="O5" s="57">
        <f>(OPEX!$E$53*10^6)*OPEX!$B$75</f>
        <v>19054939.654549394</v>
      </c>
      <c r="P5" s="57">
        <f>(OPEX!$E$53*10^6)*OPEX!$B$75</f>
        <v>19054939.654549394</v>
      </c>
      <c r="Q5" s="57">
        <f>(OPEX!$E$53*10^6)*OPEX!$B$75</f>
        <v>19054939.654549394</v>
      </c>
      <c r="R5" s="57">
        <f>(OPEX!$E$53*10^6)*OPEX!$B$75</f>
        <v>19054939.654549394</v>
      </c>
      <c r="S5" s="57">
        <f>(OPEX!$E$53*10^6)*OPEX!$B$75</f>
        <v>19054939.654549394</v>
      </c>
      <c r="T5" s="57">
        <f>(OPEX!$E$53*10^6)*OPEX!$B$75</f>
        <v>19054939.654549394</v>
      </c>
      <c r="U5" s="57">
        <f>(OPEX!$E$53*10^6)*OPEX!$B$75</f>
        <v>19054939.654549394</v>
      </c>
      <c r="V5" s="57">
        <f>(OPEX!$E$53*10^6)*OPEX!$B$75</f>
        <v>19054939.654549394</v>
      </c>
      <c r="W5" s="57">
        <f>(OPEX!$E$53*10^6)*OPEX!$B$75</f>
        <v>19054939.654549394</v>
      </c>
    </row>
    <row r="6" spans="2:23" x14ac:dyDescent="0.3">
      <c r="B6" s="56" t="s">
        <v>347</v>
      </c>
      <c r="C6" s="57"/>
      <c r="D6" s="57">
        <f>(OPEX!$E$55*10^6)*OPEX!$B$75</f>
        <v>700549.25200549234</v>
      </c>
      <c r="E6" s="57">
        <f>(OPEX!$E$55*10^6)*OPEX!$B$75</f>
        <v>700549.25200549234</v>
      </c>
      <c r="F6" s="57">
        <f>(OPEX!$E$55*10^6)*OPEX!$B$75</f>
        <v>700549.25200549234</v>
      </c>
      <c r="G6" s="57">
        <f>(OPEX!$E$55*10^6)*OPEX!$B$75</f>
        <v>700549.25200549234</v>
      </c>
      <c r="H6" s="57">
        <f>(OPEX!$E$55*10^6)*OPEX!$B$75</f>
        <v>700549.25200549234</v>
      </c>
      <c r="I6" s="57">
        <f>(OPEX!$E$55*10^6)*OPEX!$B$75</f>
        <v>700549.25200549234</v>
      </c>
      <c r="J6" s="57">
        <f>(OPEX!$E$55*10^6)*OPEX!$B$75</f>
        <v>700549.25200549234</v>
      </c>
      <c r="K6" s="57">
        <f>(OPEX!$E$55*10^6)*OPEX!$B$75</f>
        <v>700549.25200549234</v>
      </c>
      <c r="L6" s="57">
        <f>(OPEX!$E$55*10^6)*OPEX!$B$75</f>
        <v>700549.25200549234</v>
      </c>
      <c r="M6" s="57">
        <f>(OPEX!$E$55*10^6)*OPEX!$B$75</f>
        <v>700549.25200549234</v>
      </c>
      <c r="N6" s="57">
        <f>(OPEX!$E$55*10^6)*OPEX!$B$75</f>
        <v>700549.25200549234</v>
      </c>
      <c r="O6" s="57">
        <f>(OPEX!$E$55*10^6)*OPEX!$B$75</f>
        <v>700549.25200549234</v>
      </c>
      <c r="P6" s="57">
        <f>(OPEX!$E$55*10^6)*OPEX!$B$75</f>
        <v>700549.25200549234</v>
      </c>
      <c r="Q6" s="57">
        <f>(OPEX!$E$55*10^6)*OPEX!$B$75</f>
        <v>700549.25200549234</v>
      </c>
      <c r="R6" s="57">
        <f>(OPEX!$E$55*10^6)*OPEX!$B$75</f>
        <v>700549.25200549234</v>
      </c>
      <c r="S6" s="57">
        <f>(OPEX!$E$55*10^6)*OPEX!$B$75</f>
        <v>700549.25200549234</v>
      </c>
      <c r="T6" s="57">
        <f>(OPEX!$E$55*10^6)*OPEX!$B$75</f>
        <v>700549.25200549234</v>
      </c>
      <c r="U6" s="57">
        <f>(OPEX!$E$55*10^6)*OPEX!$B$75</f>
        <v>700549.25200549234</v>
      </c>
      <c r="V6" s="57">
        <f>(OPEX!$E$55*10^6)*OPEX!$B$75</f>
        <v>700549.25200549234</v>
      </c>
      <c r="W6" s="57">
        <f>(OPEX!$E$55*10^6)*OPEX!$B$75</f>
        <v>700549.25200549234</v>
      </c>
    </row>
    <row r="7" spans="2:23" x14ac:dyDescent="0.3">
      <c r="B7" s="56" t="s">
        <v>348</v>
      </c>
      <c r="C7" s="57"/>
      <c r="D7" s="57">
        <f>(OPEX!$E$54*10^6)*OPEX!$B$75</f>
        <v>40071417.214714162</v>
      </c>
      <c r="E7" s="57">
        <f>(OPEX!$E$54*10^6)*OPEX!$B$75</f>
        <v>40071417.214714162</v>
      </c>
      <c r="F7" s="57">
        <f>(OPEX!$E$54*10^6)*OPEX!$B$75</f>
        <v>40071417.214714162</v>
      </c>
      <c r="G7" s="57">
        <f>(OPEX!$E$54*10^6)*OPEX!$B$75</f>
        <v>40071417.214714162</v>
      </c>
      <c r="H7" s="57">
        <f>(OPEX!$E$54*10^6)*OPEX!$B$75</f>
        <v>40071417.214714162</v>
      </c>
      <c r="I7" s="57">
        <f>(OPEX!$E$54*10^6)*OPEX!$B$75</f>
        <v>40071417.214714162</v>
      </c>
      <c r="J7" s="57">
        <f>(OPEX!$E$54*10^6)*OPEX!$B$75</f>
        <v>40071417.214714162</v>
      </c>
      <c r="K7" s="57">
        <f>(OPEX!$E$54*10^6)*OPEX!$B$75</f>
        <v>40071417.214714162</v>
      </c>
      <c r="L7" s="57">
        <f>(OPEX!$E$54*10^6)*OPEX!$B$75</f>
        <v>40071417.214714162</v>
      </c>
      <c r="M7" s="57">
        <f>(OPEX!$E$54*10^6)*OPEX!$B$75</f>
        <v>40071417.214714162</v>
      </c>
      <c r="N7" s="57">
        <f>(OPEX!$E$54*10^6)*OPEX!$B$75</f>
        <v>40071417.214714162</v>
      </c>
      <c r="O7" s="57">
        <f>(OPEX!$E$54*10^6)*OPEX!$B$75</f>
        <v>40071417.214714162</v>
      </c>
      <c r="P7" s="57">
        <f>(OPEX!$E$54*10^6)*OPEX!$B$75</f>
        <v>40071417.214714162</v>
      </c>
      <c r="Q7" s="57">
        <f>(OPEX!$E$54*10^6)*OPEX!$B$75</f>
        <v>40071417.214714162</v>
      </c>
      <c r="R7" s="57">
        <f>(OPEX!$E$54*10^6)*OPEX!$B$75</f>
        <v>40071417.214714162</v>
      </c>
      <c r="S7" s="57">
        <f>(OPEX!$E$54*10^6)*OPEX!$B$75</f>
        <v>40071417.214714162</v>
      </c>
      <c r="T7" s="57">
        <f>(OPEX!$E$54*10^6)*OPEX!$B$75</f>
        <v>40071417.214714162</v>
      </c>
      <c r="U7" s="57">
        <f>(OPEX!$E$54*10^6)*OPEX!$B$75</f>
        <v>40071417.214714162</v>
      </c>
      <c r="V7" s="57">
        <f>(OPEX!$E$54*10^6)*OPEX!$B$75</f>
        <v>40071417.214714162</v>
      </c>
      <c r="W7" s="57">
        <f>(OPEX!$E$54*10^6)*OPEX!$B$75</f>
        <v>40071417.214714162</v>
      </c>
    </row>
    <row r="8" spans="2:23" x14ac:dyDescent="0.3">
      <c r="B8" s="56" t="s">
        <v>349</v>
      </c>
      <c r="C8" s="57"/>
      <c r="D8" s="57">
        <f>(OPEX!$E$51*10^6)*OPEX!$B$75</f>
        <v>71035694.153356925</v>
      </c>
      <c r="E8" s="57">
        <f>(OPEX!$E$51*10^6)*OPEX!$B$75</f>
        <v>71035694.153356925</v>
      </c>
      <c r="F8" s="57">
        <f>(OPEX!$E$51*10^6)*OPEX!$B$75</f>
        <v>71035694.153356925</v>
      </c>
      <c r="G8" s="57">
        <f>(OPEX!$E$51*10^6)*OPEX!$B$75</f>
        <v>71035694.153356925</v>
      </c>
      <c r="H8" s="57">
        <f>(OPEX!$E$51*10^6)*OPEX!$B$75</f>
        <v>71035694.153356925</v>
      </c>
      <c r="I8" s="57">
        <f>(OPEX!$E$51*10^6)*OPEX!$B$75</f>
        <v>71035694.153356925</v>
      </c>
      <c r="J8" s="57">
        <f>(OPEX!$E$51*10^6)*OPEX!$B$75</f>
        <v>71035694.153356925</v>
      </c>
      <c r="K8" s="57">
        <f>(OPEX!$E$51*10^6)*OPEX!$B$75</f>
        <v>71035694.153356925</v>
      </c>
      <c r="L8" s="57">
        <f>(OPEX!$E$51*10^6)*OPEX!$B$75</f>
        <v>71035694.153356925</v>
      </c>
      <c r="M8" s="57">
        <f>(OPEX!$E$51*10^6)*OPEX!$B$75</f>
        <v>71035694.153356925</v>
      </c>
      <c r="N8" s="57">
        <f>(OPEX!$E$51*10^6)*OPEX!$B$75</f>
        <v>71035694.153356925</v>
      </c>
      <c r="O8" s="57">
        <f>(OPEX!$E$51*10^6)*OPEX!$B$75</f>
        <v>71035694.153356925</v>
      </c>
      <c r="P8" s="57">
        <f>(OPEX!$E$51*10^6)*OPEX!$B$75</f>
        <v>71035694.153356925</v>
      </c>
      <c r="Q8" s="57">
        <f>(OPEX!$E$51*10^6)*OPEX!$B$75</f>
        <v>71035694.153356925</v>
      </c>
      <c r="R8" s="57">
        <f>(OPEX!$E$51*10^6)*OPEX!$B$75</f>
        <v>71035694.153356925</v>
      </c>
      <c r="S8" s="57">
        <f>(OPEX!$E$51*10^6)*OPEX!$B$75</f>
        <v>71035694.153356925</v>
      </c>
      <c r="T8" s="57">
        <f>(OPEX!$E$51*10^6)*OPEX!$B$75</f>
        <v>71035694.153356925</v>
      </c>
      <c r="U8" s="57">
        <f>(OPEX!$E$51*10^6)*OPEX!$B$75</f>
        <v>71035694.153356925</v>
      </c>
      <c r="V8" s="57">
        <f>(OPEX!$E$51*10^6)*OPEX!$B$75</f>
        <v>71035694.153356925</v>
      </c>
      <c r="W8" s="57">
        <f>(OPEX!$E$51*10^6)*OPEX!$B$75</f>
        <v>71035694.153356925</v>
      </c>
    </row>
    <row r="9" spans="2:23" x14ac:dyDescent="0.3">
      <c r="B9" s="56" t="s">
        <v>350</v>
      </c>
      <c r="C9" s="57"/>
      <c r="D9" s="57">
        <f>(OPEX!$E$56*10^6)*OPEX!$B$75</f>
        <v>840659.10240659083</v>
      </c>
      <c r="E9" s="57">
        <f>(OPEX!$E$56*10^6)*OPEX!$B$75</f>
        <v>840659.10240659083</v>
      </c>
      <c r="F9" s="57">
        <f>(OPEX!$E$56*10^6)*OPEX!$B$75</f>
        <v>840659.10240659083</v>
      </c>
      <c r="G9" s="57">
        <f>(OPEX!$E$56*10^6)*OPEX!$B$75</f>
        <v>840659.10240659083</v>
      </c>
      <c r="H9" s="57">
        <f>(OPEX!$E$56*10^6)*OPEX!$B$75</f>
        <v>840659.10240659083</v>
      </c>
      <c r="I9" s="57">
        <f>(OPEX!$E$56*10^6)*OPEX!$B$75</f>
        <v>840659.10240659083</v>
      </c>
      <c r="J9" s="57">
        <f>(OPEX!$E$56*10^6)*OPEX!$B$75</f>
        <v>840659.10240659083</v>
      </c>
      <c r="K9" s="57">
        <f>(OPEX!$E$56*10^6)*OPEX!$B$75</f>
        <v>840659.10240659083</v>
      </c>
      <c r="L9" s="57">
        <f>(OPEX!$E$56*10^6)*OPEX!$B$75</f>
        <v>840659.10240659083</v>
      </c>
      <c r="M9" s="57">
        <f>(OPEX!$E$56*10^6)*OPEX!$B$75</f>
        <v>840659.10240659083</v>
      </c>
      <c r="N9" s="57">
        <f>(OPEX!$E$56*10^6)*OPEX!$B$75</f>
        <v>840659.10240659083</v>
      </c>
      <c r="O9" s="57">
        <f>(OPEX!$E$56*10^6)*OPEX!$B$75</f>
        <v>840659.10240659083</v>
      </c>
      <c r="P9" s="57">
        <f>(OPEX!$E$56*10^6)*OPEX!$B$75</f>
        <v>840659.10240659083</v>
      </c>
      <c r="Q9" s="57">
        <f>(OPEX!$E$56*10^6)*OPEX!$B$75</f>
        <v>840659.10240659083</v>
      </c>
      <c r="R9" s="57">
        <f>(OPEX!$E$56*10^6)*OPEX!$B$75</f>
        <v>840659.10240659083</v>
      </c>
      <c r="S9" s="57">
        <f>(OPEX!$E$56*10^6)*OPEX!$B$75</f>
        <v>840659.10240659083</v>
      </c>
      <c r="T9" s="57">
        <f>(OPEX!$E$56*10^6)*OPEX!$B$75</f>
        <v>840659.10240659083</v>
      </c>
      <c r="U9" s="57">
        <f>(OPEX!$E$56*10^6)*OPEX!$B$75</f>
        <v>840659.10240659083</v>
      </c>
      <c r="V9" s="57">
        <f>(OPEX!$E$56*10^6)*OPEX!$B$75</f>
        <v>840659.10240659083</v>
      </c>
      <c r="W9" s="57">
        <f>(OPEX!$E$56*10^6)*OPEX!$B$75</f>
        <v>840659.10240659083</v>
      </c>
    </row>
    <row r="10" spans="2:23" x14ac:dyDescent="0.3">
      <c r="B10" s="56" t="s">
        <v>351</v>
      </c>
      <c r="C10" s="57"/>
      <c r="D10" s="57">
        <f>((OPEX!$E$57+OPEX!$B$62)*10^6)*OPEX!$B$75</f>
        <v>840659.10240659083</v>
      </c>
      <c r="E10" s="57">
        <f>((OPEX!$E$57+OPEX!$B$62)*10^6)*OPEX!$B$75</f>
        <v>840659.10240659083</v>
      </c>
      <c r="F10" s="57">
        <f>((OPEX!$E$57+OPEX!$B$62)*10^6)*OPEX!$B$75</f>
        <v>840659.10240659083</v>
      </c>
      <c r="G10" s="57">
        <f>((OPEX!$E$57+OPEX!$B$62)*10^6)*OPEX!$B$75</f>
        <v>840659.10240659083</v>
      </c>
      <c r="H10" s="57">
        <f>((OPEX!$E$57+OPEX!$B$62)*10^6)*OPEX!$B$75</f>
        <v>840659.10240659083</v>
      </c>
      <c r="I10" s="57">
        <f>((OPEX!$E$57+OPEX!$B$62)*10^6)*OPEX!$B$75</f>
        <v>840659.10240659083</v>
      </c>
      <c r="J10" s="57">
        <f>((OPEX!$E$57+OPEX!$B$62)*10^6)*OPEX!$B$75</f>
        <v>840659.10240659083</v>
      </c>
      <c r="K10" s="57">
        <f>((OPEX!$E$57+OPEX!$B$62)*10^6)*OPEX!$B$75</f>
        <v>840659.10240659083</v>
      </c>
      <c r="L10" s="57">
        <f>((OPEX!$E$57+OPEX!$B$62)*10^6)*OPEX!$B$75</f>
        <v>840659.10240659083</v>
      </c>
      <c r="M10" s="57">
        <f>((OPEX!$E$57+OPEX!$B$62)*10^6)*OPEX!$B$75</f>
        <v>840659.10240659083</v>
      </c>
      <c r="N10" s="57">
        <f>((OPEX!$E$57+OPEX!$B$62)*10^6)*OPEX!$B$75</f>
        <v>840659.10240659083</v>
      </c>
      <c r="O10" s="57">
        <f>((OPEX!$E$57+OPEX!$B$62)*10^6)*OPEX!$B$75</f>
        <v>840659.10240659083</v>
      </c>
      <c r="P10" s="57">
        <f>((OPEX!$E$57+OPEX!$B$62)*10^6)*OPEX!$B$75</f>
        <v>840659.10240659083</v>
      </c>
      <c r="Q10" s="57">
        <f>((OPEX!$E$57+OPEX!$B$62)*10^6)*OPEX!$B$75</f>
        <v>840659.10240659083</v>
      </c>
      <c r="R10" s="57">
        <f>((OPEX!$E$57+OPEX!$B$62)*10^6)*OPEX!$B$75</f>
        <v>840659.10240659083</v>
      </c>
      <c r="S10" s="57">
        <f>((OPEX!$E$57+OPEX!$B$62)*10^6)*OPEX!$B$75</f>
        <v>840659.10240659083</v>
      </c>
      <c r="T10" s="57">
        <f>((OPEX!$E$57+OPEX!$B$62)*10^6)*OPEX!$B$75</f>
        <v>840659.10240659083</v>
      </c>
      <c r="U10" s="57">
        <f>((OPEX!$E$57+OPEX!$B$62)*10^6)*OPEX!$B$75</f>
        <v>840659.10240659083</v>
      </c>
      <c r="V10" s="57">
        <f>((OPEX!$E$57+OPEX!$B$62)*10^6)*OPEX!$B$75</f>
        <v>840659.10240659083</v>
      </c>
      <c r="W10" s="57">
        <f>((OPEX!$E$57+OPEX!$B$62)*10^6)*OPEX!$B$75</f>
        <v>840659.10240659083</v>
      </c>
    </row>
    <row r="11" spans="2:23" x14ac:dyDescent="0.3">
      <c r="B11" s="56" t="s">
        <v>352</v>
      </c>
      <c r="C11" s="57"/>
      <c r="D11" s="57">
        <f>(OPEX!$E$58*10^6)*OPEX!$B$75</f>
        <v>1891482.9804148297</v>
      </c>
      <c r="E11" s="57">
        <f>(OPEX!$E$58*10^6)*OPEX!$B$75</f>
        <v>1891482.9804148297</v>
      </c>
      <c r="F11" s="57">
        <f>(OPEX!$E$58*10^6)*OPEX!$B$75</f>
        <v>1891482.9804148297</v>
      </c>
      <c r="G11" s="57">
        <f>(OPEX!$E$58*10^6)*OPEX!$B$75</f>
        <v>1891482.9804148297</v>
      </c>
      <c r="H11" s="57">
        <f>(OPEX!$E$58*10^6)*OPEX!$B$75</f>
        <v>1891482.9804148297</v>
      </c>
      <c r="I11" s="57">
        <f>(OPEX!$E$58*10^6)*OPEX!$B$75</f>
        <v>1891482.9804148297</v>
      </c>
      <c r="J11" s="57">
        <f>(OPEX!$E$58*10^6)*OPEX!$B$75</f>
        <v>1891482.9804148297</v>
      </c>
      <c r="K11" s="57">
        <f>(OPEX!$E$58*10^6)*OPEX!$B$75</f>
        <v>1891482.9804148297</v>
      </c>
      <c r="L11" s="57">
        <f>(OPEX!$E$58*10^6)*OPEX!$B$75</f>
        <v>1891482.9804148297</v>
      </c>
      <c r="M11" s="57">
        <f>(OPEX!$E$58*10^6)*OPEX!$B$75</f>
        <v>1891482.9804148297</v>
      </c>
      <c r="N11" s="57">
        <f>(OPEX!$E$58*10^6)*OPEX!$B$75</f>
        <v>1891482.9804148297</v>
      </c>
      <c r="O11" s="57">
        <f>(OPEX!$E$58*10^6)*OPEX!$B$75</f>
        <v>1891482.9804148297</v>
      </c>
      <c r="P11" s="57">
        <f>(OPEX!$E$58*10^6)*OPEX!$B$75</f>
        <v>1891482.9804148297</v>
      </c>
      <c r="Q11" s="57">
        <f>(OPEX!$E$58*10^6)*OPEX!$B$75</f>
        <v>1891482.9804148297</v>
      </c>
      <c r="R11" s="57">
        <f>(OPEX!$E$58*10^6)*OPEX!$B$75</f>
        <v>1891482.9804148297</v>
      </c>
      <c r="S11" s="57">
        <f>(OPEX!$E$58*10^6)*OPEX!$B$75</f>
        <v>1891482.9804148297</v>
      </c>
      <c r="T11" s="57">
        <f>(OPEX!$E$58*10^6)*OPEX!$B$75</f>
        <v>1891482.9804148297</v>
      </c>
      <c r="U11" s="57">
        <f>(OPEX!$E$58*10^6)*OPEX!$B$75</f>
        <v>1891482.9804148297</v>
      </c>
      <c r="V11" s="57">
        <f>(OPEX!$E$58*10^6)*OPEX!$B$75</f>
        <v>1891482.9804148297</v>
      </c>
      <c r="W11" s="57">
        <f>(OPEX!$E$58*10^6)*OPEX!$B$75</f>
        <v>1891482.9804148297</v>
      </c>
    </row>
    <row r="12" spans="2:23" x14ac:dyDescent="0.3">
      <c r="B12" s="56" t="s">
        <v>353</v>
      </c>
      <c r="C12" s="57"/>
      <c r="D12" s="57">
        <f>(OPEX!$E$60*10^6)*OPEX!$B$75</f>
        <v>22207411.288574111</v>
      </c>
      <c r="E12" s="57">
        <f>(OPEX!$E$60*10^6)*OPEX!$B$75</f>
        <v>22207411.288574111</v>
      </c>
      <c r="F12" s="57">
        <f>(OPEX!$E$60*10^6)*OPEX!$B$75</f>
        <v>22207411.288574111</v>
      </c>
      <c r="G12" s="57">
        <f>(OPEX!$E$60*10^6)*OPEX!$B$75</f>
        <v>22207411.288574111</v>
      </c>
      <c r="H12" s="57">
        <f>(OPEX!$E$60*10^6)*OPEX!$B$75</f>
        <v>22207411.288574111</v>
      </c>
      <c r="I12" s="57">
        <f>(OPEX!$E$60*10^6)*OPEX!$B$75</f>
        <v>22207411.288574111</v>
      </c>
      <c r="J12" s="57">
        <f>(OPEX!$E$60*10^6)*OPEX!$B$75</f>
        <v>22207411.288574111</v>
      </c>
      <c r="K12" s="57">
        <f>(OPEX!$E$60*10^6)*OPEX!$B$75</f>
        <v>22207411.288574111</v>
      </c>
      <c r="L12" s="57">
        <f>(OPEX!$E$60*10^6)*OPEX!$B$75</f>
        <v>22207411.288574111</v>
      </c>
      <c r="M12" s="57">
        <f>(OPEX!$E$60*10^6)*OPEX!$B$75</f>
        <v>22207411.288574111</v>
      </c>
      <c r="N12" s="57">
        <f>(OPEX!$E$60*10^6)*OPEX!$B$75</f>
        <v>22207411.288574111</v>
      </c>
      <c r="O12" s="57">
        <f>(OPEX!$E$60*10^6)*OPEX!$B$75</f>
        <v>22207411.288574111</v>
      </c>
      <c r="P12" s="57">
        <f>(OPEX!$E$60*10^6)*OPEX!$B$75</f>
        <v>22207411.288574111</v>
      </c>
      <c r="Q12" s="57">
        <f>(OPEX!$E$60*10^6)*OPEX!$B$75</f>
        <v>22207411.288574111</v>
      </c>
      <c r="R12" s="57">
        <f>(OPEX!$E$60*10^6)*OPEX!$B$75</f>
        <v>22207411.288574111</v>
      </c>
      <c r="S12" s="57">
        <f>(OPEX!$E$60*10^6)*OPEX!$B$75</f>
        <v>22207411.288574111</v>
      </c>
      <c r="T12" s="57">
        <f>(OPEX!$E$60*10^6)*OPEX!$B$75</f>
        <v>22207411.288574111</v>
      </c>
      <c r="U12" s="57">
        <f>(OPEX!$E$60*10^6)*OPEX!$B$75</f>
        <v>22207411.288574111</v>
      </c>
      <c r="V12" s="57">
        <f>(OPEX!$E$60*10^6)*OPEX!$B$75</f>
        <v>22207411.288574111</v>
      </c>
      <c r="W12" s="57">
        <f>(OPEX!$E$60*10^6)*OPEX!$B$75</f>
        <v>22207411.288574111</v>
      </c>
    </row>
    <row r="13" spans="2:23" x14ac:dyDescent="0.3">
      <c r="B13" s="56" t="s">
        <v>354</v>
      </c>
      <c r="C13" s="57"/>
      <c r="D13" s="57">
        <f>(OPEX!$E$59*10^6)*OPEX!$B$75</f>
        <v>140109.85040109849</v>
      </c>
      <c r="E13" s="57">
        <f>(OPEX!$E$59*10^6)*OPEX!$B$75</f>
        <v>140109.85040109849</v>
      </c>
      <c r="F13" s="57">
        <f>(OPEX!$E$59*10^6)*OPEX!$B$75</f>
        <v>140109.85040109849</v>
      </c>
      <c r="G13" s="57">
        <f>(OPEX!$E$59*10^6)*OPEX!$B$75</f>
        <v>140109.85040109849</v>
      </c>
      <c r="H13" s="57">
        <f>(OPEX!$E$59*10^6)*OPEX!$B$75</f>
        <v>140109.85040109849</v>
      </c>
      <c r="I13" s="57">
        <f>(OPEX!$E$59*10^6)*OPEX!$B$75</f>
        <v>140109.85040109849</v>
      </c>
      <c r="J13" s="57">
        <f>(OPEX!$E$59*10^6)*OPEX!$B$75</f>
        <v>140109.85040109849</v>
      </c>
      <c r="K13" s="57">
        <f>(OPEX!$E$59*10^6)*OPEX!$B$75</f>
        <v>140109.85040109849</v>
      </c>
      <c r="L13" s="57">
        <f>(OPEX!$E$59*10^6)*OPEX!$B$75</f>
        <v>140109.85040109849</v>
      </c>
      <c r="M13" s="57">
        <f>(OPEX!$E$59*10^6)*OPEX!$B$75</f>
        <v>140109.85040109849</v>
      </c>
      <c r="N13" s="57">
        <f>(OPEX!$E$59*10^6)*OPEX!$B$75</f>
        <v>140109.85040109849</v>
      </c>
      <c r="O13" s="57">
        <f>(OPEX!$E$59*10^6)*OPEX!$B$75</f>
        <v>140109.85040109849</v>
      </c>
      <c r="P13" s="57">
        <f>(OPEX!$E$59*10^6)*OPEX!$B$75</f>
        <v>140109.85040109849</v>
      </c>
      <c r="Q13" s="57">
        <f>(OPEX!$E$59*10^6)*OPEX!$B$75</f>
        <v>140109.85040109849</v>
      </c>
      <c r="R13" s="57">
        <f>(OPEX!$E$59*10^6)*OPEX!$B$75</f>
        <v>140109.85040109849</v>
      </c>
      <c r="S13" s="57">
        <f>(OPEX!$E$59*10^6)*OPEX!$B$75</f>
        <v>140109.85040109849</v>
      </c>
      <c r="T13" s="57">
        <f>(OPEX!$E$59*10^6)*OPEX!$B$75</f>
        <v>140109.85040109849</v>
      </c>
      <c r="U13" s="57">
        <f>(OPEX!$E$59*10^6)*OPEX!$B$75</f>
        <v>140109.85040109849</v>
      </c>
      <c r="V13" s="57">
        <f>(OPEX!$E$59*10^6)*OPEX!$B$75</f>
        <v>140109.85040109849</v>
      </c>
      <c r="W13" s="57">
        <f>(OPEX!$E$59*10^6)*OPEX!$B$75</f>
        <v>140109.85040109849</v>
      </c>
    </row>
    <row r="14" spans="2:23" x14ac:dyDescent="0.3">
      <c r="B14" s="56" t="s">
        <v>355</v>
      </c>
      <c r="C14" s="57"/>
      <c r="D14" s="57">
        <f>(OPEX!$E$61*10^6)*OPEX!$B$75</f>
        <v>55553555.68403554</v>
      </c>
      <c r="E14" s="57">
        <f>(OPEX!$E$61*10^6)*OPEX!$B$75</f>
        <v>55553555.68403554</v>
      </c>
      <c r="F14" s="57">
        <f>(OPEX!$E$61*10^6)*OPEX!$B$75</f>
        <v>55553555.68403554</v>
      </c>
      <c r="G14" s="57">
        <f>(OPEX!$E$61*10^6)*OPEX!$B$75</f>
        <v>55553555.68403554</v>
      </c>
      <c r="H14" s="57">
        <f>(OPEX!$E$61*10^6)*OPEX!$B$75</f>
        <v>55553555.68403554</v>
      </c>
      <c r="I14" s="57">
        <f>(OPEX!$E$61*10^6)*OPEX!$B$75</f>
        <v>55553555.68403554</v>
      </c>
      <c r="J14" s="57">
        <f>(OPEX!$E$61*10^6)*OPEX!$B$75</f>
        <v>55553555.68403554</v>
      </c>
      <c r="K14" s="57">
        <f>(OPEX!$E$61*10^6)*OPEX!$B$75</f>
        <v>55553555.68403554</v>
      </c>
      <c r="L14" s="57">
        <f>(OPEX!$E$61*10^6)*OPEX!$B$75</f>
        <v>55553555.68403554</v>
      </c>
      <c r="M14" s="57">
        <f>(OPEX!$E$61*10^6)*OPEX!$B$75</f>
        <v>55553555.68403554</v>
      </c>
      <c r="N14" s="57">
        <f>(OPEX!$E$61*10^6)*OPEX!$B$75</f>
        <v>55553555.68403554</v>
      </c>
      <c r="O14" s="57">
        <f>(OPEX!$E$61*10^6)*OPEX!$B$75</f>
        <v>55553555.68403554</v>
      </c>
      <c r="P14" s="57">
        <f>(OPEX!$E$61*10^6)*OPEX!$B$75</f>
        <v>55553555.68403554</v>
      </c>
      <c r="Q14" s="57">
        <f>(OPEX!$E$61*10^6)*OPEX!$B$75</f>
        <v>55553555.68403554</v>
      </c>
      <c r="R14" s="57">
        <f>(OPEX!$E$61*10^6)*OPEX!$B$75</f>
        <v>55553555.68403554</v>
      </c>
      <c r="S14" s="57">
        <f>(OPEX!$E$61*10^6)*OPEX!$B$75</f>
        <v>55553555.68403554</v>
      </c>
      <c r="T14" s="57">
        <f>(OPEX!$E$61*10^6)*OPEX!$B$75</f>
        <v>55553555.68403554</v>
      </c>
      <c r="U14" s="57">
        <f>(OPEX!$E$61*10^6)*OPEX!$B$75</f>
        <v>55553555.68403554</v>
      </c>
      <c r="V14" s="57">
        <f>(OPEX!$E$61*10^6)*OPEX!$B$75</f>
        <v>55553555.68403554</v>
      </c>
      <c r="W14" s="57">
        <f>(OPEX!$E$61*10^6)*OPEX!$B$75</f>
        <v>55553555.68403554</v>
      </c>
    </row>
    <row r="15" spans="2:23" x14ac:dyDescent="0.3">
      <c r="B15" s="56" t="s">
        <v>356</v>
      </c>
      <c r="C15" s="57"/>
      <c r="D15" s="57">
        <f>(OPEX!$E$67*10^6)*OPEX!$B$75</f>
        <v>70531070.754800111</v>
      </c>
      <c r="E15" s="57">
        <f>(OPEX!$E$67*10^6)*OPEX!$B$75</f>
        <v>70531070.754800111</v>
      </c>
      <c r="F15" s="57">
        <f>(OPEX!$E$67*10^6)*OPEX!$B$75</f>
        <v>70531070.754800111</v>
      </c>
      <c r="G15" s="57">
        <f>(OPEX!$E$67*10^6)*OPEX!$B$75</f>
        <v>70531070.754800111</v>
      </c>
      <c r="H15" s="57">
        <f>(OPEX!$E$67*10^6)*OPEX!$B$75</f>
        <v>70531070.754800111</v>
      </c>
      <c r="I15" s="57">
        <f>(OPEX!$E$67*10^6)*OPEX!$B$75</f>
        <v>70531070.754800111</v>
      </c>
      <c r="J15" s="57">
        <f>(OPEX!$E$67*10^6)*OPEX!$B$75</f>
        <v>70531070.754800111</v>
      </c>
      <c r="K15" s="57">
        <f>(OPEX!$E$67*10^6)*OPEX!$B$75</f>
        <v>70531070.754800111</v>
      </c>
      <c r="L15" s="57">
        <f>(OPEX!$E$67*10^6)*OPEX!$B$75</f>
        <v>70531070.754800111</v>
      </c>
      <c r="M15" s="57">
        <f>(OPEX!$E$67*10^6)*OPEX!$B$75</f>
        <v>70531070.754800111</v>
      </c>
      <c r="N15" s="57">
        <f>(OPEX!$E$67*10^6)*OPEX!$B$75</f>
        <v>70531070.754800111</v>
      </c>
      <c r="O15" s="57">
        <f>(OPEX!$E$67*10^6)*OPEX!$B$75</f>
        <v>70531070.754800111</v>
      </c>
      <c r="P15" s="57">
        <f>(OPEX!$E$67*10^6)*OPEX!$B$75</f>
        <v>70531070.754800111</v>
      </c>
      <c r="Q15" s="57">
        <f>(OPEX!$E$67*10^6)*OPEX!$B$75</f>
        <v>70531070.754800111</v>
      </c>
      <c r="R15" s="57">
        <f>(OPEX!$E$67*10^6)*OPEX!$B$75</f>
        <v>70531070.754800111</v>
      </c>
      <c r="S15" s="57">
        <f>(OPEX!$E$67*10^6)*OPEX!$B$75</f>
        <v>70531070.754800111</v>
      </c>
      <c r="T15" s="57">
        <f>(OPEX!$E$67*10^6)*OPEX!$B$75</f>
        <v>70531070.754800111</v>
      </c>
      <c r="U15" s="57">
        <f>(OPEX!$E$67*10^6)*OPEX!$B$75</f>
        <v>70531070.754800111</v>
      </c>
      <c r="V15" s="57">
        <f>(OPEX!$E$67*10^6)*OPEX!$B$75</f>
        <v>70531070.754800111</v>
      </c>
      <c r="W15" s="57">
        <f>(OPEX!$E$67*10^6)*OPEX!$B$75</f>
        <v>70531070.754800111</v>
      </c>
    </row>
    <row r="16" spans="2:23" x14ac:dyDescent="0.3">
      <c r="B16" s="56" t="s">
        <v>358</v>
      </c>
      <c r="C16" s="57"/>
      <c r="D16" s="57">
        <f>(OPEX!$E$69*10^6)*OPEX!$B$75</f>
        <v>37269220.206692196</v>
      </c>
      <c r="E16" s="57">
        <f>(OPEX!$E$69*10^6)*OPEX!$B$75</f>
        <v>37269220.206692196</v>
      </c>
      <c r="F16" s="57">
        <f>(OPEX!$E$69*10^6)*OPEX!$B$75</f>
        <v>37269220.206692196</v>
      </c>
      <c r="G16" s="57">
        <f>(OPEX!$E$69*10^6)*OPEX!$B$75</f>
        <v>37269220.206692196</v>
      </c>
      <c r="H16" s="57">
        <f>(OPEX!$E$69*10^6)*OPEX!$B$75</f>
        <v>37269220.206692196</v>
      </c>
      <c r="I16" s="57">
        <f>(OPEX!$E$69*10^6)*OPEX!$B$75</f>
        <v>37269220.206692196</v>
      </c>
      <c r="J16" s="57">
        <f>(OPEX!$E$69*10^6)*OPEX!$B$75</f>
        <v>37269220.206692196</v>
      </c>
      <c r="K16" s="57">
        <f>(OPEX!$E$69*10^6)*OPEX!$B$75</f>
        <v>37269220.206692196</v>
      </c>
      <c r="L16" s="57">
        <f>(OPEX!$E$69*10^6)*OPEX!$B$75</f>
        <v>37269220.206692196</v>
      </c>
      <c r="M16" s="57">
        <f>(OPEX!$E$69*10^6)*OPEX!$B$75</f>
        <v>37269220.206692196</v>
      </c>
      <c r="N16" s="57">
        <f>(OPEX!$E$69*10^6)*OPEX!$B$75</f>
        <v>37269220.206692196</v>
      </c>
      <c r="O16" s="57">
        <f>(OPEX!$E$69*10^6)*OPEX!$B$75</f>
        <v>37269220.206692196</v>
      </c>
      <c r="P16" s="57">
        <f>(OPEX!$E$69*10^6)*OPEX!$B$75</f>
        <v>37269220.206692196</v>
      </c>
      <c r="Q16" s="57">
        <f>(OPEX!$E$69*10^6)*OPEX!$B$75</f>
        <v>37269220.206692196</v>
      </c>
      <c r="R16" s="57">
        <f>(OPEX!$E$69*10^6)*OPEX!$B$75</f>
        <v>37269220.206692196</v>
      </c>
      <c r="S16" s="57">
        <f>(OPEX!$E$69*10^6)*OPEX!$B$75</f>
        <v>37269220.206692196</v>
      </c>
      <c r="T16" s="57">
        <f>(OPEX!$E$69*10^6)*OPEX!$B$75</f>
        <v>37269220.206692196</v>
      </c>
      <c r="U16" s="57">
        <f>(OPEX!$E$69*10^6)*OPEX!$B$75</f>
        <v>37269220.206692196</v>
      </c>
      <c r="V16" s="57">
        <f>(OPEX!$E$69*10^6)*OPEX!$B$75</f>
        <v>37269220.206692196</v>
      </c>
      <c r="W16" s="57">
        <f>(OPEX!$E$69*10^6)*OPEX!$B$75</f>
        <v>37269220.206692196</v>
      </c>
    </row>
    <row r="17" spans="2:25" x14ac:dyDescent="0.3">
      <c r="B17" s="59" t="s">
        <v>342</v>
      </c>
      <c r="C17" s="59"/>
      <c r="D17" s="60">
        <f>D2-D3</f>
        <v>783121834.72793663</v>
      </c>
      <c r="E17" s="60">
        <f t="shared" ref="E17:V17" si="1">E2-E3</f>
        <v>872911819.2464081</v>
      </c>
      <c r="F17" s="60">
        <f t="shared" si="1"/>
        <v>1216947300.340241</v>
      </c>
      <c r="G17" s="60">
        <f t="shared" si="1"/>
        <v>1544023711.2114315</v>
      </c>
      <c r="H17" s="60">
        <f t="shared" si="1"/>
        <v>1617791579.3258286</v>
      </c>
      <c r="I17" s="60">
        <f t="shared" si="1"/>
        <v>1617791579.325829</v>
      </c>
      <c r="J17" s="60">
        <f t="shared" si="1"/>
        <v>1617791579.32583</v>
      </c>
      <c r="K17" s="60">
        <f t="shared" si="1"/>
        <v>1617791579.32583</v>
      </c>
      <c r="L17" s="60">
        <f t="shared" si="1"/>
        <v>1617791579.3258295</v>
      </c>
      <c r="M17" s="60">
        <f t="shared" si="1"/>
        <v>1617791579.325829</v>
      </c>
      <c r="N17" s="60">
        <f>N2-N3</f>
        <v>1737376358.7446289</v>
      </c>
      <c r="O17" s="60">
        <f t="shared" si="1"/>
        <v>1737376358.7446294</v>
      </c>
      <c r="P17" s="60">
        <f t="shared" si="1"/>
        <v>1737376358.7446289</v>
      </c>
      <c r="Q17" s="60">
        <f t="shared" si="1"/>
        <v>1737376358.7446294</v>
      </c>
      <c r="R17" s="60">
        <f t="shared" si="1"/>
        <v>1737376358.7446289</v>
      </c>
      <c r="S17" s="60">
        <f t="shared" si="1"/>
        <v>1737376358.7446289</v>
      </c>
      <c r="T17" s="60">
        <f t="shared" si="1"/>
        <v>1771374688.1357765</v>
      </c>
      <c r="U17" s="60">
        <f t="shared" si="1"/>
        <v>1771376223.2431908</v>
      </c>
      <c r="V17" s="60">
        <f t="shared" si="1"/>
        <v>1680810303.0016913</v>
      </c>
      <c r="W17" s="60">
        <f>W2-W3</f>
        <v>1669561290.6662884</v>
      </c>
    </row>
    <row r="18" spans="2:25" x14ac:dyDescent="0.3">
      <c r="B18" t="s">
        <v>367</v>
      </c>
      <c r="C18" s="41">
        <v>0</v>
      </c>
      <c r="D18" s="41">
        <f t="shared" ref="D18:M18" si="2">E18</f>
        <v>201964577.66580552</v>
      </c>
      <c r="E18" s="41">
        <f t="shared" si="2"/>
        <v>201964577.66580552</v>
      </c>
      <c r="F18" s="41">
        <f t="shared" si="2"/>
        <v>201964577.66580552</v>
      </c>
      <c r="G18" s="41">
        <f t="shared" si="2"/>
        <v>201964577.66580552</v>
      </c>
      <c r="H18" s="41">
        <f t="shared" si="2"/>
        <v>201964577.66580552</v>
      </c>
      <c r="I18" s="41">
        <f t="shared" si="2"/>
        <v>201964577.66580552</v>
      </c>
      <c r="J18" s="41">
        <f t="shared" si="2"/>
        <v>201964577.66580552</v>
      </c>
      <c r="K18" s="41">
        <f t="shared" si="2"/>
        <v>201964577.66580552</v>
      </c>
      <c r="L18" s="41">
        <f t="shared" si="2"/>
        <v>201964577.66580552</v>
      </c>
      <c r="M18" s="41">
        <f t="shared" si="2"/>
        <v>201964577.66580552</v>
      </c>
      <c r="N18" s="41">
        <f>O18</f>
        <v>201964577.66580552</v>
      </c>
      <c r="O18" s="41">
        <f>((406049*1000)*(1+(SUMIFS(Inflação!$L$1:$L$20,Inflação!$I$1:$I$20,O$1)+Inflação!$K$22))*'Receita Máxima'!$H$47)</f>
        <v>201964577.66580552</v>
      </c>
      <c r="P18" s="41">
        <f>((422429*1000)*(1+(SUMIFS(Inflação!$L$1:$L$20,Inflação!$I$1:$I$20,P$1)+Inflação!$K$22))*'Receita Máxima'!$H$47)</f>
        <v>211173709.34135738</v>
      </c>
      <c r="Q18" s="41">
        <f>((336045*1000)*(1+(SUMIFS(Inflação!$L$1:$L$20,Inflação!$I$1:$I$20,Q$1)+Inflação!$K$22))*'Receita Máxima'!$H$47)</f>
        <v>156625074.53007716</v>
      </c>
      <c r="R18" s="41">
        <f>(((439093*1000)*(1+(SUMIFS(Inflação!$L$1:$L$20,Inflação!$I$1:$I$20,R$1)+Inflação!$K$22))*'Receita Máxima'!$H$47))</f>
        <v>191242559.43487641</v>
      </c>
      <c r="S18" s="41">
        <f>((450910*1000)*(1+(SUMIFS(Inflação!$L$1:$L$20,Inflação!$I$1:$I$20,S$1)+Inflação!$K$22))*'Receita Máxima'!$H$47)</f>
        <v>160957538.14162177</v>
      </c>
      <c r="T18" s="41">
        <f>((461439*1000)*(1+(SUMIFS(Inflação!$L$1:$L$20,Inflação!$I$1:$I$20,T$1)+Inflação!$K$22))*'Receita Máxima'!$H$47)</f>
        <v>141056134.32001835</v>
      </c>
      <c r="U18" s="41">
        <f>((478771*1000)*(1+(SUMIFS(Inflação!$L$1:$L$20,Inflação!$I$1:$I$20,U$1)+Inflação!$K$22))*'Receita Máxima'!$H$47)</f>
        <v>139218185.77947769</v>
      </c>
      <c r="V18" s="41">
        <f>((457834*1000)*(1+(Inflação!$K$22))*'Receita Máxima'!$H$47)</f>
        <v>134705644.19142976</v>
      </c>
      <c r="W18" s="41">
        <f>V18</f>
        <v>134705644.19142976</v>
      </c>
    </row>
    <row r="19" spans="2:25" s="41" customFormat="1" x14ac:dyDescent="0.3">
      <c r="B19" s="96" t="s">
        <v>343</v>
      </c>
      <c r="C19" s="96"/>
      <c r="D19" s="96">
        <f>D17-D18</f>
        <v>581157257.06213117</v>
      </c>
      <c r="E19" s="96">
        <f t="shared" ref="E19:W19" si="3">E17-E18</f>
        <v>670947241.58060265</v>
      </c>
      <c r="F19" s="96">
        <f t="shared" si="3"/>
        <v>1014982722.6744354</v>
      </c>
      <c r="G19" s="96">
        <f t="shared" si="3"/>
        <v>1342059133.5456259</v>
      </c>
      <c r="H19" s="96">
        <f t="shared" si="3"/>
        <v>1415827001.660023</v>
      </c>
      <c r="I19" s="96">
        <f t="shared" si="3"/>
        <v>1415827001.6600235</v>
      </c>
      <c r="J19" s="96">
        <f t="shared" si="3"/>
        <v>1415827001.6600244</v>
      </c>
      <c r="K19" s="96">
        <f t="shared" si="3"/>
        <v>1415827001.6600244</v>
      </c>
      <c r="L19" s="96">
        <f t="shared" si="3"/>
        <v>1415827001.6600239</v>
      </c>
      <c r="M19" s="96">
        <f t="shared" si="3"/>
        <v>1415827001.6600235</v>
      </c>
      <c r="N19" s="96">
        <f t="shared" si="3"/>
        <v>1535411781.0788233</v>
      </c>
      <c r="O19" s="96">
        <f t="shared" si="3"/>
        <v>1535411781.0788238</v>
      </c>
      <c r="P19" s="96">
        <f t="shared" si="3"/>
        <v>1526202649.4032714</v>
      </c>
      <c r="Q19" s="96">
        <f t="shared" si="3"/>
        <v>1580751284.2145522</v>
      </c>
      <c r="R19" s="96">
        <f t="shared" si="3"/>
        <v>1546133799.3097525</v>
      </c>
      <c r="S19" s="96">
        <f t="shared" si="3"/>
        <v>1576418820.6030071</v>
      </c>
      <c r="T19" s="96">
        <f t="shared" si="3"/>
        <v>1630318553.8157582</v>
      </c>
      <c r="U19" s="96">
        <f t="shared" si="3"/>
        <v>1632158037.4637132</v>
      </c>
      <c r="V19" s="96">
        <f t="shared" si="3"/>
        <v>1546104658.8102615</v>
      </c>
      <c r="W19" s="96">
        <f t="shared" si="3"/>
        <v>1534855646.4748585</v>
      </c>
    </row>
    <row r="20" spans="2:25" x14ac:dyDescent="0.3">
      <c r="B20" t="s">
        <v>344</v>
      </c>
      <c r="D20" s="40">
        <f>34%*D19</f>
        <v>197593467.4011246</v>
      </c>
      <c r="E20" s="40">
        <f t="shared" ref="E20:W20" si="4">34%*E19</f>
        <v>228122062.13740492</v>
      </c>
      <c r="F20" s="40">
        <f t="shared" si="4"/>
        <v>345094125.70930803</v>
      </c>
      <c r="G20" s="40">
        <f t="shared" si="4"/>
        <v>456300105.40551287</v>
      </c>
      <c r="H20" s="40">
        <f t="shared" si="4"/>
        <v>481381180.56440783</v>
      </c>
      <c r="I20" s="40">
        <f t="shared" si="4"/>
        <v>481381180.564408</v>
      </c>
      <c r="J20" s="40">
        <f t="shared" si="4"/>
        <v>481381180.5644083</v>
      </c>
      <c r="K20" s="40">
        <f t="shared" si="4"/>
        <v>481381180.5644083</v>
      </c>
      <c r="L20" s="40">
        <f t="shared" si="4"/>
        <v>481381180.56440818</v>
      </c>
      <c r="M20" s="40">
        <f t="shared" si="4"/>
        <v>481381180.564408</v>
      </c>
      <c r="N20" s="40">
        <f t="shared" si="4"/>
        <v>522040005.5668</v>
      </c>
      <c r="O20" s="40">
        <f t="shared" si="4"/>
        <v>522040005.56680012</v>
      </c>
      <c r="P20" s="40">
        <f t="shared" si="4"/>
        <v>518908900.79711235</v>
      </c>
      <c r="Q20" s="40">
        <f t="shared" si="4"/>
        <v>537455436.6329478</v>
      </c>
      <c r="R20" s="40">
        <f t="shared" si="4"/>
        <v>525685491.76531589</v>
      </c>
      <c r="S20" s="40">
        <f t="shared" si="4"/>
        <v>535982399.00502247</v>
      </c>
      <c r="T20" s="40">
        <f t="shared" si="4"/>
        <v>554308308.2973578</v>
      </c>
      <c r="U20" s="40">
        <f t="shared" si="4"/>
        <v>554933732.73766255</v>
      </c>
      <c r="V20" s="40">
        <f t="shared" si="4"/>
        <v>525675583.99548894</v>
      </c>
      <c r="W20" s="40">
        <f t="shared" si="4"/>
        <v>521850919.80145192</v>
      </c>
    </row>
    <row r="21" spans="2:25" s="41" customFormat="1" x14ac:dyDescent="0.3">
      <c r="B21" s="96" t="s">
        <v>365</v>
      </c>
      <c r="C21" s="96"/>
      <c r="D21" s="96">
        <f>D19-D20</f>
        <v>383563789.66100657</v>
      </c>
      <c r="E21" s="96">
        <f t="shared" ref="E21:W21" si="5">E19-E20</f>
        <v>442825179.44319773</v>
      </c>
      <c r="F21" s="96">
        <f t="shared" si="5"/>
        <v>669888596.96512735</v>
      </c>
      <c r="G21" s="96">
        <f t="shared" si="5"/>
        <v>885759028.14011312</v>
      </c>
      <c r="H21" s="96">
        <f t="shared" si="5"/>
        <v>934445821.09561515</v>
      </c>
      <c r="I21" s="96">
        <f t="shared" si="5"/>
        <v>934445821.09561539</v>
      </c>
      <c r="J21" s="96">
        <f t="shared" si="5"/>
        <v>934445821.0956161</v>
      </c>
      <c r="K21" s="96">
        <f t="shared" si="5"/>
        <v>934445821.0956161</v>
      </c>
      <c r="L21" s="96">
        <f t="shared" si="5"/>
        <v>934445821.09561574</v>
      </c>
      <c r="M21" s="96">
        <f t="shared" si="5"/>
        <v>934445821.09561539</v>
      </c>
      <c r="N21" s="96">
        <f t="shared" si="5"/>
        <v>1013371775.5120233</v>
      </c>
      <c r="O21" s="96">
        <f t="shared" si="5"/>
        <v>1013371775.5120237</v>
      </c>
      <c r="P21" s="96">
        <f t="shared" si="5"/>
        <v>1007293748.6061591</v>
      </c>
      <c r="Q21" s="96">
        <f t="shared" si="5"/>
        <v>1043295847.5816044</v>
      </c>
      <c r="R21" s="96">
        <f t="shared" si="5"/>
        <v>1020448307.5444366</v>
      </c>
      <c r="S21" s="96">
        <f t="shared" si="5"/>
        <v>1040436421.5979846</v>
      </c>
      <c r="T21" s="96">
        <f t="shared" si="5"/>
        <v>1076010245.5184004</v>
      </c>
      <c r="U21" s="96">
        <f t="shared" si="5"/>
        <v>1077224304.7260506</v>
      </c>
      <c r="V21" s="96">
        <f t="shared" si="5"/>
        <v>1020429074.8147726</v>
      </c>
      <c r="W21" s="96">
        <f t="shared" si="5"/>
        <v>1013004726.6734066</v>
      </c>
    </row>
    <row r="23" spans="2:25" s="41" customFormat="1" x14ac:dyDescent="0.3">
      <c r="B23" s="99" t="s">
        <v>366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Y23" s="100"/>
    </row>
    <row r="24" spans="2:25" x14ac:dyDescent="0.3">
      <c r="B24" s="63" t="s">
        <v>368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5">
        <v>0</v>
      </c>
      <c r="X24" s="41"/>
      <c r="Y24" s="68"/>
    </row>
    <row r="25" spans="2:25" x14ac:dyDescent="0.3">
      <c r="B25" s="63" t="s">
        <v>369</v>
      </c>
      <c r="C25" s="67" t="s">
        <v>304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41"/>
    </row>
    <row r="26" spans="2:25" s="41" customFormat="1" x14ac:dyDescent="0.3">
      <c r="B26" s="77" t="s">
        <v>364</v>
      </c>
      <c r="C26" s="77">
        <f>-C28</f>
        <v>-10846460489.896694</v>
      </c>
      <c r="D26" s="77">
        <f>D21-D23+D18+D24-D25</f>
        <v>585528367.32681203</v>
      </c>
      <c r="E26" s="77">
        <f t="shared" ref="E26:V26" si="6">E21-E23+E18+E24-E25</f>
        <v>644789757.10900331</v>
      </c>
      <c r="F26" s="77">
        <f t="shared" si="6"/>
        <v>871853174.63093281</v>
      </c>
      <c r="G26" s="77">
        <f t="shared" si="6"/>
        <v>1087723605.8059187</v>
      </c>
      <c r="H26" s="77">
        <f t="shared" si="6"/>
        <v>1136410398.7614207</v>
      </c>
      <c r="I26" s="77">
        <f t="shared" si="6"/>
        <v>1136410398.761421</v>
      </c>
      <c r="J26" s="77">
        <f t="shared" si="6"/>
        <v>1136410398.7614217</v>
      </c>
      <c r="K26" s="77">
        <f t="shared" si="6"/>
        <v>1136410398.7614217</v>
      </c>
      <c r="L26" s="77">
        <f t="shared" si="6"/>
        <v>1136410398.7614212</v>
      </c>
      <c r="M26" s="77">
        <f t="shared" si="6"/>
        <v>1136410398.761421</v>
      </c>
      <c r="N26" s="77">
        <f t="shared" si="6"/>
        <v>1215336353.1778288</v>
      </c>
      <c r="O26" s="77">
        <f t="shared" si="6"/>
        <v>1215336353.1778293</v>
      </c>
      <c r="P26" s="77">
        <f t="shared" si="6"/>
        <v>1218467457.9475164</v>
      </c>
      <c r="Q26" s="77">
        <f t="shared" si="6"/>
        <v>1199920922.1116815</v>
      </c>
      <c r="R26" s="77">
        <f t="shared" si="6"/>
        <v>1211690866.9793129</v>
      </c>
      <c r="S26" s="77">
        <f t="shared" si="6"/>
        <v>1201393959.7396064</v>
      </c>
      <c r="T26" s="77">
        <f t="shared" si="6"/>
        <v>1217066379.8384187</v>
      </c>
      <c r="U26" s="77">
        <f t="shared" si="6"/>
        <v>1216442490.5055282</v>
      </c>
      <c r="V26" s="77">
        <f t="shared" si="6"/>
        <v>1155134719.0062025</v>
      </c>
      <c r="W26" s="77">
        <f>W21-W23+W18+W24-W25</f>
        <v>1147710370.8648365</v>
      </c>
    </row>
    <row r="27" spans="2:25" x14ac:dyDescent="0.3">
      <c r="B27" s="8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2:25" x14ac:dyDescent="0.3">
      <c r="B28" s="71" t="s">
        <v>374</v>
      </c>
      <c r="C28" s="165">
        <v>10846460489.896694</v>
      </c>
      <c r="D28" s="70">
        <f>(C28-C29)+D23-D29</f>
        <v>5062249802.3520699</v>
      </c>
      <c r="E28" s="70">
        <f t="shared" ref="E28:W28" si="7">(D28)+E23-E29</f>
        <v>5062249802.3520699</v>
      </c>
      <c r="F28" s="70">
        <f t="shared" si="7"/>
        <v>537747649.83566093</v>
      </c>
      <c r="G28" s="70">
        <f t="shared" si="7"/>
        <v>520436386.17650706</v>
      </c>
      <c r="H28" s="70">
        <f t="shared" si="7"/>
        <v>520436386.17650706</v>
      </c>
      <c r="I28" s="70">
        <f t="shared" si="7"/>
        <v>84159584.239804447</v>
      </c>
      <c r="J28" s="70">
        <f t="shared" si="7"/>
        <v>84159584.239804447</v>
      </c>
      <c r="K28" s="70">
        <f t="shared" si="7"/>
        <v>51798132.155988701</v>
      </c>
      <c r="L28" s="70">
        <f t="shared" si="7"/>
        <v>40029155.310136974</v>
      </c>
      <c r="M28" s="70">
        <f t="shared" si="7"/>
        <v>40029155.310136974</v>
      </c>
      <c r="N28" s="70">
        <f t="shared" si="7"/>
        <v>40029155.310136974</v>
      </c>
      <c r="O28" s="70">
        <f t="shared" si="7"/>
        <v>40029155.310136974</v>
      </c>
      <c r="P28" s="70">
        <f t="shared" si="7"/>
        <v>40029155.310136974</v>
      </c>
      <c r="Q28" s="70">
        <f t="shared" si="7"/>
        <v>40029155.310136974</v>
      </c>
      <c r="R28" s="70">
        <f t="shared" si="7"/>
        <v>40029155.310136974</v>
      </c>
      <c r="S28" s="70">
        <f t="shared" si="7"/>
        <v>40029155.310136974</v>
      </c>
      <c r="T28" s="70">
        <f t="shared" si="7"/>
        <v>32574754.877280824</v>
      </c>
      <c r="U28" s="70">
        <f t="shared" si="7"/>
        <v>32574754.877280824</v>
      </c>
      <c r="V28" s="70">
        <f t="shared" si="7"/>
        <v>32574754.877280824</v>
      </c>
      <c r="W28" s="70">
        <f t="shared" si="7"/>
        <v>32574754.877280824</v>
      </c>
    </row>
    <row r="29" spans="2:25" s="41" customFormat="1" x14ac:dyDescent="0.3">
      <c r="B29" s="72" t="s">
        <v>363</v>
      </c>
      <c r="C29" s="70">
        <v>5784210687.5446243</v>
      </c>
      <c r="D29" s="70"/>
      <c r="E29" s="70"/>
      <c r="F29" s="70">
        <v>4524502152.5164089</v>
      </c>
      <c r="G29" s="70">
        <v>17311263.659153871</v>
      </c>
      <c r="H29" s="70"/>
      <c r="I29" s="70">
        <v>436276801.93670261</v>
      </c>
      <c r="J29" s="70"/>
      <c r="K29" s="70">
        <v>32361452.083815746</v>
      </c>
      <c r="L29" s="70">
        <v>11768976.845851727</v>
      </c>
      <c r="M29" s="70"/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7454400.43285615</v>
      </c>
      <c r="U29" s="70">
        <v>0</v>
      </c>
      <c r="V29" s="70">
        <v>0</v>
      </c>
      <c r="W29" s="70">
        <v>0</v>
      </c>
    </row>
    <row r="30" spans="2:25" x14ac:dyDescent="0.3">
      <c r="F30" s="40"/>
    </row>
    <row r="31" spans="2:25" x14ac:dyDescent="0.3">
      <c r="B31" s="66" t="s">
        <v>370</v>
      </c>
      <c r="C31" s="83">
        <f>NPV($C$34,D26:W26)-(C28)</f>
        <v>0</v>
      </c>
      <c r="N31" s="75">
        <f>N18/N28</f>
        <v>5.0454369096981679</v>
      </c>
    </row>
    <row r="32" spans="2:25" x14ac:dyDescent="0.3">
      <c r="B32" s="92" t="s">
        <v>389</v>
      </c>
      <c r="C32" s="93">
        <f>NPV(C34,'FCR_CRN NTS'!D22:W22)+'FCR_CRN NTS'!C27</f>
        <v>17433186591.358376</v>
      </c>
      <c r="E32" s="8"/>
    </row>
    <row r="33" spans="2:23" ht="15" thickBot="1" x14ac:dyDescent="0.35">
      <c r="C33" s="74"/>
      <c r="D33" s="68"/>
    </row>
    <row r="34" spans="2:23" x14ac:dyDescent="0.3">
      <c r="B34" s="88" t="s">
        <v>371</v>
      </c>
      <c r="C34" s="89">
        <v>7.2499999999999995E-2</v>
      </c>
      <c r="D34" s="10"/>
    </row>
    <row r="35" spans="2:23" ht="15" thickBot="1" x14ac:dyDescent="0.35">
      <c r="B35" s="90" t="s">
        <v>388</v>
      </c>
      <c r="C35" s="91">
        <f>IRR(C26:W26)</f>
        <v>7.2500000000000231E-2</v>
      </c>
      <c r="D35" s="10"/>
    </row>
    <row r="36" spans="2:23" x14ac:dyDescent="0.3">
      <c r="D36" s="10"/>
    </row>
    <row r="37" spans="2:23" x14ac:dyDescent="0.3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2:23" x14ac:dyDescent="0.3">
      <c r="D38" s="10"/>
    </row>
    <row r="39" spans="2:23" x14ac:dyDescent="0.3">
      <c r="D39" s="10"/>
    </row>
    <row r="40" spans="2:23" x14ac:dyDescent="0.3">
      <c r="D40" s="10"/>
    </row>
    <row r="41" spans="2:23" x14ac:dyDescent="0.3">
      <c r="D41" s="10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11B0F-6075-4E86-B9BE-0EA8EA1A6589}">
  <dimension ref="B1:Y41"/>
  <sheetViews>
    <sheetView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D27" sqref="D27"/>
    </sheetView>
  </sheetViews>
  <sheetFormatPr defaultColWidth="9.109375" defaultRowHeight="14.4" x14ac:dyDescent="0.3"/>
  <cols>
    <col min="1" max="1" width="2.6640625" customWidth="1"/>
    <col min="2" max="2" width="63.88671875" customWidth="1"/>
    <col min="3" max="3" width="18.6640625" bestFit="1" customWidth="1"/>
    <col min="4" max="4" width="16.109375" customWidth="1"/>
    <col min="5" max="20" width="15.44140625" customWidth="1"/>
    <col min="21" max="23" width="15.6640625" customWidth="1"/>
    <col min="25" max="25" width="16.5546875" bestFit="1" customWidth="1"/>
  </cols>
  <sheetData>
    <row r="1" spans="2:23" x14ac:dyDescent="0.3">
      <c r="C1" s="2">
        <v>2005</v>
      </c>
      <c r="D1" s="2">
        <v>2006</v>
      </c>
      <c r="E1" s="2">
        <v>2007</v>
      </c>
      <c r="F1" s="2">
        <v>2008</v>
      </c>
      <c r="G1" s="2">
        <v>2009</v>
      </c>
      <c r="H1" s="2">
        <v>2010</v>
      </c>
      <c r="I1" s="2">
        <v>2011</v>
      </c>
      <c r="J1" s="2">
        <v>2012</v>
      </c>
      <c r="K1" s="2">
        <v>2013</v>
      </c>
      <c r="L1" s="2">
        <v>2014</v>
      </c>
      <c r="M1" s="2">
        <v>2015</v>
      </c>
      <c r="N1" s="2">
        <v>2016</v>
      </c>
      <c r="O1" s="2">
        <v>2017</v>
      </c>
      <c r="P1" s="2">
        <v>2018</v>
      </c>
      <c r="Q1" s="2">
        <v>2019</v>
      </c>
      <c r="R1" s="2">
        <v>2020</v>
      </c>
      <c r="S1" s="2">
        <v>2021</v>
      </c>
      <c r="T1" s="2">
        <v>2022</v>
      </c>
      <c r="U1" s="2">
        <v>2023</v>
      </c>
      <c r="V1" s="2">
        <v>2024</v>
      </c>
      <c r="W1" s="2">
        <v>2025</v>
      </c>
    </row>
    <row r="2" spans="2:23" s="41" customFormat="1" x14ac:dyDescent="0.3">
      <c r="B2" s="41" t="s">
        <v>357</v>
      </c>
      <c r="D2" s="41">
        <f>'Receita Máxima'!B$33</f>
        <v>1170861606.7908237</v>
      </c>
      <c r="E2" s="41">
        <f>'Receita Máxima'!C$33</f>
        <v>1260651591.3092952</v>
      </c>
      <c r="F2" s="41">
        <f>'Receita Máxima'!D$33</f>
        <v>1604687072.4031281</v>
      </c>
      <c r="G2" s="41">
        <f>'Receita Máxima'!E$33</f>
        <v>1931763483.2743187</v>
      </c>
      <c r="H2" s="41">
        <f>'Receita Máxima'!F$33</f>
        <v>2005531351.3887157</v>
      </c>
      <c r="I2" s="41">
        <f>'Receita Máxima'!G$33</f>
        <v>2005531351.3887162</v>
      </c>
      <c r="J2" s="41">
        <f>'Receita Máxima'!H$33</f>
        <v>2005531351.3887169</v>
      </c>
      <c r="K2" s="41">
        <f>'Receita Máxima'!I$33</f>
        <v>2005531351.3887169</v>
      </c>
      <c r="L2" s="41">
        <f>'Receita Máxima'!J$33</f>
        <v>2005531351.3887167</v>
      </c>
      <c r="M2" s="41">
        <f>'Receita Máxima'!K$33</f>
        <v>2005531351.388716</v>
      </c>
      <c r="N2" s="41">
        <f>'Receita Máxima'!L$33</f>
        <v>2125116130.8075159</v>
      </c>
      <c r="O2" s="41">
        <f>'Receita Máxima'!M$33</f>
        <v>2125116130.8075163</v>
      </c>
      <c r="P2" s="41">
        <f>'Receita Máxima'!N$33</f>
        <v>2125116130.8075161</v>
      </c>
      <c r="Q2" s="41">
        <f>'Receita Máxima'!O$33</f>
        <v>2125116130.8075163</v>
      </c>
      <c r="R2" s="41">
        <f>'Receita Máxima'!P$33</f>
        <v>2125116130.8075161</v>
      </c>
      <c r="S2" s="41">
        <f>'Receita Máxima'!Q$33</f>
        <v>2125116130.8075161</v>
      </c>
      <c r="T2" s="41">
        <f>'Receita Máxima'!R$33</f>
        <v>2159114460.1986637</v>
      </c>
      <c r="U2" s="41">
        <f>'Receita Máxima'!S$33</f>
        <v>2159115995.306078</v>
      </c>
      <c r="V2" s="41">
        <f>'Receita Máxima'!T$33</f>
        <v>2068550075.0645785</v>
      </c>
      <c r="W2" s="41">
        <f>'Receita Máxima'!U$33</f>
        <v>2057301062.7291756</v>
      </c>
    </row>
    <row r="3" spans="2:23" x14ac:dyDescent="0.3">
      <c r="B3" s="42" t="s">
        <v>341</v>
      </c>
      <c r="C3" s="42"/>
      <c r="D3" s="58">
        <f>SUM(D4:D16)</f>
        <v>387739772.06288707</v>
      </c>
      <c r="E3" s="58">
        <f t="shared" ref="E3:W3" si="0">SUM(E4:E16)</f>
        <v>387739772.06288707</v>
      </c>
      <c r="F3" s="58">
        <f t="shared" si="0"/>
        <v>387739772.06288707</v>
      </c>
      <c r="G3" s="58">
        <f t="shared" si="0"/>
        <v>387739772.06288707</v>
      </c>
      <c r="H3" s="58">
        <f t="shared" si="0"/>
        <v>387739772.06288707</v>
      </c>
      <c r="I3" s="58">
        <f t="shared" si="0"/>
        <v>387739772.06288707</v>
      </c>
      <c r="J3" s="58">
        <f t="shared" si="0"/>
        <v>387739772.06288707</v>
      </c>
      <c r="K3" s="58">
        <f t="shared" si="0"/>
        <v>387739772.06288707</v>
      </c>
      <c r="L3" s="58">
        <f t="shared" si="0"/>
        <v>387739772.06288707</v>
      </c>
      <c r="M3" s="58">
        <f t="shared" si="0"/>
        <v>387739772.06288707</v>
      </c>
      <c r="N3" s="58">
        <f t="shared" si="0"/>
        <v>387739772.06288707</v>
      </c>
      <c r="O3" s="58">
        <f t="shared" si="0"/>
        <v>387739772.06288707</v>
      </c>
      <c r="P3" s="58">
        <f t="shared" si="0"/>
        <v>387739772.06288707</v>
      </c>
      <c r="Q3" s="58">
        <f t="shared" si="0"/>
        <v>387739772.06288707</v>
      </c>
      <c r="R3" s="58">
        <f t="shared" si="0"/>
        <v>387739772.06288707</v>
      </c>
      <c r="S3" s="58">
        <f t="shared" si="0"/>
        <v>387739772.06288707</v>
      </c>
      <c r="T3" s="58">
        <f t="shared" si="0"/>
        <v>387739772.06288707</v>
      </c>
      <c r="U3" s="58">
        <f t="shared" si="0"/>
        <v>387739772.06288707</v>
      </c>
      <c r="V3" s="58">
        <f t="shared" si="0"/>
        <v>387739772.06288707</v>
      </c>
      <c r="W3" s="58">
        <f t="shared" si="0"/>
        <v>387739772.06288707</v>
      </c>
    </row>
    <row r="4" spans="2:23" x14ac:dyDescent="0.3">
      <c r="B4" s="56" t="s">
        <v>345</v>
      </c>
      <c r="C4" s="57"/>
      <c r="D4" s="57">
        <f>(OPEX!$E$52*10^6)*OPEX!$B$75</f>
        <v>67603002.818530008</v>
      </c>
      <c r="E4" s="57">
        <f>(OPEX!$E$52*10^6)*OPEX!$B$75</f>
        <v>67603002.818530008</v>
      </c>
      <c r="F4" s="57">
        <f>(OPEX!$E$52*10^6)*OPEX!$B$75</f>
        <v>67603002.818530008</v>
      </c>
      <c r="G4" s="57">
        <f>(OPEX!$E$52*10^6)*OPEX!$B$75</f>
        <v>67603002.818530008</v>
      </c>
      <c r="H4" s="57">
        <f>(OPEX!$E$52*10^6)*OPEX!$B$75</f>
        <v>67603002.818530008</v>
      </c>
      <c r="I4" s="57">
        <f>(OPEX!$E$52*10^6)*OPEX!$B$75</f>
        <v>67603002.818530008</v>
      </c>
      <c r="J4" s="57">
        <f>(OPEX!$E$52*10^6)*OPEX!$B$75</f>
        <v>67603002.818530008</v>
      </c>
      <c r="K4" s="57">
        <f>(OPEX!$E$52*10^6)*OPEX!$B$75</f>
        <v>67603002.818530008</v>
      </c>
      <c r="L4" s="57">
        <f>(OPEX!$E$52*10^6)*OPEX!$B$75</f>
        <v>67603002.818530008</v>
      </c>
      <c r="M4" s="57">
        <f>(OPEX!$E$52*10^6)*OPEX!$B$75</f>
        <v>67603002.818530008</v>
      </c>
      <c r="N4" s="57">
        <f>(OPEX!$E$52*10^6)*OPEX!$B$75</f>
        <v>67603002.818530008</v>
      </c>
      <c r="O4" s="57">
        <f>(OPEX!$E$52*10^6)*OPEX!$B$75</f>
        <v>67603002.818530008</v>
      </c>
      <c r="P4" s="57">
        <f>(OPEX!$E$52*10^6)*OPEX!$B$75</f>
        <v>67603002.818530008</v>
      </c>
      <c r="Q4" s="57">
        <f>(OPEX!$E$52*10^6)*OPEX!$B$75</f>
        <v>67603002.818530008</v>
      </c>
      <c r="R4" s="57">
        <f>(OPEX!$E$52*10^6)*OPEX!$B$75</f>
        <v>67603002.818530008</v>
      </c>
      <c r="S4" s="57">
        <f>(OPEX!$E$52*10^6)*OPEX!$B$75</f>
        <v>67603002.818530008</v>
      </c>
      <c r="T4" s="57">
        <f>(OPEX!$E$52*10^6)*OPEX!$B$75</f>
        <v>67603002.818530008</v>
      </c>
      <c r="U4" s="57">
        <f>(OPEX!$E$52*10^6)*OPEX!$B$75</f>
        <v>67603002.818530008</v>
      </c>
      <c r="V4" s="57">
        <f>(OPEX!$E$52*10^6)*OPEX!$B$75</f>
        <v>67603002.818530008</v>
      </c>
      <c r="W4" s="57">
        <f>(OPEX!$E$52*10^6)*OPEX!$B$75</f>
        <v>67603002.818530008</v>
      </c>
    </row>
    <row r="5" spans="2:23" x14ac:dyDescent="0.3">
      <c r="B5" s="56" t="s">
        <v>346</v>
      </c>
      <c r="C5" s="57"/>
      <c r="D5" s="57">
        <f>(OPEX!$E$53*10^6)*OPEX!$B$75</f>
        <v>19054939.654549394</v>
      </c>
      <c r="E5" s="57">
        <f>(OPEX!$E$53*10^6)*OPEX!$B$75</f>
        <v>19054939.654549394</v>
      </c>
      <c r="F5" s="57">
        <f>(OPEX!$E$53*10^6)*OPEX!$B$75</f>
        <v>19054939.654549394</v>
      </c>
      <c r="G5" s="57">
        <f>(OPEX!$E$53*10^6)*OPEX!$B$75</f>
        <v>19054939.654549394</v>
      </c>
      <c r="H5" s="57">
        <f>(OPEX!$E$53*10^6)*OPEX!$B$75</f>
        <v>19054939.654549394</v>
      </c>
      <c r="I5" s="57">
        <f>(OPEX!$E$53*10^6)*OPEX!$B$75</f>
        <v>19054939.654549394</v>
      </c>
      <c r="J5" s="57">
        <f>(OPEX!$E$53*10^6)*OPEX!$B$75</f>
        <v>19054939.654549394</v>
      </c>
      <c r="K5" s="57">
        <f>(OPEX!$E$53*10^6)*OPEX!$B$75</f>
        <v>19054939.654549394</v>
      </c>
      <c r="L5" s="57">
        <f>(OPEX!$E$53*10^6)*OPEX!$B$75</f>
        <v>19054939.654549394</v>
      </c>
      <c r="M5" s="57">
        <f>(OPEX!$E$53*10^6)*OPEX!$B$75</f>
        <v>19054939.654549394</v>
      </c>
      <c r="N5" s="57">
        <f>(OPEX!$E$53*10^6)*OPEX!$B$75</f>
        <v>19054939.654549394</v>
      </c>
      <c r="O5" s="57">
        <f>(OPEX!$E$53*10^6)*OPEX!$B$75</f>
        <v>19054939.654549394</v>
      </c>
      <c r="P5" s="57">
        <f>(OPEX!$E$53*10^6)*OPEX!$B$75</f>
        <v>19054939.654549394</v>
      </c>
      <c r="Q5" s="57">
        <f>(OPEX!$E$53*10^6)*OPEX!$B$75</f>
        <v>19054939.654549394</v>
      </c>
      <c r="R5" s="57">
        <f>(OPEX!$E$53*10^6)*OPEX!$B$75</f>
        <v>19054939.654549394</v>
      </c>
      <c r="S5" s="57">
        <f>(OPEX!$E$53*10^6)*OPEX!$B$75</f>
        <v>19054939.654549394</v>
      </c>
      <c r="T5" s="57">
        <f>(OPEX!$E$53*10^6)*OPEX!$B$75</f>
        <v>19054939.654549394</v>
      </c>
      <c r="U5" s="57">
        <f>(OPEX!$E$53*10^6)*OPEX!$B$75</f>
        <v>19054939.654549394</v>
      </c>
      <c r="V5" s="57">
        <f>(OPEX!$E$53*10^6)*OPEX!$B$75</f>
        <v>19054939.654549394</v>
      </c>
      <c r="W5" s="57">
        <f>(OPEX!$E$53*10^6)*OPEX!$B$75</f>
        <v>19054939.654549394</v>
      </c>
    </row>
    <row r="6" spans="2:23" x14ac:dyDescent="0.3">
      <c r="B6" s="56" t="s">
        <v>347</v>
      </c>
      <c r="C6" s="57"/>
      <c r="D6" s="57">
        <f>(OPEX!$E$55*10^6)*OPEX!$B$75</f>
        <v>700549.25200549234</v>
      </c>
      <c r="E6" s="57">
        <f>(OPEX!$E$55*10^6)*OPEX!$B$75</f>
        <v>700549.25200549234</v>
      </c>
      <c r="F6" s="57">
        <f>(OPEX!$E$55*10^6)*OPEX!$B$75</f>
        <v>700549.25200549234</v>
      </c>
      <c r="G6" s="57">
        <f>(OPEX!$E$55*10^6)*OPEX!$B$75</f>
        <v>700549.25200549234</v>
      </c>
      <c r="H6" s="57">
        <f>(OPEX!$E$55*10^6)*OPEX!$B$75</f>
        <v>700549.25200549234</v>
      </c>
      <c r="I6" s="57">
        <f>(OPEX!$E$55*10^6)*OPEX!$B$75</f>
        <v>700549.25200549234</v>
      </c>
      <c r="J6" s="57">
        <f>(OPEX!$E$55*10^6)*OPEX!$B$75</f>
        <v>700549.25200549234</v>
      </c>
      <c r="K6" s="57">
        <f>(OPEX!$E$55*10^6)*OPEX!$B$75</f>
        <v>700549.25200549234</v>
      </c>
      <c r="L6" s="57">
        <f>(OPEX!$E$55*10^6)*OPEX!$B$75</f>
        <v>700549.25200549234</v>
      </c>
      <c r="M6" s="57">
        <f>(OPEX!$E$55*10^6)*OPEX!$B$75</f>
        <v>700549.25200549234</v>
      </c>
      <c r="N6" s="57">
        <f>(OPEX!$E$55*10^6)*OPEX!$B$75</f>
        <v>700549.25200549234</v>
      </c>
      <c r="O6" s="57">
        <f>(OPEX!$E$55*10^6)*OPEX!$B$75</f>
        <v>700549.25200549234</v>
      </c>
      <c r="P6" s="57">
        <f>(OPEX!$E$55*10^6)*OPEX!$B$75</f>
        <v>700549.25200549234</v>
      </c>
      <c r="Q6" s="57">
        <f>(OPEX!$E$55*10^6)*OPEX!$B$75</f>
        <v>700549.25200549234</v>
      </c>
      <c r="R6" s="57">
        <f>(OPEX!$E$55*10^6)*OPEX!$B$75</f>
        <v>700549.25200549234</v>
      </c>
      <c r="S6" s="57">
        <f>(OPEX!$E$55*10^6)*OPEX!$B$75</f>
        <v>700549.25200549234</v>
      </c>
      <c r="T6" s="57">
        <f>(OPEX!$E$55*10^6)*OPEX!$B$75</f>
        <v>700549.25200549234</v>
      </c>
      <c r="U6" s="57">
        <f>(OPEX!$E$55*10^6)*OPEX!$B$75</f>
        <v>700549.25200549234</v>
      </c>
      <c r="V6" s="57">
        <f>(OPEX!$E$55*10^6)*OPEX!$B$75</f>
        <v>700549.25200549234</v>
      </c>
      <c r="W6" s="57">
        <f>(OPEX!$E$55*10^6)*OPEX!$B$75</f>
        <v>700549.25200549234</v>
      </c>
    </row>
    <row r="7" spans="2:23" x14ac:dyDescent="0.3">
      <c r="B7" s="56" t="s">
        <v>348</v>
      </c>
      <c r="C7" s="57"/>
      <c r="D7" s="57">
        <f>(OPEX!$E$54*10^6)*OPEX!$B$75</f>
        <v>40071417.214714162</v>
      </c>
      <c r="E7" s="57">
        <f>(OPEX!$E$54*10^6)*OPEX!$B$75</f>
        <v>40071417.214714162</v>
      </c>
      <c r="F7" s="57">
        <f>(OPEX!$E$54*10^6)*OPEX!$B$75</f>
        <v>40071417.214714162</v>
      </c>
      <c r="G7" s="57">
        <f>(OPEX!$E$54*10^6)*OPEX!$B$75</f>
        <v>40071417.214714162</v>
      </c>
      <c r="H7" s="57">
        <f>(OPEX!$E$54*10^6)*OPEX!$B$75</f>
        <v>40071417.214714162</v>
      </c>
      <c r="I7" s="57">
        <f>(OPEX!$E$54*10^6)*OPEX!$B$75</f>
        <v>40071417.214714162</v>
      </c>
      <c r="J7" s="57">
        <f>(OPEX!$E$54*10^6)*OPEX!$B$75</f>
        <v>40071417.214714162</v>
      </c>
      <c r="K7" s="57">
        <f>(OPEX!$E$54*10^6)*OPEX!$B$75</f>
        <v>40071417.214714162</v>
      </c>
      <c r="L7" s="57">
        <f>(OPEX!$E$54*10^6)*OPEX!$B$75</f>
        <v>40071417.214714162</v>
      </c>
      <c r="M7" s="57">
        <f>(OPEX!$E$54*10^6)*OPEX!$B$75</f>
        <v>40071417.214714162</v>
      </c>
      <c r="N7" s="57">
        <f>(OPEX!$E$54*10^6)*OPEX!$B$75</f>
        <v>40071417.214714162</v>
      </c>
      <c r="O7" s="57">
        <f>(OPEX!$E$54*10^6)*OPEX!$B$75</f>
        <v>40071417.214714162</v>
      </c>
      <c r="P7" s="57">
        <f>(OPEX!$E$54*10^6)*OPEX!$B$75</f>
        <v>40071417.214714162</v>
      </c>
      <c r="Q7" s="57">
        <f>(OPEX!$E$54*10^6)*OPEX!$B$75</f>
        <v>40071417.214714162</v>
      </c>
      <c r="R7" s="57">
        <f>(OPEX!$E$54*10^6)*OPEX!$B$75</f>
        <v>40071417.214714162</v>
      </c>
      <c r="S7" s="57">
        <f>(OPEX!$E$54*10^6)*OPEX!$B$75</f>
        <v>40071417.214714162</v>
      </c>
      <c r="T7" s="57">
        <f>(OPEX!$E$54*10^6)*OPEX!$B$75</f>
        <v>40071417.214714162</v>
      </c>
      <c r="U7" s="57">
        <f>(OPEX!$E$54*10^6)*OPEX!$B$75</f>
        <v>40071417.214714162</v>
      </c>
      <c r="V7" s="57">
        <f>(OPEX!$E$54*10^6)*OPEX!$B$75</f>
        <v>40071417.214714162</v>
      </c>
      <c r="W7" s="57">
        <f>(OPEX!$E$54*10^6)*OPEX!$B$75</f>
        <v>40071417.214714162</v>
      </c>
    </row>
    <row r="8" spans="2:23" x14ac:dyDescent="0.3">
      <c r="B8" s="56" t="s">
        <v>349</v>
      </c>
      <c r="C8" s="57"/>
      <c r="D8" s="57">
        <f>(OPEX!$E$51*10^6)*OPEX!$B$75</f>
        <v>71035694.153356925</v>
      </c>
      <c r="E8" s="57">
        <f>(OPEX!$E$51*10^6)*OPEX!$B$75</f>
        <v>71035694.153356925</v>
      </c>
      <c r="F8" s="57">
        <f>(OPEX!$E$51*10^6)*OPEX!$B$75</f>
        <v>71035694.153356925</v>
      </c>
      <c r="G8" s="57">
        <f>(OPEX!$E$51*10^6)*OPEX!$B$75</f>
        <v>71035694.153356925</v>
      </c>
      <c r="H8" s="57">
        <f>(OPEX!$E$51*10^6)*OPEX!$B$75</f>
        <v>71035694.153356925</v>
      </c>
      <c r="I8" s="57">
        <f>(OPEX!$E$51*10^6)*OPEX!$B$75</f>
        <v>71035694.153356925</v>
      </c>
      <c r="J8" s="57">
        <f>(OPEX!$E$51*10^6)*OPEX!$B$75</f>
        <v>71035694.153356925</v>
      </c>
      <c r="K8" s="57">
        <f>(OPEX!$E$51*10^6)*OPEX!$B$75</f>
        <v>71035694.153356925</v>
      </c>
      <c r="L8" s="57">
        <f>(OPEX!$E$51*10^6)*OPEX!$B$75</f>
        <v>71035694.153356925</v>
      </c>
      <c r="M8" s="57">
        <f>(OPEX!$E$51*10^6)*OPEX!$B$75</f>
        <v>71035694.153356925</v>
      </c>
      <c r="N8" s="57">
        <f>(OPEX!$E$51*10^6)*OPEX!$B$75</f>
        <v>71035694.153356925</v>
      </c>
      <c r="O8" s="57">
        <f>(OPEX!$E$51*10^6)*OPEX!$B$75</f>
        <v>71035694.153356925</v>
      </c>
      <c r="P8" s="57">
        <f>(OPEX!$E$51*10^6)*OPEX!$B$75</f>
        <v>71035694.153356925</v>
      </c>
      <c r="Q8" s="57">
        <f>(OPEX!$E$51*10^6)*OPEX!$B$75</f>
        <v>71035694.153356925</v>
      </c>
      <c r="R8" s="57">
        <f>(OPEX!$E$51*10^6)*OPEX!$B$75</f>
        <v>71035694.153356925</v>
      </c>
      <c r="S8" s="57">
        <f>(OPEX!$E$51*10^6)*OPEX!$B$75</f>
        <v>71035694.153356925</v>
      </c>
      <c r="T8" s="57">
        <f>(OPEX!$E$51*10^6)*OPEX!$B$75</f>
        <v>71035694.153356925</v>
      </c>
      <c r="U8" s="57">
        <f>(OPEX!$E$51*10^6)*OPEX!$B$75</f>
        <v>71035694.153356925</v>
      </c>
      <c r="V8" s="57">
        <f>(OPEX!$E$51*10^6)*OPEX!$B$75</f>
        <v>71035694.153356925</v>
      </c>
      <c r="W8" s="57">
        <f>(OPEX!$E$51*10^6)*OPEX!$B$75</f>
        <v>71035694.153356925</v>
      </c>
    </row>
    <row r="9" spans="2:23" x14ac:dyDescent="0.3">
      <c r="B9" s="56" t="s">
        <v>350</v>
      </c>
      <c r="C9" s="57"/>
      <c r="D9" s="57">
        <f>(OPEX!$E$56*10^6)*OPEX!$B$75</f>
        <v>840659.10240659083</v>
      </c>
      <c r="E9" s="57">
        <f>(OPEX!$E$56*10^6)*OPEX!$B$75</f>
        <v>840659.10240659083</v>
      </c>
      <c r="F9" s="57">
        <f>(OPEX!$E$56*10^6)*OPEX!$B$75</f>
        <v>840659.10240659083</v>
      </c>
      <c r="G9" s="57">
        <f>(OPEX!$E$56*10^6)*OPEX!$B$75</f>
        <v>840659.10240659083</v>
      </c>
      <c r="H9" s="57">
        <f>(OPEX!$E$56*10^6)*OPEX!$B$75</f>
        <v>840659.10240659083</v>
      </c>
      <c r="I9" s="57">
        <f>(OPEX!$E$56*10^6)*OPEX!$B$75</f>
        <v>840659.10240659083</v>
      </c>
      <c r="J9" s="57">
        <f>(OPEX!$E$56*10^6)*OPEX!$B$75</f>
        <v>840659.10240659083</v>
      </c>
      <c r="K9" s="57">
        <f>(OPEX!$E$56*10^6)*OPEX!$B$75</f>
        <v>840659.10240659083</v>
      </c>
      <c r="L9" s="57">
        <f>(OPEX!$E$56*10^6)*OPEX!$B$75</f>
        <v>840659.10240659083</v>
      </c>
      <c r="M9" s="57">
        <f>(OPEX!$E$56*10^6)*OPEX!$B$75</f>
        <v>840659.10240659083</v>
      </c>
      <c r="N9" s="57">
        <f>(OPEX!$E$56*10^6)*OPEX!$B$75</f>
        <v>840659.10240659083</v>
      </c>
      <c r="O9" s="57">
        <f>(OPEX!$E$56*10^6)*OPEX!$B$75</f>
        <v>840659.10240659083</v>
      </c>
      <c r="P9" s="57">
        <f>(OPEX!$E$56*10^6)*OPEX!$B$75</f>
        <v>840659.10240659083</v>
      </c>
      <c r="Q9" s="57">
        <f>(OPEX!$E$56*10^6)*OPEX!$B$75</f>
        <v>840659.10240659083</v>
      </c>
      <c r="R9" s="57">
        <f>(OPEX!$E$56*10^6)*OPEX!$B$75</f>
        <v>840659.10240659083</v>
      </c>
      <c r="S9" s="57">
        <f>(OPEX!$E$56*10^6)*OPEX!$B$75</f>
        <v>840659.10240659083</v>
      </c>
      <c r="T9" s="57">
        <f>(OPEX!$E$56*10^6)*OPEX!$B$75</f>
        <v>840659.10240659083</v>
      </c>
      <c r="U9" s="57">
        <f>(OPEX!$E$56*10^6)*OPEX!$B$75</f>
        <v>840659.10240659083</v>
      </c>
      <c r="V9" s="57">
        <f>(OPEX!$E$56*10^6)*OPEX!$B$75</f>
        <v>840659.10240659083</v>
      </c>
      <c r="W9" s="57">
        <f>(OPEX!$E$56*10^6)*OPEX!$B$75</f>
        <v>840659.10240659083</v>
      </c>
    </row>
    <row r="10" spans="2:23" x14ac:dyDescent="0.3">
      <c r="B10" s="56" t="s">
        <v>351</v>
      </c>
      <c r="C10" s="57"/>
      <c r="D10" s="57">
        <f>((OPEX!$E$57+OPEX!$B$62)*10^6)*OPEX!$B$75</f>
        <v>840659.10240659083</v>
      </c>
      <c r="E10" s="57">
        <f>((OPEX!$E$57+OPEX!$B$62)*10^6)*OPEX!$B$75</f>
        <v>840659.10240659083</v>
      </c>
      <c r="F10" s="57">
        <f>((OPEX!$E$57+OPEX!$B$62)*10^6)*OPEX!$B$75</f>
        <v>840659.10240659083</v>
      </c>
      <c r="G10" s="57">
        <f>((OPEX!$E$57+OPEX!$B$62)*10^6)*OPEX!$B$75</f>
        <v>840659.10240659083</v>
      </c>
      <c r="H10" s="57">
        <f>((OPEX!$E$57+OPEX!$B$62)*10^6)*OPEX!$B$75</f>
        <v>840659.10240659083</v>
      </c>
      <c r="I10" s="57">
        <f>((OPEX!$E$57+OPEX!$B$62)*10^6)*OPEX!$B$75</f>
        <v>840659.10240659083</v>
      </c>
      <c r="J10" s="57">
        <f>((OPEX!$E$57+OPEX!$B$62)*10^6)*OPEX!$B$75</f>
        <v>840659.10240659083</v>
      </c>
      <c r="K10" s="57">
        <f>((OPEX!$E$57+OPEX!$B$62)*10^6)*OPEX!$B$75</f>
        <v>840659.10240659083</v>
      </c>
      <c r="L10" s="57">
        <f>((OPEX!$E$57+OPEX!$B$62)*10^6)*OPEX!$B$75</f>
        <v>840659.10240659083</v>
      </c>
      <c r="M10" s="57">
        <f>((OPEX!$E$57+OPEX!$B$62)*10^6)*OPEX!$B$75</f>
        <v>840659.10240659083</v>
      </c>
      <c r="N10" s="57">
        <f>((OPEX!$E$57+OPEX!$B$62)*10^6)*OPEX!$B$75</f>
        <v>840659.10240659083</v>
      </c>
      <c r="O10" s="57">
        <f>((OPEX!$E$57+OPEX!$B$62)*10^6)*OPEX!$B$75</f>
        <v>840659.10240659083</v>
      </c>
      <c r="P10" s="57">
        <f>((OPEX!$E$57+OPEX!$B$62)*10^6)*OPEX!$B$75</f>
        <v>840659.10240659083</v>
      </c>
      <c r="Q10" s="57">
        <f>((OPEX!$E$57+OPEX!$B$62)*10^6)*OPEX!$B$75</f>
        <v>840659.10240659083</v>
      </c>
      <c r="R10" s="57">
        <f>((OPEX!$E$57+OPEX!$B$62)*10^6)*OPEX!$B$75</f>
        <v>840659.10240659083</v>
      </c>
      <c r="S10" s="57">
        <f>((OPEX!$E$57+OPEX!$B$62)*10^6)*OPEX!$B$75</f>
        <v>840659.10240659083</v>
      </c>
      <c r="T10" s="57">
        <f>((OPEX!$E$57+OPEX!$B$62)*10^6)*OPEX!$B$75</f>
        <v>840659.10240659083</v>
      </c>
      <c r="U10" s="57">
        <f>((OPEX!$E$57+OPEX!$B$62)*10^6)*OPEX!$B$75</f>
        <v>840659.10240659083</v>
      </c>
      <c r="V10" s="57">
        <f>((OPEX!$E$57+OPEX!$B$62)*10^6)*OPEX!$B$75</f>
        <v>840659.10240659083</v>
      </c>
      <c r="W10" s="57">
        <f>((OPEX!$E$57+OPEX!$B$62)*10^6)*OPEX!$B$75</f>
        <v>840659.10240659083</v>
      </c>
    </row>
    <row r="11" spans="2:23" x14ac:dyDescent="0.3">
      <c r="B11" s="56" t="s">
        <v>352</v>
      </c>
      <c r="C11" s="57"/>
      <c r="D11" s="57">
        <f>(OPEX!$E$58*10^6)*OPEX!$B$75</f>
        <v>1891482.9804148297</v>
      </c>
      <c r="E11" s="57">
        <f>(OPEX!$E$58*10^6)*OPEX!$B$75</f>
        <v>1891482.9804148297</v>
      </c>
      <c r="F11" s="57">
        <f>(OPEX!$E$58*10^6)*OPEX!$B$75</f>
        <v>1891482.9804148297</v>
      </c>
      <c r="G11" s="57">
        <f>(OPEX!$E$58*10^6)*OPEX!$B$75</f>
        <v>1891482.9804148297</v>
      </c>
      <c r="H11" s="57">
        <f>(OPEX!$E$58*10^6)*OPEX!$B$75</f>
        <v>1891482.9804148297</v>
      </c>
      <c r="I11" s="57">
        <f>(OPEX!$E$58*10^6)*OPEX!$B$75</f>
        <v>1891482.9804148297</v>
      </c>
      <c r="J11" s="57">
        <f>(OPEX!$E$58*10^6)*OPEX!$B$75</f>
        <v>1891482.9804148297</v>
      </c>
      <c r="K11" s="57">
        <f>(OPEX!$E$58*10^6)*OPEX!$B$75</f>
        <v>1891482.9804148297</v>
      </c>
      <c r="L11" s="57">
        <f>(OPEX!$E$58*10^6)*OPEX!$B$75</f>
        <v>1891482.9804148297</v>
      </c>
      <c r="M11" s="57">
        <f>(OPEX!$E$58*10^6)*OPEX!$B$75</f>
        <v>1891482.9804148297</v>
      </c>
      <c r="N11" s="57">
        <f>(OPEX!$E$58*10^6)*OPEX!$B$75</f>
        <v>1891482.9804148297</v>
      </c>
      <c r="O11" s="57">
        <f>(OPEX!$E$58*10^6)*OPEX!$B$75</f>
        <v>1891482.9804148297</v>
      </c>
      <c r="P11" s="57">
        <f>(OPEX!$E$58*10^6)*OPEX!$B$75</f>
        <v>1891482.9804148297</v>
      </c>
      <c r="Q11" s="57">
        <f>(OPEX!$E$58*10^6)*OPEX!$B$75</f>
        <v>1891482.9804148297</v>
      </c>
      <c r="R11" s="57">
        <f>(OPEX!$E$58*10^6)*OPEX!$B$75</f>
        <v>1891482.9804148297</v>
      </c>
      <c r="S11" s="57">
        <f>(OPEX!$E$58*10^6)*OPEX!$B$75</f>
        <v>1891482.9804148297</v>
      </c>
      <c r="T11" s="57">
        <f>(OPEX!$E$58*10^6)*OPEX!$B$75</f>
        <v>1891482.9804148297</v>
      </c>
      <c r="U11" s="57">
        <f>(OPEX!$E$58*10^6)*OPEX!$B$75</f>
        <v>1891482.9804148297</v>
      </c>
      <c r="V11" s="57">
        <f>(OPEX!$E$58*10^6)*OPEX!$B$75</f>
        <v>1891482.9804148297</v>
      </c>
      <c r="W11" s="57">
        <f>(OPEX!$E$58*10^6)*OPEX!$B$75</f>
        <v>1891482.9804148297</v>
      </c>
    </row>
    <row r="12" spans="2:23" x14ac:dyDescent="0.3">
      <c r="B12" s="56" t="s">
        <v>353</v>
      </c>
      <c r="C12" s="57"/>
      <c r="D12" s="57">
        <f>(OPEX!$E$60*10^6)*OPEX!$B$75</f>
        <v>22207411.288574111</v>
      </c>
      <c r="E12" s="57">
        <f>(OPEX!$E$60*10^6)*OPEX!$B$75</f>
        <v>22207411.288574111</v>
      </c>
      <c r="F12" s="57">
        <f>(OPEX!$E$60*10^6)*OPEX!$B$75</f>
        <v>22207411.288574111</v>
      </c>
      <c r="G12" s="57">
        <f>(OPEX!$E$60*10^6)*OPEX!$B$75</f>
        <v>22207411.288574111</v>
      </c>
      <c r="H12" s="57">
        <f>(OPEX!$E$60*10^6)*OPEX!$B$75</f>
        <v>22207411.288574111</v>
      </c>
      <c r="I12" s="57">
        <f>(OPEX!$E$60*10^6)*OPEX!$B$75</f>
        <v>22207411.288574111</v>
      </c>
      <c r="J12" s="57">
        <f>(OPEX!$E$60*10^6)*OPEX!$B$75</f>
        <v>22207411.288574111</v>
      </c>
      <c r="K12" s="57">
        <f>(OPEX!$E$60*10^6)*OPEX!$B$75</f>
        <v>22207411.288574111</v>
      </c>
      <c r="L12" s="57">
        <f>(OPEX!$E$60*10^6)*OPEX!$B$75</f>
        <v>22207411.288574111</v>
      </c>
      <c r="M12" s="57">
        <f>(OPEX!$E$60*10^6)*OPEX!$B$75</f>
        <v>22207411.288574111</v>
      </c>
      <c r="N12" s="57">
        <f>(OPEX!$E$60*10^6)*OPEX!$B$75</f>
        <v>22207411.288574111</v>
      </c>
      <c r="O12" s="57">
        <f>(OPEX!$E$60*10^6)*OPEX!$B$75</f>
        <v>22207411.288574111</v>
      </c>
      <c r="P12" s="57">
        <f>(OPEX!$E$60*10^6)*OPEX!$B$75</f>
        <v>22207411.288574111</v>
      </c>
      <c r="Q12" s="57">
        <f>(OPEX!$E$60*10^6)*OPEX!$B$75</f>
        <v>22207411.288574111</v>
      </c>
      <c r="R12" s="57">
        <f>(OPEX!$E$60*10^6)*OPEX!$B$75</f>
        <v>22207411.288574111</v>
      </c>
      <c r="S12" s="57">
        <f>(OPEX!$E$60*10^6)*OPEX!$B$75</f>
        <v>22207411.288574111</v>
      </c>
      <c r="T12" s="57">
        <f>(OPEX!$E$60*10^6)*OPEX!$B$75</f>
        <v>22207411.288574111</v>
      </c>
      <c r="U12" s="57">
        <f>(OPEX!$E$60*10^6)*OPEX!$B$75</f>
        <v>22207411.288574111</v>
      </c>
      <c r="V12" s="57">
        <f>(OPEX!$E$60*10^6)*OPEX!$B$75</f>
        <v>22207411.288574111</v>
      </c>
      <c r="W12" s="57">
        <f>(OPEX!$E$60*10^6)*OPEX!$B$75</f>
        <v>22207411.288574111</v>
      </c>
    </row>
    <row r="13" spans="2:23" x14ac:dyDescent="0.3">
      <c r="B13" s="56" t="s">
        <v>354</v>
      </c>
      <c r="C13" s="57"/>
      <c r="D13" s="57">
        <f>(OPEX!$E$59*10^6)*OPEX!$B$75</f>
        <v>140109.85040109849</v>
      </c>
      <c r="E13" s="57">
        <f>(OPEX!$E$59*10^6)*OPEX!$B$75</f>
        <v>140109.85040109849</v>
      </c>
      <c r="F13" s="57">
        <f>(OPEX!$E$59*10^6)*OPEX!$B$75</f>
        <v>140109.85040109849</v>
      </c>
      <c r="G13" s="57">
        <f>(OPEX!$E$59*10^6)*OPEX!$B$75</f>
        <v>140109.85040109849</v>
      </c>
      <c r="H13" s="57">
        <f>(OPEX!$E$59*10^6)*OPEX!$B$75</f>
        <v>140109.85040109849</v>
      </c>
      <c r="I13" s="57">
        <f>(OPEX!$E$59*10^6)*OPEX!$B$75</f>
        <v>140109.85040109849</v>
      </c>
      <c r="J13" s="57">
        <f>(OPEX!$E$59*10^6)*OPEX!$B$75</f>
        <v>140109.85040109849</v>
      </c>
      <c r="K13" s="57">
        <f>(OPEX!$E$59*10^6)*OPEX!$B$75</f>
        <v>140109.85040109849</v>
      </c>
      <c r="L13" s="57">
        <f>(OPEX!$E$59*10^6)*OPEX!$B$75</f>
        <v>140109.85040109849</v>
      </c>
      <c r="M13" s="57">
        <f>(OPEX!$E$59*10^6)*OPEX!$B$75</f>
        <v>140109.85040109849</v>
      </c>
      <c r="N13" s="57">
        <f>(OPEX!$E$59*10^6)*OPEX!$B$75</f>
        <v>140109.85040109849</v>
      </c>
      <c r="O13" s="57">
        <f>(OPEX!$E$59*10^6)*OPEX!$B$75</f>
        <v>140109.85040109849</v>
      </c>
      <c r="P13" s="57">
        <f>(OPEX!$E$59*10^6)*OPEX!$B$75</f>
        <v>140109.85040109849</v>
      </c>
      <c r="Q13" s="57">
        <f>(OPEX!$E$59*10^6)*OPEX!$B$75</f>
        <v>140109.85040109849</v>
      </c>
      <c r="R13" s="57">
        <f>(OPEX!$E$59*10^6)*OPEX!$B$75</f>
        <v>140109.85040109849</v>
      </c>
      <c r="S13" s="57">
        <f>(OPEX!$E$59*10^6)*OPEX!$B$75</f>
        <v>140109.85040109849</v>
      </c>
      <c r="T13" s="57">
        <f>(OPEX!$E$59*10^6)*OPEX!$B$75</f>
        <v>140109.85040109849</v>
      </c>
      <c r="U13" s="57">
        <f>(OPEX!$E$59*10^6)*OPEX!$B$75</f>
        <v>140109.85040109849</v>
      </c>
      <c r="V13" s="57">
        <f>(OPEX!$E$59*10^6)*OPEX!$B$75</f>
        <v>140109.85040109849</v>
      </c>
      <c r="W13" s="57">
        <f>(OPEX!$E$59*10^6)*OPEX!$B$75</f>
        <v>140109.85040109849</v>
      </c>
    </row>
    <row r="14" spans="2:23" x14ac:dyDescent="0.3">
      <c r="B14" s="56" t="s">
        <v>355</v>
      </c>
      <c r="C14" s="57"/>
      <c r="D14" s="57">
        <f>(OPEX!$E$61*10^6)*OPEX!$B$75</f>
        <v>55553555.68403554</v>
      </c>
      <c r="E14" s="57">
        <f>(OPEX!$E$61*10^6)*OPEX!$B$75</f>
        <v>55553555.68403554</v>
      </c>
      <c r="F14" s="57">
        <f>(OPEX!$E$61*10^6)*OPEX!$B$75</f>
        <v>55553555.68403554</v>
      </c>
      <c r="G14" s="57">
        <f>(OPEX!$E$61*10^6)*OPEX!$B$75</f>
        <v>55553555.68403554</v>
      </c>
      <c r="H14" s="57">
        <f>(OPEX!$E$61*10^6)*OPEX!$B$75</f>
        <v>55553555.68403554</v>
      </c>
      <c r="I14" s="57">
        <f>(OPEX!$E$61*10^6)*OPEX!$B$75</f>
        <v>55553555.68403554</v>
      </c>
      <c r="J14" s="57">
        <f>(OPEX!$E$61*10^6)*OPEX!$B$75</f>
        <v>55553555.68403554</v>
      </c>
      <c r="K14" s="57">
        <f>(OPEX!$E$61*10^6)*OPEX!$B$75</f>
        <v>55553555.68403554</v>
      </c>
      <c r="L14" s="57">
        <f>(OPEX!$E$61*10^6)*OPEX!$B$75</f>
        <v>55553555.68403554</v>
      </c>
      <c r="M14" s="57">
        <f>(OPEX!$E$61*10^6)*OPEX!$B$75</f>
        <v>55553555.68403554</v>
      </c>
      <c r="N14" s="57">
        <f>(OPEX!$E$61*10^6)*OPEX!$B$75</f>
        <v>55553555.68403554</v>
      </c>
      <c r="O14" s="57">
        <f>(OPEX!$E$61*10^6)*OPEX!$B$75</f>
        <v>55553555.68403554</v>
      </c>
      <c r="P14" s="57">
        <f>(OPEX!$E$61*10^6)*OPEX!$B$75</f>
        <v>55553555.68403554</v>
      </c>
      <c r="Q14" s="57">
        <f>(OPEX!$E$61*10^6)*OPEX!$B$75</f>
        <v>55553555.68403554</v>
      </c>
      <c r="R14" s="57">
        <f>(OPEX!$E$61*10^6)*OPEX!$B$75</f>
        <v>55553555.68403554</v>
      </c>
      <c r="S14" s="57">
        <f>(OPEX!$E$61*10^6)*OPEX!$B$75</f>
        <v>55553555.68403554</v>
      </c>
      <c r="T14" s="57">
        <f>(OPEX!$E$61*10^6)*OPEX!$B$75</f>
        <v>55553555.68403554</v>
      </c>
      <c r="U14" s="57">
        <f>(OPEX!$E$61*10^6)*OPEX!$B$75</f>
        <v>55553555.68403554</v>
      </c>
      <c r="V14" s="57">
        <f>(OPEX!$E$61*10^6)*OPEX!$B$75</f>
        <v>55553555.68403554</v>
      </c>
      <c r="W14" s="57">
        <f>(OPEX!$E$61*10^6)*OPEX!$B$75</f>
        <v>55553555.68403554</v>
      </c>
    </row>
    <row r="15" spans="2:23" x14ac:dyDescent="0.3">
      <c r="B15" s="56" t="s">
        <v>356</v>
      </c>
      <c r="C15" s="57"/>
      <c r="D15" s="57">
        <f>(OPEX!$E$67*10^6)*OPEX!$B$75</f>
        <v>70531070.754800111</v>
      </c>
      <c r="E15" s="57">
        <f>(OPEX!$E$67*10^6)*OPEX!$B$75</f>
        <v>70531070.754800111</v>
      </c>
      <c r="F15" s="57">
        <f>(OPEX!$E$67*10^6)*OPEX!$B$75</f>
        <v>70531070.754800111</v>
      </c>
      <c r="G15" s="57">
        <f>(OPEX!$E$67*10^6)*OPEX!$B$75</f>
        <v>70531070.754800111</v>
      </c>
      <c r="H15" s="57">
        <f>(OPEX!$E$67*10^6)*OPEX!$B$75</f>
        <v>70531070.754800111</v>
      </c>
      <c r="I15" s="57">
        <f>(OPEX!$E$67*10^6)*OPEX!$B$75</f>
        <v>70531070.754800111</v>
      </c>
      <c r="J15" s="57">
        <f>(OPEX!$E$67*10^6)*OPEX!$B$75</f>
        <v>70531070.754800111</v>
      </c>
      <c r="K15" s="57">
        <f>(OPEX!$E$67*10^6)*OPEX!$B$75</f>
        <v>70531070.754800111</v>
      </c>
      <c r="L15" s="57">
        <f>(OPEX!$E$67*10^6)*OPEX!$B$75</f>
        <v>70531070.754800111</v>
      </c>
      <c r="M15" s="57">
        <f>(OPEX!$E$67*10^6)*OPEX!$B$75</f>
        <v>70531070.754800111</v>
      </c>
      <c r="N15" s="57">
        <f>(OPEX!$E$67*10^6)*OPEX!$B$75</f>
        <v>70531070.754800111</v>
      </c>
      <c r="O15" s="57">
        <f>(OPEX!$E$67*10^6)*OPEX!$B$75</f>
        <v>70531070.754800111</v>
      </c>
      <c r="P15" s="57">
        <f>(OPEX!$E$67*10^6)*OPEX!$B$75</f>
        <v>70531070.754800111</v>
      </c>
      <c r="Q15" s="57">
        <f>(OPEX!$E$67*10^6)*OPEX!$B$75</f>
        <v>70531070.754800111</v>
      </c>
      <c r="R15" s="57">
        <f>(OPEX!$E$67*10^6)*OPEX!$B$75</f>
        <v>70531070.754800111</v>
      </c>
      <c r="S15" s="57">
        <f>(OPEX!$E$67*10^6)*OPEX!$B$75</f>
        <v>70531070.754800111</v>
      </c>
      <c r="T15" s="57">
        <f>(OPEX!$E$67*10^6)*OPEX!$B$75</f>
        <v>70531070.754800111</v>
      </c>
      <c r="U15" s="57">
        <f>(OPEX!$E$67*10^6)*OPEX!$B$75</f>
        <v>70531070.754800111</v>
      </c>
      <c r="V15" s="57">
        <f>(OPEX!$E$67*10^6)*OPEX!$B$75</f>
        <v>70531070.754800111</v>
      </c>
      <c r="W15" s="57">
        <f>(OPEX!$E$67*10^6)*OPEX!$B$75</f>
        <v>70531070.754800111</v>
      </c>
    </row>
    <row r="16" spans="2:23" x14ac:dyDescent="0.3">
      <c r="B16" s="56" t="s">
        <v>358</v>
      </c>
      <c r="C16" s="57"/>
      <c r="D16" s="57">
        <f>(OPEX!$E$69*10^6)*OPEX!$B$75</f>
        <v>37269220.206692196</v>
      </c>
      <c r="E16" s="57">
        <f>(OPEX!$E$69*10^6)*OPEX!$B$75</f>
        <v>37269220.206692196</v>
      </c>
      <c r="F16" s="57">
        <f>(OPEX!$E$69*10^6)*OPEX!$B$75</f>
        <v>37269220.206692196</v>
      </c>
      <c r="G16" s="57">
        <f>(OPEX!$E$69*10^6)*OPEX!$B$75</f>
        <v>37269220.206692196</v>
      </c>
      <c r="H16" s="57">
        <f>(OPEX!$E$69*10^6)*OPEX!$B$75</f>
        <v>37269220.206692196</v>
      </c>
      <c r="I16" s="57">
        <f>(OPEX!$E$69*10^6)*OPEX!$B$75</f>
        <v>37269220.206692196</v>
      </c>
      <c r="J16" s="57">
        <f>(OPEX!$E$69*10^6)*OPEX!$B$75</f>
        <v>37269220.206692196</v>
      </c>
      <c r="K16" s="57">
        <f>(OPEX!$E$69*10^6)*OPEX!$B$75</f>
        <v>37269220.206692196</v>
      </c>
      <c r="L16" s="57">
        <f>(OPEX!$E$69*10^6)*OPEX!$B$75</f>
        <v>37269220.206692196</v>
      </c>
      <c r="M16" s="57">
        <f>(OPEX!$E$69*10^6)*OPEX!$B$75</f>
        <v>37269220.206692196</v>
      </c>
      <c r="N16" s="57">
        <f>(OPEX!$E$69*10^6)*OPEX!$B$75</f>
        <v>37269220.206692196</v>
      </c>
      <c r="O16" s="57">
        <f>(OPEX!$E$69*10^6)*OPEX!$B$75</f>
        <v>37269220.206692196</v>
      </c>
      <c r="P16" s="57">
        <f>(OPEX!$E$69*10^6)*OPEX!$B$75</f>
        <v>37269220.206692196</v>
      </c>
      <c r="Q16" s="57">
        <f>(OPEX!$E$69*10^6)*OPEX!$B$75</f>
        <v>37269220.206692196</v>
      </c>
      <c r="R16" s="57">
        <f>(OPEX!$E$69*10^6)*OPEX!$B$75</f>
        <v>37269220.206692196</v>
      </c>
      <c r="S16" s="57">
        <f>(OPEX!$E$69*10^6)*OPEX!$B$75</f>
        <v>37269220.206692196</v>
      </c>
      <c r="T16" s="57">
        <f>(OPEX!$E$69*10^6)*OPEX!$B$75</f>
        <v>37269220.206692196</v>
      </c>
      <c r="U16" s="57">
        <f>(OPEX!$E$69*10^6)*OPEX!$B$75</f>
        <v>37269220.206692196</v>
      </c>
      <c r="V16" s="57">
        <f>(OPEX!$E$69*10^6)*OPEX!$B$75</f>
        <v>37269220.206692196</v>
      </c>
      <c r="W16" s="57">
        <f>(OPEX!$E$69*10^6)*OPEX!$B$75</f>
        <v>37269220.206692196</v>
      </c>
    </row>
    <row r="17" spans="2:25" x14ac:dyDescent="0.3">
      <c r="B17" s="59" t="s">
        <v>342</v>
      </c>
      <c r="C17" s="59"/>
      <c r="D17" s="60">
        <f>D2-D3</f>
        <v>783121834.72793663</v>
      </c>
      <c r="E17" s="60">
        <f t="shared" ref="E17:V17" si="1">E2-E3</f>
        <v>872911819.2464081</v>
      </c>
      <c r="F17" s="60">
        <f t="shared" si="1"/>
        <v>1216947300.340241</v>
      </c>
      <c r="G17" s="60">
        <f t="shared" si="1"/>
        <v>1544023711.2114315</v>
      </c>
      <c r="H17" s="60">
        <f t="shared" si="1"/>
        <v>1617791579.3258286</v>
      </c>
      <c r="I17" s="60">
        <f t="shared" si="1"/>
        <v>1617791579.325829</v>
      </c>
      <c r="J17" s="60">
        <f t="shared" si="1"/>
        <v>1617791579.32583</v>
      </c>
      <c r="K17" s="60">
        <f t="shared" si="1"/>
        <v>1617791579.32583</v>
      </c>
      <c r="L17" s="60">
        <f t="shared" si="1"/>
        <v>1617791579.3258295</v>
      </c>
      <c r="M17" s="60">
        <f t="shared" si="1"/>
        <v>1617791579.325829</v>
      </c>
      <c r="N17" s="60">
        <f>N2-N3</f>
        <v>1737376358.7446289</v>
      </c>
      <c r="O17" s="60">
        <f t="shared" si="1"/>
        <v>1737376358.7446294</v>
      </c>
      <c r="P17" s="60">
        <f t="shared" si="1"/>
        <v>1737376358.7446289</v>
      </c>
      <c r="Q17" s="60">
        <f t="shared" si="1"/>
        <v>1737376358.7446294</v>
      </c>
      <c r="R17" s="60">
        <f t="shared" si="1"/>
        <v>1737376358.7446289</v>
      </c>
      <c r="S17" s="60">
        <f t="shared" si="1"/>
        <v>1737376358.7446289</v>
      </c>
      <c r="T17" s="60">
        <f t="shared" si="1"/>
        <v>1771374688.1357765</v>
      </c>
      <c r="U17" s="60">
        <f t="shared" si="1"/>
        <v>1771376223.2431908</v>
      </c>
      <c r="V17" s="60">
        <f t="shared" si="1"/>
        <v>1680810303.0016913</v>
      </c>
      <c r="W17" s="60">
        <f>W2-W3</f>
        <v>1669561290.6662884</v>
      </c>
    </row>
    <row r="18" spans="2:25" x14ac:dyDescent="0.3">
      <c r="B18" t="s">
        <v>367</v>
      </c>
      <c r="C18" s="41">
        <v>0</v>
      </c>
      <c r="D18" s="41">
        <f t="shared" ref="D18:M18" si="2">E18</f>
        <v>201964577.66580552</v>
      </c>
      <c r="E18" s="41">
        <f t="shared" si="2"/>
        <v>201964577.66580552</v>
      </c>
      <c r="F18" s="41">
        <f t="shared" si="2"/>
        <v>201964577.66580552</v>
      </c>
      <c r="G18" s="41">
        <f t="shared" si="2"/>
        <v>201964577.66580552</v>
      </c>
      <c r="H18" s="41">
        <f t="shared" si="2"/>
        <v>201964577.66580552</v>
      </c>
      <c r="I18" s="41">
        <f t="shared" si="2"/>
        <v>201964577.66580552</v>
      </c>
      <c r="J18" s="41">
        <f t="shared" si="2"/>
        <v>201964577.66580552</v>
      </c>
      <c r="K18" s="41">
        <f t="shared" si="2"/>
        <v>201964577.66580552</v>
      </c>
      <c r="L18" s="41">
        <f t="shared" si="2"/>
        <v>201964577.66580552</v>
      </c>
      <c r="M18" s="41">
        <f t="shared" si="2"/>
        <v>201964577.66580552</v>
      </c>
      <c r="N18" s="41">
        <f>O18</f>
        <v>201964577.66580552</v>
      </c>
      <c r="O18" s="41">
        <f>((406049*1000)*(1+(SUMIFS(Inflação!$L$1:$L$20,Inflação!$I$1:$I$20,O$1)+Inflação!$K$22))*'Receita Máxima'!$H$47)</f>
        <v>201964577.66580552</v>
      </c>
      <c r="P18" s="41">
        <f>((422429*1000)*(1+(SUMIFS(Inflação!$L$1:$L$20,Inflação!$I$1:$I$20,P$1)+Inflação!$K$22))*'Receita Máxima'!$H$47)</f>
        <v>211173709.34135738</v>
      </c>
      <c r="Q18" s="41">
        <f>((336045*1000)*(1+(SUMIFS(Inflação!$L$1:$L$20,Inflação!$I$1:$I$20,Q$1)+Inflação!$K$22))*'Receita Máxima'!$H$47)</f>
        <v>156625074.53007716</v>
      </c>
      <c r="R18" s="41">
        <f>(((439093*1000)*(1+(SUMIFS(Inflação!$L$1:$L$20,Inflação!$I$1:$I$20,R$1)+Inflação!$K$22))*'Receita Máxima'!$H$47))</f>
        <v>191242559.43487641</v>
      </c>
      <c r="S18" s="41">
        <f>((450910*1000)*(1+(SUMIFS(Inflação!$L$1:$L$20,Inflação!$I$1:$I$20,S$1)+Inflação!$K$22))*'Receita Máxima'!$H$47)</f>
        <v>160957538.14162177</v>
      </c>
      <c r="T18" s="41">
        <f>((461439*1000)*(1+(SUMIFS(Inflação!$L$1:$L$20,Inflação!$I$1:$I$20,T$1)+Inflação!$K$22))*'Receita Máxima'!$H$47)</f>
        <v>141056134.32001835</v>
      </c>
      <c r="U18" s="41">
        <f>((478771*1000)*(1+(SUMIFS(Inflação!$L$1:$L$20,Inflação!$I$1:$I$20,U$1)+Inflação!$K$22))*'Receita Máxima'!$H$47)</f>
        <v>139218185.77947769</v>
      </c>
      <c r="V18" s="41">
        <f>((457834*1000)*(1+(Inflação!$K$22))*'Receita Máxima'!$H$47)</f>
        <v>134705644.19142976</v>
      </c>
      <c r="W18" s="41">
        <f>V18</f>
        <v>134705644.19142976</v>
      </c>
    </row>
    <row r="19" spans="2:25" s="41" customFormat="1" x14ac:dyDescent="0.3">
      <c r="B19" s="96" t="s">
        <v>343</v>
      </c>
      <c r="C19" s="96"/>
      <c r="D19" s="96">
        <f>D17-D18</f>
        <v>581157257.06213117</v>
      </c>
      <c r="E19" s="96">
        <f t="shared" ref="E19:W19" si="3">E17-E18</f>
        <v>670947241.58060265</v>
      </c>
      <c r="F19" s="96">
        <f t="shared" si="3"/>
        <v>1014982722.6744354</v>
      </c>
      <c r="G19" s="96">
        <f t="shared" si="3"/>
        <v>1342059133.5456259</v>
      </c>
      <c r="H19" s="96">
        <f t="shared" si="3"/>
        <v>1415827001.660023</v>
      </c>
      <c r="I19" s="96">
        <f t="shared" si="3"/>
        <v>1415827001.6600235</v>
      </c>
      <c r="J19" s="96">
        <f t="shared" si="3"/>
        <v>1415827001.6600244</v>
      </c>
      <c r="K19" s="96">
        <f t="shared" si="3"/>
        <v>1415827001.6600244</v>
      </c>
      <c r="L19" s="96">
        <f t="shared" si="3"/>
        <v>1415827001.6600239</v>
      </c>
      <c r="M19" s="96">
        <f t="shared" si="3"/>
        <v>1415827001.6600235</v>
      </c>
      <c r="N19" s="96">
        <f t="shared" si="3"/>
        <v>1535411781.0788233</v>
      </c>
      <c r="O19" s="96">
        <f t="shared" si="3"/>
        <v>1535411781.0788238</v>
      </c>
      <c r="P19" s="96">
        <f t="shared" si="3"/>
        <v>1526202649.4032714</v>
      </c>
      <c r="Q19" s="96">
        <f t="shared" si="3"/>
        <v>1580751284.2145522</v>
      </c>
      <c r="R19" s="96">
        <f t="shared" si="3"/>
        <v>1546133799.3097525</v>
      </c>
      <c r="S19" s="96">
        <f t="shared" si="3"/>
        <v>1576418820.6030071</v>
      </c>
      <c r="T19" s="96">
        <f t="shared" si="3"/>
        <v>1630318553.8157582</v>
      </c>
      <c r="U19" s="96">
        <f t="shared" si="3"/>
        <v>1632158037.4637132</v>
      </c>
      <c r="V19" s="96">
        <f t="shared" si="3"/>
        <v>1546104658.8102615</v>
      </c>
      <c r="W19" s="96">
        <f t="shared" si="3"/>
        <v>1534855646.4748585</v>
      </c>
    </row>
    <row r="20" spans="2:25" x14ac:dyDescent="0.3">
      <c r="B20" t="s">
        <v>344</v>
      </c>
      <c r="D20" s="40">
        <f>34%*D19</f>
        <v>197593467.4011246</v>
      </c>
      <c r="E20" s="40">
        <f t="shared" ref="E20:W20" si="4">34%*E19</f>
        <v>228122062.13740492</v>
      </c>
      <c r="F20" s="40">
        <f t="shared" si="4"/>
        <v>345094125.70930803</v>
      </c>
      <c r="G20" s="40">
        <f t="shared" si="4"/>
        <v>456300105.40551287</v>
      </c>
      <c r="H20" s="40">
        <f t="shared" si="4"/>
        <v>481381180.56440783</v>
      </c>
      <c r="I20" s="40">
        <f t="shared" si="4"/>
        <v>481381180.564408</v>
      </c>
      <c r="J20" s="40">
        <f t="shared" si="4"/>
        <v>481381180.5644083</v>
      </c>
      <c r="K20" s="40">
        <f t="shared" si="4"/>
        <v>481381180.5644083</v>
      </c>
      <c r="L20" s="40">
        <f t="shared" si="4"/>
        <v>481381180.56440818</v>
      </c>
      <c r="M20" s="40">
        <f t="shared" si="4"/>
        <v>481381180.564408</v>
      </c>
      <c r="N20" s="40">
        <f t="shared" si="4"/>
        <v>522040005.5668</v>
      </c>
      <c r="O20" s="40">
        <f t="shared" si="4"/>
        <v>522040005.56680012</v>
      </c>
      <c r="P20" s="40">
        <f t="shared" si="4"/>
        <v>518908900.79711235</v>
      </c>
      <c r="Q20" s="40">
        <f t="shared" si="4"/>
        <v>537455436.6329478</v>
      </c>
      <c r="R20" s="40">
        <f t="shared" si="4"/>
        <v>525685491.76531589</v>
      </c>
      <c r="S20" s="40">
        <f t="shared" si="4"/>
        <v>535982399.00502247</v>
      </c>
      <c r="T20" s="40">
        <f t="shared" si="4"/>
        <v>554308308.2973578</v>
      </c>
      <c r="U20" s="40">
        <f t="shared" si="4"/>
        <v>554933732.73766255</v>
      </c>
      <c r="V20" s="40">
        <f t="shared" si="4"/>
        <v>525675583.99548894</v>
      </c>
      <c r="W20" s="40">
        <f t="shared" si="4"/>
        <v>521850919.80145192</v>
      </c>
    </row>
    <row r="21" spans="2:25" s="41" customFormat="1" x14ac:dyDescent="0.3">
      <c r="B21" s="96" t="s">
        <v>365</v>
      </c>
      <c r="C21" s="96"/>
      <c r="D21" s="96">
        <f>D19-D20</f>
        <v>383563789.66100657</v>
      </c>
      <c r="E21" s="96">
        <f t="shared" ref="E21:W21" si="5">E19-E20</f>
        <v>442825179.44319773</v>
      </c>
      <c r="F21" s="96">
        <f t="shared" si="5"/>
        <v>669888596.96512735</v>
      </c>
      <c r="G21" s="96">
        <f t="shared" si="5"/>
        <v>885759028.14011312</v>
      </c>
      <c r="H21" s="96">
        <f t="shared" si="5"/>
        <v>934445821.09561515</v>
      </c>
      <c r="I21" s="96">
        <f t="shared" si="5"/>
        <v>934445821.09561539</v>
      </c>
      <c r="J21" s="96">
        <f t="shared" si="5"/>
        <v>934445821.0956161</v>
      </c>
      <c r="K21" s="96">
        <f t="shared" si="5"/>
        <v>934445821.0956161</v>
      </c>
      <c r="L21" s="96">
        <f t="shared" si="5"/>
        <v>934445821.09561574</v>
      </c>
      <c r="M21" s="96">
        <f t="shared" si="5"/>
        <v>934445821.09561539</v>
      </c>
      <c r="N21" s="96">
        <f t="shared" si="5"/>
        <v>1013371775.5120233</v>
      </c>
      <c r="O21" s="96">
        <f t="shared" si="5"/>
        <v>1013371775.5120237</v>
      </c>
      <c r="P21" s="96">
        <f t="shared" si="5"/>
        <v>1007293748.6061591</v>
      </c>
      <c r="Q21" s="96">
        <f t="shared" si="5"/>
        <v>1043295847.5816044</v>
      </c>
      <c r="R21" s="96">
        <f t="shared" si="5"/>
        <v>1020448307.5444366</v>
      </c>
      <c r="S21" s="96">
        <f t="shared" si="5"/>
        <v>1040436421.5979846</v>
      </c>
      <c r="T21" s="96">
        <f t="shared" si="5"/>
        <v>1076010245.5184004</v>
      </c>
      <c r="U21" s="96">
        <f t="shared" si="5"/>
        <v>1077224304.7260506</v>
      </c>
      <c r="V21" s="96">
        <f t="shared" si="5"/>
        <v>1020429074.8147726</v>
      </c>
      <c r="W21" s="96">
        <f t="shared" si="5"/>
        <v>1013004726.6734066</v>
      </c>
    </row>
    <row r="23" spans="2:25" s="41" customFormat="1" x14ac:dyDescent="0.3">
      <c r="B23" s="99" t="s">
        <v>366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Y23" s="100"/>
    </row>
    <row r="24" spans="2:25" x14ac:dyDescent="0.3">
      <c r="B24" s="63" t="s">
        <v>368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5">
        <v>0</v>
      </c>
      <c r="X24" s="41"/>
      <c r="Y24" s="68"/>
    </row>
    <row r="25" spans="2:25" x14ac:dyDescent="0.3">
      <c r="B25" s="63" t="s">
        <v>369</v>
      </c>
      <c r="C25" s="67" t="s">
        <v>304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41"/>
    </row>
    <row r="26" spans="2:25" s="41" customFormat="1" x14ac:dyDescent="0.3">
      <c r="B26" s="77" t="s">
        <v>364</v>
      </c>
      <c r="C26" s="77">
        <f>-C28</f>
        <v>-7509931631.984005</v>
      </c>
      <c r="D26" s="77">
        <f>D21-D23+D18+D24-D25</f>
        <v>585528367.32681203</v>
      </c>
      <c r="E26" s="77">
        <f t="shared" ref="E26:V26" si="6">E21-E23+E18+E24-E25</f>
        <v>644789757.10900331</v>
      </c>
      <c r="F26" s="77">
        <f t="shared" si="6"/>
        <v>871853174.63093281</v>
      </c>
      <c r="G26" s="77">
        <f t="shared" si="6"/>
        <v>1087723605.8059187</v>
      </c>
      <c r="H26" s="77">
        <f t="shared" si="6"/>
        <v>1136410398.7614207</v>
      </c>
      <c r="I26" s="77">
        <f t="shared" si="6"/>
        <v>1136410398.761421</v>
      </c>
      <c r="J26" s="77">
        <f t="shared" si="6"/>
        <v>1136410398.7614217</v>
      </c>
      <c r="K26" s="77">
        <f t="shared" si="6"/>
        <v>1136410398.7614217</v>
      </c>
      <c r="L26" s="77">
        <f t="shared" si="6"/>
        <v>1136410398.7614212</v>
      </c>
      <c r="M26" s="77">
        <f t="shared" si="6"/>
        <v>1136410398.761421</v>
      </c>
      <c r="N26" s="77">
        <f t="shared" si="6"/>
        <v>1215336353.1778288</v>
      </c>
      <c r="O26" s="77">
        <f t="shared" si="6"/>
        <v>1215336353.1778293</v>
      </c>
      <c r="P26" s="77">
        <f t="shared" si="6"/>
        <v>1218467457.9475164</v>
      </c>
      <c r="Q26" s="77">
        <f t="shared" si="6"/>
        <v>1199920922.1116815</v>
      </c>
      <c r="R26" s="77">
        <f t="shared" si="6"/>
        <v>1211690866.9793129</v>
      </c>
      <c r="S26" s="77">
        <f t="shared" si="6"/>
        <v>1201393959.7396064</v>
      </c>
      <c r="T26" s="77">
        <f t="shared" si="6"/>
        <v>1217066379.8384187</v>
      </c>
      <c r="U26" s="77">
        <f t="shared" si="6"/>
        <v>1216442490.5055282</v>
      </c>
      <c r="V26" s="77">
        <f t="shared" si="6"/>
        <v>1155134719.0062025</v>
      </c>
      <c r="W26" s="77">
        <f>W21-W23+W18+W24-W25</f>
        <v>1147710370.8648365</v>
      </c>
    </row>
    <row r="27" spans="2:25" x14ac:dyDescent="0.3">
      <c r="B27" s="8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2:25" x14ac:dyDescent="0.3">
      <c r="B28" s="71" t="s">
        <v>374</v>
      </c>
      <c r="C28" s="165">
        <v>7509931631.984005</v>
      </c>
      <c r="D28" s="70">
        <f>(C28-C29)+D23-D29</f>
        <v>1725720944.4393806</v>
      </c>
      <c r="E28" s="70">
        <f t="shared" ref="E28:W28" si="7">(D28)+E23-E29</f>
        <v>1725720944.4393806</v>
      </c>
      <c r="F28" s="70">
        <f t="shared" si="7"/>
        <v>-2798781208.0770283</v>
      </c>
      <c r="G28" s="70">
        <f t="shared" si="7"/>
        <v>-2816092471.7361822</v>
      </c>
      <c r="H28" s="70">
        <f t="shared" si="7"/>
        <v>-2816092471.7361822</v>
      </c>
      <c r="I28" s="70">
        <f t="shared" si="7"/>
        <v>-3252369273.6728849</v>
      </c>
      <c r="J28" s="70">
        <f t="shared" si="7"/>
        <v>-3252369273.6728849</v>
      </c>
      <c r="K28" s="70">
        <f t="shared" si="7"/>
        <v>-3284730725.7567005</v>
      </c>
      <c r="L28" s="70">
        <f t="shared" si="7"/>
        <v>-3296499702.6025524</v>
      </c>
      <c r="M28" s="70">
        <f t="shared" si="7"/>
        <v>-3296499702.6025524</v>
      </c>
      <c r="N28" s="70">
        <f t="shared" si="7"/>
        <v>-3296499702.6025524</v>
      </c>
      <c r="O28" s="70">
        <f t="shared" si="7"/>
        <v>-3296499702.6025524</v>
      </c>
      <c r="P28" s="70">
        <f t="shared" si="7"/>
        <v>-3296499702.6025524</v>
      </c>
      <c r="Q28" s="70">
        <f t="shared" si="7"/>
        <v>-3296499702.6025524</v>
      </c>
      <c r="R28" s="70">
        <f t="shared" si="7"/>
        <v>-3296499702.6025524</v>
      </c>
      <c r="S28" s="70">
        <f t="shared" si="7"/>
        <v>-3296499702.6025524</v>
      </c>
      <c r="T28" s="70">
        <f t="shared" si="7"/>
        <v>-3303954103.0354085</v>
      </c>
      <c r="U28" s="70">
        <f t="shared" si="7"/>
        <v>-3303954103.0354085</v>
      </c>
      <c r="V28" s="70">
        <f t="shared" si="7"/>
        <v>-3303954103.0354085</v>
      </c>
      <c r="W28" s="70">
        <f t="shared" si="7"/>
        <v>-3303954103.0354085</v>
      </c>
    </row>
    <row r="29" spans="2:25" s="41" customFormat="1" x14ac:dyDescent="0.3">
      <c r="B29" s="72" t="s">
        <v>363</v>
      </c>
      <c r="C29" s="70">
        <v>5784210687.5446243</v>
      </c>
      <c r="D29" s="70"/>
      <c r="E29" s="70"/>
      <c r="F29" s="70">
        <v>4524502152.5164089</v>
      </c>
      <c r="G29" s="70">
        <v>17311263.659153871</v>
      </c>
      <c r="H29" s="70"/>
      <c r="I29" s="70">
        <v>436276801.93670261</v>
      </c>
      <c r="J29" s="70"/>
      <c r="K29" s="70">
        <v>32361452.083815746</v>
      </c>
      <c r="L29" s="70">
        <v>11768976.845851727</v>
      </c>
      <c r="M29" s="70"/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7454400.43285615</v>
      </c>
      <c r="U29" s="70">
        <v>0</v>
      </c>
      <c r="V29" s="70">
        <v>0</v>
      </c>
      <c r="W29" s="70">
        <v>0</v>
      </c>
    </row>
    <row r="30" spans="2:25" x14ac:dyDescent="0.3">
      <c r="F30" s="40"/>
    </row>
    <row r="31" spans="2:25" x14ac:dyDescent="0.3">
      <c r="B31" s="66" t="s">
        <v>370</v>
      </c>
      <c r="C31" s="83">
        <f>NPV($C$34,D26:W26)-(C28)</f>
        <v>0</v>
      </c>
      <c r="N31" s="75">
        <f>N18/N28</f>
        <v>-6.1266372178452363E-2</v>
      </c>
    </row>
    <row r="32" spans="2:25" x14ac:dyDescent="0.3">
      <c r="B32" s="92" t="s">
        <v>389</v>
      </c>
      <c r="C32" s="93">
        <f>NPV(C34,'FCR_CRN NTS'!D22:W22)+'FCR_CRN NTS'!C27</f>
        <v>17043694549.577538</v>
      </c>
      <c r="E32" s="8"/>
    </row>
    <row r="33" spans="2:23" ht="15" thickBot="1" x14ac:dyDescent="0.35">
      <c r="C33" s="74"/>
      <c r="D33" s="68"/>
    </row>
    <row r="34" spans="2:23" x14ac:dyDescent="0.3">
      <c r="B34" s="88" t="s">
        <v>371</v>
      </c>
      <c r="C34" s="89">
        <v>0.12</v>
      </c>
      <c r="D34" s="10"/>
    </row>
    <row r="35" spans="2:23" ht="15" thickBot="1" x14ac:dyDescent="0.35">
      <c r="B35" s="90" t="s">
        <v>388</v>
      </c>
      <c r="C35" s="91">
        <f>IRR(C26:W26)</f>
        <v>0.12000000000000011</v>
      </c>
      <c r="D35" s="10"/>
    </row>
    <row r="36" spans="2:23" x14ac:dyDescent="0.3">
      <c r="D36" s="10"/>
    </row>
    <row r="37" spans="2:23" x14ac:dyDescent="0.3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2:23" x14ac:dyDescent="0.3">
      <c r="D38" s="10"/>
    </row>
    <row r="39" spans="2:23" x14ac:dyDescent="0.3">
      <c r="D39" s="10"/>
    </row>
    <row r="40" spans="2:23" x14ac:dyDescent="0.3">
      <c r="D40" s="10"/>
    </row>
    <row r="41" spans="2:23" x14ac:dyDescent="0.3">
      <c r="D41" s="10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812C-3A95-4BEC-8C9A-5CF2B23A5042}">
  <sheetPr>
    <tabColor rgb="FFFFC000"/>
  </sheetPr>
  <dimension ref="A1:O266"/>
  <sheetViews>
    <sheetView workbookViewId="0">
      <pane ySplit="1" topLeftCell="A257" activePane="bottomLeft" state="frozen"/>
      <selection pane="bottomLeft" activeCell="L14" sqref="L14"/>
    </sheetView>
  </sheetViews>
  <sheetFormatPr defaultColWidth="8.88671875" defaultRowHeight="13.2" x14ac:dyDescent="0.25"/>
  <cols>
    <col min="1" max="6" width="8.88671875" style="21"/>
    <col min="7" max="7" width="15.109375" style="21" bestFit="1" customWidth="1"/>
    <col min="8" max="8" width="14.109375" style="21" bestFit="1" customWidth="1"/>
    <col min="9" max="9" width="12.109375" style="21" bestFit="1" customWidth="1"/>
    <col min="10" max="10" width="8.88671875" style="21"/>
    <col min="11" max="11" width="9.5546875" style="21" bestFit="1" customWidth="1"/>
    <col min="12" max="12" width="10.88671875" style="21" bestFit="1" customWidth="1"/>
    <col min="13" max="13" width="8.88671875" style="21"/>
    <col min="14" max="15" width="16.6640625" style="21" bestFit="1" customWidth="1"/>
    <col min="16" max="16384" width="8.88671875" style="21"/>
  </cols>
  <sheetData>
    <row r="1" spans="1:15" ht="26.4" x14ac:dyDescent="0.25">
      <c r="A1" s="27" t="s">
        <v>11</v>
      </c>
      <c r="B1" s="27" t="s">
        <v>12</v>
      </c>
      <c r="C1" s="20" t="s">
        <v>13</v>
      </c>
      <c r="D1" s="20" t="s">
        <v>14</v>
      </c>
      <c r="E1" s="20" t="s">
        <v>15</v>
      </c>
      <c r="I1" s="50" t="s">
        <v>16</v>
      </c>
      <c r="J1" s="50" t="s">
        <v>14</v>
      </c>
      <c r="K1" s="50" t="s">
        <v>15</v>
      </c>
      <c r="L1" s="50" t="s">
        <v>376</v>
      </c>
    </row>
    <row r="2" spans="1:15" ht="14.4" x14ac:dyDescent="0.3">
      <c r="A2" s="23">
        <f>YEAR(C2)</f>
        <v>2004</v>
      </c>
      <c r="B2" s="23">
        <f>MONTH(C2)</f>
        <v>1</v>
      </c>
      <c r="C2" s="26" t="s">
        <v>17</v>
      </c>
      <c r="D2" s="22">
        <v>297.03899999999999</v>
      </c>
      <c r="E2" s="22">
        <v>2246.4299999999998</v>
      </c>
      <c r="I2" s="23">
        <v>2005</v>
      </c>
      <c r="J2" s="24"/>
      <c r="K2" s="24"/>
      <c r="L2" s="24"/>
    </row>
    <row r="3" spans="1:15" ht="14.4" x14ac:dyDescent="0.3">
      <c r="A3" s="23">
        <f t="shared" ref="A3:A66" si="0">YEAR(C3)</f>
        <v>2004</v>
      </c>
      <c r="B3" s="23">
        <f t="shared" ref="B3:B66" si="1">MONTH(C3)</f>
        <v>2</v>
      </c>
      <c r="C3" s="26" t="s">
        <v>18</v>
      </c>
      <c r="D3" s="22">
        <v>299.09699999999998</v>
      </c>
      <c r="E3" s="22">
        <v>2260.13</v>
      </c>
      <c r="I3" s="23">
        <v>2006</v>
      </c>
      <c r="J3" s="24">
        <f>SUMIFS(D:D,$A:$A,$I3,$B:$B,12)/SUMIFS(D:D,$A:$A,$I2,$B:$B,12)-1</f>
        <v>3.8315731658537411E-2</v>
      </c>
      <c r="K3" s="24">
        <f>SUMIFS(E:E,$A:$A,$I3,$B:$B,12)/SUMIFS(E:E,$A:$A,$I2,$B:$B,12)-1</f>
        <v>3.1415161315768714E-2</v>
      </c>
      <c r="L3" s="24">
        <f>($D$249/SUMIFS(D:D,$A:$A,$I2,$B:$B,12)-1)</f>
        <v>2.4225506408840443</v>
      </c>
      <c r="N3" s="43"/>
    </row>
    <row r="4" spans="1:15" ht="14.4" x14ac:dyDescent="0.3">
      <c r="A4" s="23">
        <f t="shared" si="0"/>
        <v>2004</v>
      </c>
      <c r="B4" s="23">
        <f t="shared" si="1"/>
        <v>3</v>
      </c>
      <c r="C4" s="26" t="s">
        <v>19</v>
      </c>
      <c r="D4" s="22">
        <v>302.48399999999998</v>
      </c>
      <c r="E4" s="22">
        <v>2270.75</v>
      </c>
      <c r="I4" s="23">
        <v>2007</v>
      </c>
      <c r="J4" s="24">
        <f t="shared" ref="J4:K20" si="2">SUMIFS(D:D,$A:$A,$I4,$B:$B,12)/SUMIFS(D:D,$A:$A,$I3,$B:$B,12)-1</f>
        <v>7.7543827369897844E-2</v>
      </c>
      <c r="K4" s="24">
        <f t="shared" si="2"/>
        <v>4.4576585533737223E-2</v>
      </c>
      <c r="L4" s="24">
        <f t="shared" ref="L4:L20" si="3">($D$249/SUMIFS(D:D,$A:$A,$I3,$B:$B,12)-1)</f>
        <v>2.2962523214562935</v>
      </c>
    </row>
    <row r="5" spans="1:15" ht="14.4" x14ac:dyDescent="0.3">
      <c r="A5" s="23">
        <f t="shared" si="0"/>
        <v>2004</v>
      </c>
      <c r="B5" s="23">
        <f t="shared" si="1"/>
        <v>4</v>
      </c>
      <c r="C5" s="26" t="s">
        <v>20</v>
      </c>
      <c r="D5" s="22">
        <v>306.15100000000001</v>
      </c>
      <c r="E5" s="22">
        <v>2279.15</v>
      </c>
      <c r="I5" s="23">
        <v>2008</v>
      </c>
      <c r="J5" s="24">
        <f t="shared" si="2"/>
        <v>9.8075050358176652E-2</v>
      </c>
      <c r="K5" s="24">
        <f t="shared" si="2"/>
        <v>5.9027243906546456E-2</v>
      </c>
      <c r="L5" s="24">
        <f t="shared" si="3"/>
        <v>2.059042460947401</v>
      </c>
      <c r="N5" s="49"/>
      <c r="O5" s="48"/>
    </row>
    <row r="6" spans="1:15" ht="14.4" x14ac:dyDescent="0.3">
      <c r="A6" s="23">
        <f t="shared" si="0"/>
        <v>2004</v>
      </c>
      <c r="B6" s="23">
        <f t="shared" si="1"/>
        <v>5</v>
      </c>
      <c r="C6" s="26" t="s">
        <v>21</v>
      </c>
      <c r="D6" s="22">
        <v>310.15199999999999</v>
      </c>
      <c r="E6" s="22">
        <v>2290.77</v>
      </c>
      <c r="I6" s="23">
        <v>2009</v>
      </c>
      <c r="J6" s="24">
        <f t="shared" si="2"/>
        <v>-1.7192492255360459E-2</v>
      </c>
      <c r="K6" s="24">
        <f t="shared" si="2"/>
        <v>4.31165006256784E-2</v>
      </c>
      <c r="L6" s="24">
        <f t="shared" si="3"/>
        <v>1.7858227540545468</v>
      </c>
      <c r="N6" s="49"/>
      <c r="O6" s="51"/>
    </row>
    <row r="7" spans="1:15" ht="14.4" x14ac:dyDescent="0.3">
      <c r="A7" s="23">
        <f t="shared" si="0"/>
        <v>2004</v>
      </c>
      <c r="B7" s="23">
        <f t="shared" si="1"/>
        <v>6</v>
      </c>
      <c r="C7" s="26" t="s">
        <v>22</v>
      </c>
      <c r="D7" s="22">
        <v>314.41899999999998</v>
      </c>
      <c r="E7" s="22">
        <v>2307.0300000000002</v>
      </c>
      <c r="I7" s="23">
        <v>2010</v>
      </c>
      <c r="J7" s="24">
        <f t="shared" si="2"/>
        <v>0.11323142949673537</v>
      </c>
      <c r="K7" s="24">
        <f t="shared" si="2"/>
        <v>5.9086887217945305E-2</v>
      </c>
      <c r="L7" s="24">
        <f t="shared" si="3"/>
        <v>1.8345558332653478</v>
      </c>
      <c r="N7" s="49"/>
      <c r="O7" s="51"/>
    </row>
    <row r="8" spans="1:15" ht="14.4" x14ac:dyDescent="0.3">
      <c r="A8" s="23">
        <f t="shared" si="0"/>
        <v>2004</v>
      </c>
      <c r="B8" s="23">
        <f t="shared" si="1"/>
        <v>7</v>
      </c>
      <c r="C8" s="26" t="s">
        <v>23</v>
      </c>
      <c r="D8" s="22">
        <v>318.53199999999998</v>
      </c>
      <c r="E8" s="22">
        <v>2328.02</v>
      </c>
      <c r="I8" s="23">
        <v>2011</v>
      </c>
      <c r="J8" s="24">
        <f t="shared" si="2"/>
        <v>5.0968130206239914E-2</v>
      </c>
      <c r="K8" s="24">
        <f t="shared" si="2"/>
        <v>6.5033527436801686E-2</v>
      </c>
      <c r="L8" s="24">
        <f t="shared" si="3"/>
        <v>1.5462412919358388</v>
      </c>
    </row>
    <row r="9" spans="1:15" ht="14.4" x14ac:dyDescent="0.3">
      <c r="A9" s="23">
        <f t="shared" si="0"/>
        <v>2004</v>
      </c>
      <c r="B9" s="23">
        <f t="shared" si="1"/>
        <v>8</v>
      </c>
      <c r="C9" s="26" t="s">
        <v>24</v>
      </c>
      <c r="D9" s="22">
        <v>322.41199999999998</v>
      </c>
      <c r="E9" s="22">
        <v>2344.08</v>
      </c>
      <c r="I9" s="23">
        <v>2012</v>
      </c>
      <c r="J9" s="24">
        <f t="shared" si="2"/>
        <v>7.818244825167131E-2</v>
      </c>
      <c r="K9" s="24">
        <f t="shared" si="2"/>
        <v>5.8385947181474496E-2</v>
      </c>
      <c r="L9" s="24">
        <f t="shared" si="3"/>
        <v>1.4227578541664907</v>
      </c>
    </row>
    <row r="10" spans="1:15" ht="14.4" x14ac:dyDescent="0.3">
      <c r="A10" s="23">
        <f t="shared" si="0"/>
        <v>2004</v>
      </c>
      <c r="B10" s="23">
        <f t="shared" si="1"/>
        <v>9</v>
      </c>
      <c r="C10" s="26" t="s">
        <v>25</v>
      </c>
      <c r="D10" s="22">
        <v>324.65100000000001</v>
      </c>
      <c r="E10" s="22">
        <v>2351.8200000000002</v>
      </c>
      <c r="I10" s="23">
        <v>2013</v>
      </c>
      <c r="J10" s="24">
        <f t="shared" si="2"/>
        <v>5.5106104434671455E-2</v>
      </c>
      <c r="K10" s="24">
        <f t="shared" si="2"/>
        <v>5.910683255331084E-2</v>
      </c>
      <c r="L10" s="24">
        <f t="shared" si="3"/>
        <v>1.2470759546263417</v>
      </c>
      <c r="N10" s="49"/>
    </row>
    <row r="11" spans="1:15" ht="14.4" x14ac:dyDescent="0.3">
      <c r="A11" s="23">
        <f t="shared" si="0"/>
        <v>2004</v>
      </c>
      <c r="B11" s="23">
        <f t="shared" si="1"/>
        <v>10</v>
      </c>
      <c r="C11" s="26" t="s">
        <v>26</v>
      </c>
      <c r="D11" s="22">
        <v>325.92500000000001</v>
      </c>
      <c r="E11" s="22">
        <v>2362.17</v>
      </c>
      <c r="I11" s="23">
        <v>2014</v>
      </c>
      <c r="J11" s="24">
        <f t="shared" si="2"/>
        <v>3.6857551498040264E-2</v>
      </c>
      <c r="K11" s="24">
        <f t="shared" si="2"/>
        <v>6.4074707959081545E-2</v>
      </c>
      <c r="L11" s="24">
        <f t="shared" si="3"/>
        <v>1.129715623084496</v>
      </c>
    </row>
    <row r="12" spans="1:15" ht="14.4" x14ac:dyDescent="0.3">
      <c r="A12" s="23">
        <f t="shared" si="0"/>
        <v>2004</v>
      </c>
      <c r="B12" s="23">
        <f t="shared" si="1"/>
        <v>11</v>
      </c>
      <c r="C12" s="26" t="s">
        <v>27</v>
      </c>
      <c r="D12" s="22">
        <v>328.58800000000002</v>
      </c>
      <c r="E12" s="22">
        <v>2378.4699999999998</v>
      </c>
      <c r="I12" s="23">
        <v>2015</v>
      </c>
      <c r="J12" s="24">
        <f t="shared" si="2"/>
        <v>0.10539166948817025</v>
      </c>
      <c r="K12" s="24">
        <f t="shared" si="2"/>
        <v>0.1067302813397506</v>
      </c>
      <c r="L12" s="24">
        <f t="shared" si="3"/>
        <v>1.054009849286921</v>
      </c>
    </row>
    <row r="13" spans="1:15" ht="14.4" x14ac:dyDescent="0.3">
      <c r="A13" s="23">
        <f t="shared" si="0"/>
        <v>2004</v>
      </c>
      <c r="B13" s="23">
        <f t="shared" si="1"/>
        <v>12</v>
      </c>
      <c r="C13" s="26" t="s">
        <v>28</v>
      </c>
      <c r="D13" s="22">
        <v>331.005</v>
      </c>
      <c r="E13" s="22">
        <v>2398.92</v>
      </c>
      <c r="I13" s="23">
        <v>2016</v>
      </c>
      <c r="J13" s="24">
        <f t="shared" si="2"/>
        <v>7.1729082528960708E-2</v>
      </c>
      <c r="K13" s="24">
        <f t="shared" si="2"/>
        <v>6.2879882132213849E-2</v>
      </c>
      <c r="L13" s="24">
        <f t="shared" si="3"/>
        <v>0.85817380932316012</v>
      </c>
    </row>
    <row r="14" spans="1:15" ht="14.4" x14ac:dyDescent="0.3">
      <c r="A14" s="23">
        <f t="shared" si="0"/>
        <v>2005</v>
      </c>
      <c r="B14" s="23">
        <f t="shared" si="1"/>
        <v>1</v>
      </c>
      <c r="C14" s="26" t="s">
        <v>29</v>
      </c>
      <c r="D14" s="28">
        <v>332.298</v>
      </c>
      <c r="E14" s="22">
        <v>2412.83</v>
      </c>
      <c r="I14" s="23">
        <v>2017</v>
      </c>
      <c r="J14" s="24">
        <f t="shared" si="2"/>
        <v>-5.2094044493907754E-3</v>
      </c>
      <c r="K14" s="24">
        <f t="shared" si="2"/>
        <v>2.9474213204347066E-2</v>
      </c>
      <c r="L14" s="24">
        <f t="shared" si="3"/>
        <v>0.73380926170112404</v>
      </c>
    </row>
    <row r="15" spans="1:15" ht="14.4" x14ac:dyDescent="0.3">
      <c r="A15" s="23">
        <f t="shared" si="0"/>
        <v>2005</v>
      </c>
      <c r="B15" s="23">
        <f t="shared" si="1"/>
        <v>2</v>
      </c>
      <c r="C15" s="26" t="s">
        <v>30</v>
      </c>
      <c r="D15" s="28">
        <v>333.28800000000001</v>
      </c>
      <c r="E15" s="22">
        <v>2427.0700000000002</v>
      </c>
      <c r="I15" s="23">
        <v>2018</v>
      </c>
      <c r="J15" s="24">
        <f t="shared" si="2"/>
        <v>7.5368734029632511E-2</v>
      </c>
      <c r="K15" s="24">
        <f t="shared" si="2"/>
        <v>3.7455811701915476E-2</v>
      </c>
      <c r="L15" s="24">
        <f t="shared" si="3"/>
        <v>0.74288867371275602</v>
      </c>
    </row>
    <row r="16" spans="1:15" ht="14.4" x14ac:dyDescent="0.3">
      <c r="A16" s="23">
        <f t="shared" si="0"/>
        <v>2005</v>
      </c>
      <c r="B16" s="23">
        <f t="shared" si="1"/>
        <v>3</v>
      </c>
      <c r="C16" s="26" t="s">
        <v>31</v>
      </c>
      <c r="D16" s="28">
        <v>336.12299999999999</v>
      </c>
      <c r="E16" s="22">
        <v>2441.87</v>
      </c>
      <c r="I16" s="23">
        <v>2019</v>
      </c>
      <c r="J16" s="24">
        <f t="shared" si="2"/>
        <v>7.3039306458065001E-2</v>
      </c>
      <c r="K16" s="24">
        <f t="shared" si="2"/>
        <v>4.306151617159526E-2</v>
      </c>
      <c r="L16" s="24">
        <f t="shared" si="3"/>
        <v>0.62073586348543563</v>
      </c>
      <c r="N16" s="52">
        <v>2019</v>
      </c>
      <c r="O16" s="52">
        <v>2023</v>
      </c>
    </row>
    <row r="17" spans="1:15" ht="14.4" x14ac:dyDescent="0.3">
      <c r="A17" s="23">
        <f t="shared" si="0"/>
        <v>2005</v>
      </c>
      <c r="B17" s="23">
        <f t="shared" si="1"/>
        <v>4</v>
      </c>
      <c r="C17" s="26" t="s">
        <v>32</v>
      </c>
      <c r="D17" s="28">
        <v>339.03</v>
      </c>
      <c r="E17" s="22">
        <v>2463.11</v>
      </c>
      <c r="I17" s="23">
        <v>2020</v>
      </c>
      <c r="J17" s="24">
        <f t="shared" si="2"/>
        <v>0.23138351126052559</v>
      </c>
      <c r="K17" s="24">
        <f t="shared" si="2"/>
        <v>4.517456886424509E-2</v>
      </c>
      <c r="L17" s="24">
        <f t="shared" si="3"/>
        <v>0.51041611777972173</v>
      </c>
      <c r="N17" s="53">
        <v>1233844146.9209256</v>
      </c>
      <c r="O17" s="53">
        <v>2057301062.7291756</v>
      </c>
    </row>
    <row r="18" spans="1:15" ht="14.4" x14ac:dyDescent="0.3">
      <c r="A18" s="23">
        <f t="shared" si="0"/>
        <v>2005</v>
      </c>
      <c r="B18" s="23">
        <f t="shared" si="1"/>
        <v>5</v>
      </c>
      <c r="C18" s="26" t="s">
        <v>33</v>
      </c>
      <c r="D18" s="28">
        <v>338.29899999999998</v>
      </c>
      <c r="E18" s="22">
        <v>2475.1799999999998</v>
      </c>
      <c r="I18" s="23">
        <v>2021</v>
      </c>
      <c r="J18" s="24">
        <f t="shared" si="2"/>
        <v>0.17783212339450416</v>
      </c>
      <c r="K18" s="24">
        <f t="shared" si="2"/>
        <v>0.10060982737443336</v>
      </c>
      <c r="L18" s="24">
        <f t="shared" si="3"/>
        <v>0.22660089563288044</v>
      </c>
      <c r="N18" s="54">
        <f>N17*(1+(D249/D181-1))</f>
        <v>1999735458.8663371</v>
      </c>
      <c r="O18" s="55">
        <f>O17*(1+(D249/D229-1))</f>
        <v>2031729350.2348003</v>
      </c>
    </row>
    <row r="19" spans="1:15" ht="14.4" x14ac:dyDescent="0.3">
      <c r="A19" s="23">
        <f t="shared" si="0"/>
        <v>2005</v>
      </c>
      <c r="B19" s="23">
        <f t="shared" si="1"/>
        <v>6</v>
      </c>
      <c r="C19" s="26" t="s">
        <v>34</v>
      </c>
      <c r="D19" s="28">
        <v>336.80099999999999</v>
      </c>
      <c r="E19" s="22">
        <v>2474.6799999999998</v>
      </c>
      <c r="I19" s="23">
        <v>2022</v>
      </c>
      <c r="J19" s="24">
        <f t="shared" si="2"/>
        <v>5.4512855725947995E-2</v>
      </c>
      <c r="K19" s="24">
        <f t="shared" si="2"/>
        <v>5.7850929078894886E-2</v>
      </c>
      <c r="L19" s="24">
        <f t="shared" si="3"/>
        <v>4.1405537571708395E-2</v>
      </c>
      <c r="N19" s="55">
        <f>N18*(1+K22)</f>
        <v>2125116130.8075163</v>
      </c>
      <c r="O19" s="55">
        <f>O18*(1+K22)</f>
        <v>2159115995.306078</v>
      </c>
    </row>
    <row r="20" spans="1:15" ht="14.4" x14ac:dyDescent="0.3">
      <c r="A20" s="23">
        <f t="shared" si="0"/>
        <v>2005</v>
      </c>
      <c r="B20" s="23">
        <f t="shared" si="1"/>
        <v>7</v>
      </c>
      <c r="C20" s="26" t="s">
        <v>35</v>
      </c>
      <c r="D20" s="28">
        <v>335.66300000000001</v>
      </c>
      <c r="E20" s="22">
        <v>2480.87</v>
      </c>
      <c r="I20" s="23">
        <v>2023</v>
      </c>
      <c r="J20" s="24">
        <f t="shared" si="2"/>
        <v>-3.1812066432042707E-2</v>
      </c>
      <c r="K20" s="24">
        <f t="shared" si="2"/>
        <v>4.62119000508181E-2</v>
      </c>
      <c r="L20" s="24">
        <f t="shared" si="3"/>
        <v>-1.2429737658547824E-2</v>
      </c>
      <c r="N20" s="43"/>
    </row>
    <row r="21" spans="1:15" ht="14.4" x14ac:dyDescent="0.3">
      <c r="A21" s="23">
        <f t="shared" si="0"/>
        <v>2005</v>
      </c>
      <c r="B21" s="23">
        <f t="shared" si="1"/>
        <v>8</v>
      </c>
      <c r="C21" s="26" t="s">
        <v>36</v>
      </c>
      <c r="D21" s="28">
        <v>333.47399999999999</v>
      </c>
      <c r="E21" s="22">
        <v>2485.09</v>
      </c>
      <c r="H21" s="46"/>
      <c r="I21" s="47" t="s">
        <v>361</v>
      </c>
      <c r="J21" s="25">
        <f>D249/D241-1</f>
        <v>2.0019180266032999E-2</v>
      </c>
      <c r="K21" s="25"/>
      <c r="L21" s="25">
        <f>J21</f>
        <v>2.0019180266032999E-2</v>
      </c>
      <c r="N21" s="49"/>
      <c r="O21" s="48"/>
    </row>
    <row r="22" spans="1:15" ht="14.4" x14ac:dyDescent="0.3">
      <c r="A22" s="23">
        <f t="shared" si="0"/>
        <v>2005</v>
      </c>
      <c r="B22" s="23">
        <f t="shared" si="1"/>
        <v>9</v>
      </c>
      <c r="C22" s="26" t="s">
        <v>37</v>
      </c>
      <c r="D22" s="28">
        <v>331.69</v>
      </c>
      <c r="E22" s="22">
        <v>2493.79</v>
      </c>
      <c r="H22" s="46"/>
      <c r="I22" s="47" t="s">
        <v>360</v>
      </c>
      <c r="J22" s="25"/>
      <c r="K22" s="25">
        <f>E265/E249-1</f>
        <v>6.2698629153807417E-2</v>
      </c>
      <c r="L22" s="25"/>
      <c r="N22" s="49"/>
      <c r="O22" s="51"/>
    </row>
    <row r="23" spans="1:15" ht="14.4" x14ac:dyDescent="0.3">
      <c r="A23" s="23">
        <f t="shared" si="0"/>
        <v>2005</v>
      </c>
      <c r="B23" s="23">
        <f t="shared" si="1"/>
        <v>10</v>
      </c>
      <c r="C23" s="26" t="s">
        <v>38</v>
      </c>
      <c r="D23" s="28">
        <v>333.69400000000002</v>
      </c>
      <c r="E23" s="22">
        <v>2512.4899999999998</v>
      </c>
      <c r="I23"/>
      <c r="J23"/>
      <c r="K23" s="75"/>
      <c r="L23"/>
      <c r="N23" s="49"/>
      <c r="O23" s="48"/>
    </row>
    <row r="24" spans="1:15" x14ac:dyDescent="0.25">
      <c r="A24" s="23">
        <f t="shared" si="0"/>
        <v>2005</v>
      </c>
      <c r="B24" s="23">
        <f t="shared" si="1"/>
        <v>11</v>
      </c>
      <c r="C24" s="26" t="s">
        <v>39</v>
      </c>
      <c r="D24" s="28">
        <v>335.03300000000002</v>
      </c>
      <c r="E24" s="22">
        <v>2526.31</v>
      </c>
      <c r="K24" s="51">
        <f>D249/D240-1</f>
        <v>2.7567293861437525E-2</v>
      </c>
      <c r="N24" s="53">
        <f>118819*1000</f>
        <v>118819000</v>
      </c>
      <c r="O24" s="55">
        <f>N24*(1+(L13+K22))</f>
        <v>228236142.26739481</v>
      </c>
    </row>
    <row r="25" spans="1:15" x14ac:dyDescent="0.25">
      <c r="A25" s="23">
        <f t="shared" si="0"/>
        <v>2005</v>
      </c>
      <c r="B25" s="23">
        <f t="shared" si="1"/>
        <v>12</v>
      </c>
      <c r="C25" s="26" t="s">
        <v>40</v>
      </c>
      <c r="D25" s="28">
        <v>335.00599999999997</v>
      </c>
      <c r="E25" s="22">
        <v>2535.4</v>
      </c>
      <c r="N25" s="55">
        <f>N24*(1+(D249/D145-1)+K22)</f>
        <v>228236142.26739481</v>
      </c>
      <c r="O25" s="52"/>
    </row>
    <row r="26" spans="1:15" x14ac:dyDescent="0.25">
      <c r="A26" s="23">
        <f t="shared" si="0"/>
        <v>2006</v>
      </c>
      <c r="B26" s="23">
        <f t="shared" si="1"/>
        <v>1</v>
      </c>
      <c r="C26" s="26" t="s">
        <v>41</v>
      </c>
      <c r="D26" s="28">
        <v>338.08300000000003</v>
      </c>
      <c r="E26" s="22">
        <v>2550.36</v>
      </c>
    </row>
    <row r="27" spans="1:15" x14ac:dyDescent="0.25">
      <c r="A27" s="23">
        <f t="shared" si="0"/>
        <v>2006</v>
      </c>
      <c r="B27" s="23">
        <f t="shared" si="1"/>
        <v>2</v>
      </c>
      <c r="C27" s="26" t="s">
        <v>42</v>
      </c>
      <c r="D27" s="28">
        <v>338.12799999999999</v>
      </c>
      <c r="E27" s="22">
        <v>2560.8200000000002</v>
      </c>
    </row>
    <row r="28" spans="1:15" x14ac:dyDescent="0.25">
      <c r="A28" s="23">
        <f t="shared" si="0"/>
        <v>2006</v>
      </c>
      <c r="B28" s="23">
        <f t="shared" si="1"/>
        <v>3</v>
      </c>
      <c r="C28" s="26" t="s">
        <v>43</v>
      </c>
      <c r="D28" s="28">
        <v>337.339</v>
      </c>
      <c r="E28" s="22">
        <v>2571.83</v>
      </c>
    </row>
    <row r="29" spans="1:15" x14ac:dyDescent="0.25">
      <c r="A29" s="23">
        <f t="shared" si="0"/>
        <v>2006</v>
      </c>
      <c r="B29" s="23">
        <f t="shared" si="1"/>
        <v>4</v>
      </c>
      <c r="C29" s="26" t="s">
        <v>44</v>
      </c>
      <c r="D29" s="28">
        <v>335.92099999999999</v>
      </c>
      <c r="E29" s="22">
        <v>2577.23</v>
      </c>
    </row>
    <row r="30" spans="1:15" x14ac:dyDescent="0.25">
      <c r="A30" s="23">
        <f t="shared" si="0"/>
        <v>2006</v>
      </c>
      <c r="B30" s="23">
        <f t="shared" si="1"/>
        <v>5</v>
      </c>
      <c r="C30" s="26" t="s">
        <v>45</v>
      </c>
      <c r="D30" s="28">
        <v>337.185</v>
      </c>
      <c r="E30" s="22">
        <v>2579.81</v>
      </c>
    </row>
    <row r="31" spans="1:15" x14ac:dyDescent="0.25">
      <c r="A31" s="23">
        <f t="shared" si="0"/>
        <v>2006</v>
      </c>
      <c r="B31" s="23">
        <f t="shared" si="1"/>
        <v>6</v>
      </c>
      <c r="C31" s="26" t="s">
        <v>46</v>
      </c>
      <c r="D31" s="28">
        <v>339.71199999999999</v>
      </c>
      <c r="E31" s="22">
        <v>2574.39</v>
      </c>
    </row>
    <row r="32" spans="1:15" x14ac:dyDescent="0.25">
      <c r="A32" s="23">
        <f t="shared" si="0"/>
        <v>2006</v>
      </c>
      <c r="B32" s="23">
        <f t="shared" si="1"/>
        <v>7</v>
      </c>
      <c r="C32" s="26" t="s">
        <v>47</v>
      </c>
      <c r="D32" s="28">
        <v>340.31200000000001</v>
      </c>
      <c r="E32" s="22">
        <v>2579.2800000000002</v>
      </c>
    </row>
    <row r="33" spans="1:8" x14ac:dyDescent="0.25">
      <c r="A33" s="23">
        <f t="shared" si="0"/>
        <v>2006</v>
      </c>
      <c r="B33" s="23">
        <f t="shared" si="1"/>
        <v>8</v>
      </c>
      <c r="C33" s="26" t="s">
        <v>48</v>
      </c>
      <c r="D33" s="28">
        <v>341.57400000000001</v>
      </c>
      <c r="E33" s="22">
        <v>2580.5700000000002</v>
      </c>
    </row>
    <row r="34" spans="1:8" x14ac:dyDescent="0.25">
      <c r="A34" s="23">
        <f t="shared" si="0"/>
        <v>2006</v>
      </c>
      <c r="B34" s="23">
        <f t="shared" si="1"/>
        <v>9</v>
      </c>
      <c r="C34" s="26" t="s">
        <v>49</v>
      </c>
      <c r="D34" s="28">
        <v>342.56099999999998</v>
      </c>
      <c r="E34" s="22">
        <v>2585.9899999999998</v>
      </c>
    </row>
    <row r="35" spans="1:8" x14ac:dyDescent="0.25">
      <c r="A35" s="23">
        <f t="shared" si="0"/>
        <v>2006</v>
      </c>
      <c r="B35" s="23">
        <f t="shared" si="1"/>
        <v>10</v>
      </c>
      <c r="C35" s="26" t="s">
        <v>50</v>
      </c>
      <c r="D35" s="28">
        <v>344.15499999999997</v>
      </c>
      <c r="E35" s="22">
        <v>2594.52</v>
      </c>
    </row>
    <row r="36" spans="1:8" x14ac:dyDescent="0.25">
      <c r="A36" s="23">
        <f t="shared" si="0"/>
        <v>2006</v>
      </c>
      <c r="B36" s="23">
        <f t="shared" si="1"/>
        <v>11</v>
      </c>
      <c r="C36" s="26" t="s">
        <v>51</v>
      </c>
      <c r="D36" s="28">
        <v>346.74599999999998</v>
      </c>
      <c r="E36" s="22">
        <v>2602.56</v>
      </c>
    </row>
    <row r="37" spans="1:8" x14ac:dyDescent="0.25">
      <c r="A37" s="23">
        <f t="shared" si="0"/>
        <v>2006</v>
      </c>
      <c r="B37" s="23">
        <f t="shared" si="1"/>
        <v>12</v>
      </c>
      <c r="C37" s="26" t="s">
        <v>52</v>
      </c>
      <c r="D37" s="28">
        <v>347.84199999999998</v>
      </c>
      <c r="E37" s="22">
        <v>2615.0500000000002</v>
      </c>
      <c r="G37" s="44"/>
    </row>
    <row r="38" spans="1:8" x14ac:dyDescent="0.25">
      <c r="A38" s="23">
        <f t="shared" si="0"/>
        <v>2007</v>
      </c>
      <c r="B38" s="23">
        <f t="shared" si="1"/>
        <v>1</v>
      </c>
      <c r="C38" s="26" t="s">
        <v>53</v>
      </c>
      <c r="D38" s="28">
        <v>349.59300000000002</v>
      </c>
      <c r="E38" s="22">
        <v>2626.56</v>
      </c>
      <c r="H38" s="45"/>
    </row>
    <row r="39" spans="1:8" x14ac:dyDescent="0.25">
      <c r="A39" s="23">
        <f t="shared" si="0"/>
        <v>2007</v>
      </c>
      <c r="B39" s="23">
        <f t="shared" si="1"/>
        <v>2</v>
      </c>
      <c r="C39" s="26" t="s">
        <v>54</v>
      </c>
      <c r="D39" s="28">
        <v>350.524</v>
      </c>
      <c r="E39" s="22">
        <v>2638.12</v>
      </c>
    </row>
    <row r="40" spans="1:8" x14ac:dyDescent="0.25">
      <c r="A40" s="23">
        <f t="shared" si="0"/>
        <v>2007</v>
      </c>
      <c r="B40" s="23">
        <f t="shared" si="1"/>
        <v>3</v>
      </c>
      <c r="C40" s="26" t="s">
        <v>55</v>
      </c>
      <c r="D40" s="28">
        <v>351.71699999999998</v>
      </c>
      <c r="E40" s="22">
        <v>2647.88</v>
      </c>
    </row>
    <row r="41" spans="1:8" x14ac:dyDescent="0.25">
      <c r="A41" s="23">
        <f t="shared" si="0"/>
        <v>2007</v>
      </c>
      <c r="B41" s="23">
        <f t="shared" si="1"/>
        <v>4</v>
      </c>
      <c r="C41" s="26" t="s">
        <v>56</v>
      </c>
      <c r="D41" s="28">
        <v>351.86900000000003</v>
      </c>
      <c r="E41" s="22">
        <v>2654.5</v>
      </c>
    </row>
    <row r="42" spans="1:8" x14ac:dyDescent="0.25">
      <c r="A42" s="23">
        <f t="shared" si="0"/>
        <v>2007</v>
      </c>
      <c r="B42" s="23">
        <f t="shared" si="1"/>
        <v>5</v>
      </c>
      <c r="C42" s="26" t="s">
        <v>57</v>
      </c>
      <c r="D42" s="28">
        <v>352.02</v>
      </c>
      <c r="E42" s="22">
        <v>2661.93</v>
      </c>
    </row>
    <row r="43" spans="1:8" x14ac:dyDescent="0.25">
      <c r="A43" s="23">
        <f t="shared" si="0"/>
        <v>2007</v>
      </c>
      <c r="B43" s="23">
        <f t="shared" si="1"/>
        <v>6</v>
      </c>
      <c r="C43" s="26" t="s">
        <v>58</v>
      </c>
      <c r="D43" s="28">
        <v>352.93599999999998</v>
      </c>
      <c r="E43" s="22">
        <v>2669.38</v>
      </c>
    </row>
    <row r="44" spans="1:8" x14ac:dyDescent="0.25">
      <c r="A44" s="23">
        <f t="shared" si="0"/>
        <v>2007</v>
      </c>
      <c r="B44" s="23">
        <f t="shared" si="1"/>
        <v>7</v>
      </c>
      <c r="C44" s="26" t="s">
        <v>59</v>
      </c>
      <c r="D44" s="28">
        <v>353.92</v>
      </c>
      <c r="E44" s="22">
        <v>2675.79</v>
      </c>
    </row>
    <row r="45" spans="1:8" x14ac:dyDescent="0.25">
      <c r="A45" s="23">
        <f t="shared" si="0"/>
        <v>2007</v>
      </c>
      <c r="B45" s="23">
        <f t="shared" si="1"/>
        <v>8</v>
      </c>
      <c r="C45" s="26" t="s">
        <v>60</v>
      </c>
      <c r="D45" s="28">
        <v>357.404</v>
      </c>
      <c r="E45" s="22">
        <v>2688.37</v>
      </c>
    </row>
    <row r="46" spans="1:8" x14ac:dyDescent="0.25">
      <c r="A46" s="23">
        <f t="shared" si="0"/>
        <v>2007</v>
      </c>
      <c r="B46" s="23">
        <f t="shared" si="1"/>
        <v>9</v>
      </c>
      <c r="C46" s="26" t="s">
        <v>61</v>
      </c>
      <c r="D46" s="28">
        <v>361.99700000000001</v>
      </c>
      <c r="E46" s="22">
        <v>2693.21</v>
      </c>
    </row>
    <row r="47" spans="1:8" x14ac:dyDescent="0.25">
      <c r="A47" s="23">
        <f t="shared" si="0"/>
        <v>2007</v>
      </c>
      <c r="B47" s="23">
        <f t="shared" si="1"/>
        <v>10</v>
      </c>
      <c r="C47" s="26" t="s">
        <v>62</v>
      </c>
      <c r="D47" s="28">
        <v>365.79399999999998</v>
      </c>
      <c r="E47" s="22">
        <v>2701.29</v>
      </c>
    </row>
    <row r="48" spans="1:8" x14ac:dyDescent="0.25">
      <c r="A48" s="23">
        <f t="shared" si="0"/>
        <v>2007</v>
      </c>
      <c r="B48" s="23">
        <f t="shared" si="1"/>
        <v>11</v>
      </c>
      <c r="C48" s="26" t="s">
        <v>63</v>
      </c>
      <c r="D48" s="28">
        <v>368.334</v>
      </c>
      <c r="E48" s="22">
        <v>2711.55</v>
      </c>
    </row>
    <row r="49" spans="1:5" x14ac:dyDescent="0.25">
      <c r="A49" s="23">
        <f t="shared" si="0"/>
        <v>2007</v>
      </c>
      <c r="B49" s="23">
        <f t="shared" si="1"/>
        <v>12</v>
      </c>
      <c r="C49" s="26" t="s">
        <v>64</v>
      </c>
      <c r="D49" s="28">
        <v>374.815</v>
      </c>
      <c r="E49" s="22">
        <v>2731.62</v>
      </c>
    </row>
    <row r="50" spans="1:5" x14ac:dyDescent="0.25">
      <c r="A50" s="23">
        <f t="shared" si="0"/>
        <v>2008</v>
      </c>
      <c r="B50" s="23">
        <f t="shared" si="1"/>
        <v>1</v>
      </c>
      <c r="C50" s="26" t="s">
        <v>65</v>
      </c>
      <c r="D50" s="28">
        <v>378.9</v>
      </c>
      <c r="E50" s="22">
        <v>2746.37</v>
      </c>
    </row>
    <row r="51" spans="1:5" x14ac:dyDescent="0.25">
      <c r="A51" s="23">
        <f t="shared" si="0"/>
        <v>2008</v>
      </c>
      <c r="B51" s="23">
        <f t="shared" si="1"/>
        <v>2</v>
      </c>
      <c r="C51" s="26" t="s">
        <v>66</v>
      </c>
      <c r="D51" s="28">
        <v>380.90600000000001</v>
      </c>
      <c r="E51" s="22">
        <v>2759.83</v>
      </c>
    </row>
    <row r="52" spans="1:5" x14ac:dyDescent="0.25">
      <c r="A52" s="23">
        <f t="shared" si="0"/>
        <v>2008</v>
      </c>
      <c r="B52" s="23">
        <f t="shared" si="1"/>
        <v>3</v>
      </c>
      <c r="C52" s="26" t="s">
        <v>67</v>
      </c>
      <c r="D52" s="28">
        <v>383.73099999999999</v>
      </c>
      <c r="E52" s="22">
        <v>2773.08</v>
      </c>
    </row>
    <row r="53" spans="1:5" x14ac:dyDescent="0.25">
      <c r="A53" s="23">
        <f t="shared" si="0"/>
        <v>2008</v>
      </c>
      <c r="B53" s="23">
        <f t="shared" si="1"/>
        <v>4</v>
      </c>
      <c r="C53" s="26" t="s">
        <v>68</v>
      </c>
      <c r="D53" s="28">
        <v>386.38</v>
      </c>
      <c r="E53" s="22">
        <v>2788.33</v>
      </c>
    </row>
    <row r="54" spans="1:5" x14ac:dyDescent="0.25">
      <c r="A54" s="23">
        <f t="shared" si="0"/>
        <v>2008</v>
      </c>
      <c r="B54" s="23">
        <f t="shared" si="1"/>
        <v>5</v>
      </c>
      <c r="C54" s="26" t="s">
        <v>69</v>
      </c>
      <c r="D54" s="28">
        <v>392.59199999999998</v>
      </c>
      <c r="E54" s="22">
        <v>2810.36</v>
      </c>
    </row>
    <row r="55" spans="1:5" x14ac:dyDescent="0.25">
      <c r="A55" s="23">
        <f t="shared" si="0"/>
        <v>2008</v>
      </c>
      <c r="B55" s="23">
        <f t="shared" si="1"/>
        <v>6</v>
      </c>
      <c r="C55" s="26" t="s">
        <v>70</v>
      </c>
      <c r="D55" s="28">
        <v>400.38200000000001</v>
      </c>
      <c r="E55" s="22">
        <v>2831.16</v>
      </c>
    </row>
    <row r="56" spans="1:5" x14ac:dyDescent="0.25">
      <c r="A56" s="23">
        <f t="shared" si="0"/>
        <v>2008</v>
      </c>
      <c r="B56" s="23">
        <f t="shared" si="1"/>
        <v>7</v>
      </c>
      <c r="C56" s="26" t="s">
        <v>71</v>
      </c>
      <c r="D56" s="28">
        <v>407.44600000000003</v>
      </c>
      <c r="E56" s="22">
        <v>2846.16</v>
      </c>
    </row>
    <row r="57" spans="1:5" x14ac:dyDescent="0.25">
      <c r="A57" s="23">
        <f t="shared" si="0"/>
        <v>2008</v>
      </c>
      <c r="B57" s="23">
        <f t="shared" si="1"/>
        <v>8</v>
      </c>
      <c r="C57" s="26" t="s">
        <v>72</v>
      </c>
      <c r="D57" s="28">
        <v>406.12700000000001</v>
      </c>
      <c r="E57" s="22">
        <v>2854.13</v>
      </c>
    </row>
    <row r="58" spans="1:5" x14ac:dyDescent="0.25">
      <c r="A58" s="23">
        <f t="shared" si="0"/>
        <v>2008</v>
      </c>
      <c r="B58" s="23">
        <f t="shared" si="1"/>
        <v>9</v>
      </c>
      <c r="C58" s="26" t="s">
        <v>73</v>
      </c>
      <c r="D58" s="28">
        <v>406.55700000000002</v>
      </c>
      <c r="E58" s="22">
        <v>2861.55</v>
      </c>
    </row>
    <row r="59" spans="1:5" x14ac:dyDescent="0.25">
      <c r="A59" s="23">
        <f t="shared" si="0"/>
        <v>2008</v>
      </c>
      <c r="B59" s="23">
        <f t="shared" si="1"/>
        <v>10</v>
      </c>
      <c r="C59" s="26" t="s">
        <v>74</v>
      </c>
      <c r="D59" s="28">
        <v>410.524</v>
      </c>
      <c r="E59" s="22">
        <v>2874.43</v>
      </c>
    </row>
    <row r="60" spans="1:5" x14ac:dyDescent="0.25">
      <c r="A60" s="23">
        <f t="shared" si="0"/>
        <v>2008</v>
      </c>
      <c r="B60" s="23">
        <f t="shared" si="1"/>
        <v>11</v>
      </c>
      <c r="C60" s="26" t="s">
        <v>75</v>
      </c>
      <c r="D60" s="28">
        <v>412.10399999999998</v>
      </c>
      <c r="E60" s="22">
        <v>2884.78</v>
      </c>
    </row>
    <row r="61" spans="1:5" x14ac:dyDescent="0.25">
      <c r="A61" s="23">
        <f t="shared" si="0"/>
        <v>2008</v>
      </c>
      <c r="B61" s="23">
        <f t="shared" si="1"/>
        <v>12</v>
      </c>
      <c r="C61" s="26" t="s">
        <v>76</v>
      </c>
      <c r="D61" s="28">
        <v>411.57499999999999</v>
      </c>
      <c r="E61" s="22">
        <v>2892.86</v>
      </c>
    </row>
    <row r="62" spans="1:5" x14ac:dyDescent="0.25">
      <c r="A62" s="23">
        <f t="shared" si="0"/>
        <v>2009</v>
      </c>
      <c r="B62" s="23">
        <f t="shared" si="1"/>
        <v>1</v>
      </c>
      <c r="C62" s="26" t="s">
        <v>77</v>
      </c>
      <c r="D62" s="28">
        <v>409.78199999999998</v>
      </c>
      <c r="E62" s="22">
        <v>2906.74</v>
      </c>
    </row>
    <row r="63" spans="1:5" x14ac:dyDescent="0.25">
      <c r="A63" s="23">
        <f t="shared" si="0"/>
        <v>2009</v>
      </c>
      <c r="B63" s="23">
        <f t="shared" si="1"/>
        <v>2</v>
      </c>
      <c r="C63" s="26" t="s">
        <v>78</v>
      </c>
      <c r="D63" s="28">
        <v>410.84899999999999</v>
      </c>
      <c r="E63" s="22">
        <v>2922.73</v>
      </c>
    </row>
    <row r="64" spans="1:5" x14ac:dyDescent="0.25">
      <c r="A64" s="23">
        <f t="shared" si="0"/>
        <v>2009</v>
      </c>
      <c r="B64" s="23">
        <f t="shared" si="1"/>
        <v>3</v>
      </c>
      <c r="C64" s="26" t="s">
        <v>79</v>
      </c>
      <c r="D64" s="28">
        <v>407.80799999999999</v>
      </c>
      <c r="E64" s="22">
        <v>2928.57</v>
      </c>
    </row>
    <row r="65" spans="1:5" x14ac:dyDescent="0.25">
      <c r="A65" s="23">
        <f t="shared" si="0"/>
        <v>2009</v>
      </c>
      <c r="B65" s="23">
        <f t="shared" si="1"/>
        <v>4</v>
      </c>
      <c r="C65" s="26" t="s">
        <v>80</v>
      </c>
      <c r="D65" s="28">
        <v>407.18099999999998</v>
      </c>
      <c r="E65" s="22">
        <v>2942.63</v>
      </c>
    </row>
    <row r="66" spans="1:5" x14ac:dyDescent="0.25">
      <c r="A66" s="23">
        <f t="shared" si="0"/>
        <v>2009</v>
      </c>
      <c r="B66" s="23">
        <f t="shared" si="1"/>
        <v>5</v>
      </c>
      <c r="C66" s="26" t="s">
        <v>81</v>
      </c>
      <c r="D66" s="28">
        <v>406.88499999999999</v>
      </c>
      <c r="E66" s="22">
        <v>2956.46</v>
      </c>
    </row>
    <row r="67" spans="1:5" x14ac:dyDescent="0.25">
      <c r="A67" s="23">
        <f t="shared" ref="A67:A130" si="4">YEAR(C67)</f>
        <v>2009</v>
      </c>
      <c r="B67" s="23">
        <f t="shared" ref="B67:B130" si="5">MONTH(C67)</f>
        <v>6</v>
      </c>
      <c r="C67" s="26" t="s">
        <v>82</v>
      </c>
      <c r="D67" s="28">
        <v>406.48599999999999</v>
      </c>
      <c r="E67" s="22">
        <v>2967.1</v>
      </c>
    </row>
    <row r="68" spans="1:5" x14ac:dyDescent="0.25">
      <c r="A68" s="23">
        <f t="shared" si="4"/>
        <v>2009</v>
      </c>
      <c r="B68" s="23">
        <f t="shared" si="5"/>
        <v>7</v>
      </c>
      <c r="C68" s="26" t="s">
        <v>83</v>
      </c>
      <c r="D68" s="28">
        <v>404.71800000000002</v>
      </c>
      <c r="E68" s="22">
        <v>2974.22</v>
      </c>
    </row>
    <row r="69" spans="1:5" x14ac:dyDescent="0.25">
      <c r="A69" s="23">
        <f t="shared" si="4"/>
        <v>2009</v>
      </c>
      <c r="B69" s="23">
        <f t="shared" si="5"/>
        <v>8</v>
      </c>
      <c r="C69" s="26" t="s">
        <v>84</v>
      </c>
      <c r="D69" s="28">
        <v>403.25299999999999</v>
      </c>
      <c r="E69" s="22">
        <v>2978.68</v>
      </c>
    </row>
    <row r="70" spans="1:5" x14ac:dyDescent="0.25">
      <c r="A70" s="23">
        <f t="shared" si="4"/>
        <v>2009</v>
      </c>
      <c r="B70" s="23">
        <f t="shared" si="5"/>
        <v>9</v>
      </c>
      <c r="C70" s="26" t="s">
        <v>85</v>
      </c>
      <c r="D70" s="28">
        <v>404.94499999999999</v>
      </c>
      <c r="E70" s="22">
        <v>2985.83</v>
      </c>
    </row>
    <row r="71" spans="1:5" x14ac:dyDescent="0.25">
      <c r="A71" s="23">
        <f t="shared" si="4"/>
        <v>2009</v>
      </c>
      <c r="B71" s="23">
        <f t="shared" si="5"/>
        <v>10</v>
      </c>
      <c r="C71" s="26" t="s">
        <v>86</v>
      </c>
      <c r="D71" s="28">
        <v>405.12900000000002</v>
      </c>
      <c r="E71" s="22">
        <v>2994.19</v>
      </c>
    </row>
    <row r="72" spans="1:5" x14ac:dyDescent="0.25">
      <c r="A72" s="23">
        <f t="shared" si="4"/>
        <v>2009</v>
      </c>
      <c r="B72" s="23">
        <f t="shared" si="5"/>
        <v>11</v>
      </c>
      <c r="C72" s="26" t="s">
        <v>87</v>
      </c>
      <c r="D72" s="28">
        <v>405.548</v>
      </c>
      <c r="E72" s="22">
        <v>3006.47</v>
      </c>
    </row>
    <row r="73" spans="1:5" x14ac:dyDescent="0.25">
      <c r="A73" s="23">
        <f t="shared" si="4"/>
        <v>2009</v>
      </c>
      <c r="B73" s="23">
        <f t="shared" si="5"/>
        <v>12</v>
      </c>
      <c r="C73" s="26" t="s">
        <v>88</v>
      </c>
      <c r="D73" s="28">
        <v>404.49900000000002</v>
      </c>
      <c r="E73" s="22">
        <v>3017.59</v>
      </c>
    </row>
    <row r="74" spans="1:5" x14ac:dyDescent="0.25">
      <c r="A74" s="23">
        <f t="shared" si="4"/>
        <v>2010</v>
      </c>
      <c r="B74" s="23">
        <f t="shared" si="5"/>
        <v>1</v>
      </c>
      <c r="C74" s="26" t="s">
        <v>89</v>
      </c>
      <c r="D74" s="28">
        <v>407.04899999999998</v>
      </c>
      <c r="E74" s="22">
        <v>3040.22</v>
      </c>
    </row>
    <row r="75" spans="1:5" x14ac:dyDescent="0.25">
      <c r="A75" s="23">
        <f t="shared" si="4"/>
        <v>2010</v>
      </c>
      <c r="B75" s="23">
        <f t="shared" si="5"/>
        <v>2</v>
      </c>
      <c r="C75" s="26" t="s">
        <v>90</v>
      </c>
      <c r="D75" s="28">
        <v>411.84300000000002</v>
      </c>
      <c r="E75" s="22">
        <v>3063.93</v>
      </c>
    </row>
    <row r="76" spans="1:5" x14ac:dyDescent="0.25">
      <c r="A76" s="23">
        <f t="shared" si="4"/>
        <v>2010</v>
      </c>
      <c r="B76" s="23">
        <f t="shared" si="5"/>
        <v>3</v>
      </c>
      <c r="C76" s="26" t="s">
        <v>91</v>
      </c>
      <c r="D76" s="28">
        <v>415.73399999999998</v>
      </c>
      <c r="E76" s="22">
        <v>3079.86</v>
      </c>
    </row>
    <row r="77" spans="1:5" x14ac:dyDescent="0.25">
      <c r="A77" s="23">
        <f t="shared" si="4"/>
        <v>2010</v>
      </c>
      <c r="B77" s="23">
        <f t="shared" si="5"/>
        <v>4</v>
      </c>
      <c r="C77" s="26" t="s">
        <v>92</v>
      </c>
      <c r="D77" s="28">
        <v>418.91699999999997</v>
      </c>
      <c r="E77" s="22">
        <v>3097.42</v>
      </c>
    </row>
    <row r="78" spans="1:5" x14ac:dyDescent="0.25">
      <c r="A78" s="23">
        <f t="shared" si="4"/>
        <v>2010</v>
      </c>
      <c r="B78" s="23">
        <f t="shared" si="5"/>
        <v>5</v>
      </c>
      <c r="C78" s="26" t="s">
        <v>93</v>
      </c>
      <c r="D78" s="28">
        <v>423.88499999999999</v>
      </c>
      <c r="E78" s="22">
        <v>3110.74</v>
      </c>
    </row>
    <row r="79" spans="1:5" x14ac:dyDescent="0.25">
      <c r="A79" s="23">
        <f t="shared" si="4"/>
        <v>2010</v>
      </c>
      <c r="B79" s="23">
        <f t="shared" si="5"/>
        <v>6</v>
      </c>
      <c r="C79" s="26" t="s">
        <v>94</v>
      </c>
      <c r="D79" s="28">
        <v>427.48899999999998</v>
      </c>
      <c r="E79" s="22">
        <v>3110.74</v>
      </c>
    </row>
    <row r="80" spans="1:5" x14ac:dyDescent="0.25">
      <c r="A80" s="23">
        <f t="shared" si="4"/>
        <v>2010</v>
      </c>
      <c r="B80" s="23">
        <f t="shared" si="5"/>
        <v>7</v>
      </c>
      <c r="C80" s="26" t="s">
        <v>95</v>
      </c>
      <c r="D80" s="28">
        <v>428.15</v>
      </c>
      <c r="E80" s="22">
        <v>3111.05</v>
      </c>
    </row>
    <row r="81" spans="1:5" x14ac:dyDescent="0.25">
      <c r="A81" s="23">
        <f t="shared" si="4"/>
        <v>2010</v>
      </c>
      <c r="B81" s="23">
        <f t="shared" si="5"/>
        <v>8</v>
      </c>
      <c r="C81" s="26" t="s">
        <v>96</v>
      </c>
      <c r="D81" s="28">
        <v>431.44499999999999</v>
      </c>
      <c r="E81" s="22">
        <v>3112.29</v>
      </c>
    </row>
    <row r="82" spans="1:5" x14ac:dyDescent="0.25">
      <c r="A82" s="23">
        <f t="shared" si="4"/>
        <v>2010</v>
      </c>
      <c r="B82" s="23">
        <f t="shared" si="5"/>
        <v>9</v>
      </c>
      <c r="C82" s="26" t="s">
        <v>97</v>
      </c>
      <c r="D82" s="28">
        <v>436.423</v>
      </c>
      <c r="E82" s="22">
        <v>3126.29</v>
      </c>
    </row>
    <row r="83" spans="1:5" x14ac:dyDescent="0.25">
      <c r="A83" s="23">
        <f t="shared" si="4"/>
        <v>2010</v>
      </c>
      <c r="B83" s="23">
        <f t="shared" si="5"/>
        <v>10</v>
      </c>
      <c r="C83" s="26" t="s">
        <v>98</v>
      </c>
      <c r="D83" s="28">
        <v>440.82900000000001</v>
      </c>
      <c r="E83" s="22">
        <v>3149.74</v>
      </c>
    </row>
    <row r="84" spans="1:5" x14ac:dyDescent="0.25">
      <c r="A84" s="23">
        <f t="shared" si="4"/>
        <v>2010</v>
      </c>
      <c r="B84" s="23">
        <f t="shared" si="5"/>
        <v>11</v>
      </c>
      <c r="C84" s="26" t="s">
        <v>99</v>
      </c>
      <c r="D84" s="28">
        <v>447.20600000000002</v>
      </c>
      <c r="E84" s="22">
        <v>3175.88</v>
      </c>
    </row>
    <row r="85" spans="1:5" x14ac:dyDescent="0.25">
      <c r="A85" s="23">
        <f t="shared" si="4"/>
        <v>2010</v>
      </c>
      <c r="B85" s="23">
        <f t="shared" si="5"/>
        <v>12</v>
      </c>
      <c r="C85" s="26" t="s">
        <v>100</v>
      </c>
      <c r="D85" s="28">
        <v>450.30099999999999</v>
      </c>
      <c r="E85" s="22">
        <v>3195.89</v>
      </c>
    </row>
    <row r="86" spans="1:5" x14ac:dyDescent="0.25">
      <c r="A86" s="23">
        <f t="shared" si="4"/>
        <v>2011</v>
      </c>
      <c r="B86" s="23">
        <f t="shared" si="5"/>
        <v>1</v>
      </c>
      <c r="C86" s="26" t="s">
        <v>101</v>
      </c>
      <c r="D86" s="28">
        <v>453.875</v>
      </c>
      <c r="E86" s="22">
        <v>3222.42</v>
      </c>
    </row>
    <row r="87" spans="1:5" x14ac:dyDescent="0.25">
      <c r="A87" s="23">
        <f t="shared" si="4"/>
        <v>2011</v>
      </c>
      <c r="B87" s="23">
        <f t="shared" si="5"/>
        <v>2</v>
      </c>
      <c r="C87" s="26" t="s">
        <v>102</v>
      </c>
      <c r="D87" s="28">
        <v>458.39699999999999</v>
      </c>
      <c r="E87" s="22">
        <v>3248.2</v>
      </c>
    </row>
    <row r="88" spans="1:5" x14ac:dyDescent="0.25">
      <c r="A88" s="23">
        <f t="shared" si="4"/>
        <v>2011</v>
      </c>
      <c r="B88" s="23">
        <f t="shared" si="5"/>
        <v>3</v>
      </c>
      <c r="C88" s="26" t="s">
        <v>103</v>
      </c>
      <c r="D88" s="28">
        <v>461.24900000000002</v>
      </c>
      <c r="E88" s="22">
        <v>3273.86</v>
      </c>
    </row>
    <row r="89" spans="1:5" x14ac:dyDescent="0.25">
      <c r="A89" s="23">
        <f t="shared" si="4"/>
        <v>2011</v>
      </c>
      <c r="B89" s="23">
        <f t="shared" si="5"/>
        <v>4</v>
      </c>
      <c r="C89" s="26" t="s">
        <v>104</v>
      </c>
      <c r="D89" s="28">
        <v>463.31099999999998</v>
      </c>
      <c r="E89" s="22">
        <v>3299.07</v>
      </c>
    </row>
    <row r="90" spans="1:5" x14ac:dyDescent="0.25">
      <c r="A90" s="23">
        <f t="shared" si="4"/>
        <v>2011</v>
      </c>
      <c r="B90" s="23">
        <f t="shared" si="5"/>
        <v>5</v>
      </c>
      <c r="C90" s="26" t="s">
        <v>105</v>
      </c>
      <c r="D90" s="28">
        <v>465.31099999999998</v>
      </c>
      <c r="E90" s="22">
        <v>3314.58</v>
      </c>
    </row>
    <row r="91" spans="1:5" x14ac:dyDescent="0.25">
      <c r="A91" s="23">
        <f t="shared" si="4"/>
        <v>2011</v>
      </c>
      <c r="B91" s="23">
        <f t="shared" si="5"/>
        <v>6</v>
      </c>
      <c r="C91" s="26" t="s">
        <v>106</v>
      </c>
      <c r="D91" s="28">
        <v>464.46300000000002</v>
      </c>
      <c r="E91" s="22">
        <v>3319.55</v>
      </c>
    </row>
    <row r="92" spans="1:5" x14ac:dyDescent="0.25">
      <c r="A92" s="23">
        <f t="shared" si="4"/>
        <v>2011</v>
      </c>
      <c r="B92" s="23">
        <f t="shared" si="5"/>
        <v>7</v>
      </c>
      <c r="C92" s="26" t="s">
        <v>107</v>
      </c>
      <c r="D92" s="28">
        <v>463.92700000000002</v>
      </c>
      <c r="E92" s="22">
        <v>3324.86</v>
      </c>
    </row>
    <row r="93" spans="1:5" x14ac:dyDescent="0.25">
      <c r="A93" s="23">
        <f t="shared" si="4"/>
        <v>2011</v>
      </c>
      <c r="B93" s="23">
        <f t="shared" si="5"/>
        <v>8</v>
      </c>
      <c r="C93" s="26" t="s">
        <v>108</v>
      </c>
      <c r="D93" s="28">
        <v>465.96800000000002</v>
      </c>
      <c r="E93" s="22">
        <v>3337.16</v>
      </c>
    </row>
    <row r="94" spans="1:5" x14ac:dyDescent="0.25">
      <c r="A94" s="23">
        <f t="shared" si="4"/>
        <v>2011</v>
      </c>
      <c r="B94" s="23">
        <f t="shared" si="5"/>
        <v>9</v>
      </c>
      <c r="C94" s="26" t="s">
        <v>109</v>
      </c>
      <c r="D94" s="28">
        <v>468.97500000000002</v>
      </c>
      <c r="E94" s="22">
        <v>3354.85</v>
      </c>
    </row>
    <row r="95" spans="1:5" x14ac:dyDescent="0.25">
      <c r="A95" s="23">
        <f t="shared" si="4"/>
        <v>2011</v>
      </c>
      <c r="B95" s="23">
        <f t="shared" si="5"/>
        <v>10</v>
      </c>
      <c r="C95" s="26" t="s">
        <v>110</v>
      </c>
      <c r="D95" s="28">
        <v>471.46600000000001</v>
      </c>
      <c r="E95" s="22">
        <v>3369.28</v>
      </c>
    </row>
    <row r="96" spans="1:5" x14ac:dyDescent="0.25">
      <c r="A96" s="23">
        <f t="shared" si="4"/>
        <v>2011</v>
      </c>
      <c r="B96" s="23">
        <f t="shared" si="5"/>
        <v>11</v>
      </c>
      <c r="C96" s="26" t="s">
        <v>111</v>
      </c>
      <c r="D96" s="28">
        <v>473.80799999999999</v>
      </c>
      <c r="E96" s="22">
        <v>3386.8</v>
      </c>
    </row>
    <row r="97" spans="1:5" x14ac:dyDescent="0.25">
      <c r="A97" s="23">
        <f t="shared" si="4"/>
        <v>2011</v>
      </c>
      <c r="B97" s="23">
        <f t="shared" si="5"/>
        <v>12</v>
      </c>
      <c r="C97" s="26" t="s">
        <v>112</v>
      </c>
      <c r="D97" s="28">
        <v>473.25200000000001</v>
      </c>
      <c r="E97" s="22">
        <v>3403.73</v>
      </c>
    </row>
    <row r="98" spans="1:5" x14ac:dyDescent="0.25">
      <c r="A98" s="23">
        <f t="shared" si="4"/>
        <v>2012</v>
      </c>
      <c r="B98" s="23">
        <f t="shared" si="5"/>
        <v>1</v>
      </c>
      <c r="C98" s="26" t="s">
        <v>113</v>
      </c>
      <c r="D98" s="28">
        <v>474.42899999999997</v>
      </c>
      <c r="E98" s="22">
        <v>3422.79</v>
      </c>
    </row>
    <row r="99" spans="1:5" x14ac:dyDescent="0.25">
      <c r="A99" s="23">
        <f t="shared" si="4"/>
        <v>2012</v>
      </c>
      <c r="B99" s="23">
        <f t="shared" si="5"/>
        <v>2</v>
      </c>
      <c r="C99" s="26" t="s">
        <v>114</v>
      </c>
      <c r="D99" s="28">
        <v>474.13799999999998</v>
      </c>
      <c r="E99" s="22">
        <v>3438.19</v>
      </c>
    </row>
    <row r="100" spans="1:5" x14ac:dyDescent="0.25">
      <c r="A100" s="23">
        <f t="shared" si="4"/>
        <v>2012</v>
      </c>
      <c r="B100" s="23">
        <f t="shared" si="5"/>
        <v>3</v>
      </c>
      <c r="C100" s="26" t="s">
        <v>115</v>
      </c>
      <c r="D100" s="28">
        <v>476.166</v>
      </c>
      <c r="E100" s="22">
        <v>3445.41</v>
      </c>
    </row>
    <row r="101" spans="1:5" x14ac:dyDescent="0.25">
      <c r="A101" s="23">
        <f t="shared" si="4"/>
        <v>2012</v>
      </c>
      <c r="B101" s="23">
        <f t="shared" si="5"/>
        <v>4</v>
      </c>
      <c r="C101" s="26" t="s">
        <v>116</v>
      </c>
      <c r="D101" s="28">
        <v>480.22899999999998</v>
      </c>
      <c r="E101" s="22">
        <v>3467.46</v>
      </c>
    </row>
    <row r="102" spans="1:5" x14ac:dyDescent="0.25">
      <c r="A102" s="23">
        <f t="shared" si="4"/>
        <v>2012</v>
      </c>
      <c r="B102" s="23">
        <f t="shared" si="5"/>
        <v>5</v>
      </c>
      <c r="C102" s="26" t="s">
        <v>117</v>
      </c>
      <c r="D102" s="28">
        <v>485.14</v>
      </c>
      <c r="E102" s="22">
        <v>3479.94</v>
      </c>
    </row>
    <row r="103" spans="1:5" x14ac:dyDescent="0.25">
      <c r="A103" s="23">
        <f t="shared" si="4"/>
        <v>2012</v>
      </c>
      <c r="B103" s="23">
        <f t="shared" si="5"/>
        <v>6</v>
      </c>
      <c r="C103" s="26" t="s">
        <v>118</v>
      </c>
      <c r="D103" s="28">
        <v>488.34199999999998</v>
      </c>
      <c r="E103" s="22">
        <v>3482.72</v>
      </c>
    </row>
    <row r="104" spans="1:5" x14ac:dyDescent="0.25">
      <c r="A104" s="23">
        <f t="shared" si="4"/>
        <v>2012</v>
      </c>
      <c r="B104" s="23">
        <f t="shared" si="5"/>
        <v>7</v>
      </c>
      <c r="C104" s="26" t="s">
        <v>119</v>
      </c>
      <c r="D104" s="28">
        <v>494.89100000000002</v>
      </c>
      <c r="E104" s="22">
        <v>3497.7</v>
      </c>
    </row>
    <row r="105" spans="1:5" x14ac:dyDescent="0.25">
      <c r="A105" s="23">
        <f t="shared" si="4"/>
        <v>2012</v>
      </c>
      <c r="B105" s="23">
        <f t="shared" si="5"/>
        <v>8</v>
      </c>
      <c r="C105" s="26" t="s">
        <v>120</v>
      </c>
      <c r="D105" s="28">
        <v>501.95699999999999</v>
      </c>
      <c r="E105" s="22">
        <v>3512.04</v>
      </c>
    </row>
    <row r="106" spans="1:5" x14ac:dyDescent="0.25">
      <c r="A106" s="23">
        <f t="shared" si="4"/>
        <v>2012</v>
      </c>
      <c r="B106" s="23">
        <f t="shared" si="5"/>
        <v>9</v>
      </c>
      <c r="C106" s="26" t="s">
        <v>121</v>
      </c>
      <c r="D106" s="28">
        <v>506.80399999999997</v>
      </c>
      <c r="E106" s="22">
        <v>3532.06</v>
      </c>
    </row>
    <row r="107" spans="1:5" x14ac:dyDescent="0.25">
      <c r="A107" s="23">
        <f t="shared" si="4"/>
        <v>2012</v>
      </c>
      <c r="B107" s="23">
        <f t="shared" si="5"/>
        <v>10</v>
      </c>
      <c r="C107" s="26" t="s">
        <v>122</v>
      </c>
      <c r="D107" s="28">
        <v>506.92599999999999</v>
      </c>
      <c r="E107" s="22">
        <v>3552.9</v>
      </c>
    </row>
    <row r="108" spans="1:5" x14ac:dyDescent="0.25">
      <c r="A108" s="23">
        <f t="shared" si="4"/>
        <v>2012</v>
      </c>
      <c r="B108" s="23">
        <f t="shared" si="5"/>
        <v>11</v>
      </c>
      <c r="C108" s="26" t="s">
        <v>123</v>
      </c>
      <c r="D108" s="28">
        <v>506.79500000000002</v>
      </c>
      <c r="E108" s="22">
        <v>3574.22</v>
      </c>
    </row>
    <row r="109" spans="1:5" x14ac:dyDescent="0.25">
      <c r="A109" s="23">
        <f t="shared" si="4"/>
        <v>2012</v>
      </c>
      <c r="B109" s="23">
        <f t="shared" si="5"/>
        <v>12</v>
      </c>
      <c r="C109" s="26" t="s">
        <v>124</v>
      </c>
      <c r="D109" s="28">
        <v>510.25200000000001</v>
      </c>
      <c r="E109" s="22">
        <v>3602.46</v>
      </c>
    </row>
    <row r="110" spans="1:5" x14ac:dyDescent="0.25">
      <c r="A110" s="23">
        <f t="shared" si="4"/>
        <v>2013</v>
      </c>
      <c r="B110" s="23">
        <f t="shared" si="5"/>
        <v>1</v>
      </c>
      <c r="C110" s="26" t="s">
        <v>125</v>
      </c>
      <c r="D110" s="28">
        <v>511.97699999999998</v>
      </c>
      <c r="E110" s="22">
        <v>3633.44</v>
      </c>
    </row>
    <row r="111" spans="1:5" x14ac:dyDescent="0.25">
      <c r="A111" s="23">
        <f t="shared" si="4"/>
        <v>2013</v>
      </c>
      <c r="B111" s="23">
        <f t="shared" si="5"/>
        <v>2</v>
      </c>
      <c r="C111" s="26" t="s">
        <v>126</v>
      </c>
      <c r="D111" s="28">
        <v>513.46699999999998</v>
      </c>
      <c r="E111" s="22">
        <v>3655.24</v>
      </c>
    </row>
    <row r="112" spans="1:5" x14ac:dyDescent="0.25">
      <c r="A112" s="23">
        <f t="shared" si="4"/>
        <v>2013</v>
      </c>
      <c r="B112" s="23">
        <f t="shared" si="5"/>
        <v>3</v>
      </c>
      <c r="C112" s="26" t="s">
        <v>127</v>
      </c>
      <c r="D112" s="28">
        <v>514.52599999999995</v>
      </c>
      <c r="E112" s="22">
        <v>3672.42</v>
      </c>
    </row>
    <row r="113" spans="1:5" x14ac:dyDescent="0.25">
      <c r="A113" s="23">
        <f t="shared" si="4"/>
        <v>2013</v>
      </c>
      <c r="B113" s="23">
        <f t="shared" si="5"/>
        <v>4</v>
      </c>
      <c r="C113" s="26" t="s">
        <v>128</v>
      </c>
      <c r="D113" s="28">
        <v>515.27599999999995</v>
      </c>
      <c r="E113" s="22">
        <v>3692.62</v>
      </c>
    </row>
    <row r="114" spans="1:5" x14ac:dyDescent="0.25">
      <c r="A114" s="23">
        <f t="shared" si="4"/>
        <v>2013</v>
      </c>
      <c r="B114" s="23">
        <f t="shared" si="5"/>
        <v>5</v>
      </c>
      <c r="C114" s="26" t="s">
        <v>129</v>
      </c>
      <c r="D114" s="28">
        <v>515.29899999999998</v>
      </c>
      <c r="E114" s="22">
        <v>3706.28</v>
      </c>
    </row>
    <row r="115" spans="1:5" x14ac:dyDescent="0.25">
      <c r="A115" s="23">
        <f t="shared" si="4"/>
        <v>2013</v>
      </c>
      <c r="B115" s="23">
        <f t="shared" si="5"/>
        <v>6</v>
      </c>
      <c r="C115" s="26" t="s">
        <v>130</v>
      </c>
      <c r="D115" s="28">
        <v>519.15300000000002</v>
      </c>
      <c r="E115" s="22">
        <v>3715.92</v>
      </c>
    </row>
    <row r="116" spans="1:5" x14ac:dyDescent="0.25">
      <c r="A116" s="23">
        <f t="shared" si="4"/>
        <v>2013</v>
      </c>
      <c r="B116" s="23">
        <f t="shared" si="5"/>
        <v>7</v>
      </c>
      <c r="C116" s="26" t="s">
        <v>131</v>
      </c>
      <c r="D116" s="28">
        <v>520.50800000000004</v>
      </c>
      <c r="E116" s="22">
        <v>3717.03</v>
      </c>
    </row>
    <row r="117" spans="1:5" x14ac:dyDescent="0.25">
      <c r="A117" s="23">
        <f t="shared" si="4"/>
        <v>2013</v>
      </c>
      <c r="B117" s="23">
        <f t="shared" si="5"/>
        <v>8</v>
      </c>
      <c r="C117" s="26" t="s">
        <v>132</v>
      </c>
      <c r="D117" s="28">
        <v>521.27</v>
      </c>
      <c r="E117" s="22">
        <v>3725.95</v>
      </c>
    </row>
    <row r="118" spans="1:5" x14ac:dyDescent="0.25">
      <c r="A118" s="23">
        <f t="shared" si="4"/>
        <v>2013</v>
      </c>
      <c r="B118" s="23">
        <f t="shared" si="5"/>
        <v>9</v>
      </c>
      <c r="C118" s="26" t="s">
        <v>133</v>
      </c>
      <c r="D118" s="28">
        <v>529.08500000000004</v>
      </c>
      <c r="E118" s="22">
        <v>3738.99</v>
      </c>
    </row>
    <row r="119" spans="1:5" x14ac:dyDescent="0.25">
      <c r="A119" s="23">
        <f t="shared" si="4"/>
        <v>2013</v>
      </c>
      <c r="B119" s="23">
        <f t="shared" si="5"/>
        <v>10</v>
      </c>
      <c r="C119" s="26" t="s">
        <v>134</v>
      </c>
      <c r="D119" s="28">
        <v>533.62099999999998</v>
      </c>
      <c r="E119" s="22">
        <v>3760.3</v>
      </c>
    </row>
    <row r="120" spans="1:5" x14ac:dyDescent="0.25">
      <c r="A120" s="23">
        <f t="shared" si="4"/>
        <v>2013</v>
      </c>
      <c r="B120" s="23">
        <f t="shared" si="5"/>
        <v>11</v>
      </c>
      <c r="C120" s="26" t="s">
        <v>135</v>
      </c>
      <c r="D120" s="28">
        <v>535.16800000000001</v>
      </c>
      <c r="E120" s="22">
        <v>3780.61</v>
      </c>
    </row>
    <row r="121" spans="1:5" x14ac:dyDescent="0.25">
      <c r="A121" s="23">
        <f t="shared" si="4"/>
        <v>2013</v>
      </c>
      <c r="B121" s="23">
        <f t="shared" si="5"/>
        <v>12</v>
      </c>
      <c r="C121" s="26" t="s">
        <v>136</v>
      </c>
      <c r="D121" s="28">
        <v>538.37</v>
      </c>
      <c r="E121" s="22">
        <v>3815.39</v>
      </c>
    </row>
    <row r="122" spans="1:5" x14ac:dyDescent="0.25">
      <c r="A122" s="23">
        <f t="shared" si="4"/>
        <v>2014</v>
      </c>
      <c r="B122" s="23">
        <f t="shared" si="5"/>
        <v>1</v>
      </c>
      <c r="C122" s="26" t="s">
        <v>137</v>
      </c>
      <c r="D122" s="28">
        <v>540.95899999999995</v>
      </c>
      <c r="E122" s="22">
        <v>3836.37</v>
      </c>
    </row>
    <row r="123" spans="1:5" x14ac:dyDescent="0.25">
      <c r="A123" s="23">
        <f t="shared" si="4"/>
        <v>2014</v>
      </c>
      <c r="B123" s="23">
        <f t="shared" si="5"/>
        <v>2</v>
      </c>
      <c r="C123" s="26" t="s">
        <v>138</v>
      </c>
      <c r="D123" s="28">
        <v>543.03800000000001</v>
      </c>
      <c r="E123" s="22">
        <v>3862.84</v>
      </c>
    </row>
    <row r="124" spans="1:5" x14ac:dyDescent="0.25">
      <c r="A124" s="23">
        <f t="shared" si="4"/>
        <v>2014</v>
      </c>
      <c r="B124" s="23">
        <f t="shared" si="5"/>
        <v>3</v>
      </c>
      <c r="C124" s="26" t="s">
        <v>139</v>
      </c>
      <c r="D124" s="28">
        <v>552.08699999999999</v>
      </c>
      <c r="E124" s="22">
        <v>3898.38</v>
      </c>
    </row>
    <row r="125" spans="1:5" x14ac:dyDescent="0.25">
      <c r="A125" s="23">
        <f t="shared" si="4"/>
        <v>2014</v>
      </c>
      <c r="B125" s="23">
        <f t="shared" si="5"/>
        <v>4</v>
      </c>
      <c r="C125" s="26" t="s">
        <v>140</v>
      </c>
      <c r="D125" s="28">
        <v>556.41999999999996</v>
      </c>
      <c r="E125" s="22">
        <v>3924.5</v>
      </c>
    </row>
    <row r="126" spans="1:5" x14ac:dyDescent="0.25">
      <c r="A126" s="23">
        <f t="shared" si="4"/>
        <v>2014</v>
      </c>
      <c r="B126" s="23">
        <f t="shared" si="5"/>
        <v>5</v>
      </c>
      <c r="C126" s="26" t="s">
        <v>141</v>
      </c>
      <c r="D126" s="28">
        <v>555.67899999999997</v>
      </c>
      <c r="E126" s="22">
        <v>3942.55</v>
      </c>
    </row>
    <row r="127" spans="1:5" x14ac:dyDescent="0.25">
      <c r="A127" s="23">
        <f t="shared" si="4"/>
        <v>2014</v>
      </c>
      <c r="B127" s="23">
        <f t="shared" si="5"/>
        <v>6</v>
      </c>
      <c r="C127" s="26" t="s">
        <v>142</v>
      </c>
      <c r="D127" s="28">
        <v>551.55399999999997</v>
      </c>
      <c r="E127" s="22">
        <v>3958.32</v>
      </c>
    </row>
    <row r="128" spans="1:5" x14ac:dyDescent="0.25">
      <c r="A128" s="23">
        <f t="shared" si="4"/>
        <v>2014</v>
      </c>
      <c r="B128" s="23">
        <f t="shared" si="5"/>
        <v>7</v>
      </c>
      <c r="C128" s="26" t="s">
        <v>143</v>
      </c>
      <c r="D128" s="28">
        <v>548.202</v>
      </c>
      <c r="E128" s="22">
        <v>3958.72</v>
      </c>
    </row>
    <row r="129" spans="1:5" x14ac:dyDescent="0.25">
      <c r="A129" s="23">
        <f t="shared" si="4"/>
        <v>2014</v>
      </c>
      <c r="B129" s="23">
        <f t="shared" si="5"/>
        <v>8</v>
      </c>
      <c r="C129" s="26" t="s">
        <v>144</v>
      </c>
      <c r="D129" s="28">
        <v>546.745</v>
      </c>
      <c r="E129" s="22">
        <v>3968.62</v>
      </c>
    </row>
    <row r="130" spans="1:5" x14ac:dyDescent="0.25">
      <c r="A130" s="23">
        <f t="shared" si="4"/>
        <v>2014</v>
      </c>
      <c r="B130" s="23">
        <f t="shared" si="5"/>
        <v>9</v>
      </c>
      <c r="C130" s="26" t="s">
        <v>145</v>
      </c>
      <c r="D130" s="28">
        <v>547.83900000000006</v>
      </c>
      <c r="E130" s="22">
        <v>3991.24</v>
      </c>
    </row>
    <row r="131" spans="1:5" x14ac:dyDescent="0.25">
      <c r="A131" s="23">
        <f t="shared" ref="A131:A194" si="6">YEAR(C131)</f>
        <v>2014</v>
      </c>
      <c r="B131" s="23">
        <f t="shared" ref="B131:B194" si="7">MONTH(C131)</f>
        <v>10</v>
      </c>
      <c r="C131" s="26" t="s">
        <v>146</v>
      </c>
      <c r="D131" s="28">
        <v>549.39599999999996</v>
      </c>
      <c r="E131" s="22">
        <v>4008</v>
      </c>
    </row>
    <row r="132" spans="1:5" x14ac:dyDescent="0.25">
      <c r="A132" s="23">
        <f t="shared" si="6"/>
        <v>2014</v>
      </c>
      <c r="B132" s="23">
        <f t="shared" si="7"/>
        <v>11</v>
      </c>
      <c r="C132" s="26" t="s">
        <v>147</v>
      </c>
      <c r="D132" s="28">
        <v>554.76900000000001</v>
      </c>
      <c r="E132" s="22">
        <v>4028.44</v>
      </c>
    </row>
    <row r="133" spans="1:5" x14ac:dyDescent="0.25">
      <c r="A133" s="23">
        <f t="shared" si="6"/>
        <v>2014</v>
      </c>
      <c r="B133" s="23">
        <f t="shared" si="7"/>
        <v>12</v>
      </c>
      <c r="C133" s="26" t="s">
        <v>148</v>
      </c>
      <c r="D133" s="28">
        <v>558.21299999999997</v>
      </c>
      <c r="E133" s="22">
        <v>4059.86</v>
      </c>
    </row>
    <row r="134" spans="1:5" x14ac:dyDescent="0.25">
      <c r="A134" s="23">
        <f t="shared" si="6"/>
        <v>2015</v>
      </c>
      <c r="B134" s="23">
        <f t="shared" si="7"/>
        <v>1</v>
      </c>
      <c r="C134" s="26" t="s">
        <v>149</v>
      </c>
      <c r="D134" s="28">
        <v>562.48199999999997</v>
      </c>
      <c r="E134" s="22">
        <v>4110.2</v>
      </c>
    </row>
    <row r="135" spans="1:5" x14ac:dyDescent="0.25">
      <c r="A135" s="23">
        <f t="shared" si="6"/>
        <v>2015</v>
      </c>
      <c r="B135" s="23">
        <f t="shared" si="7"/>
        <v>2</v>
      </c>
      <c r="C135" s="26" t="s">
        <v>150</v>
      </c>
      <c r="D135" s="28">
        <v>564.00400000000002</v>
      </c>
      <c r="E135" s="22">
        <v>4160.34</v>
      </c>
    </row>
    <row r="136" spans="1:5" x14ac:dyDescent="0.25">
      <c r="A136" s="23">
        <f t="shared" si="6"/>
        <v>2015</v>
      </c>
      <c r="B136" s="23">
        <f t="shared" si="7"/>
        <v>3</v>
      </c>
      <c r="C136" s="26" t="s">
        <v>151</v>
      </c>
      <c r="D136" s="28">
        <v>569.53599999999994</v>
      </c>
      <c r="E136" s="22">
        <v>4215.26</v>
      </c>
    </row>
    <row r="137" spans="1:5" x14ac:dyDescent="0.25">
      <c r="A137" s="23">
        <f t="shared" si="6"/>
        <v>2015</v>
      </c>
      <c r="B137" s="23">
        <f t="shared" si="7"/>
        <v>4</v>
      </c>
      <c r="C137" s="26" t="s">
        <v>152</v>
      </c>
      <c r="D137" s="28">
        <v>576.17499999999995</v>
      </c>
      <c r="E137" s="22">
        <v>4245.1899999999996</v>
      </c>
    </row>
    <row r="138" spans="1:5" x14ac:dyDescent="0.25">
      <c r="A138" s="23">
        <f t="shared" si="6"/>
        <v>2015</v>
      </c>
      <c r="B138" s="23">
        <f t="shared" si="7"/>
        <v>5</v>
      </c>
      <c r="C138" s="26" t="s">
        <v>153</v>
      </c>
      <c r="D138" s="28">
        <v>578.51599999999996</v>
      </c>
      <c r="E138" s="22">
        <v>4276.6000000000004</v>
      </c>
    </row>
    <row r="139" spans="1:5" x14ac:dyDescent="0.25">
      <c r="A139" s="23">
        <f t="shared" si="6"/>
        <v>2015</v>
      </c>
      <c r="B139" s="23">
        <f t="shared" si="7"/>
        <v>6</v>
      </c>
      <c r="C139" s="26" t="s">
        <v>154</v>
      </c>
      <c r="D139" s="28">
        <v>582.40099999999995</v>
      </c>
      <c r="E139" s="22">
        <v>4310.3900000000003</v>
      </c>
    </row>
    <row r="140" spans="1:5" x14ac:dyDescent="0.25">
      <c r="A140" s="23">
        <f t="shared" si="6"/>
        <v>2015</v>
      </c>
      <c r="B140" s="23">
        <f t="shared" si="7"/>
        <v>7</v>
      </c>
      <c r="C140" s="26" t="s">
        <v>155</v>
      </c>
      <c r="D140" s="28">
        <v>586.42600000000004</v>
      </c>
      <c r="E140" s="22">
        <v>4337.1099999999997</v>
      </c>
    </row>
    <row r="141" spans="1:5" x14ac:dyDescent="0.25">
      <c r="A141" s="23">
        <f t="shared" si="6"/>
        <v>2015</v>
      </c>
      <c r="B141" s="23">
        <f t="shared" si="7"/>
        <v>8</v>
      </c>
      <c r="C141" s="26" t="s">
        <v>156</v>
      </c>
      <c r="D141" s="28">
        <v>588.04200000000003</v>
      </c>
      <c r="E141" s="22">
        <v>4346.6499999999996</v>
      </c>
    </row>
    <row r="142" spans="1:5" x14ac:dyDescent="0.25">
      <c r="A142" s="23">
        <f t="shared" si="6"/>
        <v>2015</v>
      </c>
      <c r="B142" s="23">
        <f t="shared" si="7"/>
        <v>9</v>
      </c>
      <c r="C142" s="26" t="s">
        <v>157</v>
      </c>
      <c r="D142" s="28">
        <v>593.60599999999999</v>
      </c>
      <c r="E142" s="22">
        <v>4370.12</v>
      </c>
    </row>
    <row r="143" spans="1:5" x14ac:dyDescent="0.25">
      <c r="A143" s="23">
        <f t="shared" si="6"/>
        <v>2015</v>
      </c>
      <c r="B143" s="23">
        <f t="shared" si="7"/>
        <v>10</v>
      </c>
      <c r="C143" s="26" t="s">
        <v>158</v>
      </c>
      <c r="D143" s="28">
        <v>604.83199999999999</v>
      </c>
      <c r="E143" s="22">
        <v>4405.95</v>
      </c>
    </row>
    <row r="144" spans="1:5" x14ac:dyDescent="0.25">
      <c r="A144" s="23">
        <f t="shared" si="6"/>
        <v>2015</v>
      </c>
      <c r="B144" s="23">
        <f t="shared" si="7"/>
        <v>11</v>
      </c>
      <c r="C144" s="26" t="s">
        <v>159</v>
      </c>
      <c r="D144" s="28">
        <v>614.05100000000004</v>
      </c>
      <c r="E144" s="22">
        <v>4450.45</v>
      </c>
    </row>
    <row r="145" spans="1:5" x14ac:dyDescent="0.25">
      <c r="A145" s="23">
        <f t="shared" si="6"/>
        <v>2015</v>
      </c>
      <c r="B145" s="23">
        <f t="shared" si="7"/>
        <v>12</v>
      </c>
      <c r="C145" s="26" t="s">
        <v>160</v>
      </c>
      <c r="D145" s="28">
        <v>617.04399999999998</v>
      </c>
      <c r="E145" s="22">
        <v>4493.17</v>
      </c>
    </row>
    <row r="146" spans="1:5" x14ac:dyDescent="0.25">
      <c r="A146" s="23">
        <f t="shared" si="6"/>
        <v>2016</v>
      </c>
      <c r="B146" s="23">
        <f t="shared" si="7"/>
        <v>1</v>
      </c>
      <c r="C146" s="26" t="s">
        <v>161</v>
      </c>
      <c r="D146" s="28">
        <v>624.05999999999995</v>
      </c>
      <c r="E146" s="22">
        <v>4550.2299999999996</v>
      </c>
    </row>
    <row r="147" spans="1:5" x14ac:dyDescent="0.25">
      <c r="A147" s="23">
        <f t="shared" si="6"/>
        <v>2016</v>
      </c>
      <c r="B147" s="23">
        <f t="shared" si="7"/>
        <v>2</v>
      </c>
      <c r="C147" s="26" t="s">
        <v>162</v>
      </c>
      <c r="D147" s="28">
        <v>632.11400000000003</v>
      </c>
      <c r="E147" s="22">
        <v>4591.18</v>
      </c>
    </row>
    <row r="148" spans="1:5" x14ac:dyDescent="0.25">
      <c r="A148" s="23">
        <f t="shared" si="6"/>
        <v>2016</v>
      </c>
      <c r="B148" s="23">
        <f t="shared" si="7"/>
        <v>3</v>
      </c>
      <c r="C148" s="26" t="s">
        <v>163</v>
      </c>
      <c r="D148" s="28">
        <v>635.34900000000005</v>
      </c>
      <c r="E148" s="22">
        <v>4610.92</v>
      </c>
    </row>
    <row r="149" spans="1:5" x14ac:dyDescent="0.25">
      <c r="A149" s="23">
        <f t="shared" si="6"/>
        <v>2016</v>
      </c>
      <c r="B149" s="23">
        <f t="shared" si="7"/>
        <v>4</v>
      </c>
      <c r="C149" s="26" t="s">
        <v>164</v>
      </c>
      <c r="D149" s="28">
        <v>637.43399999999997</v>
      </c>
      <c r="E149" s="22">
        <v>4639.05</v>
      </c>
    </row>
    <row r="150" spans="1:5" x14ac:dyDescent="0.25">
      <c r="A150" s="23">
        <f t="shared" si="6"/>
        <v>2016</v>
      </c>
      <c r="B150" s="23">
        <f t="shared" si="7"/>
        <v>5</v>
      </c>
      <c r="C150" s="26" t="s">
        <v>165</v>
      </c>
      <c r="D150" s="28">
        <v>642.65099999999995</v>
      </c>
      <c r="E150" s="22">
        <v>4675.2299999999996</v>
      </c>
    </row>
    <row r="151" spans="1:5" x14ac:dyDescent="0.25">
      <c r="A151" s="23">
        <f t="shared" si="6"/>
        <v>2016</v>
      </c>
      <c r="B151" s="23">
        <f t="shared" si="7"/>
        <v>6</v>
      </c>
      <c r="C151" s="26" t="s">
        <v>166</v>
      </c>
      <c r="D151" s="28">
        <v>653.49599999999998</v>
      </c>
      <c r="E151" s="22">
        <v>4691.59</v>
      </c>
    </row>
    <row r="152" spans="1:5" x14ac:dyDescent="0.25">
      <c r="A152" s="23">
        <f t="shared" si="6"/>
        <v>2016</v>
      </c>
      <c r="B152" s="23">
        <f t="shared" si="7"/>
        <v>7</v>
      </c>
      <c r="C152" s="26" t="s">
        <v>167</v>
      </c>
      <c r="D152" s="28">
        <v>654.64099999999996</v>
      </c>
      <c r="E152" s="22">
        <v>4715.99</v>
      </c>
    </row>
    <row r="153" spans="1:5" x14ac:dyDescent="0.25">
      <c r="A153" s="23">
        <f t="shared" si="6"/>
        <v>2016</v>
      </c>
      <c r="B153" s="23">
        <f t="shared" si="7"/>
        <v>8</v>
      </c>
      <c r="C153" s="26" t="s">
        <v>168</v>
      </c>
      <c r="D153" s="28">
        <v>655.60199999999998</v>
      </c>
      <c r="E153" s="22">
        <v>4736.74</v>
      </c>
    </row>
    <row r="154" spans="1:5" x14ac:dyDescent="0.25">
      <c r="A154" s="23">
        <f t="shared" si="6"/>
        <v>2016</v>
      </c>
      <c r="B154" s="23">
        <f t="shared" si="7"/>
        <v>9</v>
      </c>
      <c r="C154" s="26" t="s">
        <v>169</v>
      </c>
      <c r="D154" s="28">
        <v>656.89400000000001</v>
      </c>
      <c r="E154" s="22">
        <v>4740.53</v>
      </c>
    </row>
    <row r="155" spans="1:5" x14ac:dyDescent="0.25">
      <c r="A155" s="23">
        <f t="shared" si="6"/>
        <v>2016</v>
      </c>
      <c r="B155" s="23">
        <f t="shared" si="7"/>
        <v>10</v>
      </c>
      <c r="C155" s="26" t="s">
        <v>170</v>
      </c>
      <c r="D155" s="28">
        <v>657.92700000000002</v>
      </c>
      <c r="E155" s="22">
        <v>4752.8599999999997</v>
      </c>
    </row>
    <row r="156" spans="1:5" x14ac:dyDescent="0.25">
      <c r="A156" s="23">
        <f t="shared" si="6"/>
        <v>2016</v>
      </c>
      <c r="B156" s="23">
        <f t="shared" si="7"/>
        <v>11</v>
      </c>
      <c r="C156" s="26" t="s">
        <v>171</v>
      </c>
      <c r="D156" s="28">
        <v>657.75199999999995</v>
      </c>
      <c r="E156" s="22">
        <v>4761.42</v>
      </c>
    </row>
    <row r="157" spans="1:5" x14ac:dyDescent="0.25">
      <c r="A157" s="23">
        <f t="shared" si="6"/>
        <v>2016</v>
      </c>
      <c r="B157" s="23">
        <f t="shared" si="7"/>
        <v>12</v>
      </c>
      <c r="C157" s="26" t="s">
        <v>172</v>
      </c>
      <c r="D157" s="28">
        <v>661.30399999999997</v>
      </c>
      <c r="E157" s="22">
        <v>4775.7</v>
      </c>
    </row>
    <row r="158" spans="1:5" x14ac:dyDescent="0.25">
      <c r="A158" s="23">
        <f t="shared" si="6"/>
        <v>2017</v>
      </c>
      <c r="B158" s="23">
        <f t="shared" si="7"/>
        <v>1</v>
      </c>
      <c r="C158" s="26" t="s">
        <v>173</v>
      </c>
      <c r="D158" s="28">
        <v>665.54200000000003</v>
      </c>
      <c r="E158" s="22">
        <v>4793.8500000000004</v>
      </c>
    </row>
    <row r="159" spans="1:5" x14ac:dyDescent="0.25">
      <c r="A159" s="23">
        <f t="shared" si="6"/>
        <v>2017</v>
      </c>
      <c r="B159" s="23">
        <f t="shared" si="7"/>
        <v>2</v>
      </c>
      <c r="C159" s="26" t="s">
        <v>174</v>
      </c>
      <c r="D159" s="28">
        <v>666.09900000000005</v>
      </c>
      <c r="E159" s="22">
        <v>4809.67</v>
      </c>
    </row>
    <row r="160" spans="1:5" x14ac:dyDescent="0.25">
      <c r="A160" s="23">
        <f t="shared" si="6"/>
        <v>2017</v>
      </c>
      <c r="B160" s="23">
        <f t="shared" si="7"/>
        <v>3</v>
      </c>
      <c r="C160" s="26" t="s">
        <v>175</v>
      </c>
      <c r="D160" s="28">
        <v>666.197</v>
      </c>
      <c r="E160" s="22">
        <v>4821.6899999999996</v>
      </c>
    </row>
    <row r="161" spans="1:5" x14ac:dyDescent="0.25">
      <c r="A161" s="23">
        <f t="shared" si="6"/>
        <v>2017</v>
      </c>
      <c r="B161" s="23">
        <f t="shared" si="7"/>
        <v>4</v>
      </c>
      <c r="C161" s="26" t="s">
        <v>176</v>
      </c>
      <c r="D161" s="28">
        <v>658.89800000000002</v>
      </c>
      <c r="E161" s="22">
        <v>4828.4399999999996</v>
      </c>
    </row>
    <row r="162" spans="1:5" x14ac:dyDescent="0.25">
      <c r="A162" s="23">
        <f t="shared" si="6"/>
        <v>2017</v>
      </c>
      <c r="B162" s="23">
        <f t="shared" si="7"/>
        <v>5</v>
      </c>
      <c r="C162" s="26" t="s">
        <v>177</v>
      </c>
      <c r="D162" s="28">
        <v>652.75800000000004</v>
      </c>
      <c r="E162" s="22">
        <v>4843.41</v>
      </c>
    </row>
    <row r="163" spans="1:5" x14ac:dyDescent="0.25">
      <c r="A163" s="23">
        <f t="shared" si="6"/>
        <v>2017</v>
      </c>
      <c r="B163" s="23">
        <f t="shared" si="7"/>
        <v>6</v>
      </c>
      <c r="C163" s="26" t="s">
        <v>178</v>
      </c>
      <c r="D163" s="28">
        <v>648.40899999999999</v>
      </c>
      <c r="E163" s="22">
        <v>4832.2700000000004</v>
      </c>
    </row>
    <row r="164" spans="1:5" x14ac:dyDescent="0.25">
      <c r="A164" s="23">
        <f t="shared" si="6"/>
        <v>2017</v>
      </c>
      <c r="B164" s="23">
        <f t="shared" si="7"/>
        <v>7</v>
      </c>
      <c r="C164" s="26" t="s">
        <v>179</v>
      </c>
      <c r="D164" s="28">
        <v>643.76599999999996</v>
      </c>
      <c r="E164" s="22">
        <v>4843.87</v>
      </c>
    </row>
    <row r="165" spans="1:5" x14ac:dyDescent="0.25">
      <c r="A165" s="23">
        <f t="shared" si="6"/>
        <v>2017</v>
      </c>
      <c r="B165" s="23">
        <f t="shared" si="7"/>
        <v>8</v>
      </c>
      <c r="C165" s="26" t="s">
        <v>180</v>
      </c>
      <c r="D165" s="28">
        <v>644.38300000000004</v>
      </c>
      <c r="E165" s="22">
        <v>4853.07</v>
      </c>
    </row>
    <row r="166" spans="1:5" x14ac:dyDescent="0.25">
      <c r="A166" s="23">
        <f t="shared" si="6"/>
        <v>2017</v>
      </c>
      <c r="B166" s="23">
        <f t="shared" si="7"/>
        <v>9</v>
      </c>
      <c r="C166" s="26" t="s">
        <v>181</v>
      </c>
      <c r="D166" s="28">
        <v>647.4</v>
      </c>
      <c r="E166" s="22">
        <v>4860.83</v>
      </c>
    </row>
    <row r="167" spans="1:5" x14ac:dyDescent="0.25">
      <c r="A167" s="23">
        <f t="shared" si="6"/>
        <v>2017</v>
      </c>
      <c r="B167" s="23">
        <f t="shared" si="7"/>
        <v>10</v>
      </c>
      <c r="C167" s="26" t="s">
        <v>182</v>
      </c>
      <c r="D167" s="28">
        <v>648.67200000000003</v>
      </c>
      <c r="E167" s="22">
        <v>4881.25</v>
      </c>
    </row>
    <row r="168" spans="1:5" x14ac:dyDescent="0.25">
      <c r="A168" s="23">
        <f t="shared" si="6"/>
        <v>2017</v>
      </c>
      <c r="B168" s="23">
        <f t="shared" si="7"/>
        <v>11</v>
      </c>
      <c r="C168" s="26" t="s">
        <v>183</v>
      </c>
      <c r="D168" s="28">
        <v>652.07299999999998</v>
      </c>
      <c r="E168" s="22">
        <v>4894.92</v>
      </c>
    </row>
    <row r="169" spans="1:5" x14ac:dyDescent="0.25">
      <c r="A169" s="23">
        <f t="shared" si="6"/>
        <v>2017</v>
      </c>
      <c r="B169" s="23">
        <f t="shared" si="7"/>
        <v>12</v>
      </c>
      <c r="C169" s="26" t="s">
        <v>184</v>
      </c>
      <c r="D169" s="28">
        <v>657.85900000000004</v>
      </c>
      <c r="E169" s="22">
        <v>4916.46</v>
      </c>
    </row>
    <row r="170" spans="1:5" x14ac:dyDescent="0.25">
      <c r="A170" s="23">
        <f t="shared" si="6"/>
        <v>2018</v>
      </c>
      <c r="B170" s="23">
        <f t="shared" si="7"/>
        <v>1</v>
      </c>
      <c r="C170" s="26" t="s">
        <v>185</v>
      </c>
      <c r="D170" s="28">
        <v>662.82600000000002</v>
      </c>
      <c r="E170" s="22">
        <v>4930.72</v>
      </c>
    </row>
    <row r="171" spans="1:5" x14ac:dyDescent="0.25">
      <c r="A171" s="23">
        <f t="shared" si="6"/>
        <v>2018</v>
      </c>
      <c r="B171" s="23">
        <f t="shared" si="7"/>
        <v>2</v>
      </c>
      <c r="C171" s="26" t="s">
        <v>186</v>
      </c>
      <c r="D171" s="28">
        <v>663.31100000000004</v>
      </c>
      <c r="E171" s="22">
        <v>4946.5</v>
      </c>
    </row>
    <row r="172" spans="1:5" x14ac:dyDescent="0.25">
      <c r="A172" s="23">
        <f t="shared" si="6"/>
        <v>2018</v>
      </c>
      <c r="B172" s="23">
        <f t="shared" si="7"/>
        <v>3</v>
      </c>
      <c r="C172" s="26" t="s">
        <v>187</v>
      </c>
      <c r="D172" s="28">
        <v>667.524</v>
      </c>
      <c r="E172" s="22">
        <v>4950.95</v>
      </c>
    </row>
    <row r="173" spans="1:5" x14ac:dyDescent="0.25">
      <c r="A173" s="23">
        <f t="shared" si="6"/>
        <v>2018</v>
      </c>
      <c r="B173" s="23">
        <f t="shared" si="7"/>
        <v>4</v>
      </c>
      <c r="C173" s="26" t="s">
        <v>188</v>
      </c>
      <c r="D173" s="28">
        <v>671.327</v>
      </c>
      <c r="E173" s="22">
        <v>4961.84</v>
      </c>
    </row>
    <row r="174" spans="1:5" x14ac:dyDescent="0.25">
      <c r="A174" s="23">
        <f t="shared" si="6"/>
        <v>2018</v>
      </c>
      <c r="B174" s="23">
        <f t="shared" si="7"/>
        <v>5</v>
      </c>
      <c r="C174" s="26" t="s">
        <v>189</v>
      </c>
      <c r="D174" s="28">
        <v>680.57899999999995</v>
      </c>
      <c r="E174" s="22">
        <v>4981.6899999999996</v>
      </c>
    </row>
    <row r="175" spans="1:5" x14ac:dyDescent="0.25">
      <c r="A175" s="23">
        <f t="shared" si="6"/>
        <v>2018</v>
      </c>
      <c r="B175" s="23">
        <f t="shared" si="7"/>
        <v>6</v>
      </c>
      <c r="C175" s="26" t="s">
        <v>190</v>
      </c>
      <c r="D175" s="28">
        <v>693.28700000000003</v>
      </c>
      <c r="E175" s="22">
        <v>5044.46</v>
      </c>
    </row>
    <row r="176" spans="1:5" x14ac:dyDescent="0.25">
      <c r="A176" s="23">
        <f t="shared" si="6"/>
        <v>2018</v>
      </c>
      <c r="B176" s="23">
        <f t="shared" si="7"/>
        <v>7</v>
      </c>
      <c r="C176" s="26" t="s">
        <v>191</v>
      </c>
      <c r="D176" s="28">
        <v>696.8</v>
      </c>
      <c r="E176" s="22">
        <v>5061.1099999999997</v>
      </c>
    </row>
    <row r="177" spans="1:5" x14ac:dyDescent="0.25">
      <c r="A177" s="23">
        <f t="shared" si="6"/>
        <v>2018</v>
      </c>
      <c r="B177" s="23">
        <f t="shared" si="7"/>
        <v>8</v>
      </c>
      <c r="C177" s="26" t="s">
        <v>192</v>
      </c>
      <c r="D177" s="28">
        <v>701.67700000000002</v>
      </c>
      <c r="E177" s="22">
        <v>5056.5600000000004</v>
      </c>
    </row>
    <row r="178" spans="1:5" x14ac:dyDescent="0.25">
      <c r="A178" s="23">
        <f t="shared" si="6"/>
        <v>2018</v>
      </c>
      <c r="B178" s="23">
        <f t="shared" si="7"/>
        <v>9</v>
      </c>
      <c r="C178" s="26" t="s">
        <v>193</v>
      </c>
      <c r="D178" s="28">
        <v>712.37300000000005</v>
      </c>
      <c r="E178" s="22">
        <v>5080.83</v>
      </c>
    </row>
    <row r="179" spans="1:5" x14ac:dyDescent="0.25">
      <c r="A179" s="23">
        <f t="shared" si="6"/>
        <v>2018</v>
      </c>
      <c r="B179" s="23">
        <f t="shared" si="7"/>
        <v>10</v>
      </c>
      <c r="C179" s="26" t="s">
        <v>194</v>
      </c>
      <c r="D179" s="28">
        <v>718.68399999999997</v>
      </c>
      <c r="E179" s="22">
        <v>5103.6899999999996</v>
      </c>
    </row>
    <row r="180" spans="1:5" x14ac:dyDescent="0.25">
      <c r="A180" s="23">
        <f t="shared" si="6"/>
        <v>2018</v>
      </c>
      <c r="B180" s="23">
        <f t="shared" si="7"/>
        <v>11</v>
      </c>
      <c r="C180" s="26" t="s">
        <v>195</v>
      </c>
      <c r="D180" s="28">
        <v>715.16600000000005</v>
      </c>
      <c r="E180" s="22">
        <v>5092.97</v>
      </c>
    </row>
    <row r="181" spans="1:5" x14ac:dyDescent="0.25">
      <c r="A181" s="23">
        <f t="shared" si="6"/>
        <v>2018</v>
      </c>
      <c r="B181" s="23">
        <f t="shared" si="7"/>
        <v>12</v>
      </c>
      <c r="C181" s="26" t="s">
        <v>196</v>
      </c>
      <c r="D181" s="28">
        <v>707.44100000000003</v>
      </c>
      <c r="E181" s="22">
        <v>5100.6099999999997</v>
      </c>
    </row>
    <row r="182" spans="1:5" x14ac:dyDescent="0.25">
      <c r="A182" s="23">
        <f t="shared" si="6"/>
        <v>2019</v>
      </c>
      <c r="B182" s="23">
        <f t="shared" si="7"/>
        <v>1</v>
      </c>
      <c r="C182" s="26" t="s">
        <v>197</v>
      </c>
      <c r="D182" s="28">
        <v>707.48800000000006</v>
      </c>
      <c r="E182" s="22">
        <v>5116.93</v>
      </c>
    </row>
    <row r="183" spans="1:5" x14ac:dyDescent="0.25">
      <c r="A183" s="23">
        <f t="shared" si="6"/>
        <v>2019</v>
      </c>
      <c r="B183" s="23">
        <f t="shared" si="7"/>
        <v>2</v>
      </c>
      <c r="C183" s="26" t="s">
        <v>198</v>
      </c>
      <c r="D183" s="28">
        <v>713.74699999999996</v>
      </c>
      <c r="E183" s="22">
        <v>5138.93</v>
      </c>
    </row>
    <row r="184" spans="1:5" x14ac:dyDescent="0.25">
      <c r="A184" s="23">
        <f t="shared" si="6"/>
        <v>2019</v>
      </c>
      <c r="B184" s="23">
        <f t="shared" si="7"/>
        <v>3</v>
      </c>
      <c r="C184" s="26" t="s">
        <v>199</v>
      </c>
      <c r="D184" s="28">
        <v>722.70699999999999</v>
      </c>
      <c r="E184" s="22">
        <v>5177.47</v>
      </c>
    </row>
    <row r="185" spans="1:5" x14ac:dyDescent="0.25">
      <c r="A185" s="23">
        <f t="shared" si="6"/>
        <v>2019</v>
      </c>
      <c r="B185" s="23">
        <f t="shared" si="7"/>
        <v>4</v>
      </c>
      <c r="C185" s="26" t="s">
        <v>200</v>
      </c>
      <c r="D185" s="28">
        <v>729.346</v>
      </c>
      <c r="E185" s="22">
        <v>5206.9799999999996</v>
      </c>
    </row>
    <row r="186" spans="1:5" x14ac:dyDescent="0.25">
      <c r="A186" s="23">
        <f t="shared" si="6"/>
        <v>2019</v>
      </c>
      <c r="B186" s="23">
        <f t="shared" si="7"/>
        <v>5</v>
      </c>
      <c r="C186" s="26" t="s">
        <v>201</v>
      </c>
      <c r="D186" s="28">
        <v>732.59500000000003</v>
      </c>
      <c r="E186" s="22">
        <v>5213.75</v>
      </c>
    </row>
    <row r="187" spans="1:5" x14ac:dyDescent="0.25">
      <c r="A187" s="23">
        <f t="shared" si="6"/>
        <v>2019</v>
      </c>
      <c r="B187" s="23">
        <f t="shared" si="7"/>
        <v>6</v>
      </c>
      <c r="C187" s="26" t="s">
        <v>202</v>
      </c>
      <c r="D187" s="28">
        <v>738.42100000000005</v>
      </c>
      <c r="E187" s="22">
        <v>5214.2700000000004</v>
      </c>
    </row>
    <row r="188" spans="1:5" x14ac:dyDescent="0.25">
      <c r="A188" s="23">
        <f t="shared" si="6"/>
        <v>2019</v>
      </c>
      <c r="B188" s="23">
        <f t="shared" si="7"/>
        <v>7</v>
      </c>
      <c r="C188" s="26" t="s">
        <v>203</v>
      </c>
      <c r="D188" s="28">
        <v>741.346</v>
      </c>
      <c r="E188" s="22">
        <v>5224.18</v>
      </c>
    </row>
    <row r="189" spans="1:5" x14ac:dyDescent="0.25">
      <c r="A189" s="23">
        <f t="shared" si="6"/>
        <v>2019</v>
      </c>
      <c r="B189" s="23">
        <f t="shared" si="7"/>
        <v>8</v>
      </c>
      <c r="C189" s="26" t="s">
        <v>204</v>
      </c>
      <c r="D189" s="28">
        <v>736.40200000000004</v>
      </c>
      <c r="E189" s="22">
        <v>5229.93</v>
      </c>
    </row>
    <row r="190" spans="1:5" x14ac:dyDescent="0.25">
      <c r="A190" s="23">
        <f t="shared" si="6"/>
        <v>2019</v>
      </c>
      <c r="B190" s="23">
        <f t="shared" si="7"/>
        <v>9</v>
      </c>
      <c r="C190" s="26" t="s">
        <v>205</v>
      </c>
      <c r="D190" s="28">
        <v>736.36199999999997</v>
      </c>
      <c r="E190" s="22">
        <v>5227.84</v>
      </c>
    </row>
    <row r="191" spans="1:5" x14ac:dyDescent="0.25">
      <c r="A191" s="23">
        <f t="shared" si="6"/>
        <v>2019</v>
      </c>
      <c r="B191" s="23">
        <f t="shared" si="7"/>
        <v>10</v>
      </c>
      <c r="C191" s="26" t="s">
        <v>206</v>
      </c>
      <c r="D191" s="28">
        <v>741.33299999999997</v>
      </c>
      <c r="E191" s="22">
        <v>5233.07</v>
      </c>
    </row>
    <row r="192" spans="1:5" x14ac:dyDescent="0.25">
      <c r="A192" s="23">
        <f t="shared" si="6"/>
        <v>2019</v>
      </c>
      <c r="B192" s="23">
        <f t="shared" si="7"/>
        <v>11</v>
      </c>
      <c r="C192" s="26" t="s">
        <v>207</v>
      </c>
      <c r="D192" s="28">
        <v>743.55799999999999</v>
      </c>
      <c r="E192" s="22">
        <v>5259.76</v>
      </c>
    </row>
    <row r="193" spans="1:5" x14ac:dyDescent="0.25">
      <c r="A193" s="23">
        <f t="shared" si="6"/>
        <v>2019</v>
      </c>
      <c r="B193" s="23">
        <f t="shared" si="7"/>
        <v>12</v>
      </c>
      <c r="C193" s="26" t="s">
        <v>208</v>
      </c>
      <c r="D193" s="28">
        <v>759.11199999999997</v>
      </c>
      <c r="E193" s="22">
        <v>5320.25</v>
      </c>
    </row>
    <row r="194" spans="1:5" x14ac:dyDescent="0.25">
      <c r="A194" s="23">
        <f t="shared" si="6"/>
        <v>2020</v>
      </c>
      <c r="B194" s="23">
        <f t="shared" si="7"/>
        <v>1</v>
      </c>
      <c r="C194" s="26" t="s">
        <v>209</v>
      </c>
      <c r="D194" s="28">
        <v>762.73299999999995</v>
      </c>
      <c r="E194" s="22">
        <v>5331.42</v>
      </c>
    </row>
    <row r="195" spans="1:5" x14ac:dyDescent="0.25">
      <c r="A195" s="23">
        <f t="shared" ref="A195:A258" si="8">YEAR(C195)</f>
        <v>2020</v>
      </c>
      <c r="B195" s="23">
        <f t="shared" ref="B195:B258" si="9">MONTH(C195)</f>
        <v>2</v>
      </c>
      <c r="C195" s="26" t="s">
        <v>210</v>
      </c>
      <c r="D195" s="28">
        <v>762.423</v>
      </c>
      <c r="E195" s="22">
        <v>5344.75</v>
      </c>
    </row>
    <row r="196" spans="1:5" x14ac:dyDescent="0.25">
      <c r="A196" s="23">
        <f t="shared" si="8"/>
        <v>2020</v>
      </c>
      <c r="B196" s="23">
        <f t="shared" si="9"/>
        <v>3</v>
      </c>
      <c r="C196" s="26" t="s">
        <v>211</v>
      </c>
      <c r="D196" s="28">
        <v>771.90800000000002</v>
      </c>
      <c r="E196" s="22">
        <v>5348.49</v>
      </c>
    </row>
    <row r="197" spans="1:5" x14ac:dyDescent="0.25">
      <c r="A197" s="23">
        <f t="shared" si="8"/>
        <v>2020</v>
      </c>
      <c r="B197" s="23">
        <f t="shared" si="9"/>
        <v>4</v>
      </c>
      <c r="C197" s="26" t="s">
        <v>212</v>
      </c>
      <c r="D197" s="28">
        <v>778.101</v>
      </c>
      <c r="E197" s="22">
        <v>5331.91</v>
      </c>
    </row>
    <row r="198" spans="1:5" x14ac:dyDescent="0.25">
      <c r="A198" s="23">
        <f t="shared" si="8"/>
        <v>2020</v>
      </c>
      <c r="B198" s="23">
        <f t="shared" si="9"/>
        <v>5</v>
      </c>
      <c r="C198" s="26" t="s">
        <v>213</v>
      </c>
      <c r="D198" s="28">
        <v>780.28</v>
      </c>
      <c r="E198" s="22">
        <v>5311.65</v>
      </c>
    </row>
    <row r="199" spans="1:5" x14ac:dyDescent="0.25">
      <c r="A199" s="23">
        <f t="shared" si="8"/>
        <v>2020</v>
      </c>
      <c r="B199" s="23">
        <f t="shared" si="9"/>
        <v>6</v>
      </c>
      <c r="C199" s="26" t="s">
        <v>214</v>
      </c>
      <c r="D199" s="28">
        <v>792.42899999999997</v>
      </c>
      <c r="E199" s="22">
        <v>5325.46</v>
      </c>
    </row>
    <row r="200" spans="1:5" x14ac:dyDescent="0.25">
      <c r="A200" s="23">
        <f t="shared" si="8"/>
        <v>2020</v>
      </c>
      <c r="B200" s="23">
        <f t="shared" si="9"/>
        <v>7</v>
      </c>
      <c r="C200" s="26" t="s">
        <v>215</v>
      </c>
      <c r="D200" s="28">
        <v>810.08299999999997</v>
      </c>
      <c r="E200" s="22">
        <v>5344.63</v>
      </c>
    </row>
    <row r="201" spans="1:5" x14ac:dyDescent="0.25">
      <c r="A201" s="23">
        <f t="shared" si="8"/>
        <v>2020</v>
      </c>
      <c r="B201" s="23">
        <f t="shared" si="9"/>
        <v>8</v>
      </c>
      <c r="C201" s="26" t="s">
        <v>216</v>
      </c>
      <c r="D201" s="28">
        <v>832.31299999999999</v>
      </c>
      <c r="E201" s="22">
        <v>5357.46</v>
      </c>
    </row>
    <row r="202" spans="1:5" x14ac:dyDescent="0.25">
      <c r="A202" s="23">
        <f t="shared" si="8"/>
        <v>2020</v>
      </c>
      <c r="B202" s="23">
        <f t="shared" si="9"/>
        <v>9</v>
      </c>
      <c r="C202" s="26" t="s">
        <v>217</v>
      </c>
      <c r="D202" s="28">
        <v>868.44200000000001</v>
      </c>
      <c r="E202" s="22">
        <v>5391.75</v>
      </c>
    </row>
    <row r="203" spans="1:5" x14ac:dyDescent="0.25">
      <c r="A203" s="23">
        <f t="shared" si="8"/>
        <v>2020</v>
      </c>
      <c r="B203" s="23">
        <f t="shared" si="9"/>
        <v>10</v>
      </c>
      <c r="C203" s="26" t="s">
        <v>218</v>
      </c>
      <c r="D203" s="28">
        <v>896.505</v>
      </c>
      <c r="E203" s="22">
        <v>5438.12</v>
      </c>
    </row>
    <row r="204" spans="1:5" x14ac:dyDescent="0.25">
      <c r="A204" s="23">
        <f t="shared" si="8"/>
        <v>2020</v>
      </c>
      <c r="B204" s="23">
        <f t="shared" si="9"/>
        <v>11</v>
      </c>
      <c r="C204" s="26" t="s">
        <v>219</v>
      </c>
      <c r="D204" s="28">
        <v>925.88699999999994</v>
      </c>
      <c r="E204" s="22">
        <v>5486.52</v>
      </c>
    </row>
    <row r="205" spans="1:5" x14ac:dyDescent="0.25">
      <c r="A205" s="23">
        <f t="shared" si="8"/>
        <v>2020</v>
      </c>
      <c r="B205" s="23">
        <f t="shared" si="9"/>
        <v>12</v>
      </c>
      <c r="C205" s="26" t="s">
        <v>220</v>
      </c>
      <c r="D205" s="28">
        <v>934.75800000000004</v>
      </c>
      <c r="E205" s="22">
        <v>5560.59</v>
      </c>
    </row>
    <row r="206" spans="1:5" x14ac:dyDescent="0.25">
      <c r="A206" s="23">
        <f t="shared" si="8"/>
        <v>2021</v>
      </c>
      <c r="B206" s="23">
        <f t="shared" si="9"/>
        <v>1</v>
      </c>
      <c r="C206" s="26" t="s">
        <v>221</v>
      </c>
      <c r="D206" s="28">
        <v>958.84400000000005</v>
      </c>
      <c r="E206" s="22">
        <v>5574.49</v>
      </c>
    </row>
    <row r="207" spans="1:5" x14ac:dyDescent="0.25">
      <c r="A207" s="23">
        <f t="shared" si="8"/>
        <v>2021</v>
      </c>
      <c r="B207" s="23">
        <f t="shared" si="9"/>
        <v>2</v>
      </c>
      <c r="C207" s="26" t="s">
        <v>222</v>
      </c>
      <c r="D207" s="28">
        <v>983.06299999999999</v>
      </c>
      <c r="E207" s="22">
        <v>5622.43</v>
      </c>
    </row>
    <row r="208" spans="1:5" x14ac:dyDescent="0.25">
      <c r="A208" s="23">
        <f t="shared" si="8"/>
        <v>2021</v>
      </c>
      <c r="B208" s="23">
        <f t="shared" si="9"/>
        <v>3</v>
      </c>
      <c r="C208" s="26" t="s">
        <v>223</v>
      </c>
      <c r="D208" s="28">
        <v>1011.948</v>
      </c>
      <c r="E208" s="22">
        <v>5674.72</v>
      </c>
    </row>
    <row r="209" spans="1:5" x14ac:dyDescent="0.25">
      <c r="A209" s="23">
        <f t="shared" si="8"/>
        <v>2021</v>
      </c>
      <c r="B209" s="23">
        <f t="shared" si="9"/>
        <v>4</v>
      </c>
      <c r="C209" s="26" t="s">
        <v>224</v>
      </c>
      <c r="D209" s="28">
        <v>1027.211</v>
      </c>
      <c r="E209" s="22">
        <v>5692.31</v>
      </c>
    </row>
    <row r="210" spans="1:5" x14ac:dyDescent="0.25">
      <c r="A210" s="23">
        <f t="shared" si="8"/>
        <v>2021</v>
      </c>
      <c r="B210" s="23">
        <f t="shared" si="9"/>
        <v>5</v>
      </c>
      <c r="C210" s="26" t="s">
        <v>225</v>
      </c>
      <c r="D210" s="28">
        <v>1069.289</v>
      </c>
      <c r="E210" s="22">
        <v>5739.56</v>
      </c>
    </row>
    <row r="211" spans="1:5" x14ac:dyDescent="0.25">
      <c r="A211" s="23">
        <f t="shared" si="8"/>
        <v>2021</v>
      </c>
      <c r="B211" s="23">
        <f t="shared" si="9"/>
        <v>6</v>
      </c>
      <c r="C211" s="26" t="s">
        <v>226</v>
      </c>
      <c r="D211" s="28">
        <v>1075.7329999999999</v>
      </c>
      <c r="E211" s="22">
        <v>5769.98</v>
      </c>
    </row>
    <row r="212" spans="1:5" x14ac:dyDescent="0.25">
      <c r="A212" s="23">
        <f t="shared" si="8"/>
        <v>2021</v>
      </c>
      <c r="B212" s="23">
        <f t="shared" si="9"/>
        <v>7</v>
      </c>
      <c r="C212" s="26" t="s">
        <v>227</v>
      </c>
      <c r="D212" s="28">
        <v>1084.095</v>
      </c>
      <c r="E212" s="22">
        <v>5825.37</v>
      </c>
    </row>
    <row r="213" spans="1:5" x14ac:dyDescent="0.25">
      <c r="A213" s="23">
        <f t="shared" si="8"/>
        <v>2021</v>
      </c>
      <c r="B213" s="23">
        <f t="shared" si="9"/>
        <v>8</v>
      </c>
      <c r="C213" s="26" t="s">
        <v>228</v>
      </c>
      <c r="D213" s="28">
        <v>1091.29</v>
      </c>
      <c r="E213" s="22">
        <v>5876.05</v>
      </c>
    </row>
    <row r="214" spans="1:5" x14ac:dyDescent="0.25">
      <c r="A214" s="23">
        <f t="shared" si="8"/>
        <v>2021</v>
      </c>
      <c r="B214" s="23">
        <f t="shared" si="9"/>
        <v>9</v>
      </c>
      <c r="C214" s="26" t="s">
        <v>229</v>
      </c>
      <c r="D214" s="28">
        <v>1084.3119999999999</v>
      </c>
      <c r="E214" s="22">
        <v>5944.21</v>
      </c>
    </row>
    <row r="215" spans="1:5" x14ac:dyDescent="0.25">
      <c r="A215" s="23">
        <f t="shared" si="8"/>
        <v>2021</v>
      </c>
      <c r="B215" s="23">
        <f t="shared" si="9"/>
        <v>10</v>
      </c>
      <c r="C215" s="26" t="s">
        <v>230</v>
      </c>
      <c r="D215" s="28">
        <v>1091.2829999999999</v>
      </c>
      <c r="E215" s="22">
        <v>6018.51</v>
      </c>
    </row>
    <row r="216" spans="1:5" x14ac:dyDescent="0.25">
      <c r="A216" s="23">
        <f t="shared" si="8"/>
        <v>2021</v>
      </c>
      <c r="B216" s="23">
        <f t="shared" si="9"/>
        <v>11</v>
      </c>
      <c r="C216" s="26" t="s">
        <v>231</v>
      </c>
      <c r="D216" s="28">
        <v>1091.4829999999999</v>
      </c>
      <c r="E216" s="22">
        <v>6075.69</v>
      </c>
    </row>
    <row r="217" spans="1:5" x14ac:dyDescent="0.25">
      <c r="A217" s="23">
        <f t="shared" si="8"/>
        <v>2021</v>
      </c>
      <c r="B217" s="23">
        <f t="shared" si="9"/>
        <v>12</v>
      </c>
      <c r="C217" s="26" t="s">
        <v>232</v>
      </c>
      <c r="D217" s="28">
        <v>1100.9880000000001</v>
      </c>
      <c r="E217" s="22">
        <v>6120.04</v>
      </c>
    </row>
    <row r="218" spans="1:5" x14ac:dyDescent="0.25">
      <c r="A218" s="23">
        <f t="shared" si="8"/>
        <v>2022</v>
      </c>
      <c r="B218" s="23">
        <f t="shared" si="9"/>
        <v>1</v>
      </c>
      <c r="C218" s="26" t="s">
        <v>233</v>
      </c>
      <c r="D218" s="28">
        <v>1120.999</v>
      </c>
      <c r="E218" s="22">
        <v>6153.09</v>
      </c>
    </row>
    <row r="219" spans="1:5" x14ac:dyDescent="0.25">
      <c r="A219" s="23">
        <f t="shared" si="8"/>
        <v>2022</v>
      </c>
      <c r="B219" s="23">
        <f t="shared" si="9"/>
        <v>2</v>
      </c>
      <c r="C219" s="26" t="s">
        <v>234</v>
      </c>
      <c r="D219" s="28">
        <v>1141.546</v>
      </c>
      <c r="E219" s="22">
        <v>6215.24</v>
      </c>
    </row>
    <row r="220" spans="1:5" x14ac:dyDescent="0.25">
      <c r="A220" s="23">
        <f t="shared" si="8"/>
        <v>2022</v>
      </c>
      <c r="B220" s="23">
        <f t="shared" si="9"/>
        <v>3</v>
      </c>
      <c r="C220" s="26" t="s">
        <v>235</v>
      </c>
      <c r="D220" s="28">
        <v>1161.4179999999999</v>
      </c>
      <c r="E220" s="22">
        <v>6315.93</v>
      </c>
    </row>
    <row r="221" spans="1:5" x14ac:dyDescent="0.25">
      <c r="A221" s="23">
        <f t="shared" si="8"/>
        <v>2022</v>
      </c>
      <c r="B221" s="23">
        <f t="shared" si="9"/>
        <v>4</v>
      </c>
      <c r="C221" s="26" t="s">
        <v>236</v>
      </c>
      <c r="D221" s="28">
        <v>1177.809</v>
      </c>
      <c r="E221" s="22">
        <v>6382.88</v>
      </c>
    </row>
    <row r="222" spans="1:5" x14ac:dyDescent="0.25">
      <c r="A222" s="23">
        <f t="shared" si="8"/>
        <v>2022</v>
      </c>
      <c r="B222" s="23">
        <f t="shared" si="9"/>
        <v>5</v>
      </c>
      <c r="C222" s="26" t="s">
        <v>237</v>
      </c>
      <c r="D222" s="28">
        <v>1183.953</v>
      </c>
      <c r="E222" s="22">
        <v>6412.88</v>
      </c>
    </row>
    <row r="223" spans="1:5" x14ac:dyDescent="0.25">
      <c r="A223" s="23">
        <f t="shared" si="8"/>
        <v>2022</v>
      </c>
      <c r="B223" s="23">
        <f t="shared" si="9"/>
        <v>6</v>
      </c>
      <c r="C223" s="26" t="s">
        <v>238</v>
      </c>
      <c r="D223" s="28">
        <v>1190.8820000000001</v>
      </c>
      <c r="E223" s="22">
        <v>6455.85</v>
      </c>
    </row>
    <row r="224" spans="1:5" x14ac:dyDescent="0.25">
      <c r="A224" s="23">
        <f t="shared" si="8"/>
        <v>2022</v>
      </c>
      <c r="B224" s="23">
        <f t="shared" si="9"/>
        <v>7</v>
      </c>
      <c r="C224" s="26" t="s">
        <v>239</v>
      </c>
      <c r="D224" s="28">
        <v>1193.337</v>
      </c>
      <c r="E224" s="22">
        <v>6411.95</v>
      </c>
    </row>
    <row r="225" spans="1:5" x14ac:dyDescent="0.25">
      <c r="A225" s="23">
        <f t="shared" si="8"/>
        <v>2022</v>
      </c>
      <c r="B225" s="23">
        <f t="shared" si="9"/>
        <v>8</v>
      </c>
      <c r="C225" s="26" t="s">
        <v>240</v>
      </c>
      <c r="D225" s="28">
        <v>1185.0039999999999</v>
      </c>
      <c r="E225" s="22">
        <v>6388.87</v>
      </c>
    </row>
    <row r="226" spans="1:5" x14ac:dyDescent="0.25">
      <c r="A226" s="23">
        <f t="shared" si="8"/>
        <v>2022</v>
      </c>
      <c r="B226" s="23">
        <f t="shared" si="9"/>
        <v>9</v>
      </c>
      <c r="C226" s="26" t="s">
        <v>241</v>
      </c>
      <c r="D226" s="28">
        <v>1173.7929999999999</v>
      </c>
      <c r="E226" s="22">
        <v>6370.34</v>
      </c>
    </row>
    <row r="227" spans="1:5" x14ac:dyDescent="0.25">
      <c r="A227" s="23">
        <f t="shared" si="8"/>
        <v>2022</v>
      </c>
      <c r="B227" s="23">
        <f t="shared" si="9"/>
        <v>10</v>
      </c>
      <c r="C227" s="26" t="s">
        <v>242</v>
      </c>
      <c r="D227" s="28">
        <v>1162.3910000000001</v>
      </c>
      <c r="E227" s="22">
        <v>6407.93</v>
      </c>
    </row>
    <row r="228" spans="1:5" x14ac:dyDescent="0.25">
      <c r="A228" s="23">
        <f t="shared" si="8"/>
        <v>2022</v>
      </c>
      <c r="B228" s="23">
        <f t="shared" si="9"/>
        <v>11</v>
      </c>
      <c r="C228" s="26" t="s">
        <v>243</v>
      </c>
      <c r="D228" s="28">
        <v>1155.829</v>
      </c>
      <c r="E228" s="22">
        <v>6434.2</v>
      </c>
    </row>
    <row r="229" spans="1:5" x14ac:dyDescent="0.25">
      <c r="A229" s="23">
        <f t="shared" si="8"/>
        <v>2022</v>
      </c>
      <c r="B229" s="23">
        <f t="shared" si="9"/>
        <v>12</v>
      </c>
      <c r="C229" s="26" t="s">
        <v>244</v>
      </c>
      <c r="D229" s="28">
        <v>1161.0060000000001</v>
      </c>
      <c r="E229" s="22">
        <v>6474.09</v>
      </c>
    </row>
    <row r="230" spans="1:5" x14ac:dyDescent="0.25">
      <c r="A230" s="23">
        <f t="shared" si="8"/>
        <v>2023</v>
      </c>
      <c r="B230" s="23">
        <f t="shared" si="9"/>
        <v>1</v>
      </c>
      <c r="C230" s="26" t="s">
        <v>245</v>
      </c>
      <c r="D230" s="28">
        <v>1163.4649999999999</v>
      </c>
      <c r="E230" s="22">
        <v>6508.4</v>
      </c>
    </row>
    <row r="231" spans="1:5" x14ac:dyDescent="0.25">
      <c r="A231" s="23">
        <f t="shared" si="8"/>
        <v>2023</v>
      </c>
      <c r="B231" s="23">
        <f t="shared" si="9"/>
        <v>2</v>
      </c>
      <c r="C231" s="26" t="s">
        <v>246</v>
      </c>
      <c r="D231" s="28">
        <v>1162.761</v>
      </c>
      <c r="E231" s="22">
        <v>6563.07</v>
      </c>
    </row>
    <row r="232" spans="1:5" x14ac:dyDescent="0.25">
      <c r="A232" s="23">
        <f t="shared" si="8"/>
        <v>2023</v>
      </c>
      <c r="B232" s="23">
        <f t="shared" si="9"/>
        <v>3</v>
      </c>
      <c r="C232" s="26" t="s">
        <v>247</v>
      </c>
      <c r="D232" s="28">
        <v>1163.3589999999999</v>
      </c>
      <c r="E232" s="22">
        <v>6609.67</v>
      </c>
    </row>
    <row r="233" spans="1:5" x14ac:dyDescent="0.25">
      <c r="A233" s="23">
        <f t="shared" si="8"/>
        <v>2023</v>
      </c>
      <c r="B233" s="23">
        <f t="shared" si="9"/>
        <v>4</v>
      </c>
      <c r="C233" s="26" t="s">
        <v>248</v>
      </c>
      <c r="D233" s="28">
        <v>1152.307</v>
      </c>
      <c r="E233" s="22">
        <v>6649.99</v>
      </c>
    </row>
    <row r="234" spans="1:5" x14ac:dyDescent="0.25">
      <c r="A234" s="23">
        <f t="shared" si="8"/>
        <v>2023</v>
      </c>
      <c r="B234" s="23">
        <f t="shared" si="9"/>
        <v>5</v>
      </c>
      <c r="C234" s="26" t="s">
        <v>249</v>
      </c>
      <c r="D234" s="28">
        <v>1131.058</v>
      </c>
      <c r="E234" s="22">
        <v>6665.28</v>
      </c>
    </row>
    <row r="235" spans="1:5" x14ac:dyDescent="0.25">
      <c r="A235" s="23">
        <f t="shared" si="8"/>
        <v>2023</v>
      </c>
      <c r="B235" s="23">
        <f t="shared" si="9"/>
        <v>6</v>
      </c>
      <c r="C235" s="26" t="s">
        <v>250</v>
      </c>
      <c r="D235" s="28">
        <v>1109.23</v>
      </c>
      <c r="E235" s="22">
        <v>6659.95</v>
      </c>
    </row>
    <row r="236" spans="1:5" x14ac:dyDescent="0.25">
      <c r="A236" s="23">
        <f t="shared" si="8"/>
        <v>2023</v>
      </c>
      <c r="B236" s="23">
        <f t="shared" si="9"/>
        <v>7</v>
      </c>
      <c r="C236" s="26" t="s">
        <v>251</v>
      </c>
      <c r="D236" s="28">
        <v>1101.204</v>
      </c>
      <c r="E236" s="22">
        <v>6667.94</v>
      </c>
    </row>
    <row r="237" spans="1:5" x14ac:dyDescent="0.25">
      <c r="A237" s="23">
        <f t="shared" si="8"/>
        <v>2023</v>
      </c>
      <c r="B237" s="23">
        <f t="shared" si="9"/>
        <v>8</v>
      </c>
      <c r="C237" s="26" t="s">
        <v>252</v>
      </c>
      <c r="D237" s="28">
        <v>1099.71</v>
      </c>
      <c r="E237" s="22">
        <v>6683.28</v>
      </c>
    </row>
    <row r="238" spans="1:5" x14ac:dyDescent="0.25">
      <c r="A238" s="23">
        <f t="shared" si="8"/>
        <v>2023</v>
      </c>
      <c r="B238" s="23">
        <f t="shared" si="9"/>
        <v>9</v>
      </c>
      <c r="C238" s="26" t="s">
        <v>253</v>
      </c>
      <c r="D238" s="28">
        <v>1103.74</v>
      </c>
      <c r="E238" s="22">
        <v>6700.66</v>
      </c>
    </row>
    <row r="239" spans="1:5" x14ac:dyDescent="0.25">
      <c r="A239" s="23">
        <f t="shared" si="8"/>
        <v>2023</v>
      </c>
      <c r="B239" s="23">
        <f t="shared" si="9"/>
        <v>10</v>
      </c>
      <c r="C239" s="26" t="s">
        <v>254</v>
      </c>
      <c r="D239" s="28">
        <v>1109.2360000000001</v>
      </c>
      <c r="E239" s="22">
        <v>6716.74</v>
      </c>
    </row>
    <row r="240" spans="1:5" x14ac:dyDescent="0.25">
      <c r="A240" s="23">
        <f t="shared" si="8"/>
        <v>2023</v>
      </c>
      <c r="B240" s="23">
        <f t="shared" si="9"/>
        <v>11</v>
      </c>
      <c r="C240" s="26" t="s">
        <v>255</v>
      </c>
      <c r="D240" s="28">
        <v>1115.8150000000001</v>
      </c>
      <c r="E240" s="22">
        <v>6735.55</v>
      </c>
    </row>
    <row r="241" spans="1:5" x14ac:dyDescent="0.25">
      <c r="A241" s="23">
        <f t="shared" si="8"/>
        <v>2023</v>
      </c>
      <c r="B241" s="23">
        <f t="shared" si="9"/>
        <v>12</v>
      </c>
      <c r="C241" s="26" t="s">
        <v>256</v>
      </c>
      <c r="D241" s="28">
        <v>1124.0719999999999</v>
      </c>
      <c r="E241" s="22">
        <v>6773.27</v>
      </c>
    </row>
    <row r="242" spans="1:5" x14ac:dyDescent="0.25">
      <c r="A242" s="23">
        <f t="shared" si="8"/>
        <v>2024</v>
      </c>
      <c r="B242" s="23">
        <f t="shared" si="9"/>
        <v>1</v>
      </c>
      <c r="C242" s="26" t="s">
        <v>257</v>
      </c>
      <c r="D242" s="28">
        <v>1124.8789999999999</v>
      </c>
      <c r="E242" s="22">
        <v>6801.72</v>
      </c>
    </row>
    <row r="243" spans="1:5" x14ac:dyDescent="0.25">
      <c r="A243" s="23">
        <f t="shared" si="8"/>
        <v>2024</v>
      </c>
      <c r="B243" s="23">
        <f t="shared" si="9"/>
        <v>2</v>
      </c>
      <c r="C243" s="26" t="s">
        <v>258</v>
      </c>
      <c r="D243" s="28">
        <v>1119.0609999999999</v>
      </c>
      <c r="E243" s="22">
        <v>6858.17</v>
      </c>
    </row>
    <row r="244" spans="1:5" x14ac:dyDescent="0.25">
      <c r="A244" s="23">
        <f t="shared" si="8"/>
        <v>2024</v>
      </c>
      <c r="B244" s="23">
        <f t="shared" si="9"/>
        <v>3</v>
      </c>
      <c r="C244" s="26" t="s">
        <v>259</v>
      </c>
      <c r="D244" s="28">
        <v>1113.837</v>
      </c>
      <c r="E244" s="22">
        <v>6869.14</v>
      </c>
    </row>
    <row r="245" spans="1:5" x14ac:dyDescent="0.25">
      <c r="A245" s="23">
        <f t="shared" si="8"/>
        <v>2024</v>
      </c>
      <c r="B245" s="23">
        <f t="shared" si="9"/>
        <v>4</v>
      </c>
      <c r="C245" s="26" t="s">
        <v>260</v>
      </c>
      <c r="D245" s="28">
        <v>1117.28</v>
      </c>
      <c r="E245" s="22">
        <v>6895.24</v>
      </c>
    </row>
    <row r="246" spans="1:5" x14ac:dyDescent="0.25">
      <c r="A246" s="23">
        <f t="shared" si="8"/>
        <v>2024</v>
      </c>
      <c r="B246" s="23">
        <f t="shared" si="9"/>
        <v>5</v>
      </c>
      <c r="C246" s="26" t="s">
        <v>261</v>
      </c>
      <c r="D246" s="28">
        <v>1127.2329999999999</v>
      </c>
      <c r="E246" s="22">
        <v>6926.96</v>
      </c>
    </row>
    <row r="247" spans="1:5" x14ac:dyDescent="0.25">
      <c r="A247" s="23">
        <f t="shared" si="8"/>
        <v>2024</v>
      </c>
      <c r="B247" s="23">
        <f t="shared" si="9"/>
        <v>6</v>
      </c>
      <c r="C247" s="26" t="s">
        <v>262</v>
      </c>
      <c r="D247" s="28">
        <v>1136.4090000000001</v>
      </c>
      <c r="E247" s="22">
        <v>6941.51</v>
      </c>
    </row>
    <row r="248" spans="1:5" x14ac:dyDescent="0.25">
      <c r="A248" s="23">
        <f t="shared" si="8"/>
        <v>2024</v>
      </c>
      <c r="B248" s="23">
        <f t="shared" si="9"/>
        <v>7</v>
      </c>
      <c r="C248" s="26" t="s">
        <v>263</v>
      </c>
      <c r="D248" s="28">
        <v>1143.3130000000001</v>
      </c>
      <c r="E248" s="22">
        <v>6967.89</v>
      </c>
    </row>
    <row r="249" spans="1:5" x14ac:dyDescent="0.25">
      <c r="A249" s="23">
        <f t="shared" si="8"/>
        <v>2024</v>
      </c>
      <c r="B249" s="23">
        <f t="shared" si="9"/>
        <v>8</v>
      </c>
      <c r="C249" s="26" t="s">
        <v>264</v>
      </c>
      <c r="D249" s="28">
        <v>1146.575</v>
      </c>
      <c r="E249" s="22">
        <v>6966.5</v>
      </c>
    </row>
    <row r="250" spans="1:5" x14ac:dyDescent="0.25">
      <c r="A250" s="23">
        <f t="shared" si="8"/>
        <v>2024</v>
      </c>
      <c r="B250" s="23">
        <f t="shared" si="9"/>
        <v>9</v>
      </c>
      <c r="C250" s="26" t="s">
        <v>265</v>
      </c>
      <c r="D250" s="22">
        <v>1153.7180000000001</v>
      </c>
      <c r="E250" s="28">
        <v>6997.15</v>
      </c>
    </row>
    <row r="251" spans="1:5" x14ac:dyDescent="0.25">
      <c r="A251" s="23">
        <f t="shared" si="8"/>
        <v>2024</v>
      </c>
      <c r="B251" s="23">
        <f t="shared" si="9"/>
        <v>10</v>
      </c>
      <c r="C251" s="26" t="s">
        <v>266</v>
      </c>
      <c r="D251" s="22">
        <v>1171.2719999999999</v>
      </c>
      <c r="E251" s="28">
        <v>7036.33</v>
      </c>
    </row>
    <row r="252" spans="1:5" x14ac:dyDescent="0.25">
      <c r="A252" s="23">
        <f t="shared" si="8"/>
        <v>2024</v>
      </c>
      <c r="B252" s="23">
        <f t="shared" si="9"/>
        <v>11</v>
      </c>
      <c r="C252" s="26" t="s">
        <v>267</v>
      </c>
      <c r="D252" s="22">
        <v>1186.462</v>
      </c>
      <c r="E252" s="28">
        <v>7063.77</v>
      </c>
    </row>
    <row r="253" spans="1:5" x14ac:dyDescent="0.25">
      <c r="A253" s="23">
        <f t="shared" si="8"/>
        <v>2024</v>
      </c>
      <c r="B253" s="23">
        <f t="shared" si="9"/>
        <v>12</v>
      </c>
      <c r="C253" s="26" t="s">
        <v>268</v>
      </c>
      <c r="D253" s="22">
        <v>1197.5619999999999</v>
      </c>
      <c r="E253" s="28">
        <v>7100.5</v>
      </c>
    </row>
    <row r="254" spans="1:5" x14ac:dyDescent="0.25">
      <c r="A254" s="23">
        <f t="shared" si="8"/>
        <v>2025</v>
      </c>
      <c r="B254" s="23">
        <f t="shared" si="9"/>
        <v>1</v>
      </c>
      <c r="C254" s="26" t="s">
        <v>269</v>
      </c>
      <c r="D254" s="22">
        <v>1200.7750000000001</v>
      </c>
      <c r="E254" s="28">
        <v>7111.86</v>
      </c>
    </row>
    <row r="255" spans="1:5" x14ac:dyDescent="0.25">
      <c r="A255" s="23">
        <f t="shared" si="8"/>
        <v>2025</v>
      </c>
      <c r="B255" s="23">
        <f t="shared" si="9"/>
        <v>2</v>
      </c>
      <c r="C255" s="26" t="s">
        <v>270</v>
      </c>
      <c r="D255" s="22">
        <v>1213.5139999999999</v>
      </c>
      <c r="E255" s="28">
        <v>7205.03</v>
      </c>
    </row>
    <row r="256" spans="1:5" x14ac:dyDescent="0.25">
      <c r="A256" s="23">
        <f t="shared" si="8"/>
        <v>2025</v>
      </c>
      <c r="B256" s="23">
        <f t="shared" si="9"/>
        <v>3</v>
      </c>
      <c r="C256" s="26" t="s">
        <v>271</v>
      </c>
      <c r="D256" s="22">
        <v>1209.432</v>
      </c>
      <c r="E256" s="28">
        <v>7245.38</v>
      </c>
    </row>
    <row r="257" spans="1:7" x14ac:dyDescent="0.25">
      <c r="A257" s="23">
        <f t="shared" si="8"/>
        <v>2025</v>
      </c>
      <c r="B257" s="23">
        <f t="shared" si="9"/>
        <v>4</v>
      </c>
      <c r="C257" s="26" t="s">
        <v>272</v>
      </c>
      <c r="D257" s="22">
        <v>1212.296</v>
      </c>
      <c r="E257" s="28">
        <v>7276.54</v>
      </c>
    </row>
    <row r="258" spans="1:7" x14ac:dyDescent="0.25">
      <c r="A258" s="23">
        <f t="shared" si="8"/>
        <v>2025</v>
      </c>
      <c r="B258" s="23">
        <f t="shared" si="9"/>
        <v>5</v>
      </c>
      <c r="C258" s="26" t="s">
        <v>273</v>
      </c>
      <c r="D258" s="22">
        <v>1206.3779999999999</v>
      </c>
      <c r="E258" s="28">
        <v>7295.46</v>
      </c>
    </row>
    <row r="259" spans="1:7" x14ac:dyDescent="0.25">
      <c r="A259" s="23">
        <f t="shared" ref="A259:A266" si="10">YEAR(C259)</f>
        <v>2025</v>
      </c>
      <c r="B259" s="23">
        <f t="shared" ref="B259:B266" si="11">MONTH(C259)</f>
        <v>6</v>
      </c>
      <c r="C259" s="26" t="s">
        <v>274</v>
      </c>
      <c r="D259" s="22">
        <v>1186.259</v>
      </c>
      <c r="E259" s="28">
        <v>7312.97</v>
      </c>
    </row>
    <row r="260" spans="1:7" x14ac:dyDescent="0.25">
      <c r="A260" s="23">
        <f t="shared" si="10"/>
        <v>2025</v>
      </c>
      <c r="B260" s="23">
        <f t="shared" si="11"/>
        <v>7</v>
      </c>
      <c r="C260" s="26" t="s">
        <v>275</v>
      </c>
      <c r="D260" s="22">
        <v>1177.1679999999999</v>
      </c>
      <c r="E260" s="28">
        <v>7331.98</v>
      </c>
    </row>
    <row r="261" spans="1:7" x14ac:dyDescent="0.25">
      <c r="A261" s="23">
        <f t="shared" si="10"/>
        <v>2025</v>
      </c>
      <c r="B261" s="23">
        <f t="shared" si="11"/>
        <v>8</v>
      </c>
      <c r="C261" s="26" t="s">
        <v>276</v>
      </c>
      <c r="D261" s="22">
        <v>1181.3689999999999</v>
      </c>
      <c r="E261" s="28">
        <v>7323.91</v>
      </c>
    </row>
    <row r="262" spans="1:7" x14ac:dyDescent="0.25">
      <c r="A262" s="23">
        <f t="shared" si="10"/>
        <v>2025</v>
      </c>
      <c r="B262" s="23">
        <f t="shared" si="11"/>
        <v>9</v>
      </c>
      <c r="C262" s="26" t="s">
        <v>277</v>
      </c>
      <c r="D262" s="22">
        <v>1186.2829999999999</v>
      </c>
      <c r="E262" s="28">
        <v>7359.06</v>
      </c>
    </row>
    <row r="263" spans="1:7" x14ac:dyDescent="0.25">
      <c r="A263" s="23">
        <f t="shared" si="10"/>
        <v>2025</v>
      </c>
      <c r="B263" s="23">
        <f t="shared" si="11"/>
        <v>10</v>
      </c>
      <c r="C263" s="26" t="s">
        <v>278</v>
      </c>
      <c r="D263" s="22">
        <v>1182.0050000000001</v>
      </c>
      <c r="E263" s="28">
        <v>7365.68</v>
      </c>
    </row>
    <row r="264" spans="1:7" x14ac:dyDescent="0.25">
      <c r="A264" s="23">
        <f t="shared" si="10"/>
        <v>2025</v>
      </c>
      <c r="B264" s="23">
        <f t="shared" si="11"/>
        <v>11</v>
      </c>
      <c r="C264" s="26" t="s">
        <v>279</v>
      </c>
      <c r="D264" s="22">
        <v>1185.175</v>
      </c>
      <c r="E264" s="28">
        <v>7378.94</v>
      </c>
    </row>
    <row r="265" spans="1:7" x14ac:dyDescent="0.25">
      <c r="A265" s="23">
        <f t="shared" si="10"/>
        <v>2025</v>
      </c>
      <c r="B265" s="23">
        <f t="shared" si="11"/>
        <v>12</v>
      </c>
      <c r="C265" s="26" t="s">
        <v>280</v>
      </c>
      <c r="D265" s="22">
        <v>1184.998</v>
      </c>
      <c r="E265" s="28">
        <v>7403.29</v>
      </c>
      <c r="G265" s="51"/>
    </row>
    <row r="266" spans="1:7" x14ac:dyDescent="0.25">
      <c r="A266" s="23">
        <f t="shared" si="10"/>
        <v>2026</v>
      </c>
      <c r="B266" s="23">
        <f t="shared" si="11"/>
        <v>1</v>
      </c>
      <c r="C266" s="26" t="s">
        <v>281</v>
      </c>
      <c r="D266" s="22">
        <v>1189.82</v>
      </c>
      <c r="E266" s="28">
        <v>7427.72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C85D-EBAB-4841-9FD5-51D29165AA45}">
  <sheetPr>
    <tabColor theme="5" tint="0.59999389629810485"/>
  </sheetPr>
  <dimension ref="A1:H75"/>
  <sheetViews>
    <sheetView topLeftCell="A16" zoomScaleNormal="100" workbookViewId="0">
      <selection activeCell="M32" sqref="M32"/>
    </sheetView>
  </sheetViews>
  <sheetFormatPr defaultColWidth="8.88671875" defaultRowHeight="13.2" x14ac:dyDescent="0.25"/>
  <cols>
    <col min="1" max="1" width="31" style="21" customWidth="1"/>
    <col min="2" max="7" width="11.33203125" style="21" customWidth="1"/>
    <col min="8" max="8" width="11.44140625" style="21" customWidth="1"/>
    <col min="9" max="16384" width="8.88671875" style="21"/>
  </cols>
  <sheetData>
    <row r="1" spans="1:7" ht="27" thickBot="1" x14ac:dyDescent="0.3">
      <c r="A1" s="29" t="s">
        <v>282</v>
      </c>
      <c r="B1" s="29">
        <v>2026</v>
      </c>
      <c r="C1" s="29">
        <v>2027</v>
      </c>
      <c r="D1" s="29">
        <v>2028</v>
      </c>
      <c r="E1" s="29">
        <v>2029</v>
      </c>
      <c r="F1" s="29">
        <v>2030</v>
      </c>
      <c r="G1" s="29" t="s">
        <v>283</v>
      </c>
    </row>
    <row r="2" spans="1:7" ht="13.8" thickBot="1" x14ac:dyDescent="0.3">
      <c r="A2" s="30" t="s">
        <v>284</v>
      </c>
      <c r="B2" s="30">
        <v>95</v>
      </c>
      <c r="C2" s="30">
        <v>95</v>
      </c>
      <c r="D2" s="30">
        <v>95</v>
      </c>
      <c r="E2" s="30">
        <v>95</v>
      </c>
      <c r="F2" s="30">
        <v>104</v>
      </c>
      <c r="G2" s="29">
        <v>483</v>
      </c>
    </row>
    <row r="3" spans="1:7" ht="27" thickBot="1" x14ac:dyDescent="0.3">
      <c r="A3" s="30" t="s">
        <v>285</v>
      </c>
      <c r="B3" s="30">
        <v>14</v>
      </c>
      <c r="C3" s="30">
        <v>15</v>
      </c>
      <c r="D3" s="30">
        <v>17</v>
      </c>
      <c r="E3" s="30">
        <v>36</v>
      </c>
      <c r="F3" s="30">
        <v>55</v>
      </c>
      <c r="G3" s="29">
        <v>136</v>
      </c>
    </row>
    <row r="4" spans="1:7" ht="27" thickBot="1" x14ac:dyDescent="0.3">
      <c r="A4" s="30" t="s">
        <v>286</v>
      </c>
      <c r="B4" s="30">
        <v>1</v>
      </c>
      <c r="C4" s="30">
        <v>0</v>
      </c>
      <c r="D4" s="30">
        <v>1</v>
      </c>
      <c r="E4" s="30">
        <v>1</v>
      </c>
      <c r="F4" s="30">
        <v>1</v>
      </c>
      <c r="G4" s="29">
        <v>5</v>
      </c>
    </row>
    <row r="5" spans="1:7" ht="13.8" thickBot="1" x14ac:dyDescent="0.3">
      <c r="A5" s="30" t="s">
        <v>287</v>
      </c>
      <c r="B5" s="30">
        <v>46</v>
      </c>
      <c r="C5" s="30">
        <v>45</v>
      </c>
      <c r="D5" s="30">
        <v>50</v>
      </c>
      <c r="E5" s="30">
        <v>71</v>
      </c>
      <c r="F5" s="30">
        <v>75</v>
      </c>
      <c r="G5" s="29">
        <v>286</v>
      </c>
    </row>
    <row r="6" spans="1:7" ht="40.200000000000003" thickBot="1" x14ac:dyDescent="0.3">
      <c r="A6" s="30" t="s">
        <v>288</v>
      </c>
      <c r="B6" s="30">
        <v>99</v>
      </c>
      <c r="C6" s="30">
        <v>99</v>
      </c>
      <c r="D6" s="30">
        <v>99</v>
      </c>
      <c r="E6" s="30">
        <v>99</v>
      </c>
      <c r="F6" s="30">
        <v>109</v>
      </c>
      <c r="G6" s="29">
        <v>507</v>
      </c>
    </row>
    <row r="7" spans="1:7" ht="13.8" thickBot="1" x14ac:dyDescent="0.3">
      <c r="A7" s="30" t="s">
        <v>289</v>
      </c>
      <c r="B7" s="30">
        <v>1</v>
      </c>
      <c r="C7" s="30">
        <v>1</v>
      </c>
      <c r="D7" s="30">
        <v>1</v>
      </c>
      <c r="E7" s="30">
        <v>1</v>
      </c>
      <c r="F7" s="30">
        <v>1</v>
      </c>
      <c r="G7" s="29">
        <v>6</v>
      </c>
    </row>
    <row r="8" spans="1:7" ht="27" thickBot="1" x14ac:dyDescent="0.3">
      <c r="A8" s="30" t="s">
        <v>290</v>
      </c>
      <c r="B8" s="30">
        <v>0</v>
      </c>
      <c r="C8" s="30">
        <v>1</v>
      </c>
      <c r="D8" s="30">
        <v>1</v>
      </c>
      <c r="E8" s="30">
        <v>1</v>
      </c>
      <c r="F8" s="30">
        <v>1</v>
      </c>
      <c r="G8" s="29">
        <v>6</v>
      </c>
    </row>
    <row r="9" spans="1:7" ht="13.8" thickBot="1" x14ac:dyDescent="0.3">
      <c r="A9" s="30" t="s">
        <v>291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29">
        <v>0</v>
      </c>
    </row>
    <row r="10" spans="1:7" ht="13.8" thickBot="1" x14ac:dyDescent="0.3">
      <c r="A10" s="30" t="s">
        <v>292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29">
        <v>0</v>
      </c>
    </row>
    <row r="11" spans="1:7" ht="27" thickBot="1" x14ac:dyDescent="0.3">
      <c r="A11" s="30" t="s">
        <v>293</v>
      </c>
      <c r="B11" s="30">
        <v>3</v>
      </c>
      <c r="C11" s="30">
        <v>3</v>
      </c>
      <c r="D11" s="30">
        <v>3</v>
      </c>
      <c r="E11" s="30">
        <v>3</v>
      </c>
      <c r="F11" s="30">
        <v>3</v>
      </c>
      <c r="G11" s="29">
        <v>13</v>
      </c>
    </row>
    <row r="12" spans="1:7" ht="13.8" thickBot="1" x14ac:dyDescent="0.3">
      <c r="A12" s="30" t="s">
        <v>294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29">
        <v>1</v>
      </c>
    </row>
    <row r="13" spans="1:7" ht="13.8" thickBot="1" x14ac:dyDescent="0.3">
      <c r="A13" s="30" t="s">
        <v>295</v>
      </c>
      <c r="B13" s="30">
        <v>30</v>
      </c>
      <c r="C13" s="30">
        <v>31</v>
      </c>
      <c r="D13" s="30">
        <v>32</v>
      </c>
      <c r="E13" s="30">
        <v>31</v>
      </c>
      <c r="F13" s="30">
        <v>34</v>
      </c>
      <c r="G13" s="29">
        <v>159</v>
      </c>
    </row>
    <row r="14" spans="1:7" ht="27" thickBot="1" x14ac:dyDescent="0.3">
      <c r="A14" s="30" t="s">
        <v>296</v>
      </c>
      <c r="B14" s="30">
        <v>82</v>
      </c>
      <c r="C14" s="30">
        <v>78</v>
      </c>
      <c r="D14" s="30">
        <v>77</v>
      </c>
      <c r="E14" s="30">
        <v>75</v>
      </c>
      <c r="F14" s="30">
        <v>85</v>
      </c>
      <c r="G14" s="29">
        <v>397</v>
      </c>
    </row>
    <row r="15" spans="1:7" ht="27" thickBot="1" x14ac:dyDescent="0.3">
      <c r="A15" s="30" t="s">
        <v>297</v>
      </c>
      <c r="B15" s="30">
        <v>314</v>
      </c>
      <c r="C15" s="30">
        <v>46</v>
      </c>
      <c r="D15" s="30">
        <v>46</v>
      </c>
      <c r="E15" s="30">
        <v>46</v>
      </c>
      <c r="F15" s="30">
        <v>50</v>
      </c>
      <c r="G15" s="29">
        <v>503</v>
      </c>
    </row>
    <row r="16" spans="1:7" ht="13.8" thickBot="1" x14ac:dyDescent="0.3">
      <c r="A16" s="30" t="s">
        <v>298</v>
      </c>
      <c r="B16" s="30">
        <v>26</v>
      </c>
      <c r="C16" s="30">
        <v>85</v>
      </c>
      <c r="D16" s="30">
        <v>61</v>
      </c>
      <c r="E16" s="30">
        <v>55</v>
      </c>
      <c r="F16" s="30">
        <v>39</v>
      </c>
      <c r="G16" s="29">
        <v>266</v>
      </c>
    </row>
    <row r="17" spans="1:8" ht="13.8" thickBot="1" x14ac:dyDescent="0.3">
      <c r="A17" s="29" t="s">
        <v>299</v>
      </c>
      <c r="B17" s="29">
        <v>713</v>
      </c>
      <c r="C17" s="29">
        <v>499</v>
      </c>
      <c r="D17" s="29">
        <v>482</v>
      </c>
      <c r="E17" s="29">
        <v>516</v>
      </c>
      <c r="F17" s="29">
        <v>557</v>
      </c>
      <c r="G17" s="31">
        <v>2767</v>
      </c>
    </row>
    <row r="19" spans="1:8" ht="13.8" thickBot="1" x14ac:dyDescent="0.3"/>
    <row r="20" spans="1:8" ht="27" thickBot="1" x14ac:dyDescent="0.3">
      <c r="A20" s="29" t="s">
        <v>11</v>
      </c>
      <c r="B20" s="29" t="s">
        <v>300</v>
      </c>
      <c r="C20" s="29" t="s">
        <v>301</v>
      </c>
      <c r="D20" s="29" t="s">
        <v>302</v>
      </c>
      <c r="E20" s="29" t="s">
        <v>303</v>
      </c>
    </row>
    <row r="21" spans="1:8" ht="13.8" thickBot="1" x14ac:dyDescent="0.3">
      <c r="A21" s="30">
        <v>2026</v>
      </c>
      <c r="B21" s="30">
        <v>712.6</v>
      </c>
      <c r="C21" s="30">
        <v>398.6</v>
      </c>
      <c r="D21" s="30">
        <v>314</v>
      </c>
      <c r="E21" s="32" t="s">
        <v>304</v>
      </c>
    </row>
    <row r="22" spans="1:8" ht="13.8" thickBot="1" x14ac:dyDescent="0.3">
      <c r="A22" s="30">
        <v>2027</v>
      </c>
      <c r="B22" s="30">
        <v>499.3</v>
      </c>
      <c r="C22" s="30">
        <v>452.4</v>
      </c>
      <c r="D22" s="30">
        <v>46.9</v>
      </c>
      <c r="E22" s="33">
        <f>SUM(B22:D22)/SUM(B21:D21)-1</f>
        <v>-0.29932641032837493</v>
      </c>
    </row>
    <row r="23" spans="1:8" ht="13.8" thickBot="1" x14ac:dyDescent="0.3">
      <c r="A23" s="30">
        <v>2028</v>
      </c>
      <c r="B23" s="30">
        <v>482.4</v>
      </c>
      <c r="C23" s="30">
        <v>435.4</v>
      </c>
      <c r="D23" s="30">
        <v>47</v>
      </c>
      <c r="E23" s="33">
        <f>SUM(B23:D23)/SUM(B22:D22)-1</f>
        <v>-3.384738634087725E-2</v>
      </c>
    </row>
    <row r="24" spans="1:8" ht="13.8" thickBot="1" x14ac:dyDescent="0.3">
      <c r="A24" s="30">
        <v>2029</v>
      </c>
      <c r="B24" s="30">
        <v>515.6</v>
      </c>
      <c r="C24" s="30">
        <v>468.6</v>
      </c>
      <c r="D24" s="30">
        <v>47</v>
      </c>
      <c r="E24" s="33">
        <f>SUM(B24:D24)/SUM(B23:D23)-1</f>
        <v>6.8822553897180949E-2</v>
      </c>
    </row>
    <row r="25" spans="1:8" ht="13.8" thickBot="1" x14ac:dyDescent="0.3">
      <c r="A25" s="30">
        <v>2030</v>
      </c>
      <c r="B25" s="30">
        <v>557.5</v>
      </c>
      <c r="C25" s="30">
        <v>507.5</v>
      </c>
      <c r="D25" s="30">
        <v>50</v>
      </c>
      <c r="E25" s="33">
        <f>SUM(B25:D25)/SUM(B24:D24)-1</f>
        <v>8.1264546159813822E-2</v>
      </c>
    </row>
    <row r="27" spans="1:8" ht="13.8" thickBot="1" x14ac:dyDescent="0.3"/>
    <row r="28" spans="1:8" ht="27" thickBot="1" x14ac:dyDescent="0.3">
      <c r="A28" s="29" t="s">
        <v>305</v>
      </c>
      <c r="B28" s="29">
        <v>2026</v>
      </c>
      <c r="C28" s="29">
        <v>2027</v>
      </c>
      <c r="D28" s="29">
        <v>2028</v>
      </c>
      <c r="E28" s="29">
        <v>2029</v>
      </c>
      <c r="F28" s="29">
        <v>2030</v>
      </c>
      <c r="G28" s="29" t="s">
        <v>306</v>
      </c>
      <c r="H28" s="29" t="s">
        <v>307</v>
      </c>
    </row>
    <row r="29" spans="1:8" ht="13.8" thickBot="1" x14ac:dyDescent="0.3">
      <c r="A29" s="142" t="s">
        <v>308</v>
      </c>
      <c r="B29" s="142">
        <v>389.5</v>
      </c>
      <c r="C29" s="142">
        <v>386.8</v>
      </c>
      <c r="D29" s="142">
        <v>388.3</v>
      </c>
      <c r="E29" s="142">
        <v>387.1</v>
      </c>
      <c r="F29" s="142">
        <v>387</v>
      </c>
      <c r="G29" s="143">
        <v>1938.7</v>
      </c>
      <c r="H29" s="142" t="s">
        <v>309</v>
      </c>
    </row>
    <row r="30" spans="1:8" ht="27" thickBot="1" x14ac:dyDescent="0.3">
      <c r="A30" s="30" t="s">
        <v>310</v>
      </c>
      <c r="B30" s="30">
        <v>317.5</v>
      </c>
      <c r="C30" s="30">
        <v>106.8</v>
      </c>
      <c r="D30" s="30">
        <v>83.4</v>
      </c>
      <c r="E30" s="30">
        <v>77.3</v>
      </c>
      <c r="F30" s="30">
        <v>61.4</v>
      </c>
      <c r="G30" s="30">
        <v>646.4</v>
      </c>
      <c r="H30" s="30" t="s">
        <v>311</v>
      </c>
    </row>
    <row r="31" spans="1:8" ht="13.8" thickBot="1" x14ac:dyDescent="0.3">
      <c r="A31" s="30" t="s">
        <v>312</v>
      </c>
      <c r="B31" s="30" t="s">
        <v>313</v>
      </c>
      <c r="C31" s="30" t="s">
        <v>313</v>
      </c>
      <c r="D31" s="30" t="s">
        <v>313</v>
      </c>
      <c r="E31" s="30" t="s">
        <v>313</v>
      </c>
      <c r="F31" s="30">
        <v>7.7</v>
      </c>
      <c r="G31" s="30">
        <v>7.7</v>
      </c>
      <c r="H31" s="30" t="s">
        <v>309</v>
      </c>
    </row>
    <row r="32" spans="1:8" ht="13.8" thickBot="1" x14ac:dyDescent="0.3">
      <c r="A32" s="30" t="s">
        <v>314</v>
      </c>
      <c r="B32" s="30" t="s">
        <v>313</v>
      </c>
      <c r="C32" s="30" t="s">
        <v>313</v>
      </c>
      <c r="D32" s="30" t="s">
        <v>313</v>
      </c>
      <c r="E32" s="30" t="s">
        <v>313</v>
      </c>
      <c r="F32" s="30">
        <v>30</v>
      </c>
      <c r="G32" s="30">
        <v>30</v>
      </c>
      <c r="H32" s="30" t="s">
        <v>309</v>
      </c>
    </row>
    <row r="33" spans="1:8" ht="13.8" thickBot="1" x14ac:dyDescent="0.3">
      <c r="A33" s="30" t="s">
        <v>315</v>
      </c>
      <c r="B33" s="30">
        <v>5.7</v>
      </c>
      <c r="C33" s="30">
        <v>5.7</v>
      </c>
      <c r="D33" s="30">
        <v>5.7</v>
      </c>
      <c r="E33" s="30">
        <v>5.7</v>
      </c>
      <c r="F33" s="30">
        <v>5.7</v>
      </c>
      <c r="G33" s="30">
        <v>28.3</v>
      </c>
      <c r="H33" s="30" t="s">
        <v>309</v>
      </c>
    </row>
    <row r="34" spans="1:8" ht="13.8" thickBot="1" x14ac:dyDescent="0.3">
      <c r="A34" s="30" t="s">
        <v>316</v>
      </c>
      <c r="B34" s="30" t="s">
        <v>313</v>
      </c>
      <c r="C34" s="30" t="s">
        <v>313</v>
      </c>
      <c r="D34" s="30">
        <v>1.6</v>
      </c>
      <c r="E34" s="30">
        <v>19.3</v>
      </c>
      <c r="F34" s="30">
        <v>19.3</v>
      </c>
      <c r="G34" s="30">
        <v>40.200000000000003</v>
      </c>
      <c r="H34" s="30" t="s">
        <v>317</v>
      </c>
    </row>
    <row r="35" spans="1:8" ht="13.8" thickBot="1" x14ac:dyDescent="0.3">
      <c r="A35" s="30" t="s">
        <v>318</v>
      </c>
      <c r="B35" s="30" t="s">
        <v>313</v>
      </c>
      <c r="C35" s="30">
        <v>0</v>
      </c>
      <c r="D35" s="30">
        <v>0.5</v>
      </c>
      <c r="E35" s="30">
        <v>0.5</v>
      </c>
      <c r="F35" s="30">
        <v>0.5</v>
      </c>
      <c r="G35" s="30">
        <v>1.5</v>
      </c>
      <c r="H35" s="30" t="s">
        <v>319</v>
      </c>
    </row>
    <row r="36" spans="1:8" ht="13.8" thickBot="1" x14ac:dyDescent="0.3">
      <c r="A36" s="30" t="s">
        <v>320</v>
      </c>
      <c r="B36" s="30" t="s">
        <v>313</v>
      </c>
      <c r="C36" s="30" t="s">
        <v>313</v>
      </c>
      <c r="D36" s="30">
        <v>1.2</v>
      </c>
      <c r="E36" s="30">
        <v>1.8</v>
      </c>
      <c r="F36" s="30">
        <v>1.8</v>
      </c>
      <c r="G36" s="30">
        <v>4.7</v>
      </c>
      <c r="H36" s="30" t="s">
        <v>321</v>
      </c>
    </row>
    <row r="37" spans="1:8" ht="13.8" thickBot="1" x14ac:dyDescent="0.3">
      <c r="A37" s="30" t="s">
        <v>322</v>
      </c>
      <c r="B37" s="30" t="s">
        <v>313</v>
      </c>
      <c r="C37" s="30" t="s">
        <v>313</v>
      </c>
      <c r="D37" s="30" t="s">
        <v>313</v>
      </c>
      <c r="E37" s="30">
        <v>0.5</v>
      </c>
      <c r="F37" s="30">
        <v>0.6</v>
      </c>
      <c r="G37" s="30">
        <v>1.1000000000000001</v>
      </c>
      <c r="H37" s="30" t="s">
        <v>319</v>
      </c>
    </row>
    <row r="38" spans="1:8" ht="13.8" thickBot="1" x14ac:dyDescent="0.3">
      <c r="A38" s="30" t="s">
        <v>323</v>
      </c>
      <c r="B38" s="30" t="s">
        <v>313</v>
      </c>
      <c r="C38" s="30" t="s">
        <v>313</v>
      </c>
      <c r="D38" s="30" t="s">
        <v>313</v>
      </c>
      <c r="E38" s="30" t="s">
        <v>313</v>
      </c>
      <c r="F38" s="30">
        <v>0.5</v>
      </c>
      <c r="G38" s="30">
        <v>0.5</v>
      </c>
      <c r="H38" s="30" t="s">
        <v>319</v>
      </c>
    </row>
    <row r="39" spans="1:8" ht="13.8" thickBot="1" x14ac:dyDescent="0.3">
      <c r="A39" s="30" t="s">
        <v>324</v>
      </c>
      <c r="B39" s="30" t="s">
        <v>313</v>
      </c>
      <c r="C39" s="30" t="s">
        <v>313</v>
      </c>
      <c r="D39" s="30" t="s">
        <v>313</v>
      </c>
      <c r="E39" s="30">
        <v>0.5</v>
      </c>
      <c r="F39" s="30">
        <v>0.6</v>
      </c>
      <c r="G39" s="30">
        <v>1.1000000000000001</v>
      </c>
      <c r="H39" s="30" t="s">
        <v>319</v>
      </c>
    </row>
    <row r="40" spans="1:8" ht="13.8" thickBot="1" x14ac:dyDescent="0.3">
      <c r="A40" s="30" t="s">
        <v>325</v>
      </c>
      <c r="B40" s="30" t="s">
        <v>313</v>
      </c>
      <c r="C40" s="30" t="s">
        <v>313</v>
      </c>
      <c r="D40" s="30" t="s">
        <v>313</v>
      </c>
      <c r="E40" s="30" t="s">
        <v>313</v>
      </c>
      <c r="F40" s="30">
        <v>0.5</v>
      </c>
      <c r="G40" s="30">
        <v>0.5</v>
      </c>
      <c r="H40" s="30" t="s">
        <v>319</v>
      </c>
    </row>
    <row r="41" spans="1:8" ht="13.8" thickBot="1" x14ac:dyDescent="0.3">
      <c r="A41" s="30" t="s">
        <v>326</v>
      </c>
      <c r="B41" s="30" t="s">
        <v>313</v>
      </c>
      <c r="C41" s="30" t="s">
        <v>313</v>
      </c>
      <c r="D41" s="30" t="s">
        <v>313</v>
      </c>
      <c r="E41" s="30" t="s">
        <v>313</v>
      </c>
      <c r="F41" s="30">
        <v>2.1</v>
      </c>
      <c r="G41" s="30">
        <v>2.1</v>
      </c>
      <c r="H41" s="30" t="s">
        <v>319</v>
      </c>
    </row>
    <row r="42" spans="1:8" ht="13.8" thickBot="1" x14ac:dyDescent="0.3">
      <c r="A42" s="30" t="s">
        <v>327</v>
      </c>
      <c r="B42" s="30" t="s">
        <v>313</v>
      </c>
      <c r="C42" s="30" t="s">
        <v>313</v>
      </c>
      <c r="D42" s="30" t="s">
        <v>313</v>
      </c>
      <c r="E42" s="30">
        <v>1.5</v>
      </c>
      <c r="F42" s="30">
        <v>18.399999999999999</v>
      </c>
      <c r="G42" s="30">
        <v>19.899999999999999</v>
      </c>
      <c r="H42" s="30" t="s">
        <v>319</v>
      </c>
    </row>
    <row r="43" spans="1:8" ht="13.8" thickBot="1" x14ac:dyDescent="0.3">
      <c r="A43" s="30" t="s">
        <v>328</v>
      </c>
      <c r="B43" s="30" t="s">
        <v>313</v>
      </c>
      <c r="C43" s="30" t="s">
        <v>313</v>
      </c>
      <c r="D43" s="30">
        <v>1.8</v>
      </c>
      <c r="E43" s="30">
        <v>21.5</v>
      </c>
      <c r="F43" s="30">
        <v>21.5</v>
      </c>
      <c r="G43" s="30">
        <v>44.9</v>
      </c>
      <c r="H43" s="30" t="s">
        <v>319</v>
      </c>
    </row>
    <row r="44" spans="1:8" ht="13.8" thickBot="1" x14ac:dyDescent="0.3">
      <c r="A44" s="155" t="s">
        <v>329</v>
      </c>
      <c r="B44" s="155">
        <v>712.6</v>
      </c>
      <c r="C44" s="155">
        <v>499.3</v>
      </c>
      <c r="D44" s="155">
        <v>482.4</v>
      </c>
      <c r="E44" s="155">
        <v>515.6</v>
      </c>
      <c r="F44" s="155">
        <v>557.5</v>
      </c>
      <c r="G44" s="156">
        <v>2767.4</v>
      </c>
      <c r="H44" s="149"/>
    </row>
    <row r="45" spans="1:8" ht="13.8" thickBot="1" x14ac:dyDescent="0.3">
      <c r="A45" s="29" t="s">
        <v>330</v>
      </c>
      <c r="B45" s="29">
        <v>0</v>
      </c>
      <c r="C45" s="29">
        <v>0</v>
      </c>
      <c r="D45" s="29">
        <v>2.2999999999999998</v>
      </c>
      <c r="E45" s="29">
        <v>24.5</v>
      </c>
      <c r="F45" s="29">
        <v>45.2</v>
      </c>
      <c r="G45" s="29">
        <v>71.400000000000006</v>
      </c>
      <c r="H45" s="30"/>
    </row>
    <row r="46" spans="1:8" ht="13.8" thickBot="1" x14ac:dyDescent="0.3">
      <c r="A46" s="152" t="s">
        <v>331</v>
      </c>
      <c r="B46" s="152">
        <v>712.6</v>
      </c>
      <c r="C46" s="152">
        <v>499.3</v>
      </c>
      <c r="D46" s="152">
        <v>480.1</v>
      </c>
      <c r="E46" s="152">
        <v>491.1</v>
      </c>
      <c r="F46" s="152">
        <v>512.29999999999995</v>
      </c>
      <c r="G46" s="153">
        <v>2695.4</v>
      </c>
      <c r="H46" s="154"/>
    </row>
    <row r="48" spans="1:8" ht="13.8" thickBot="1" x14ac:dyDescent="0.3"/>
    <row r="49" spans="1:5" ht="40.200000000000003" thickBot="1" x14ac:dyDescent="0.3">
      <c r="A49" s="29" t="s">
        <v>305</v>
      </c>
      <c r="B49" s="29" t="s">
        <v>332</v>
      </c>
      <c r="C49" s="29" t="s">
        <v>306</v>
      </c>
      <c r="D49" s="29" t="s">
        <v>333</v>
      </c>
      <c r="E49" s="151" t="s">
        <v>403</v>
      </c>
    </row>
    <row r="50" spans="1:5" ht="27" thickBot="1" x14ac:dyDescent="0.3">
      <c r="A50" s="29" t="s">
        <v>334</v>
      </c>
      <c r="B50" s="30"/>
      <c r="C50" s="30"/>
      <c r="D50" s="30"/>
      <c r="E50" s="149"/>
    </row>
    <row r="51" spans="1:5" ht="27" thickBot="1" x14ac:dyDescent="0.3">
      <c r="A51" s="30" t="s">
        <v>335</v>
      </c>
      <c r="B51" s="30">
        <v>101.4</v>
      </c>
      <c r="C51" s="30">
        <v>507</v>
      </c>
      <c r="D51" s="34">
        <v>0.183</v>
      </c>
      <c r="E51" s="150">
        <f>B51*$C$73</f>
        <v>98.761855893618545</v>
      </c>
    </row>
    <row r="52" spans="1:5" ht="13.8" thickBot="1" x14ac:dyDescent="0.3">
      <c r="A52" s="30" t="s">
        <v>336</v>
      </c>
      <c r="B52" s="30">
        <v>96.5</v>
      </c>
      <c r="C52" s="30">
        <v>482.6</v>
      </c>
      <c r="D52" s="34">
        <v>0.17399999999999999</v>
      </c>
      <c r="E52" s="150">
        <f t="shared" ref="E52:E63" si="0">B52*$C$73</f>
        <v>93.989340174893385</v>
      </c>
    </row>
    <row r="53" spans="1:5" ht="27" thickBot="1" x14ac:dyDescent="0.3">
      <c r="A53" s="30" t="s">
        <v>285</v>
      </c>
      <c r="B53" s="30">
        <v>27.2</v>
      </c>
      <c r="C53" s="30">
        <v>136.19999999999999</v>
      </c>
      <c r="D53" s="34">
        <v>4.9000000000000002E-2</v>
      </c>
      <c r="E53" s="150">
        <f t="shared" si="0"/>
        <v>26.492332152923318</v>
      </c>
    </row>
    <row r="54" spans="1:5" ht="13.8" thickBot="1" x14ac:dyDescent="0.3">
      <c r="A54" s="29" t="s">
        <v>287</v>
      </c>
      <c r="B54" s="29">
        <v>57.2</v>
      </c>
      <c r="C54" s="29">
        <v>286.10000000000002</v>
      </c>
      <c r="D54" s="35">
        <v>0.10299999999999999</v>
      </c>
      <c r="E54" s="150">
        <f t="shared" si="0"/>
        <v>55.711816145118156</v>
      </c>
    </row>
    <row r="55" spans="1:5" ht="27" thickBot="1" x14ac:dyDescent="0.3">
      <c r="A55" s="30" t="s">
        <v>286</v>
      </c>
      <c r="B55" s="30">
        <v>1</v>
      </c>
      <c r="C55" s="30">
        <v>5.0999999999999996</v>
      </c>
      <c r="D55" s="34">
        <v>2E-3</v>
      </c>
      <c r="E55" s="150">
        <f t="shared" si="0"/>
        <v>0.97398279973982782</v>
      </c>
    </row>
    <row r="56" spans="1:5" ht="13.8" thickBot="1" x14ac:dyDescent="0.3">
      <c r="A56" s="30" t="s">
        <v>289</v>
      </c>
      <c r="B56" s="30">
        <v>1.2</v>
      </c>
      <c r="C56" s="30">
        <v>6.1</v>
      </c>
      <c r="D56" s="34">
        <v>2E-3</v>
      </c>
      <c r="E56" s="150">
        <f t="shared" si="0"/>
        <v>1.1687793596877933</v>
      </c>
    </row>
    <row r="57" spans="1:5" ht="27" thickBot="1" x14ac:dyDescent="0.3">
      <c r="A57" s="30" t="s">
        <v>290</v>
      </c>
      <c r="B57" s="30">
        <v>1.2</v>
      </c>
      <c r="C57" s="30">
        <v>6</v>
      </c>
      <c r="D57" s="34">
        <v>2E-3</v>
      </c>
      <c r="E57" s="150">
        <f t="shared" si="0"/>
        <v>1.1687793596877933</v>
      </c>
    </row>
    <row r="58" spans="1:5" ht="27" thickBot="1" x14ac:dyDescent="0.3">
      <c r="A58" s="30" t="s">
        <v>293</v>
      </c>
      <c r="B58" s="30">
        <v>2.7</v>
      </c>
      <c r="C58" s="30">
        <v>13.4</v>
      </c>
      <c r="D58" s="34">
        <v>5.0000000000000001E-3</v>
      </c>
      <c r="E58" s="150">
        <f t="shared" si="0"/>
        <v>2.6297535592975354</v>
      </c>
    </row>
    <row r="59" spans="1:5" ht="13.8" thickBot="1" x14ac:dyDescent="0.3">
      <c r="A59" s="30" t="s">
        <v>294</v>
      </c>
      <c r="B59" s="30">
        <v>0.2</v>
      </c>
      <c r="C59" s="30">
        <v>0.9</v>
      </c>
      <c r="D59" s="34">
        <v>0</v>
      </c>
      <c r="E59" s="150">
        <f t="shared" si="0"/>
        <v>0.19479655994796558</v>
      </c>
    </row>
    <row r="60" spans="1:5" ht="13.8" thickBot="1" x14ac:dyDescent="0.3">
      <c r="A60" s="30" t="s">
        <v>295</v>
      </c>
      <c r="B60" s="30">
        <v>31.7</v>
      </c>
      <c r="C60" s="30">
        <v>158.6</v>
      </c>
      <c r="D60" s="34">
        <v>5.7000000000000002E-2</v>
      </c>
      <c r="E60" s="150">
        <f t="shared" si="0"/>
        <v>30.875254751752543</v>
      </c>
    </row>
    <row r="61" spans="1:5" ht="27" thickBot="1" x14ac:dyDescent="0.3">
      <c r="A61" s="29" t="s">
        <v>296</v>
      </c>
      <c r="B61" s="29">
        <v>79.3</v>
      </c>
      <c r="C61" s="29">
        <v>396.6</v>
      </c>
      <c r="D61" s="35">
        <v>0.14299999999999999</v>
      </c>
      <c r="E61" s="150">
        <f t="shared" si="0"/>
        <v>77.23683601936834</v>
      </c>
    </row>
    <row r="62" spans="1:5" ht="13.8" thickBot="1" x14ac:dyDescent="0.3">
      <c r="A62" s="30" t="s">
        <v>291</v>
      </c>
      <c r="B62" s="30">
        <v>0</v>
      </c>
      <c r="C62" s="30">
        <v>0</v>
      </c>
      <c r="D62" s="34">
        <v>0</v>
      </c>
      <c r="E62" s="150">
        <f t="shared" si="0"/>
        <v>0</v>
      </c>
    </row>
    <row r="63" spans="1:5" ht="13.8" thickBot="1" x14ac:dyDescent="0.3">
      <c r="A63" s="30" t="s">
        <v>292</v>
      </c>
      <c r="B63" s="30">
        <v>0</v>
      </c>
      <c r="C63" s="30">
        <v>0</v>
      </c>
      <c r="D63" s="34">
        <v>0</v>
      </c>
      <c r="E63" s="150">
        <f t="shared" si="0"/>
        <v>0</v>
      </c>
    </row>
    <row r="64" spans="1:5" ht="13.8" thickBot="1" x14ac:dyDescent="0.3">
      <c r="A64" s="144" t="s">
        <v>337</v>
      </c>
      <c r="B64" s="144">
        <v>399.7</v>
      </c>
      <c r="C64" s="146">
        <v>1998.4</v>
      </c>
      <c r="D64" s="145">
        <v>0.72199999999999998</v>
      </c>
      <c r="E64" s="148">
        <f>SUM(E51:E63)</f>
        <v>389.20352677603523</v>
      </c>
    </row>
    <row r="65" spans="1:5" ht="13.8" thickBot="1" x14ac:dyDescent="0.3">
      <c r="A65" s="30"/>
      <c r="B65" s="30"/>
      <c r="C65" s="30"/>
      <c r="D65" s="30"/>
      <c r="E65" s="149"/>
    </row>
    <row r="66" spans="1:5" ht="27" thickBot="1" x14ac:dyDescent="0.3">
      <c r="A66" s="29" t="s">
        <v>297</v>
      </c>
      <c r="B66" s="30"/>
      <c r="C66" s="30"/>
      <c r="D66" s="30"/>
      <c r="E66" s="149"/>
    </row>
    <row r="67" spans="1:5" ht="13.8" thickBot="1" x14ac:dyDescent="0.3">
      <c r="A67" s="30" t="s">
        <v>338</v>
      </c>
      <c r="B67" s="30">
        <v>100.5</v>
      </c>
      <c r="C67" s="30">
        <v>502.7</v>
      </c>
      <c r="D67" s="34">
        <v>0.182</v>
      </c>
      <c r="E67" s="150">
        <f>(B67*$C$73)+0.175</f>
        <v>98.0602713738527</v>
      </c>
    </row>
    <row r="68" spans="1:5" ht="13.8" thickBot="1" x14ac:dyDescent="0.3">
      <c r="A68" s="144" t="s">
        <v>339</v>
      </c>
      <c r="B68" s="144">
        <v>100.9</v>
      </c>
      <c r="C68" s="144">
        <v>504.9</v>
      </c>
      <c r="D68" s="145">
        <v>0.182</v>
      </c>
      <c r="E68" s="148">
        <f>E67</f>
        <v>98.0602713738527</v>
      </c>
    </row>
    <row r="69" spans="1:5" ht="13.8" thickBot="1" x14ac:dyDescent="0.3">
      <c r="A69" s="30" t="s">
        <v>298</v>
      </c>
      <c r="B69" s="30">
        <v>53.2</v>
      </c>
      <c r="C69" s="30">
        <v>266.2</v>
      </c>
      <c r="D69" s="34">
        <v>9.6000000000000002E-2</v>
      </c>
      <c r="E69" s="150">
        <f t="shared" ref="E69" si="1">B69*$C$73</f>
        <v>51.815884946158846</v>
      </c>
    </row>
    <row r="70" spans="1:5" ht="13.8" thickBot="1" x14ac:dyDescent="0.3">
      <c r="A70" s="144" t="s">
        <v>340</v>
      </c>
      <c r="B70" s="144">
        <v>553.5</v>
      </c>
      <c r="C70" s="146">
        <v>2767.4</v>
      </c>
      <c r="D70" s="147">
        <v>1</v>
      </c>
      <c r="E70" s="159">
        <f>E64+E68+E69</f>
        <v>539.07968309604678</v>
      </c>
    </row>
    <row r="72" spans="1:5" x14ac:dyDescent="0.25">
      <c r="A72" s="175" t="s">
        <v>408</v>
      </c>
      <c r="B72" s="174">
        <f>AVERAGE(B44:F44)</f>
        <v>553.48</v>
      </c>
    </row>
    <row r="73" spans="1:5" x14ac:dyDescent="0.25">
      <c r="A73" s="175" t="s">
        <v>409</v>
      </c>
      <c r="B73" s="174">
        <f>AVERAGE(B46:F46)</f>
        <v>539.07999999999993</v>
      </c>
      <c r="C73" s="176">
        <f>B73/B72</f>
        <v>0.97398279973982782</v>
      </c>
    </row>
    <row r="75" spans="1:5" ht="14.4" x14ac:dyDescent="0.3">
      <c r="A75" s="157" t="s">
        <v>402</v>
      </c>
      <c r="B75" s="158">
        <f>G29/$G$46</f>
        <v>0.71926244713215104</v>
      </c>
      <c r="C75" s="160">
        <f>E70*B75</f>
        <v>387.73977206288708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3600-7140-40E6-ABA9-5291683B8009}">
  <dimension ref="B1:Y52"/>
  <sheetViews>
    <sheetView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D24" sqref="D24"/>
    </sheetView>
  </sheetViews>
  <sheetFormatPr defaultColWidth="9.109375" defaultRowHeight="14.4" x14ac:dyDescent="0.3"/>
  <cols>
    <col min="1" max="1" width="2.6640625" customWidth="1"/>
    <col min="2" max="2" width="63.88671875" customWidth="1"/>
    <col min="3" max="3" width="18.6640625" bestFit="1" customWidth="1"/>
    <col min="4" max="4" width="16.44140625" customWidth="1"/>
    <col min="5" max="11" width="14.109375" customWidth="1"/>
    <col min="12" max="19" width="14.44140625" customWidth="1"/>
    <col min="20" max="22" width="14.33203125" customWidth="1"/>
    <col min="23" max="23" width="20.33203125" customWidth="1"/>
    <col min="25" max="25" width="16.5546875" bestFit="1" customWidth="1"/>
  </cols>
  <sheetData>
    <row r="1" spans="2:23" x14ac:dyDescent="0.3">
      <c r="C1" s="2">
        <v>2005</v>
      </c>
      <c r="D1" s="2">
        <v>2006</v>
      </c>
      <c r="E1" s="2">
        <v>2007</v>
      </c>
      <c r="F1" s="2">
        <v>2008</v>
      </c>
      <c r="G1" s="2">
        <v>2009</v>
      </c>
      <c r="H1" s="2">
        <v>2010</v>
      </c>
      <c r="I1" s="2">
        <v>2011</v>
      </c>
      <c r="J1" s="2">
        <v>2012</v>
      </c>
      <c r="K1" s="2">
        <v>2013</v>
      </c>
      <c r="L1" s="2">
        <v>2014</v>
      </c>
      <c r="M1" s="2">
        <v>2015</v>
      </c>
      <c r="N1" s="2">
        <v>2016</v>
      </c>
      <c r="O1" s="2">
        <v>2017</v>
      </c>
      <c r="P1" s="2">
        <v>2018</v>
      </c>
      <c r="Q1" s="2">
        <v>2019</v>
      </c>
      <c r="R1" s="2">
        <v>2020</v>
      </c>
      <c r="S1" s="2">
        <v>2021</v>
      </c>
      <c r="T1" s="2">
        <v>2022</v>
      </c>
      <c r="U1" s="2">
        <v>2023</v>
      </c>
      <c r="V1" s="2">
        <v>2024</v>
      </c>
      <c r="W1" s="2">
        <v>2025</v>
      </c>
    </row>
    <row r="2" spans="2:23" s="41" customFormat="1" x14ac:dyDescent="0.3">
      <c r="B2" s="41" t="s">
        <v>357</v>
      </c>
      <c r="D2" s="41">
        <f>'Receita Máxima'!B$33</f>
        <v>1170861606.7908237</v>
      </c>
      <c r="E2" s="41">
        <f>'Receita Máxima'!C$33</f>
        <v>1260651591.3092952</v>
      </c>
      <c r="F2" s="41">
        <f>'Receita Máxima'!D$33</f>
        <v>1604687072.4031281</v>
      </c>
      <c r="G2" s="41">
        <f>'Receita Máxima'!E$33</f>
        <v>1931763483.2743187</v>
      </c>
      <c r="H2" s="41">
        <f>'Receita Máxima'!F$33</f>
        <v>2005531351.3887157</v>
      </c>
      <c r="I2" s="41">
        <f>'Receita Máxima'!G$33</f>
        <v>2005531351.3887162</v>
      </c>
      <c r="J2" s="41">
        <f>'Receita Máxima'!H$33</f>
        <v>2005531351.3887169</v>
      </c>
      <c r="K2" s="41">
        <f>'Receita Máxima'!I$33</f>
        <v>2005531351.3887169</v>
      </c>
      <c r="L2" s="41">
        <f>'Receita Máxima'!J$33</f>
        <v>2005531351.3887167</v>
      </c>
      <c r="M2" s="41">
        <f>'Receita Máxima'!K$33</f>
        <v>2005531351.388716</v>
      </c>
      <c r="N2" s="41">
        <f>'Receita Máxima'!L$33</f>
        <v>2125116130.8075159</v>
      </c>
      <c r="O2" s="41">
        <f>'Receita Máxima'!M$33</f>
        <v>2125116130.8075163</v>
      </c>
      <c r="P2" s="41">
        <f>'Receita Máxima'!N$33</f>
        <v>2125116130.8075161</v>
      </c>
      <c r="Q2" s="41">
        <f>'Receita Máxima'!O$33</f>
        <v>2125116130.8075163</v>
      </c>
      <c r="R2" s="41">
        <f>'Receita Máxima'!P$33</f>
        <v>2125116130.8075161</v>
      </c>
      <c r="S2" s="41">
        <f>'Receita Máxima'!Q$33</f>
        <v>2125116130.8075161</v>
      </c>
      <c r="T2" s="41">
        <f>'Receita Máxima'!R$33</f>
        <v>2159114460.1986637</v>
      </c>
      <c r="U2" s="41">
        <f>'Receita Máxima'!S$33</f>
        <v>2159115995.306078</v>
      </c>
      <c r="V2" s="41">
        <f>'Receita Máxima'!T$33</f>
        <v>2068550075.0645785</v>
      </c>
      <c r="W2" s="41">
        <f>'Receita Máxima'!U$33</f>
        <v>2057301062.7291756</v>
      </c>
    </row>
    <row r="3" spans="2:23" s="41" customFormat="1" x14ac:dyDescent="0.3">
      <c r="B3" s="87" t="s">
        <v>341</v>
      </c>
      <c r="C3" s="87"/>
      <c r="D3" s="87">
        <f>SUM(D4:D16)</f>
        <v>387739772.06288707</v>
      </c>
      <c r="E3" s="87">
        <f t="shared" ref="E3:W3" si="0">SUM(E4:E16)</f>
        <v>387739772.06288707</v>
      </c>
      <c r="F3" s="87">
        <f t="shared" si="0"/>
        <v>387739772.06288707</v>
      </c>
      <c r="G3" s="87">
        <f t="shared" si="0"/>
        <v>387739772.06288707</v>
      </c>
      <c r="H3" s="87">
        <f t="shared" si="0"/>
        <v>387739772.06288707</v>
      </c>
      <c r="I3" s="87">
        <f t="shared" si="0"/>
        <v>387739772.06288707</v>
      </c>
      <c r="J3" s="87">
        <f t="shared" si="0"/>
        <v>387739772.06288707</v>
      </c>
      <c r="K3" s="87">
        <f t="shared" si="0"/>
        <v>387739772.06288707</v>
      </c>
      <c r="L3" s="87">
        <f t="shared" si="0"/>
        <v>387739772.06288707</v>
      </c>
      <c r="M3" s="87">
        <f t="shared" si="0"/>
        <v>387739772.06288707</v>
      </c>
      <c r="N3" s="87">
        <f t="shared" si="0"/>
        <v>387739772.06288707</v>
      </c>
      <c r="O3" s="87">
        <f t="shared" si="0"/>
        <v>387739772.06288707</v>
      </c>
      <c r="P3" s="87">
        <f t="shared" si="0"/>
        <v>387739772.06288707</v>
      </c>
      <c r="Q3" s="87">
        <f t="shared" si="0"/>
        <v>387739772.06288707</v>
      </c>
      <c r="R3" s="87">
        <f t="shared" si="0"/>
        <v>387739772.06288707</v>
      </c>
      <c r="S3" s="87">
        <f t="shared" si="0"/>
        <v>387739772.06288707</v>
      </c>
      <c r="T3" s="87">
        <f t="shared" si="0"/>
        <v>387739772.06288707</v>
      </c>
      <c r="U3" s="87">
        <f t="shared" si="0"/>
        <v>387739772.06288707</v>
      </c>
      <c r="V3" s="87">
        <f t="shared" si="0"/>
        <v>387739772.06288707</v>
      </c>
      <c r="W3" s="87">
        <f t="shared" si="0"/>
        <v>387739772.06288707</v>
      </c>
    </row>
    <row r="4" spans="2:23" x14ac:dyDescent="0.3">
      <c r="B4" s="56" t="s">
        <v>345</v>
      </c>
      <c r="C4" s="57"/>
      <c r="D4" s="57">
        <f>(OPEX!$E$52*10^6)*OPEX!$B$75</f>
        <v>67603002.818530008</v>
      </c>
      <c r="E4" s="57">
        <f>(OPEX!$E$52*10^6)*OPEX!$B$75</f>
        <v>67603002.818530008</v>
      </c>
      <c r="F4" s="57">
        <f>(OPEX!$E$52*10^6)*OPEX!$B$75</f>
        <v>67603002.818530008</v>
      </c>
      <c r="G4" s="57">
        <f>(OPEX!$E$52*10^6)*OPEX!$B$75</f>
        <v>67603002.818530008</v>
      </c>
      <c r="H4" s="57">
        <f>(OPEX!$E$52*10^6)*OPEX!$B$75</f>
        <v>67603002.818530008</v>
      </c>
      <c r="I4" s="57">
        <f>(OPEX!$E$52*10^6)*OPEX!$B$75</f>
        <v>67603002.818530008</v>
      </c>
      <c r="J4" s="57">
        <f>(OPEX!$E$52*10^6)*OPEX!$B$75</f>
        <v>67603002.818530008</v>
      </c>
      <c r="K4" s="57">
        <f>(OPEX!$E$52*10^6)*OPEX!$B$75</f>
        <v>67603002.818530008</v>
      </c>
      <c r="L4" s="57">
        <f>(OPEX!$E$52*10^6)*OPEX!$B$75</f>
        <v>67603002.818530008</v>
      </c>
      <c r="M4" s="57">
        <f>(OPEX!$E$52*10^6)*OPEX!$B$75</f>
        <v>67603002.818530008</v>
      </c>
      <c r="N4" s="57">
        <f>(OPEX!$E$52*10^6)*OPEX!$B$75</f>
        <v>67603002.818530008</v>
      </c>
      <c r="O4" s="57">
        <f>(OPEX!$E$52*10^6)*OPEX!$B$75</f>
        <v>67603002.818530008</v>
      </c>
      <c r="P4" s="57">
        <f>(OPEX!$E$52*10^6)*OPEX!$B$75</f>
        <v>67603002.818530008</v>
      </c>
      <c r="Q4" s="57">
        <f>(OPEX!$E$52*10^6)*OPEX!$B$75</f>
        <v>67603002.818530008</v>
      </c>
      <c r="R4" s="57">
        <f>(OPEX!$E$52*10^6)*OPEX!$B$75</f>
        <v>67603002.818530008</v>
      </c>
      <c r="S4" s="57">
        <f>(OPEX!$E$52*10^6)*OPEX!$B$75</f>
        <v>67603002.818530008</v>
      </c>
      <c r="T4" s="57">
        <f>(OPEX!$E$52*10^6)*OPEX!$B$75</f>
        <v>67603002.818530008</v>
      </c>
      <c r="U4" s="57">
        <f>(OPEX!$E$52*10^6)*OPEX!$B$75</f>
        <v>67603002.818530008</v>
      </c>
      <c r="V4" s="57">
        <f>(OPEX!$E$52*10^6)*OPEX!$B$75</f>
        <v>67603002.818530008</v>
      </c>
      <c r="W4" s="57">
        <f>(OPEX!$E$52*10^6)*OPEX!$B$75</f>
        <v>67603002.818530008</v>
      </c>
    </row>
    <row r="5" spans="2:23" x14ac:dyDescent="0.3">
      <c r="B5" s="56" t="s">
        <v>346</v>
      </c>
      <c r="C5" s="57"/>
      <c r="D5" s="57">
        <f>(OPEX!$E$53*10^6)*OPEX!$B$75</f>
        <v>19054939.654549394</v>
      </c>
      <c r="E5" s="57">
        <f>(OPEX!$E$53*10^6)*OPEX!$B$75</f>
        <v>19054939.654549394</v>
      </c>
      <c r="F5" s="57">
        <f>(OPEX!$E$53*10^6)*OPEX!$B$75</f>
        <v>19054939.654549394</v>
      </c>
      <c r="G5" s="57">
        <f>(OPEX!$E$53*10^6)*OPEX!$B$75</f>
        <v>19054939.654549394</v>
      </c>
      <c r="H5" s="57">
        <f>(OPEX!$E$53*10^6)*OPEX!$B$75</f>
        <v>19054939.654549394</v>
      </c>
      <c r="I5" s="57">
        <f>(OPEX!$E$53*10^6)*OPEX!$B$75</f>
        <v>19054939.654549394</v>
      </c>
      <c r="J5" s="57">
        <f>(OPEX!$E$53*10^6)*OPEX!$B$75</f>
        <v>19054939.654549394</v>
      </c>
      <c r="K5" s="57">
        <f>(OPEX!$E$53*10^6)*OPEX!$B$75</f>
        <v>19054939.654549394</v>
      </c>
      <c r="L5" s="57">
        <f>(OPEX!$E$53*10^6)*OPEX!$B$75</f>
        <v>19054939.654549394</v>
      </c>
      <c r="M5" s="57">
        <f>(OPEX!$E$53*10^6)*OPEX!$B$75</f>
        <v>19054939.654549394</v>
      </c>
      <c r="N5" s="57">
        <f>(OPEX!$E$53*10^6)*OPEX!$B$75</f>
        <v>19054939.654549394</v>
      </c>
      <c r="O5" s="57">
        <f>(OPEX!$E$53*10^6)*OPEX!$B$75</f>
        <v>19054939.654549394</v>
      </c>
      <c r="P5" s="57">
        <f>(OPEX!$E$53*10^6)*OPEX!$B$75</f>
        <v>19054939.654549394</v>
      </c>
      <c r="Q5" s="57">
        <f>(OPEX!$E$53*10^6)*OPEX!$B$75</f>
        <v>19054939.654549394</v>
      </c>
      <c r="R5" s="57">
        <f>(OPEX!$E$53*10^6)*OPEX!$B$75</f>
        <v>19054939.654549394</v>
      </c>
      <c r="S5" s="57">
        <f>(OPEX!$E$53*10^6)*OPEX!$B$75</f>
        <v>19054939.654549394</v>
      </c>
      <c r="T5" s="57">
        <f>(OPEX!$E$53*10^6)*OPEX!$B$75</f>
        <v>19054939.654549394</v>
      </c>
      <c r="U5" s="57">
        <f>(OPEX!$E$53*10^6)*OPEX!$B$75</f>
        <v>19054939.654549394</v>
      </c>
      <c r="V5" s="57">
        <f>(OPEX!$E$53*10^6)*OPEX!$B$75</f>
        <v>19054939.654549394</v>
      </c>
      <c r="W5" s="57">
        <f>(OPEX!$E$53*10^6)*OPEX!$B$75</f>
        <v>19054939.654549394</v>
      </c>
    </row>
    <row r="6" spans="2:23" x14ac:dyDescent="0.3">
      <c r="B6" s="56" t="s">
        <v>347</v>
      </c>
      <c r="C6" s="57"/>
      <c r="D6" s="57">
        <f>(OPEX!$E$55*10^6)*OPEX!$B$75</f>
        <v>700549.25200549234</v>
      </c>
      <c r="E6" s="57">
        <f>(OPEX!$E$55*10^6)*OPEX!$B$75</f>
        <v>700549.25200549234</v>
      </c>
      <c r="F6" s="57">
        <f>(OPEX!$E$55*10^6)*OPEX!$B$75</f>
        <v>700549.25200549234</v>
      </c>
      <c r="G6" s="57">
        <f>(OPEX!$E$55*10^6)*OPEX!$B$75</f>
        <v>700549.25200549234</v>
      </c>
      <c r="H6" s="57">
        <f>(OPEX!$E$55*10^6)*OPEX!$B$75</f>
        <v>700549.25200549234</v>
      </c>
      <c r="I6" s="57">
        <f>(OPEX!$E$55*10^6)*OPEX!$B$75</f>
        <v>700549.25200549234</v>
      </c>
      <c r="J6" s="57">
        <f>(OPEX!$E$55*10^6)*OPEX!$B$75</f>
        <v>700549.25200549234</v>
      </c>
      <c r="K6" s="57">
        <f>(OPEX!$E$55*10^6)*OPEX!$B$75</f>
        <v>700549.25200549234</v>
      </c>
      <c r="L6" s="57">
        <f>(OPEX!$E$55*10^6)*OPEX!$B$75</f>
        <v>700549.25200549234</v>
      </c>
      <c r="M6" s="57">
        <f>(OPEX!$E$55*10^6)*OPEX!$B$75</f>
        <v>700549.25200549234</v>
      </c>
      <c r="N6" s="57">
        <f>(OPEX!$E$55*10^6)*OPEX!$B$75</f>
        <v>700549.25200549234</v>
      </c>
      <c r="O6" s="57">
        <f>(OPEX!$E$55*10^6)*OPEX!$B$75</f>
        <v>700549.25200549234</v>
      </c>
      <c r="P6" s="57">
        <f>(OPEX!$E$55*10^6)*OPEX!$B$75</f>
        <v>700549.25200549234</v>
      </c>
      <c r="Q6" s="57">
        <f>(OPEX!$E$55*10^6)*OPEX!$B$75</f>
        <v>700549.25200549234</v>
      </c>
      <c r="R6" s="57">
        <f>(OPEX!$E$55*10^6)*OPEX!$B$75</f>
        <v>700549.25200549234</v>
      </c>
      <c r="S6" s="57">
        <f>(OPEX!$E$55*10^6)*OPEX!$B$75</f>
        <v>700549.25200549234</v>
      </c>
      <c r="T6" s="57">
        <f>(OPEX!$E$55*10^6)*OPEX!$B$75</f>
        <v>700549.25200549234</v>
      </c>
      <c r="U6" s="57">
        <f>(OPEX!$E$55*10^6)*OPEX!$B$75</f>
        <v>700549.25200549234</v>
      </c>
      <c r="V6" s="57">
        <f>(OPEX!$E$55*10^6)*OPEX!$B$75</f>
        <v>700549.25200549234</v>
      </c>
      <c r="W6" s="57">
        <f>(OPEX!$E$55*10^6)*OPEX!$B$75</f>
        <v>700549.25200549234</v>
      </c>
    </row>
    <row r="7" spans="2:23" x14ac:dyDescent="0.3">
      <c r="B7" s="56" t="s">
        <v>348</v>
      </c>
      <c r="C7" s="57"/>
      <c r="D7" s="57">
        <f>(OPEX!$E$54*10^6)*OPEX!$B$75</f>
        <v>40071417.214714162</v>
      </c>
      <c r="E7" s="57">
        <f>(OPEX!$E$54*10^6)*OPEX!$B$75</f>
        <v>40071417.214714162</v>
      </c>
      <c r="F7" s="57">
        <f>(OPEX!$E$54*10^6)*OPEX!$B$75</f>
        <v>40071417.214714162</v>
      </c>
      <c r="G7" s="57">
        <f>(OPEX!$E$54*10^6)*OPEX!$B$75</f>
        <v>40071417.214714162</v>
      </c>
      <c r="H7" s="57">
        <f>(OPEX!$E$54*10^6)*OPEX!$B$75</f>
        <v>40071417.214714162</v>
      </c>
      <c r="I7" s="57">
        <f>(OPEX!$E$54*10^6)*OPEX!$B$75</f>
        <v>40071417.214714162</v>
      </c>
      <c r="J7" s="57">
        <f>(OPEX!$E$54*10^6)*OPEX!$B$75</f>
        <v>40071417.214714162</v>
      </c>
      <c r="K7" s="57">
        <f>(OPEX!$E$54*10^6)*OPEX!$B$75</f>
        <v>40071417.214714162</v>
      </c>
      <c r="L7" s="57">
        <f>(OPEX!$E$54*10^6)*OPEX!$B$75</f>
        <v>40071417.214714162</v>
      </c>
      <c r="M7" s="57">
        <f>(OPEX!$E$54*10^6)*OPEX!$B$75</f>
        <v>40071417.214714162</v>
      </c>
      <c r="N7" s="57">
        <f>(OPEX!$E$54*10^6)*OPEX!$B$75</f>
        <v>40071417.214714162</v>
      </c>
      <c r="O7" s="57">
        <f>(OPEX!$E$54*10^6)*OPEX!$B$75</f>
        <v>40071417.214714162</v>
      </c>
      <c r="P7" s="57">
        <f>(OPEX!$E$54*10^6)*OPEX!$B$75</f>
        <v>40071417.214714162</v>
      </c>
      <c r="Q7" s="57">
        <f>(OPEX!$E$54*10^6)*OPEX!$B$75</f>
        <v>40071417.214714162</v>
      </c>
      <c r="R7" s="57">
        <f>(OPEX!$E$54*10^6)*OPEX!$B$75</f>
        <v>40071417.214714162</v>
      </c>
      <c r="S7" s="57">
        <f>(OPEX!$E$54*10^6)*OPEX!$B$75</f>
        <v>40071417.214714162</v>
      </c>
      <c r="T7" s="57">
        <f>(OPEX!$E$54*10^6)*OPEX!$B$75</f>
        <v>40071417.214714162</v>
      </c>
      <c r="U7" s="57">
        <f>(OPEX!$E$54*10^6)*OPEX!$B$75</f>
        <v>40071417.214714162</v>
      </c>
      <c r="V7" s="57">
        <f>(OPEX!$E$54*10^6)*OPEX!$B$75</f>
        <v>40071417.214714162</v>
      </c>
      <c r="W7" s="57">
        <f>(OPEX!$E$54*10^6)*OPEX!$B$75</f>
        <v>40071417.214714162</v>
      </c>
    </row>
    <row r="8" spans="2:23" x14ac:dyDescent="0.3">
      <c r="B8" s="56" t="s">
        <v>349</v>
      </c>
      <c r="C8" s="57"/>
      <c r="D8" s="57">
        <f>(OPEX!$E$51*10^6)*OPEX!$B$75</f>
        <v>71035694.153356925</v>
      </c>
      <c r="E8" s="57">
        <f>(OPEX!$E$51*10^6)*OPEX!$B$75</f>
        <v>71035694.153356925</v>
      </c>
      <c r="F8" s="57">
        <f>(OPEX!$E$51*10^6)*OPEX!$B$75</f>
        <v>71035694.153356925</v>
      </c>
      <c r="G8" s="57">
        <f>(OPEX!$E$51*10^6)*OPEX!$B$75</f>
        <v>71035694.153356925</v>
      </c>
      <c r="H8" s="57">
        <f>(OPEX!$E$51*10^6)*OPEX!$B$75</f>
        <v>71035694.153356925</v>
      </c>
      <c r="I8" s="57">
        <f>(OPEX!$E$51*10^6)*OPEX!$B$75</f>
        <v>71035694.153356925</v>
      </c>
      <c r="J8" s="57">
        <f>(OPEX!$E$51*10^6)*OPEX!$B$75</f>
        <v>71035694.153356925</v>
      </c>
      <c r="K8" s="57">
        <f>(OPEX!$E$51*10^6)*OPEX!$B$75</f>
        <v>71035694.153356925</v>
      </c>
      <c r="L8" s="57">
        <f>(OPEX!$E$51*10^6)*OPEX!$B$75</f>
        <v>71035694.153356925</v>
      </c>
      <c r="M8" s="57">
        <f>(OPEX!$E$51*10^6)*OPEX!$B$75</f>
        <v>71035694.153356925</v>
      </c>
      <c r="N8" s="57">
        <f>(OPEX!$E$51*10^6)*OPEX!$B$75</f>
        <v>71035694.153356925</v>
      </c>
      <c r="O8" s="57">
        <f>(OPEX!$E$51*10^6)*OPEX!$B$75</f>
        <v>71035694.153356925</v>
      </c>
      <c r="P8" s="57">
        <f>(OPEX!$E$51*10^6)*OPEX!$B$75</f>
        <v>71035694.153356925</v>
      </c>
      <c r="Q8" s="57">
        <f>(OPEX!$E$51*10^6)*OPEX!$B$75</f>
        <v>71035694.153356925</v>
      </c>
      <c r="R8" s="57">
        <f>(OPEX!$E$51*10^6)*OPEX!$B$75</f>
        <v>71035694.153356925</v>
      </c>
      <c r="S8" s="57">
        <f>(OPEX!$E$51*10^6)*OPEX!$B$75</f>
        <v>71035694.153356925</v>
      </c>
      <c r="T8" s="57">
        <f>(OPEX!$E$51*10^6)*OPEX!$B$75</f>
        <v>71035694.153356925</v>
      </c>
      <c r="U8" s="57">
        <f>(OPEX!$E$51*10^6)*OPEX!$B$75</f>
        <v>71035694.153356925</v>
      </c>
      <c r="V8" s="57">
        <f>(OPEX!$E$51*10^6)*OPEX!$B$75</f>
        <v>71035694.153356925</v>
      </c>
      <c r="W8" s="57">
        <f>(OPEX!$E$51*10^6)*OPEX!$B$75</f>
        <v>71035694.153356925</v>
      </c>
    </row>
    <row r="9" spans="2:23" x14ac:dyDescent="0.3">
      <c r="B9" s="56" t="s">
        <v>350</v>
      </c>
      <c r="C9" s="57"/>
      <c r="D9" s="57">
        <f>(OPEX!$E$56*10^6)*OPEX!$B$75</f>
        <v>840659.10240659083</v>
      </c>
      <c r="E9" s="57">
        <f>(OPEX!$E$56*10^6)*OPEX!$B$75</f>
        <v>840659.10240659083</v>
      </c>
      <c r="F9" s="57">
        <f>(OPEX!$E$56*10^6)*OPEX!$B$75</f>
        <v>840659.10240659083</v>
      </c>
      <c r="G9" s="57">
        <f>(OPEX!$E$56*10^6)*OPEX!$B$75</f>
        <v>840659.10240659083</v>
      </c>
      <c r="H9" s="57">
        <f>(OPEX!$E$56*10^6)*OPEX!$B$75</f>
        <v>840659.10240659083</v>
      </c>
      <c r="I9" s="57">
        <f>(OPEX!$E$56*10^6)*OPEX!$B$75</f>
        <v>840659.10240659083</v>
      </c>
      <c r="J9" s="57">
        <f>(OPEX!$E$56*10^6)*OPEX!$B$75</f>
        <v>840659.10240659083</v>
      </c>
      <c r="K9" s="57">
        <f>(OPEX!$E$56*10^6)*OPEX!$B$75</f>
        <v>840659.10240659083</v>
      </c>
      <c r="L9" s="57">
        <f>(OPEX!$E$56*10^6)*OPEX!$B$75</f>
        <v>840659.10240659083</v>
      </c>
      <c r="M9" s="57">
        <f>(OPEX!$E$56*10^6)*OPEX!$B$75</f>
        <v>840659.10240659083</v>
      </c>
      <c r="N9" s="57">
        <f>(OPEX!$E$56*10^6)*OPEX!$B$75</f>
        <v>840659.10240659083</v>
      </c>
      <c r="O9" s="57">
        <f>(OPEX!$E$56*10^6)*OPEX!$B$75</f>
        <v>840659.10240659083</v>
      </c>
      <c r="P9" s="57">
        <f>(OPEX!$E$56*10^6)*OPEX!$B$75</f>
        <v>840659.10240659083</v>
      </c>
      <c r="Q9" s="57">
        <f>(OPEX!$E$56*10^6)*OPEX!$B$75</f>
        <v>840659.10240659083</v>
      </c>
      <c r="R9" s="57">
        <f>(OPEX!$E$56*10^6)*OPEX!$B$75</f>
        <v>840659.10240659083</v>
      </c>
      <c r="S9" s="57">
        <f>(OPEX!$E$56*10^6)*OPEX!$B$75</f>
        <v>840659.10240659083</v>
      </c>
      <c r="T9" s="57">
        <f>(OPEX!$E$56*10^6)*OPEX!$B$75</f>
        <v>840659.10240659083</v>
      </c>
      <c r="U9" s="57">
        <f>(OPEX!$E$56*10^6)*OPEX!$B$75</f>
        <v>840659.10240659083</v>
      </c>
      <c r="V9" s="57">
        <f>(OPEX!$E$56*10^6)*OPEX!$B$75</f>
        <v>840659.10240659083</v>
      </c>
      <c r="W9" s="57">
        <f>(OPEX!$E$56*10^6)*OPEX!$B$75</f>
        <v>840659.10240659083</v>
      </c>
    </row>
    <row r="10" spans="2:23" x14ac:dyDescent="0.3">
      <c r="B10" s="56" t="s">
        <v>351</v>
      </c>
      <c r="C10" s="57"/>
      <c r="D10" s="57">
        <f>((OPEX!$E$57+OPEX!$B$62)*10^6)*OPEX!$B$75</f>
        <v>840659.10240659083</v>
      </c>
      <c r="E10" s="57">
        <f>((OPEX!$E$57+OPEX!$B$62)*10^6)*OPEX!$B$75</f>
        <v>840659.10240659083</v>
      </c>
      <c r="F10" s="57">
        <f>((OPEX!$E$57+OPEX!$B$62)*10^6)*OPEX!$B$75</f>
        <v>840659.10240659083</v>
      </c>
      <c r="G10" s="57">
        <f>((OPEX!$E$57+OPEX!$B$62)*10^6)*OPEX!$B$75</f>
        <v>840659.10240659083</v>
      </c>
      <c r="H10" s="57">
        <f>((OPEX!$E$57+OPEX!$B$62)*10^6)*OPEX!$B$75</f>
        <v>840659.10240659083</v>
      </c>
      <c r="I10" s="57">
        <f>((OPEX!$E$57+OPEX!$B$62)*10^6)*OPEX!$B$75</f>
        <v>840659.10240659083</v>
      </c>
      <c r="J10" s="57">
        <f>((OPEX!$E$57+OPEX!$B$62)*10^6)*OPEX!$B$75</f>
        <v>840659.10240659083</v>
      </c>
      <c r="K10" s="57">
        <f>((OPEX!$E$57+OPEX!$B$62)*10^6)*OPEX!$B$75</f>
        <v>840659.10240659083</v>
      </c>
      <c r="L10" s="57">
        <f>((OPEX!$E$57+OPEX!$B$62)*10^6)*OPEX!$B$75</f>
        <v>840659.10240659083</v>
      </c>
      <c r="M10" s="57">
        <f>((OPEX!$E$57+OPEX!$B$62)*10^6)*OPEX!$B$75</f>
        <v>840659.10240659083</v>
      </c>
      <c r="N10" s="57">
        <f>((OPEX!$E$57+OPEX!$B$62)*10^6)*OPEX!$B$75</f>
        <v>840659.10240659083</v>
      </c>
      <c r="O10" s="57">
        <f>((OPEX!$E$57+OPEX!$B$62)*10^6)*OPEX!$B$75</f>
        <v>840659.10240659083</v>
      </c>
      <c r="P10" s="57">
        <f>((OPEX!$E$57+OPEX!$B$62)*10^6)*OPEX!$B$75</f>
        <v>840659.10240659083</v>
      </c>
      <c r="Q10" s="57">
        <f>((OPEX!$E$57+OPEX!$B$62)*10^6)*OPEX!$B$75</f>
        <v>840659.10240659083</v>
      </c>
      <c r="R10" s="57">
        <f>((OPEX!$E$57+OPEX!$B$62)*10^6)*OPEX!$B$75</f>
        <v>840659.10240659083</v>
      </c>
      <c r="S10" s="57">
        <f>((OPEX!$E$57+OPEX!$B$62)*10^6)*OPEX!$B$75</f>
        <v>840659.10240659083</v>
      </c>
      <c r="T10" s="57">
        <f>((OPEX!$E$57+OPEX!$B$62)*10^6)*OPEX!$B$75</f>
        <v>840659.10240659083</v>
      </c>
      <c r="U10" s="57">
        <f>((OPEX!$E$57+OPEX!$B$62)*10^6)*OPEX!$B$75</f>
        <v>840659.10240659083</v>
      </c>
      <c r="V10" s="57">
        <f>((OPEX!$E$57+OPEX!$B$62)*10^6)*OPEX!$B$75</f>
        <v>840659.10240659083</v>
      </c>
      <c r="W10" s="57">
        <f>((OPEX!$E$57+OPEX!$B$62)*10^6)*OPEX!$B$75</f>
        <v>840659.10240659083</v>
      </c>
    </row>
    <row r="11" spans="2:23" x14ac:dyDescent="0.3">
      <c r="B11" s="56" t="s">
        <v>352</v>
      </c>
      <c r="C11" s="57"/>
      <c r="D11" s="57">
        <f>(OPEX!$E$58*10^6)*OPEX!$B$75</f>
        <v>1891482.9804148297</v>
      </c>
      <c r="E11" s="57">
        <f>(OPEX!$E$58*10^6)*OPEX!$B$75</f>
        <v>1891482.9804148297</v>
      </c>
      <c r="F11" s="57">
        <f>(OPEX!$E$58*10^6)*OPEX!$B$75</f>
        <v>1891482.9804148297</v>
      </c>
      <c r="G11" s="57">
        <f>(OPEX!$E$58*10^6)*OPEX!$B$75</f>
        <v>1891482.9804148297</v>
      </c>
      <c r="H11" s="57">
        <f>(OPEX!$E$58*10^6)*OPEX!$B$75</f>
        <v>1891482.9804148297</v>
      </c>
      <c r="I11" s="57">
        <f>(OPEX!$E$58*10^6)*OPEX!$B$75</f>
        <v>1891482.9804148297</v>
      </c>
      <c r="J11" s="57">
        <f>(OPEX!$E$58*10^6)*OPEX!$B$75</f>
        <v>1891482.9804148297</v>
      </c>
      <c r="K11" s="57">
        <f>(OPEX!$E$58*10^6)*OPEX!$B$75</f>
        <v>1891482.9804148297</v>
      </c>
      <c r="L11" s="57">
        <f>(OPEX!$E$58*10^6)*OPEX!$B$75</f>
        <v>1891482.9804148297</v>
      </c>
      <c r="M11" s="57">
        <f>(OPEX!$E$58*10^6)*OPEX!$B$75</f>
        <v>1891482.9804148297</v>
      </c>
      <c r="N11" s="57">
        <f>(OPEX!$E$58*10^6)*OPEX!$B$75</f>
        <v>1891482.9804148297</v>
      </c>
      <c r="O11" s="57">
        <f>(OPEX!$E$58*10^6)*OPEX!$B$75</f>
        <v>1891482.9804148297</v>
      </c>
      <c r="P11" s="57">
        <f>(OPEX!$E$58*10^6)*OPEX!$B$75</f>
        <v>1891482.9804148297</v>
      </c>
      <c r="Q11" s="57">
        <f>(OPEX!$E$58*10^6)*OPEX!$B$75</f>
        <v>1891482.9804148297</v>
      </c>
      <c r="R11" s="57">
        <f>(OPEX!$E$58*10^6)*OPEX!$B$75</f>
        <v>1891482.9804148297</v>
      </c>
      <c r="S11" s="57">
        <f>(OPEX!$E$58*10^6)*OPEX!$B$75</f>
        <v>1891482.9804148297</v>
      </c>
      <c r="T11" s="57">
        <f>(OPEX!$E$58*10^6)*OPEX!$B$75</f>
        <v>1891482.9804148297</v>
      </c>
      <c r="U11" s="57">
        <f>(OPEX!$E$58*10^6)*OPEX!$B$75</f>
        <v>1891482.9804148297</v>
      </c>
      <c r="V11" s="57">
        <f>(OPEX!$E$58*10^6)*OPEX!$B$75</f>
        <v>1891482.9804148297</v>
      </c>
      <c r="W11" s="57">
        <f>(OPEX!$E$58*10^6)*OPEX!$B$75</f>
        <v>1891482.9804148297</v>
      </c>
    </row>
    <row r="12" spans="2:23" x14ac:dyDescent="0.3">
      <c r="B12" s="56" t="s">
        <v>353</v>
      </c>
      <c r="C12" s="57"/>
      <c r="D12" s="57">
        <f>(OPEX!$E$60*10^6)*OPEX!$B$75</f>
        <v>22207411.288574111</v>
      </c>
      <c r="E12" s="57">
        <f>(OPEX!$E$60*10^6)*OPEX!$B$75</f>
        <v>22207411.288574111</v>
      </c>
      <c r="F12" s="57">
        <f>(OPEX!$E$60*10^6)*OPEX!$B$75</f>
        <v>22207411.288574111</v>
      </c>
      <c r="G12" s="57">
        <f>(OPEX!$E$60*10^6)*OPEX!$B$75</f>
        <v>22207411.288574111</v>
      </c>
      <c r="H12" s="57">
        <f>(OPEX!$E$60*10^6)*OPEX!$B$75</f>
        <v>22207411.288574111</v>
      </c>
      <c r="I12" s="57">
        <f>(OPEX!$E$60*10^6)*OPEX!$B$75</f>
        <v>22207411.288574111</v>
      </c>
      <c r="J12" s="57">
        <f>(OPEX!$E$60*10^6)*OPEX!$B$75</f>
        <v>22207411.288574111</v>
      </c>
      <c r="K12" s="57">
        <f>(OPEX!$E$60*10^6)*OPEX!$B$75</f>
        <v>22207411.288574111</v>
      </c>
      <c r="L12" s="57">
        <f>(OPEX!$E$60*10^6)*OPEX!$B$75</f>
        <v>22207411.288574111</v>
      </c>
      <c r="M12" s="57">
        <f>(OPEX!$E$60*10^6)*OPEX!$B$75</f>
        <v>22207411.288574111</v>
      </c>
      <c r="N12" s="57">
        <f>(OPEX!$E$60*10^6)*OPEX!$B$75</f>
        <v>22207411.288574111</v>
      </c>
      <c r="O12" s="57">
        <f>(OPEX!$E$60*10^6)*OPEX!$B$75</f>
        <v>22207411.288574111</v>
      </c>
      <c r="P12" s="57">
        <f>(OPEX!$E$60*10^6)*OPEX!$B$75</f>
        <v>22207411.288574111</v>
      </c>
      <c r="Q12" s="57">
        <f>(OPEX!$E$60*10^6)*OPEX!$B$75</f>
        <v>22207411.288574111</v>
      </c>
      <c r="R12" s="57">
        <f>(OPEX!$E$60*10^6)*OPEX!$B$75</f>
        <v>22207411.288574111</v>
      </c>
      <c r="S12" s="57">
        <f>(OPEX!$E$60*10^6)*OPEX!$B$75</f>
        <v>22207411.288574111</v>
      </c>
      <c r="T12" s="57">
        <f>(OPEX!$E$60*10^6)*OPEX!$B$75</f>
        <v>22207411.288574111</v>
      </c>
      <c r="U12" s="57">
        <f>(OPEX!$E$60*10^6)*OPEX!$B$75</f>
        <v>22207411.288574111</v>
      </c>
      <c r="V12" s="57">
        <f>(OPEX!$E$60*10^6)*OPEX!$B$75</f>
        <v>22207411.288574111</v>
      </c>
      <c r="W12" s="57">
        <f>(OPEX!$E$60*10^6)*OPEX!$B$75</f>
        <v>22207411.288574111</v>
      </c>
    </row>
    <row r="13" spans="2:23" x14ac:dyDescent="0.3">
      <c r="B13" s="56" t="s">
        <v>354</v>
      </c>
      <c r="C13" s="57"/>
      <c r="D13" s="57">
        <f>(OPEX!$E$59*10^6)*OPEX!$B$75</f>
        <v>140109.85040109849</v>
      </c>
      <c r="E13" s="57">
        <f>(OPEX!$E$59*10^6)*OPEX!$B$75</f>
        <v>140109.85040109849</v>
      </c>
      <c r="F13" s="57">
        <f>(OPEX!$E$59*10^6)*OPEX!$B$75</f>
        <v>140109.85040109849</v>
      </c>
      <c r="G13" s="57">
        <f>(OPEX!$E$59*10^6)*OPEX!$B$75</f>
        <v>140109.85040109849</v>
      </c>
      <c r="H13" s="57">
        <f>(OPEX!$E$59*10^6)*OPEX!$B$75</f>
        <v>140109.85040109849</v>
      </c>
      <c r="I13" s="57">
        <f>(OPEX!$E$59*10^6)*OPEX!$B$75</f>
        <v>140109.85040109849</v>
      </c>
      <c r="J13" s="57">
        <f>(OPEX!$E$59*10^6)*OPEX!$B$75</f>
        <v>140109.85040109849</v>
      </c>
      <c r="K13" s="57">
        <f>(OPEX!$E$59*10^6)*OPEX!$B$75</f>
        <v>140109.85040109849</v>
      </c>
      <c r="L13" s="57">
        <f>(OPEX!$E$59*10^6)*OPEX!$B$75</f>
        <v>140109.85040109849</v>
      </c>
      <c r="M13" s="57">
        <f>(OPEX!$E$59*10^6)*OPEX!$B$75</f>
        <v>140109.85040109849</v>
      </c>
      <c r="N13" s="57">
        <f>(OPEX!$E$59*10^6)*OPEX!$B$75</f>
        <v>140109.85040109849</v>
      </c>
      <c r="O13" s="57">
        <f>(OPEX!$E$59*10^6)*OPEX!$B$75</f>
        <v>140109.85040109849</v>
      </c>
      <c r="P13" s="57">
        <f>(OPEX!$E$59*10^6)*OPEX!$B$75</f>
        <v>140109.85040109849</v>
      </c>
      <c r="Q13" s="57">
        <f>(OPEX!$E$59*10^6)*OPEX!$B$75</f>
        <v>140109.85040109849</v>
      </c>
      <c r="R13" s="57">
        <f>(OPEX!$E$59*10^6)*OPEX!$B$75</f>
        <v>140109.85040109849</v>
      </c>
      <c r="S13" s="57">
        <f>(OPEX!$E$59*10^6)*OPEX!$B$75</f>
        <v>140109.85040109849</v>
      </c>
      <c r="T13" s="57">
        <f>(OPEX!$E$59*10^6)*OPEX!$B$75</f>
        <v>140109.85040109849</v>
      </c>
      <c r="U13" s="57">
        <f>(OPEX!$E$59*10^6)*OPEX!$B$75</f>
        <v>140109.85040109849</v>
      </c>
      <c r="V13" s="57">
        <f>(OPEX!$E$59*10^6)*OPEX!$B$75</f>
        <v>140109.85040109849</v>
      </c>
      <c r="W13" s="57">
        <f>(OPEX!$E$59*10^6)*OPEX!$B$75</f>
        <v>140109.85040109849</v>
      </c>
    </row>
    <row r="14" spans="2:23" x14ac:dyDescent="0.3">
      <c r="B14" s="56" t="s">
        <v>355</v>
      </c>
      <c r="C14" s="57"/>
      <c r="D14" s="57">
        <f>(OPEX!$E$61*10^6)*OPEX!$B$75</f>
        <v>55553555.68403554</v>
      </c>
      <c r="E14" s="57">
        <f>(OPEX!$E$61*10^6)*OPEX!$B$75</f>
        <v>55553555.68403554</v>
      </c>
      <c r="F14" s="57">
        <f>(OPEX!$E$61*10^6)*OPEX!$B$75</f>
        <v>55553555.68403554</v>
      </c>
      <c r="G14" s="57">
        <f>(OPEX!$E$61*10^6)*OPEX!$B$75</f>
        <v>55553555.68403554</v>
      </c>
      <c r="H14" s="57">
        <f>(OPEX!$E$61*10^6)*OPEX!$B$75</f>
        <v>55553555.68403554</v>
      </c>
      <c r="I14" s="57">
        <f>(OPEX!$E$61*10^6)*OPEX!$B$75</f>
        <v>55553555.68403554</v>
      </c>
      <c r="J14" s="57">
        <f>(OPEX!$E$61*10^6)*OPEX!$B$75</f>
        <v>55553555.68403554</v>
      </c>
      <c r="K14" s="57">
        <f>(OPEX!$E$61*10^6)*OPEX!$B$75</f>
        <v>55553555.68403554</v>
      </c>
      <c r="L14" s="57">
        <f>(OPEX!$E$61*10^6)*OPEX!$B$75</f>
        <v>55553555.68403554</v>
      </c>
      <c r="M14" s="57">
        <f>(OPEX!$E$61*10^6)*OPEX!$B$75</f>
        <v>55553555.68403554</v>
      </c>
      <c r="N14" s="57">
        <f>(OPEX!$E$61*10^6)*OPEX!$B$75</f>
        <v>55553555.68403554</v>
      </c>
      <c r="O14" s="57">
        <f>(OPEX!$E$61*10^6)*OPEX!$B$75</f>
        <v>55553555.68403554</v>
      </c>
      <c r="P14" s="57">
        <f>(OPEX!$E$61*10^6)*OPEX!$B$75</f>
        <v>55553555.68403554</v>
      </c>
      <c r="Q14" s="57">
        <f>(OPEX!$E$61*10^6)*OPEX!$B$75</f>
        <v>55553555.68403554</v>
      </c>
      <c r="R14" s="57">
        <f>(OPEX!$E$61*10^6)*OPEX!$B$75</f>
        <v>55553555.68403554</v>
      </c>
      <c r="S14" s="57">
        <f>(OPEX!$E$61*10^6)*OPEX!$B$75</f>
        <v>55553555.68403554</v>
      </c>
      <c r="T14" s="57">
        <f>(OPEX!$E$61*10^6)*OPEX!$B$75</f>
        <v>55553555.68403554</v>
      </c>
      <c r="U14" s="57">
        <f>(OPEX!$E$61*10^6)*OPEX!$B$75</f>
        <v>55553555.68403554</v>
      </c>
      <c r="V14" s="57">
        <f>(OPEX!$E$61*10^6)*OPEX!$B$75</f>
        <v>55553555.68403554</v>
      </c>
      <c r="W14" s="57">
        <f>(OPEX!$E$61*10^6)*OPEX!$B$75</f>
        <v>55553555.68403554</v>
      </c>
    </row>
    <row r="15" spans="2:23" x14ac:dyDescent="0.3">
      <c r="B15" s="56" t="s">
        <v>356</v>
      </c>
      <c r="C15" s="57"/>
      <c r="D15" s="57">
        <f>(OPEX!$E$67*10^6)*OPEX!$B$75</f>
        <v>70531070.754800111</v>
      </c>
      <c r="E15" s="57">
        <f>(OPEX!$E$67*10^6)*OPEX!$B$75</f>
        <v>70531070.754800111</v>
      </c>
      <c r="F15" s="57">
        <f>(OPEX!$E$67*10^6)*OPEX!$B$75</f>
        <v>70531070.754800111</v>
      </c>
      <c r="G15" s="57">
        <f>(OPEX!$E$67*10^6)*OPEX!$B$75</f>
        <v>70531070.754800111</v>
      </c>
      <c r="H15" s="57">
        <f>(OPEX!$E$67*10^6)*OPEX!$B$75</f>
        <v>70531070.754800111</v>
      </c>
      <c r="I15" s="57">
        <f>(OPEX!$E$67*10^6)*OPEX!$B$75</f>
        <v>70531070.754800111</v>
      </c>
      <c r="J15" s="57">
        <f>(OPEX!$E$67*10^6)*OPEX!$B$75</f>
        <v>70531070.754800111</v>
      </c>
      <c r="K15" s="57">
        <f>(OPEX!$E$67*10^6)*OPEX!$B$75</f>
        <v>70531070.754800111</v>
      </c>
      <c r="L15" s="57">
        <f>(OPEX!$E$67*10^6)*OPEX!$B$75</f>
        <v>70531070.754800111</v>
      </c>
      <c r="M15" s="57">
        <f>(OPEX!$E$67*10^6)*OPEX!$B$75</f>
        <v>70531070.754800111</v>
      </c>
      <c r="N15" s="57">
        <f>(OPEX!$E$67*10^6)*OPEX!$B$75</f>
        <v>70531070.754800111</v>
      </c>
      <c r="O15" s="57">
        <f>(OPEX!$E$67*10^6)*OPEX!$B$75</f>
        <v>70531070.754800111</v>
      </c>
      <c r="P15" s="57">
        <f>(OPEX!$E$67*10^6)*OPEX!$B$75</f>
        <v>70531070.754800111</v>
      </c>
      <c r="Q15" s="57">
        <f>(OPEX!$E$67*10^6)*OPEX!$B$75</f>
        <v>70531070.754800111</v>
      </c>
      <c r="R15" s="57">
        <f>(OPEX!$E$67*10^6)*OPEX!$B$75</f>
        <v>70531070.754800111</v>
      </c>
      <c r="S15" s="57">
        <f>(OPEX!$E$67*10^6)*OPEX!$B$75</f>
        <v>70531070.754800111</v>
      </c>
      <c r="T15" s="57">
        <f>(OPEX!$E$67*10^6)*OPEX!$B$75</f>
        <v>70531070.754800111</v>
      </c>
      <c r="U15" s="57">
        <f>(OPEX!$E$67*10^6)*OPEX!$B$75</f>
        <v>70531070.754800111</v>
      </c>
      <c r="V15" s="57">
        <f>(OPEX!$E$67*10^6)*OPEX!$B$75</f>
        <v>70531070.754800111</v>
      </c>
      <c r="W15" s="57">
        <f>(OPEX!$E$67*10^6)*OPEX!$B$75</f>
        <v>70531070.754800111</v>
      </c>
    </row>
    <row r="16" spans="2:23" x14ac:dyDescent="0.3">
      <c r="B16" s="56" t="s">
        <v>358</v>
      </c>
      <c r="C16" s="57"/>
      <c r="D16" s="57">
        <f>(OPEX!$E$69*10^6)*OPEX!$B$75</f>
        <v>37269220.206692196</v>
      </c>
      <c r="E16" s="57">
        <f>(OPEX!$E$69*10^6)*OPEX!$B$75</f>
        <v>37269220.206692196</v>
      </c>
      <c r="F16" s="57">
        <f>(OPEX!$E$69*10^6)*OPEX!$B$75</f>
        <v>37269220.206692196</v>
      </c>
      <c r="G16" s="57">
        <f>(OPEX!$E$69*10^6)*OPEX!$B$75</f>
        <v>37269220.206692196</v>
      </c>
      <c r="H16" s="57">
        <f>(OPEX!$E$69*10^6)*OPEX!$B$75</f>
        <v>37269220.206692196</v>
      </c>
      <c r="I16" s="57">
        <f>(OPEX!$E$69*10^6)*OPEX!$B$75</f>
        <v>37269220.206692196</v>
      </c>
      <c r="J16" s="57">
        <f>(OPEX!$E$69*10^6)*OPEX!$B$75</f>
        <v>37269220.206692196</v>
      </c>
      <c r="K16" s="57">
        <f>(OPEX!$E$69*10^6)*OPEX!$B$75</f>
        <v>37269220.206692196</v>
      </c>
      <c r="L16" s="57">
        <f>(OPEX!$E$69*10^6)*OPEX!$B$75</f>
        <v>37269220.206692196</v>
      </c>
      <c r="M16" s="57">
        <f>(OPEX!$E$69*10^6)*OPEX!$B$75</f>
        <v>37269220.206692196</v>
      </c>
      <c r="N16" s="57">
        <f>(OPEX!$E$69*10^6)*OPEX!$B$75</f>
        <v>37269220.206692196</v>
      </c>
      <c r="O16" s="57">
        <f>(OPEX!$E$69*10^6)*OPEX!$B$75</f>
        <v>37269220.206692196</v>
      </c>
      <c r="P16" s="57">
        <f>(OPEX!$E$69*10^6)*OPEX!$B$75</f>
        <v>37269220.206692196</v>
      </c>
      <c r="Q16" s="57">
        <f>(OPEX!$E$69*10^6)*OPEX!$B$75</f>
        <v>37269220.206692196</v>
      </c>
      <c r="R16" s="57">
        <f>(OPEX!$E$69*10^6)*OPEX!$B$75</f>
        <v>37269220.206692196</v>
      </c>
      <c r="S16" s="57">
        <f>(OPEX!$E$69*10^6)*OPEX!$B$75</f>
        <v>37269220.206692196</v>
      </c>
      <c r="T16" s="57">
        <f>(OPEX!$E$69*10^6)*OPEX!$B$75</f>
        <v>37269220.206692196</v>
      </c>
      <c r="U16" s="57">
        <f>(OPEX!$E$69*10^6)*OPEX!$B$75</f>
        <v>37269220.206692196</v>
      </c>
      <c r="V16" s="57">
        <f>(OPEX!$E$69*10^6)*OPEX!$B$75</f>
        <v>37269220.206692196</v>
      </c>
      <c r="W16" s="57">
        <f>(OPEX!$E$69*10^6)*OPEX!$B$75</f>
        <v>37269220.206692196</v>
      </c>
    </row>
    <row r="17" spans="2:25" s="41" customFormat="1" x14ac:dyDescent="0.3">
      <c r="B17" s="96" t="s">
        <v>342</v>
      </c>
      <c r="C17" s="96"/>
      <c r="D17" s="96">
        <f>D2-D3</f>
        <v>783121834.72793663</v>
      </c>
      <c r="E17" s="96">
        <f t="shared" ref="E17:V17" si="1">E2-E3</f>
        <v>872911819.2464081</v>
      </c>
      <c r="F17" s="96">
        <f t="shared" si="1"/>
        <v>1216947300.340241</v>
      </c>
      <c r="G17" s="96">
        <f t="shared" si="1"/>
        <v>1544023711.2114315</v>
      </c>
      <c r="H17" s="96">
        <f t="shared" si="1"/>
        <v>1617791579.3258286</v>
      </c>
      <c r="I17" s="96">
        <f t="shared" si="1"/>
        <v>1617791579.325829</v>
      </c>
      <c r="J17" s="96">
        <f t="shared" si="1"/>
        <v>1617791579.32583</v>
      </c>
      <c r="K17" s="96">
        <f t="shared" si="1"/>
        <v>1617791579.32583</v>
      </c>
      <c r="L17" s="96">
        <f t="shared" si="1"/>
        <v>1617791579.3258295</v>
      </c>
      <c r="M17" s="96">
        <f t="shared" si="1"/>
        <v>1617791579.325829</v>
      </c>
      <c r="N17" s="96">
        <f>N2-N3</f>
        <v>1737376358.7446289</v>
      </c>
      <c r="O17" s="96">
        <f t="shared" si="1"/>
        <v>1737376358.7446294</v>
      </c>
      <c r="P17" s="96">
        <f t="shared" si="1"/>
        <v>1737376358.7446289</v>
      </c>
      <c r="Q17" s="96">
        <f t="shared" si="1"/>
        <v>1737376358.7446294</v>
      </c>
      <c r="R17" s="96">
        <f t="shared" si="1"/>
        <v>1737376358.7446289</v>
      </c>
      <c r="S17" s="96">
        <f t="shared" si="1"/>
        <v>1737376358.7446289</v>
      </c>
      <c r="T17" s="96">
        <f t="shared" si="1"/>
        <v>1771374688.1357765</v>
      </c>
      <c r="U17" s="96">
        <f t="shared" si="1"/>
        <v>1771376223.2431908</v>
      </c>
      <c r="V17" s="96">
        <f t="shared" si="1"/>
        <v>1680810303.0016913</v>
      </c>
      <c r="W17" s="96">
        <f>W2-W3</f>
        <v>1669561290.6662884</v>
      </c>
    </row>
    <row r="18" spans="2:25" s="41" customFormat="1" x14ac:dyDescent="0.3">
      <c r="B18" s="41" t="s">
        <v>367</v>
      </c>
      <c r="D18" s="41">
        <f t="shared" ref="D18:M18" si="2">E18</f>
        <v>201964577.66580552</v>
      </c>
      <c r="E18" s="41">
        <f t="shared" si="2"/>
        <v>201964577.66580552</v>
      </c>
      <c r="F18" s="41">
        <f t="shared" si="2"/>
        <v>201964577.66580552</v>
      </c>
      <c r="G18" s="41">
        <f t="shared" si="2"/>
        <v>201964577.66580552</v>
      </c>
      <c r="H18" s="41">
        <f t="shared" si="2"/>
        <v>201964577.66580552</v>
      </c>
      <c r="I18" s="41">
        <f t="shared" si="2"/>
        <v>201964577.66580552</v>
      </c>
      <c r="J18" s="41">
        <f t="shared" si="2"/>
        <v>201964577.66580552</v>
      </c>
      <c r="K18" s="41">
        <f t="shared" si="2"/>
        <v>201964577.66580552</v>
      </c>
      <c r="L18" s="41">
        <f t="shared" si="2"/>
        <v>201964577.66580552</v>
      </c>
      <c r="M18" s="41">
        <f t="shared" si="2"/>
        <v>201964577.66580552</v>
      </c>
      <c r="N18" s="41">
        <f>O18</f>
        <v>201964577.66580552</v>
      </c>
      <c r="O18" s="41">
        <f>((406049*1000)*(1+(SUMIFS(Inflação!$L$1:$L$20,Inflação!$I$1:$I$20,O$1)+Inflação!$K$22))*'Receita Máxima'!$H$47)</f>
        <v>201964577.66580552</v>
      </c>
      <c r="P18" s="41">
        <f>((422429*1000)*(1+(SUMIFS(Inflação!$L$1:$L$20,Inflação!$I$1:$I$20,P$1)+Inflação!$K$22))*'Receita Máxima'!$H$47)</f>
        <v>211173709.34135738</v>
      </c>
      <c r="Q18" s="41">
        <f>((336045*1000)*(1+(SUMIFS(Inflação!$L$1:$L$20,Inflação!$I$1:$I$20,Q$1)+Inflação!$K$22))*'Receita Máxima'!$H$47)</f>
        <v>156625074.53007716</v>
      </c>
      <c r="R18" s="41">
        <f>(((439093*1000)*(1+(SUMIFS(Inflação!$L$1:$L$20,Inflação!$I$1:$I$20,R$1)+Inflação!$K$22))*'Receita Máxima'!$H$47))</f>
        <v>191242559.43487641</v>
      </c>
      <c r="S18" s="41">
        <f>((450910*1000)*(1+(SUMIFS(Inflação!$L$1:$L$20,Inflação!$I$1:$I$20,S$1)+Inflação!$K$22))*'Receita Máxima'!$H$47)</f>
        <v>160957538.14162177</v>
      </c>
      <c r="T18" s="41">
        <f>((461439*1000)*(1+(SUMIFS(Inflação!$L$1:$L$20,Inflação!$I$1:$I$20,T$1)+Inflação!$K$22))*'Receita Máxima'!$H$47)</f>
        <v>141056134.32001835</v>
      </c>
      <c r="U18" s="41">
        <f>((478771*1000)*(1+(SUMIFS(Inflação!$L$1:$L$20,Inflação!$I$1:$I$20,U$1)+Inflação!$K$22))*'Receita Máxima'!$H$47)</f>
        <v>139218185.77947769</v>
      </c>
      <c r="V18" s="41">
        <f>((457834*1000)*(1+(Inflação!$K$22))*'Receita Máxima'!$H$47)</f>
        <v>134705644.19142976</v>
      </c>
      <c r="W18" s="41">
        <f>V18</f>
        <v>134705644.19142976</v>
      </c>
    </row>
    <row r="19" spans="2:25" x14ac:dyDescent="0.3">
      <c r="B19" s="59" t="s">
        <v>343</v>
      </c>
      <c r="C19" s="59"/>
      <c r="D19" s="60">
        <f t="shared" ref="D19:W19" si="3">D17-D18</f>
        <v>581157257.06213117</v>
      </c>
      <c r="E19" s="60">
        <f t="shared" si="3"/>
        <v>670947241.58060265</v>
      </c>
      <c r="F19" s="60">
        <f t="shared" si="3"/>
        <v>1014982722.6744354</v>
      </c>
      <c r="G19" s="60">
        <f t="shared" si="3"/>
        <v>1342059133.5456259</v>
      </c>
      <c r="H19" s="60">
        <f t="shared" si="3"/>
        <v>1415827001.660023</v>
      </c>
      <c r="I19" s="60">
        <f t="shared" si="3"/>
        <v>1415827001.6600235</v>
      </c>
      <c r="J19" s="60">
        <f t="shared" si="3"/>
        <v>1415827001.6600244</v>
      </c>
      <c r="K19" s="60">
        <f t="shared" si="3"/>
        <v>1415827001.6600244</v>
      </c>
      <c r="L19" s="60">
        <f t="shared" si="3"/>
        <v>1415827001.6600239</v>
      </c>
      <c r="M19" s="60">
        <f t="shared" si="3"/>
        <v>1415827001.6600235</v>
      </c>
      <c r="N19" s="60">
        <f t="shared" si="3"/>
        <v>1535411781.0788233</v>
      </c>
      <c r="O19" s="60">
        <f t="shared" si="3"/>
        <v>1535411781.0788238</v>
      </c>
      <c r="P19" s="60">
        <f t="shared" si="3"/>
        <v>1526202649.4032714</v>
      </c>
      <c r="Q19" s="60">
        <f t="shared" si="3"/>
        <v>1580751284.2145522</v>
      </c>
      <c r="R19" s="60">
        <f t="shared" si="3"/>
        <v>1546133799.3097525</v>
      </c>
      <c r="S19" s="60">
        <f t="shared" si="3"/>
        <v>1576418820.6030071</v>
      </c>
      <c r="T19" s="60">
        <f t="shared" si="3"/>
        <v>1630318553.8157582</v>
      </c>
      <c r="U19" s="60">
        <f t="shared" si="3"/>
        <v>1632158037.4637132</v>
      </c>
      <c r="V19" s="60">
        <f t="shared" si="3"/>
        <v>1546104658.8102615</v>
      </c>
      <c r="W19" s="60">
        <f t="shared" si="3"/>
        <v>1534855646.4748585</v>
      </c>
    </row>
    <row r="20" spans="2:25" s="41" customFormat="1" x14ac:dyDescent="0.3">
      <c r="B20" s="41" t="s">
        <v>344</v>
      </c>
      <c r="D20" s="41">
        <f>34%*D19</f>
        <v>197593467.4011246</v>
      </c>
      <c r="E20" s="41">
        <f t="shared" ref="E20:W20" si="4">34%*E19</f>
        <v>228122062.13740492</v>
      </c>
      <c r="F20" s="41">
        <f t="shared" si="4"/>
        <v>345094125.70930803</v>
      </c>
      <c r="G20" s="41">
        <f t="shared" si="4"/>
        <v>456300105.40551287</v>
      </c>
      <c r="H20" s="41">
        <f t="shared" si="4"/>
        <v>481381180.56440783</v>
      </c>
      <c r="I20" s="41">
        <f t="shared" si="4"/>
        <v>481381180.564408</v>
      </c>
      <c r="J20" s="41">
        <f t="shared" si="4"/>
        <v>481381180.5644083</v>
      </c>
      <c r="K20" s="41">
        <f t="shared" si="4"/>
        <v>481381180.5644083</v>
      </c>
      <c r="L20" s="41">
        <f t="shared" si="4"/>
        <v>481381180.56440818</v>
      </c>
      <c r="M20" s="41">
        <f t="shared" si="4"/>
        <v>481381180.564408</v>
      </c>
      <c r="N20" s="41">
        <f t="shared" si="4"/>
        <v>522040005.5668</v>
      </c>
      <c r="O20" s="41">
        <f t="shared" si="4"/>
        <v>522040005.56680012</v>
      </c>
      <c r="P20" s="41">
        <f t="shared" si="4"/>
        <v>518908900.79711235</v>
      </c>
      <c r="Q20" s="41">
        <f t="shared" si="4"/>
        <v>537455436.6329478</v>
      </c>
      <c r="R20" s="41">
        <f t="shared" si="4"/>
        <v>525685491.76531589</v>
      </c>
      <c r="S20" s="41">
        <f t="shared" si="4"/>
        <v>535982399.00502247</v>
      </c>
      <c r="T20" s="41">
        <f t="shared" si="4"/>
        <v>554308308.2973578</v>
      </c>
      <c r="U20" s="41">
        <f t="shared" si="4"/>
        <v>554933732.73766255</v>
      </c>
      <c r="V20" s="41">
        <f t="shared" si="4"/>
        <v>525675583.99548894</v>
      </c>
      <c r="W20" s="41">
        <f t="shared" si="4"/>
        <v>521850919.80145192</v>
      </c>
    </row>
    <row r="21" spans="2:25" s="41" customFormat="1" x14ac:dyDescent="0.3">
      <c r="B21" s="96" t="s">
        <v>365</v>
      </c>
      <c r="C21" s="96"/>
      <c r="D21" s="96">
        <f>D19-D20</f>
        <v>383563789.66100657</v>
      </c>
      <c r="E21" s="96">
        <f t="shared" ref="E21:W21" si="5">E19-E20</f>
        <v>442825179.44319773</v>
      </c>
      <c r="F21" s="96">
        <f t="shared" si="5"/>
        <v>669888596.96512735</v>
      </c>
      <c r="G21" s="96">
        <f t="shared" si="5"/>
        <v>885759028.14011312</v>
      </c>
      <c r="H21" s="96">
        <f t="shared" si="5"/>
        <v>934445821.09561515</v>
      </c>
      <c r="I21" s="96">
        <f t="shared" si="5"/>
        <v>934445821.09561539</v>
      </c>
      <c r="J21" s="96">
        <f t="shared" si="5"/>
        <v>934445821.0956161</v>
      </c>
      <c r="K21" s="96">
        <f t="shared" si="5"/>
        <v>934445821.0956161</v>
      </c>
      <c r="L21" s="96">
        <f t="shared" si="5"/>
        <v>934445821.09561574</v>
      </c>
      <c r="M21" s="96">
        <f t="shared" si="5"/>
        <v>934445821.09561539</v>
      </c>
      <c r="N21" s="96">
        <f t="shared" si="5"/>
        <v>1013371775.5120233</v>
      </c>
      <c r="O21" s="96">
        <f t="shared" si="5"/>
        <v>1013371775.5120237</v>
      </c>
      <c r="P21" s="96">
        <f t="shared" si="5"/>
        <v>1007293748.6061591</v>
      </c>
      <c r="Q21" s="96">
        <f t="shared" si="5"/>
        <v>1043295847.5816044</v>
      </c>
      <c r="R21" s="96">
        <f t="shared" si="5"/>
        <v>1020448307.5444366</v>
      </c>
      <c r="S21" s="96">
        <f t="shared" si="5"/>
        <v>1040436421.5979846</v>
      </c>
      <c r="T21" s="96">
        <f t="shared" si="5"/>
        <v>1076010245.5184004</v>
      </c>
      <c r="U21" s="96">
        <f t="shared" si="5"/>
        <v>1077224304.7260506</v>
      </c>
      <c r="V21" s="96">
        <f t="shared" si="5"/>
        <v>1020429074.8147726</v>
      </c>
      <c r="W21" s="96">
        <f t="shared" si="5"/>
        <v>1013004726.6734066</v>
      </c>
    </row>
    <row r="23" spans="2:25" x14ac:dyDescent="0.3">
      <c r="B23" s="63" t="s">
        <v>366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1"/>
      <c r="Y23" s="69" t="s">
        <v>373</v>
      </c>
    </row>
    <row r="24" spans="2:25" x14ac:dyDescent="0.3">
      <c r="B24" s="63" t="s">
        <v>368</v>
      </c>
      <c r="C24" s="64"/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5">
        <v>0</v>
      </c>
      <c r="X24" s="41"/>
      <c r="Y24" s="68">
        <f>C28-W24</f>
        <v>10846460489.896694</v>
      </c>
    </row>
    <row r="25" spans="2:25" x14ac:dyDescent="0.3">
      <c r="B25" s="63" t="s">
        <v>369</v>
      </c>
      <c r="C25" s="67"/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41"/>
    </row>
    <row r="26" spans="2:25" x14ac:dyDescent="0.3">
      <c r="B26" s="61" t="s">
        <v>364</v>
      </c>
      <c r="C26" s="77">
        <f>-C28</f>
        <v>-10846460489.896694</v>
      </c>
      <c r="D26" s="77">
        <f>D21-D23+D18+D24-D25</f>
        <v>585528367.32681203</v>
      </c>
      <c r="E26" s="77">
        <f t="shared" ref="E26:V26" si="6">E21-E23+E18+E24-E25</f>
        <v>644789757.10900331</v>
      </c>
      <c r="F26" s="77">
        <f t="shared" si="6"/>
        <v>871853174.63093281</v>
      </c>
      <c r="G26" s="77">
        <f t="shared" si="6"/>
        <v>1087723605.8059187</v>
      </c>
      <c r="H26" s="77">
        <f t="shared" si="6"/>
        <v>1136410398.7614207</v>
      </c>
      <c r="I26" s="62">
        <f t="shared" si="6"/>
        <v>1136410398.761421</v>
      </c>
      <c r="J26" s="62">
        <f t="shared" si="6"/>
        <v>1136410398.7614217</v>
      </c>
      <c r="K26" s="62">
        <f t="shared" si="6"/>
        <v>1136410398.7614217</v>
      </c>
      <c r="L26" s="62">
        <f t="shared" si="6"/>
        <v>1136410398.7614212</v>
      </c>
      <c r="M26" s="62">
        <f t="shared" si="6"/>
        <v>1136410398.761421</v>
      </c>
      <c r="N26" s="62">
        <f t="shared" si="6"/>
        <v>1215336353.1778288</v>
      </c>
      <c r="O26" s="62">
        <f t="shared" si="6"/>
        <v>1215336353.1778293</v>
      </c>
      <c r="P26" s="62">
        <f t="shared" si="6"/>
        <v>1218467457.9475164</v>
      </c>
      <c r="Q26" s="62">
        <f t="shared" si="6"/>
        <v>1199920922.1116815</v>
      </c>
      <c r="R26" s="62">
        <f t="shared" si="6"/>
        <v>1211690866.9793129</v>
      </c>
      <c r="S26" s="62">
        <f t="shared" si="6"/>
        <v>1201393959.7396064</v>
      </c>
      <c r="T26" s="62">
        <f t="shared" si="6"/>
        <v>1217066379.8384187</v>
      </c>
      <c r="U26" s="62">
        <f t="shared" si="6"/>
        <v>1216442490.5055282</v>
      </c>
      <c r="V26" s="62">
        <f t="shared" si="6"/>
        <v>1155134719.0062025</v>
      </c>
      <c r="W26" s="62">
        <f>W21-W23+W18+W24-W25</f>
        <v>1147710370.8648365</v>
      </c>
    </row>
    <row r="27" spans="2:25" x14ac:dyDescent="0.3">
      <c r="B27" s="8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2:25" x14ac:dyDescent="0.3">
      <c r="B28" s="71" t="s">
        <v>375</v>
      </c>
      <c r="C28" s="165">
        <v>10846460489.896694</v>
      </c>
      <c r="D28" s="70">
        <f>(C28-C29)+D23-D29</f>
        <v>10606357515.717196</v>
      </c>
      <c r="E28" s="70">
        <f>(D28)+E23-E29</f>
        <v>9379978025.8806648</v>
      </c>
      <c r="F28" s="70">
        <f t="shared" ref="F28:W28" si="7">(E28)+F23-F29</f>
        <v>7507960064.0368748</v>
      </c>
      <c r="G28" s="70">
        <f t="shared" si="7"/>
        <v>7450775215.341733</v>
      </c>
      <c r="H28" s="70">
        <f t="shared" si="7"/>
        <v>6866909404.8945675</v>
      </c>
      <c r="I28" s="70">
        <f t="shared" si="7"/>
        <v>6682006233.0735941</v>
      </c>
      <c r="J28" s="70">
        <f t="shared" si="7"/>
        <v>6506849344.1661959</v>
      </c>
      <c r="K28" s="70">
        <f t="shared" si="7"/>
        <v>6339758840.0398645</v>
      </c>
      <c r="L28" s="70">
        <f t="shared" si="7"/>
        <v>6272630380.5821075</v>
      </c>
      <c r="M28" s="70">
        <f t="shared" si="7"/>
        <v>6236748099.7736549</v>
      </c>
      <c r="N28" s="70">
        <f t="shared" si="7"/>
        <v>6210756319.6234808</v>
      </c>
      <c r="O28" s="70">
        <f t="shared" si="7"/>
        <v>6185825459.8227196</v>
      </c>
      <c r="P28" s="70">
        <f t="shared" si="7"/>
        <v>6175649839.3025169</v>
      </c>
      <c r="Q28" s="70">
        <f t="shared" si="7"/>
        <v>6175649839.3025169</v>
      </c>
      <c r="R28" s="70">
        <f t="shared" si="7"/>
        <v>6133686101.2135706</v>
      </c>
      <c r="S28" s="70">
        <f t="shared" si="7"/>
        <v>6124968618.0033226</v>
      </c>
      <c r="T28" s="70">
        <f t="shared" si="7"/>
        <v>6122962208.8414869</v>
      </c>
      <c r="U28" s="70">
        <f t="shared" si="7"/>
        <v>6065996038.4776201</v>
      </c>
      <c r="V28" s="70">
        <f t="shared" si="7"/>
        <v>6063240654.4074192</v>
      </c>
      <c r="W28" s="70">
        <f t="shared" si="7"/>
        <v>6063240654.4074192</v>
      </c>
    </row>
    <row r="29" spans="2:25" s="41" customFormat="1" x14ac:dyDescent="0.3">
      <c r="B29" s="72" t="s">
        <v>363</v>
      </c>
      <c r="C29" s="70">
        <v>103708190.86785901</v>
      </c>
      <c r="D29" s="70">
        <v>136394783.31163999</v>
      </c>
      <c r="E29" s="70">
        <v>1226379489.83653</v>
      </c>
      <c r="F29" s="70">
        <v>1872017961.8437901</v>
      </c>
      <c r="G29" s="70">
        <v>57184848.695142001</v>
      </c>
      <c r="H29" s="70">
        <v>583865810.44716501</v>
      </c>
      <c r="I29" s="70">
        <v>184903171.82097301</v>
      </c>
      <c r="J29" s="70">
        <v>175156888.90739799</v>
      </c>
      <c r="K29" s="70">
        <v>167090504.126331</v>
      </c>
      <c r="L29" s="70">
        <v>67128459.457757398</v>
      </c>
      <c r="M29" s="70">
        <v>35882280.808452435</v>
      </c>
      <c r="N29" s="70">
        <v>25991780.150174074</v>
      </c>
      <c r="O29" s="70">
        <v>24930859.800761517</v>
      </c>
      <c r="P29" s="70">
        <v>10175620.520202344</v>
      </c>
      <c r="Q29" s="70">
        <v>0</v>
      </c>
      <c r="R29" s="70">
        <v>41963738.08894629</v>
      </c>
      <c r="S29" s="70">
        <v>8717483.2102479357</v>
      </c>
      <c r="T29" s="70">
        <v>2006409.1618352039</v>
      </c>
      <c r="U29" s="70">
        <v>56966170.363866724</v>
      </c>
      <c r="V29" s="70">
        <v>2755384.070200637</v>
      </c>
      <c r="W29" s="70">
        <v>0</v>
      </c>
    </row>
    <row r="31" spans="2:25" x14ac:dyDescent="0.3">
      <c r="B31" s="66" t="s">
        <v>370</v>
      </c>
      <c r="C31" s="73">
        <f>NPV($C$34,D26:W26)+(C26)</f>
        <v>0</v>
      </c>
      <c r="D31" s="79"/>
      <c r="E31" s="41"/>
      <c r="N31" s="76">
        <f>N18/N28</f>
        <v>3.2518515825146616E-2</v>
      </c>
    </row>
    <row r="32" spans="2:25" x14ac:dyDescent="0.3">
      <c r="B32" s="92" t="s">
        <v>389</v>
      </c>
      <c r="C32" s="93">
        <f>NPV(C34,FCR_CHCI!D22:W22)+FCR_CHCI!C27</f>
        <v>6833623179.5923233</v>
      </c>
      <c r="D32" s="166">
        <f>NPV(C34,D26:W26)</f>
        <v>10846460489.896694</v>
      </c>
    </row>
    <row r="33" spans="2:23" ht="15" thickBot="1" x14ac:dyDescent="0.35">
      <c r="C33" s="74"/>
      <c r="D33" s="68"/>
    </row>
    <row r="34" spans="2:23" x14ac:dyDescent="0.3">
      <c r="B34" s="88" t="s">
        <v>371</v>
      </c>
      <c r="C34" s="89">
        <v>7.2499999999999995E-2</v>
      </c>
      <c r="D34" s="10"/>
    </row>
    <row r="35" spans="2:23" ht="15" thickBot="1" x14ac:dyDescent="0.35">
      <c r="B35" s="90" t="s">
        <v>388</v>
      </c>
      <c r="C35" s="91">
        <f>IRR(C26:W26)</f>
        <v>7.2500000000000231E-2</v>
      </c>
      <c r="D35" s="10"/>
    </row>
    <row r="36" spans="2:23" x14ac:dyDescent="0.3">
      <c r="B36" s="8"/>
      <c r="D36" s="10"/>
    </row>
    <row r="37" spans="2:23" x14ac:dyDescent="0.3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2:23" x14ac:dyDescent="0.3">
      <c r="D38" s="10"/>
    </row>
    <row r="39" spans="2:23" x14ac:dyDescent="0.3">
      <c r="D39" s="10"/>
    </row>
    <row r="40" spans="2:23" x14ac:dyDescent="0.3">
      <c r="D40" s="10"/>
    </row>
    <row r="41" spans="2:23" x14ac:dyDescent="0.3">
      <c r="D41" s="10"/>
    </row>
    <row r="42" spans="2:23" x14ac:dyDescent="0.3">
      <c r="D42" s="10"/>
    </row>
    <row r="43" spans="2:23" x14ac:dyDescent="0.3">
      <c r="D43" s="80"/>
    </row>
    <row r="44" spans="2:23" x14ac:dyDescent="0.3">
      <c r="D44" s="80"/>
    </row>
    <row r="45" spans="2:23" x14ac:dyDescent="0.3">
      <c r="D45" s="80"/>
    </row>
    <row r="46" spans="2:23" x14ac:dyDescent="0.3">
      <c r="D46" s="80"/>
    </row>
    <row r="47" spans="2:23" x14ac:dyDescent="0.3">
      <c r="D47" s="80"/>
    </row>
    <row r="48" spans="2:23" x14ac:dyDescent="0.3">
      <c r="D48" s="80"/>
    </row>
    <row r="49" spans="4:4" x14ac:dyDescent="0.3">
      <c r="D49" s="80"/>
    </row>
    <row r="51" spans="4:4" x14ac:dyDescent="0.3">
      <c r="D51" s="80"/>
    </row>
    <row r="52" spans="4:4" x14ac:dyDescent="0.3">
      <c r="D52" s="80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B1E9-9B97-42A4-B5F6-9F7EEEDDA341}">
  <sheetPr>
    <tabColor rgb="FFC00000"/>
  </sheetPr>
  <dimension ref="B2:X32"/>
  <sheetViews>
    <sheetView showGridLines="0" tabSelected="1" workbookViewId="0">
      <selection activeCell="P16" sqref="P16"/>
    </sheetView>
  </sheetViews>
  <sheetFormatPr defaultColWidth="11.5546875" defaultRowHeight="14.4" x14ac:dyDescent="0.3"/>
  <cols>
    <col min="2" max="2" width="14.5546875" customWidth="1"/>
    <col min="3" max="5" width="8.33203125" bestFit="1" customWidth="1"/>
    <col min="6" max="23" width="9.33203125" bestFit="1" customWidth="1"/>
  </cols>
  <sheetData>
    <row r="2" spans="2:24" x14ac:dyDescent="0.3">
      <c r="C2" s="105">
        <v>2005</v>
      </c>
      <c r="D2" s="105">
        <v>2006</v>
      </c>
      <c r="E2" s="105">
        <v>2007</v>
      </c>
      <c r="F2" s="105">
        <v>2008</v>
      </c>
      <c r="G2" s="105">
        <v>2009</v>
      </c>
      <c r="H2" s="105">
        <v>2010</v>
      </c>
      <c r="I2" s="105">
        <v>2011</v>
      </c>
      <c r="J2" s="105">
        <v>2012</v>
      </c>
      <c r="K2" s="105">
        <v>2013</v>
      </c>
      <c r="L2" s="105">
        <v>2014</v>
      </c>
      <c r="M2" s="105">
        <v>2015</v>
      </c>
      <c r="N2" s="105">
        <v>2016</v>
      </c>
      <c r="O2" s="105">
        <v>2017</v>
      </c>
      <c r="P2" s="105">
        <v>2018</v>
      </c>
      <c r="Q2" s="105">
        <v>2019</v>
      </c>
      <c r="R2" s="105">
        <v>2020</v>
      </c>
      <c r="S2" s="105">
        <v>2021</v>
      </c>
      <c r="T2" s="105">
        <v>2022</v>
      </c>
      <c r="U2" s="105">
        <v>2023</v>
      </c>
      <c r="V2" s="105">
        <v>2024</v>
      </c>
      <c r="W2" s="105">
        <v>2025</v>
      </c>
    </row>
    <row r="3" spans="2:24" x14ac:dyDescent="0.3">
      <c r="B3" s="121" t="s">
        <v>387</v>
      </c>
      <c r="C3" s="138">
        <f>FCR_CHCI!C38/1000000</f>
        <v>168.79797011399</v>
      </c>
      <c r="D3" s="138">
        <f>FCR_CHCI!D38/1000000</f>
        <v>306.13281908090192</v>
      </c>
      <c r="E3" s="138">
        <f>FCR_CHCI!E38/1000000</f>
        <v>2454.2839962581602</v>
      </c>
      <c r="F3" s="138">
        <f>FCR_CHCI!F38/1000000</f>
        <v>5909.5014573179451</v>
      </c>
      <c r="G3" s="138">
        <f>FCR_CHCI!G38/1000000</f>
        <v>6012.3555484030012</v>
      </c>
      <c r="H3" s="138">
        <f>FCR_CHCI!H38/1000000</f>
        <v>7115.129658404936</v>
      </c>
      <c r="I3" s="138">
        <f>FCR_CHCI!I38/1000000</f>
        <v>7446.6494289614002</v>
      </c>
      <c r="J3" s="138">
        <f>FCR_CHCI!J38/1000000</f>
        <v>7784.1455106387602</v>
      </c>
      <c r="K3" s="138">
        <f>FCR_CHCI!K38/1000000</f>
        <v>8141.937638325564</v>
      </c>
      <c r="L3" s="138">
        <f>FCR_CHCI!L38/1000000</f>
        <v>8280.4737543714145</v>
      </c>
      <c r="M3" s="138">
        <f>FCR_CHCI!M38/1000000</f>
        <v>8359.4455359055846</v>
      </c>
      <c r="N3" s="138">
        <f>FCR_CHCI!N38/1000000</f>
        <v>8422.7447858459145</v>
      </c>
      <c r="O3" s="138">
        <f>FCR_CHCI!O38/1000000</f>
        <v>8482.2182643970045</v>
      </c>
      <c r="P3" s="138">
        <f>FCR_CHCI!P38/1000000</f>
        <v>8512.7215328725197</v>
      </c>
      <c r="Q3" s="138">
        <f>FCR_CHCI!Q38/1000000</f>
        <v>8512.7215328725197</v>
      </c>
      <c r="R3" s="138">
        <f>FCR_CHCI!R38/1000000</f>
        <v>8590.7468474196849</v>
      </c>
      <c r="S3" s="138">
        <f>FCR_CHCI!S38/1000000</f>
        <v>8644.5910760923543</v>
      </c>
      <c r="T3" s="138">
        <f>FCR_CHCI!T38/1000000</f>
        <v>8658.173141633828</v>
      </c>
      <c r="U3" s="138">
        <f>FCR_CHCI!U38/1000000</f>
        <v>8884.8174966721836</v>
      </c>
      <c r="V3" s="138">
        <f>FCR_CHCI!V38/1000000</f>
        <v>9228.7325546974225</v>
      </c>
      <c r="W3" s="138">
        <f>FCR_CHCI!W38/1000000</f>
        <v>9228.7325546974225</v>
      </c>
    </row>
    <row r="4" spans="2:24" x14ac:dyDescent="0.3">
      <c r="B4" s="121" t="s">
        <v>405</v>
      </c>
      <c r="C4" s="138">
        <f>('FCR_CRN NTS'!C27)/10^6</f>
        <v>9697.2810330446246</v>
      </c>
      <c r="D4" s="138">
        <f>SUM(C4,('FCR_CRN NTS'!D22/10^6))</f>
        <v>9697.2810330446246</v>
      </c>
      <c r="E4" s="138">
        <f>SUM(D4,('FCR_CRN NTS'!E22/10^6))</f>
        <v>9697.2810330446246</v>
      </c>
      <c r="F4" s="138">
        <f>SUM(E4,('FCR_CRN NTS'!F22/10^6))</f>
        <v>17238.141747561032</v>
      </c>
      <c r="G4" s="138">
        <f>SUM(F4,('FCR_CRN NTS'!G22/10^6))</f>
        <v>17266.999288220188</v>
      </c>
      <c r="H4" s="138">
        <f>SUM(G4,('FCR_CRN NTS'!H22/10^6))</f>
        <v>17266.999288220188</v>
      </c>
      <c r="I4" s="138">
        <f>SUM(H4,('FCR_CRN NTS'!I22/10^6))</f>
        <v>17994.124518156892</v>
      </c>
      <c r="J4" s="138">
        <f>SUM(I4,('FCR_CRN NTS'!J22/10^6))</f>
        <v>17994.124518156892</v>
      </c>
      <c r="K4" s="138">
        <f>SUM(J4,('FCR_CRN NTS'!K22/10^6))</f>
        <v>18048.052104240709</v>
      </c>
      <c r="L4" s="138">
        <f>SUM(K4,('FCR_CRN NTS'!L22/10^6))</f>
        <v>18067.66033808656</v>
      </c>
      <c r="M4" s="138">
        <f>SUM(L4,('FCR_CRN NTS'!M22/10^6))</f>
        <v>18067.66033808656</v>
      </c>
      <c r="N4" s="138">
        <f>SUM(M4,('FCR_CRN NTS'!N22/10^6))</f>
        <v>18067.66033808656</v>
      </c>
      <c r="O4" s="138">
        <f>SUM(N4,('FCR_CRN NTS'!O22/10^6))</f>
        <v>18067.66033808656</v>
      </c>
      <c r="P4" s="138">
        <f>SUM(O4,('FCR_CRN NTS'!P22/10^6))</f>
        <v>18067.66033808656</v>
      </c>
      <c r="Q4" s="138">
        <f>SUM(P4,('FCR_CRN NTS'!Q22/10^6))</f>
        <v>18067.66033808656</v>
      </c>
      <c r="R4" s="138">
        <f>SUM(Q4,('FCR_CRN NTS'!R22/10^6))</f>
        <v>18067.66033808656</v>
      </c>
      <c r="S4" s="138">
        <f>SUM(R4,('FCR_CRN NTS'!S22/10^6))</f>
        <v>18067.66033808656</v>
      </c>
      <c r="T4" s="138">
        <f>SUM(S4,('FCR_CRN NTS'!T22/10^6))</f>
        <v>18122.030347519416</v>
      </c>
      <c r="U4" s="138">
        <f>SUM(T4,('FCR_CRN NTS'!U22/10^6))</f>
        <v>18122.030347519416</v>
      </c>
      <c r="V4" s="138">
        <f>SUM(U4,('FCR_CRN NTS'!V22/10^6))</f>
        <v>18122.030347519416</v>
      </c>
      <c r="W4" s="138">
        <f>SUM(V4,('FCR_CRN NTS'!W22/10^6))</f>
        <v>18122.030347519416</v>
      </c>
      <c r="X4" s="79"/>
    </row>
    <row r="6" spans="2:24" s="41" customFormat="1" x14ac:dyDescent="0.3"/>
    <row r="7" spans="2:24" s="41" customFormat="1" x14ac:dyDescent="0.3"/>
    <row r="32" spans="3:3" x14ac:dyDescent="0.3">
      <c r="C32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6F5E-EE1B-46C4-BC70-749C3D94DACF}">
  <sheetPr>
    <tabColor rgb="FFC00000"/>
  </sheetPr>
  <dimension ref="B1:I12"/>
  <sheetViews>
    <sheetView showGridLines="0" workbookViewId="0">
      <selection activeCell="E6" sqref="E6"/>
    </sheetView>
  </sheetViews>
  <sheetFormatPr defaultColWidth="9.109375" defaultRowHeight="14.4" x14ac:dyDescent="0.3"/>
  <cols>
    <col min="2" max="2" width="11.77734375" bestFit="1" customWidth="1"/>
    <col min="3" max="3" width="10.6640625" bestFit="1" customWidth="1"/>
    <col min="4" max="4" width="32.6640625" bestFit="1" customWidth="1"/>
    <col min="5" max="5" width="30.5546875" customWidth="1"/>
    <col min="6" max="6" width="22" bestFit="1" customWidth="1"/>
    <col min="7" max="7" width="6" customWidth="1"/>
    <col min="8" max="8" width="17.33203125" customWidth="1"/>
  </cols>
  <sheetData>
    <row r="1" spans="2:9" ht="15" thickBot="1" x14ac:dyDescent="0.35"/>
    <row r="2" spans="2:9" ht="36" customHeight="1" thickBot="1" x14ac:dyDescent="0.35">
      <c r="D2" s="172" t="s">
        <v>399</v>
      </c>
      <c r="E2" s="173"/>
    </row>
    <row r="3" spans="2:9" ht="57.6" x14ac:dyDescent="0.3">
      <c r="B3" s="168" t="s">
        <v>397</v>
      </c>
      <c r="C3" s="168" t="s">
        <v>398</v>
      </c>
      <c r="D3" s="137" t="s">
        <v>394</v>
      </c>
      <c r="E3" s="137" t="s">
        <v>400</v>
      </c>
      <c r="F3" s="140" t="s">
        <v>406</v>
      </c>
      <c r="H3" s="140" t="s">
        <v>401</v>
      </c>
    </row>
    <row r="4" spans="2:9" x14ac:dyDescent="0.3">
      <c r="B4" s="171" t="s">
        <v>387</v>
      </c>
      <c r="C4" s="169">
        <v>7.2499999999999995E-2</v>
      </c>
      <c r="D4" s="97">
        <f>FCR_CHCI!C39/1000000</f>
        <v>10846.460489896694</v>
      </c>
      <c r="E4" s="97">
        <f>FCR_CHCI!C41/1000000</f>
        <v>6833.6231795923231</v>
      </c>
      <c r="F4" s="97">
        <f>'Comparativa Base Bruta'!W3</f>
        <v>9228.7325546974225</v>
      </c>
      <c r="H4" s="141">
        <f>D4-E4</f>
        <v>4012.8373103043705</v>
      </c>
      <c r="I4" s="8"/>
    </row>
    <row r="5" spans="2:9" x14ac:dyDescent="0.3">
      <c r="B5" s="171"/>
      <c r="C5" s="170">
        <v>0.12</v>
      </c>
      <c r="D5" s="97">
        <f>FCR_CHCI!C40/1000000</f>
        <v>7509.9316319840045</v>
      </c>
      <c r="E5" s="97">
        <f>FCR_CHCI!C42/1000000</f>
        <v>5829.7638273973907</v>
      </c>
      <c r="F5" s="97">
        <f>F4</f>
        <v>9228.7325546974225</v>
      </c>
      <c r="H5" s="141">
        <f>D5-E5</f>
        <v>1680.1678045866138</v>
      </c>
      <c r="I5" s="8"/>
    </row>
    <row r="6" spans="2:9" x14ac:dyDescent="0.3">
      <c r="B6" s="171" t="s">
        <v>405</v>
      </c>
      <c r="C6" s="85">
        <v>7.2499999999999995E-2</v>
      </c>
      <c r="D6" s="97">
        <f>'FCR_CRN NTS'!C39/1000000</f>
        <v>10846.460489896694</v>
      </c>
      <c r="E6" s="97">
        <f>'FCR_CRN NTS'!C41/1000000</f>
        <v>16367.304090608886</v>
      </c>
      <c r="F6" s="97">
        <f>'Comparativa Base Bruta'!W4</f>
        <v>18122.030347519416</v>
      </c>
      <c r="H6" s="141">
        <f>D6-E6</f>
        <v>-5520.8436007121927</v>
      </c>
    </row>
    <row r="7" spans="2:9" x14ac:dyDescent="0.3">
      <c r="B7" s="171"/>
      <c r="C7" s="86">
        <v>0.12</v>
      </c>
      <c r="D7" s="97">
        <f>'FCR_CRN NTS'!C40/1000000</f>
        <v>7509.9316319840045</v>
      </c>
      <c r="E7" s="97">
        <f>'FCR_CRN NTS'!C42/1000000</f>
        <v>15488.210557847813</v>
      </c>
      <c r="F7" s="97">
        <f>F6</f>
        <v>18122.030347519416</v>
      </c>
      <c r="H7" s="141">
        <f>D7-E7</f>
        <v>-7978.2789258638086</v>
      </c>
    </row>
    <row r="11" spans="2:9" x14ac:dyDescent="0.3">
      <c r="B11" s="78"/>
    </row>
    <row r="12" spans="2:9" ht="15.6" x14ac:dyDescent="0.3">
      <c r="B12" s="102"/>
    </row>
  </sheetData>
  <mergeCells count="3">
    <mergeCell ref="B4:B5"/>
    <mergeCell ref="D2:E2"/>
    <mergeCell ref="B6:B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C3291-2618-497D-A8F1-EC5CF60AB4C5}">
  <dimension ref="B1:Y47"/>
  <sheetViews>
    <sheetView showGridLines="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ColWidth="9.109375" defaultRowHeight="14.4" x14ac:dyDescent="0.3"/>
  <cols>
    <col min="1" max="1" width="2.6640625" customWidth="1"/>
    <col min="2" max="2" width="73.88671875" customWidth="1"/>
    <col min="3" max="3" width="15.33203125" customWidth="1"/>
    <col min="4" max="4" width="14.6640625" customWidth="1"/>
    <col min="5" max="14" width="14.21875" customWidth="1"/>
    <col min="15" max="23" width="14.21875" bestFit="1" customWidth="1"/>
    <col min="25" max="25" width="16.5546875" bestFit="1" customWidth="1"/>
  </cols>
  <sheetData>
    <row r="1" spans="2:23" x14ac:dyDescent="0.3">
      <c r="B1" t="s">
        <v>391</v>
      </c>
      <c r="C1" s="105">
        <v>2005</v>
      </c>
      <c r="D1" s="105">
        <v>2006</v>
      </c>
      <c r="E1" s="105">
        <v>2007</v>
      </c>
      <c r="F1" s="105">
        <v>2008</v>
      </c>
      <c r="G1" s="105">
        <v>2009</v>
      </c>
      <c r="H1" s="105">
        <v>2010</v>
      </c>
      <c r="I1" s="105">
        <v>2011</v>
      </c>
      <c r="J1" s="105">
        <v>2012</v>
      </c>
      <c r="K1" s="105">
        <v>2013</v>
      </c>
      <c r="L1" s="105">
        <v>2014</v>
      </c>
      <c r="M1" s="105">
        <v>2015</v>
      </c>
      <c r="N1" s="105">
        <v>2016</v>
      </c>
      <c r="O1" s="105">
        <v>2017</v>
      </c>
      <c r="P1" s="105">
        <v>2018</v>
      </c>
      <c r="Q1" s="105">
        <v>2019</v>
      </c>
      <c r="R1" s="105">
        <v>2020</v>
      </c>
      <c r="S1" s="105">
        <v>2021</v>
      </c>
      <c r="T1" s="105">
        <v>2022</v>
      </c>
      <c r="U1" s="105">
        <v>2023</v>
      </c>
      <c r="V1" s="105">
        <v>2024</v>
      </c>
      <c r="W1" s="105">
        <v>2025</v>
      </c>
    </row>
    <row r="2" spans="2:23" s="41" customFormat="1" x14ac:dyDescent="0.3">
      <c r="B2" s="167" t="s">
        <v>407</v>
      </c>
      <c r="C2" s="114"/>
      <c r="D2" s="114">
        <f>'Receita Máxima'!B$33</f>
        <v>1170861606.7908237</v>
      </c>
      <c r="E2" s="114">
        <f>'Receita Máxima'!C$33</f>
        <v>1260651591.3092952</v>
      </c>
      <c r="F2" s="114">
        <f>'Receita Máxima'!D$33</f>
        <v>1604687072.4031281</v>
      </c>
      <c r="G2" s="114">
        <f>'Receita Máxima'!E$33</f>
        <v>1931763483.2743187</v>
      </c>
      <c r="H2" s="114">
        <f>'Receita Máxima'!F$33</f>
        <v>2005531351.3887157</v>
      </c>
      <c r="I2" s="114">
        <f>'Receita Máxima'!G$33</f>
        <v>2005531351.3887162</v>
      </c>
      <c r="J2" s="114">
        <f>'Receita Máxima'!H$33</f>
        <v>2005531351.3887169</v>
      </c>
      <c r="K2" s="114">
        <f>'Receita Máxima'!I$33</f>
        <v>2005531351.3887169</v>
      </c>
      <c r="L2" s="114">
        <f>'Receita Máxima'!J$33</f>
        <v>2005531351.3887167</v>
      </c>
      <c r="M2" s="114">
        <f>'Receita Máxima'!K$33</f>
        <v>2005531351.388716</v>
      </c>
      <c r="N2" s="114">
        <f>'Receita Máxima'!L$33</f>
        <v>2125116130.8075159</v>
      </c>
      <c r="O2" s="114">
        <f>'Receita Máxima'!M$33</f>
        <v>2125116130.8075163</v>
      </c>
      <c r="P2" s="114">
        <f>'Receita Máxima'!N$33</f>
        <v>2125116130.8075161</v>
      </c>
      <c r="Q2" s="114">
        <f>'Receita Máxima'!O$33</f>
        <v>2125116130.8075163</v>
      </c>
      <c r="R2" s="114">
        <f>'Receita Máxima'!P$33</f>
        <v>2125116130.8075161</v>
      </c>
      <c r="S2" s="114">
        <f>'Receita Máxima'!Q$33</f>
        <v>2125116130.8075161</v>
      </c>
      <c r="T2" s="114">
        <f>'Receita Máxima'!R$33</f>
        <v>2159114460.1986637</v>
      </c>
      <c r="U2" s="114">
        <f>'Receita Máxima'!S$33</f>
        <v>2159115995.306078</v>
      </c>
      <c r="V2" s="114">
        <f>'Receita Máxima'!T$33</f>
        <v>2068550075.0645785</v>
      </c>
      <c r="W2" s="114">
        <f>'Receita Máxima'!U$33</f>
        <v>2057301062.7291756</v>
      </c>
    </row>
    <row r="3" spans="2:23" x14ac:dyDescent="0.3">
      <c r="B3" s="107" t="s">
        <v>341</v>
      </c>
      <c r="C3" s="107"/>
      <c r="D3" s="108">
        <f>(OPEX!$E$70*10^6)*OPEX!$B$75</f>
        <v>387739772.06288707</v>
      </c>
      <c r="E3" s="108">
        <f>(OPEX!$E$70*10^6)*OPEX!$B$75</f>
        <v>387739772.06288707</v>
      </c>
      <c r="F3" s="108">
        <f>(OPEX!$E$70*10^6)*OPEX!$B$75</f>
        <v>387739772.06288707</v>
      </c>
      <c r="G3" s="108">
        <f>(OPEX!$E$70*10^6)*OPEX!$B$75</f>
        <v>387739772.06288707</v>
      </c>
      <c r="H3" s="108">
        <f>(OPEX!$E$70*10^6)*OPEX!$B$75</f>
        <v>387739772.06288707</v>
      </c>
      <c r="I3" s="108">
        <f>(OPEX!$E$70*10^6)*OPEX!$B$75</f>
        <v>387739772.06288707</v>
      </c>
      <c r="J3" s="108">
        <f>(OPEX!$E$70*10^6)*OPEX!$B$75</f>
        <v>387739772.06288707</v>
      </c>
      <c r="K3" s="108">
        <f>(OPEX!$E$70*10^6)*OPEX!$B$75</f>
        <v>387739772.06288707</v>
      </c>
      <c r="L3" s="108">
        <f>(OPEX!$E$70*10^6)*OPEX!$B$75</f>
        <v>387739772.06288707</v>
      </c>
      <c r="M3" s="108">
        <f>(OPEX!$E$70*10^6)*OPEX!$B$75</f>
        <v>387739772.06288707</v>
      </c>
      <c r="N3" s="108">
        <f>(OPEX!$E$70*10^6)*OPEX!$B$75</f>
        <v>387739772.06288707</v>
      </c>
      <c r="O3" s="108">
        <f>(OPEX!$E$70*10^6)*OPEX!$B$75</f>
        <v>387739772.06288707</v>
      </c>
      <c r="P3" s="108">
        <f>(OPEX!$E$70*10^6)*OPEX!$B$75</f>
        <v>387739772.06288707</v>
      </c>
      <c r="Q3" s="108">
        <f>(OPEX!$E$70*10^6)*OPEX!$B$75</f>
        <v>387739772.06288707</v>
      </c>
      <c r="R3" s="108">
        <f>(OPEX!$E$70*10^6)*OPEX!$B$75</f>
        <v>387739772.06288707</v>
      </c>
      <c r="S3" s="108">
        <f>(OPEX!$E$70*10^6)*OPEX!$B$75</f>
        <v>387739772.06288707</v>
      </c>
      <c r="T3" s="108">
        <f>(OPEX!$E$70*10^6)*OPEX!$B$75</f>
        <v>387739772.06288707</v>
      </c>
      <c r="U3" s="108">
        <f>(OPEX!$E$70*10^6)*OPEX!$B$75</f>
        <v>387739772.06288707</v>
      </c>
      <c r="V3" s="108">
        <f>(OPEX!$E$70*10^6)*OPEX!$B$75</f>
        <v>387739772.06288707</v>
      </c>
      <c r="W3" s="108">
        <f>(OPEX!$E$70*10^6)*OPEX!$B$75</f>
        <v>387739772.06288707</v>
      </c>
    </row>
    <row r="4" spans="2:23" x14ac:dyDescent="0.3">
      <c r="B4" s="118" t="s">
        <v>345</v>
      </c>
      <c r="C4" s="109"/>
      <c r="D4" s="109">
        <f>(OPEX!$E$52*10^6)*OPEX!$B$75</f>
        <v>67603002.818530008</v>
      </c>
      <c r="E4" s="109">
        <f>(OPEX!$E$52*10^6)*OPEX!$B$75</f>
        <v>67603002.818530008</v>
      </c>
      <c r="F4" s="109">
        <f>(OPEX!$E$52*10^6)*OPEX!$B$75</f>
        <v>67603002.818530008</v>
      </c>
      <c r="G4" s="109">
        <f>(OPEX!$E$52*10^6)*OPEX!$B$75</f>
        <v>67603002.818530008</v>
      </c>
      <c r="H4" s="109">
        <f>(OPEX!$E$52*10^6)*OPEX!$B$75</f>
        <v>67603002.818530008</v>
      </c>
      <c r="I4" s="109">
        <f>(OPEX!$E$52*10^6)*OPEX!$B$75</f>
        <v>67603002.818530008</v>
      </c>
      <c r="J4" s="109">
        <f>(OPEX!$E$52*10^6)*OPEX!$B$75</f>
        <v>67603002.818530008</v>
      </c>
      <c r="K4" s="109">
        <f>(OPEX!$E$52*10^6)*OPEX!$B$75</f>
        <v>67603002.818530008</v>
      </c>
      <c r="L4" s="109">
        <f>(OPEX!$E$52*10^6)*OPEX!$B$75</f>
        <v>67603002.818530008</v>
      </c>
      <c r="M4" s="109">
        <f>(OPEX!$E$52*10^6)*OPEX!$B$75</f>
        <v>67603002.818530008</v>
      </c>
      <c r="N4" s="109">
        <f>(OPEX!$E$52*10^6)*OPEX!$B$75</f>
        <v>67603002.818530008</v>
      </c>
      <c r="O4" s="109">
        <f>(OPEX!$E$52*10^6)*OPEX!$B$75</f>
        <v>67603002.818530008</v>
      </c>
      <c r="P4" s="109">
        <f>(OPEX!$E$52*10^6)*OPEX!$B$75</f>
        <v>67603002.818530008</v>
      </c>
      <c r="Q4" s="109">
        <f>(OPEX!$E$52*10^6)*OPEX!$B$75</f>
        <v>67603002.818530008</v>
      </c>
      <c r="R4" s="109">
        <f>(OPEX!$E$52*10^6)*OPEX!$B$75</f>
        <v>67603002.818530008</v>
      </c>
      <c r="S4" s="109">
        <f>(OPEX!$E$52*10^6)*OPEX!$B$75</f>
        <v>67603002.818530008</v>
      </c>
      <c r="T4" s="109">
        <f>(OPEX!$E$52*10^6)*OPEX!$B$75</f>
        <v>67603002.818530008</v>
      </c>
      <c r="U4" s="109">
        <f>(OPEX!$E$52*10^6)*OPEX!$B$75</f>
        <v>67603002.818530008</v>
      </c>
      <c r="V4" s="109">
        <f>(OPEX!$E$52*10^6)*OPEX!$B$75</f>
        <v>67603002.818530008</v>
      </c>
      <c r="W4" s="109">
        <f>(OPEX!$E$52*10^6)*OPEX!$B$75</f>
        <v>67603002.818530008</v>
      </c>
    </row>
    <row r="5" spans="2:23" x14ac:dyDescent="0.3">
      <c r="B5" s="118" t="s">
        <v>346</v>
      </c>
      <c r="C5" s="109"/>
      <c r="D5" s="109">
        <f>(OPEX!$E$53*10^6)*OPEX!$B$75</f>
        <v>19054939.654549394</v>
      </c>
      <c r="E5" s="109">
        <f>(OPEX!$E$53*10^6)*OPEX!$B$75</f>
        <v>19054939.654549394</v>
      </c>
      <c r="F5" s="109">
        <f>(OPEX!$E$53*10^6)*OPEX!$B$75</f>
        <v>19054939.654549394</v>
      </c>
      <c r="G5" s="109">
        <f>(OPEX!$E$53*10^6)*OPEX!$B$75</f>
        <v>19054939.654549394</v>
      </c>
      <c r="H5" s="109">
        <f>(OPEX!$E$53*10^6)*OPEX!$B$75</f>
        <v>19054939.654549394</v>
      </c>
      <c r="I5" s="109">
        <f>(OPEX!$E$53*10^6)*OPEX!$B$75</f>
        <v>19054939.654549394</v>
      </c>
      <c r="J5" s="109">
        <f>(OPEX!$E$53*10^6)*OPEX!$B$75</f>
        <v>19054939.654549394</v>
      </c>
      <c r="K5" s="109">
        <f>(OPEX!$E$53*10^6)*OPEX!$B$75</f>
        <v>19054939.654549394</v>
      </c>
      <c r="L5" s="109">
        <f>(OPEX!$E$53*10^6)*OPEX!$B$75</f>
        <v>19054939.654549394</v>
      </c>
      <c r="M5" s="109">
        <f>(OPEX!$E$53*10^6)*OPEX!$B$75</f>
        <v>19054939.654549394</v>
      </c>
      <c r="N5" s="109">
        <f>(OPEX!$E$53*10^6)*OPEX!$B$75</f>
        <v>19054939.654549394</v>
      </c>
      <c r="O5" s="109">
        <f>(OPEX!$E$53*10^6)*OPEX!$B$75</f>
        <v>19054939.654549394</v>
      </c>
      <c r="P5" s="109">
        <f>(OPEX!$E$53*10^6)*OPEX!$B$75</f>
        <v>19054939.654549394</v>
      </c>
      <c r="Q5" s="109">
        <f>(OPEX!$E$53*10^6)*OPEX!$B$75</f>
        <v>19054939.654549394</v>
      </c>
      <c r="R5" s="109">
        <f>(OPEX!$E$53*10^6)*OPEX!$B$75</f>
        <v>19054939.654549394</v>
      </c>
      <c r="S5" s="109">
        <f>(OPEX!$E$53*10^6)*OPEX!$B$75</f>
        <v>19054939.654549394</v>
      </c>
      <c r="T5" s="109">
        <f>(OPEX!$E$53*10^6)*OPEX!$B$75</f>
        <v>19054939.654549394</v>
      </c>
      <c r="U5" s="109">
        <f>(OPEX!$E$53*10^6)*OPEX!$B$75</f>
        <v>19054939.654549394</v>
      </c>
      <c r="V5" s="109">
        <f>(OPEX!$E$53*10^6)*OPEX!$B$75</f>
        <v>19054939.654549394</v>
      </c>
      <c r="W5" s="109">
        <f>(OPEX!$E$53*10^6)*OPEX!$B$75</f>
        <v>19054939.654549394</v>
      </c>
    </row>
    <row r="6" spans="2:23" x14ac:dyDescent="0.3">
      <c r="B6" s="118" t="s">
        <v>347</v>
      </c>
      <c r="C6" s="109"/>
      <c r="D6" s="109">
        <f>(OPEX!$E$55*10^6)*OPEX!$B$75</f>
        <v>700549.25200549234</v>
      </c>
      <c r="E6" s="109">
        <f>(OPEX!$E$55*10^6)*OPEX!$B$75</f>
        <v>700549.25200549234</v>
      </c>
      <c r="F6" s="109">
        <f>(OPEX!$E$55*10^6)*OPEX!$B$75</f>
        <v>700549.25200549234</v>
      </c>
      <c r="G6" s="109">
        <f>(OPEX!$E$55*10^6)*OPEX!$B$75</f>
        <v>700549.25200549234</v>
      </c>
      <c r="H6" s="109">
        <f>(OPEX!$E$55*10^6)*OPEX!$B$75</f>
        <v>700549.25200549234</v>
      </c>
      <c r="I6" s="109">
        <f>(OPEX!$E$55*10^6)*OPEX!$B$75</f>
        <v>700549.25200549234</v>
      </c>
      <c r="J6" s="109">
        <f>(OPEX!$E$55*10^6)*OPEX!$B$75</f>
        <v>700549.25200549234</v>
      </c>
      <c r="K6" s="109">
        <f>(OPEX!$E$55*10^6)*OPEX!$B$75</f>
        <v>700549.25200549234</v>
      </c>
      <c r="L6" s="109">
        <f>(OPEX!$E$55*10^6)*OPEX!$B$75</f>
        <v>700549.25200549234</v>
      </c>
      <c r="M6" s="109">
        <f>(OPEX!$E$55*10^6)*OPEX!$B$75</f>
        <v>700549.25200549234</v>
      </c>
      <c r="N6" s="109">
        <f>(OPEX!$E$55*10^6)*OPEX!$B$75</f>
        <v>700549.25200549234</v>
      </c>
      <c r="O6" s="109">
        <f>(OPEX!$E$55*10^6)*OPEX!$B$75</f>
        <v>700549.25200549234</v>
      </c>
      <c r="P6" s="109">
        <f>(OPEX!$E$55*10^6)*OPEX!$B$75</f>
        <v>700549.25200549234</v>
      </c>
      <c r="Q6" s="109">
        <f>(OPEX!$E$55*10^6)*OPEX!$B$75</f>
        <v>700549.25200549234</v>
      </c>
      <c r="R6" s="109">
        <f>(OPEX!$E$55*10^6)*OPEX!$B$75</f>
        <v>700549.25200549234</v>
      </c>
      <c r="S6" s="109">
        <f>(OPEX!$E$55*10^6)*OPEX!$B$75</f>
        <v>700549.25200549234</v>
      </c>
      <c r="T6" s="109">
        <f>(OPEX!$E$55*10^6)*OPEX!$B$75</f>
        <v>700549.25200549234</v>
      </c>
      <c r="U6" s="109">
        <f>(OPEX!$E$55*10^6)*OPEX!$B$75</f>
        <v>700549.25200549234</v>
      </c>
      <c r="V6" s="109">
        <f>(OPEX!$E$55*10^6)*OPEX!$B$75</f>
        <v>700549.25200549234</v>
      </c>
      <c r="W6" s="109">
        <f>(OPEX!$E$55*10^6)*OPEX!$B$75</f>
        <v>700549.25200549234</v>
      </c>
    </row>
    <row r="7" spans="2:23" x14ac:dyDescent="0.3">
      <c r="B7" s="118" t="s">
        <v>348</v>
      </c>
      <c r="C7" s="109"/>
      <c r="D7" s="109">
        <f>(OPEX!$E$54*10^6)*OPEX!$B$75</f>
        <v>40071417.214714162</v>
      </c>
      <c r="E7" s="109">
        <f>(OPEX!$E$54*10^6)*OPEX!$B$75</f>
        <v>40071417.214714162</v>
      </c>
      <c r="F7" s="109">
        <f>(OPEX!$E$54*10^6)*OPEX!$B$75</f>
        <v>40071417.214714162</v>
      </c>
      <c r="G7" s="109">
        <f>(OPEX!$E$54*10^6)*OPEX!$B$75</f>
        <v>40071417.214714162</v>
      </c>
      <c r="H7" s="109">
        <f>(OPEX!$E$54*10^6)*OPEX!$B$75</f>
        <v>40071417.214714162</v>
      </c>
      <c r="I7" s="109">
        <f>(OPEX!$E$54*10^6)*OPEX!$B$75</f>
        <v>40071417.214714162</v>
      </c>
      <c r="J7" s="109">
        <f>(OPEX!$E$54*10^6)*OPEX!$B$75</f>
        <v>40071417.214714162</v>
      </c>
      <c r="K7" s="109">
        <f>(OPEX!$E$54*10^6)*OPEX!$B$75</f>
        <v>40071417.214714162</v>
      </c>
      <c r="L7" s="109">
        <f>(OPEX!$E$54*10^6)*OPEX!$B$75</f>
        <v>40071417.214714162</v>
      </c>
      <c r="M7" s="109">
        <f>(OPEX!$E$54*10^6)*OPEX!$B$75</f>
        <v>40071417.214714162</v>
      </c>
      <c r="N7" s="109">
        <f>(OPEX!$E$54*10^6)*OPEX!$B$75</f>
        <v>40071417.214714162</v>
      </c>
      <c r="O7" s="109">
        <f>(OPEX!$E$54*10^6)*OPEX!$B$75</f>
        <v>40071417.214714162</v>
      </c>
      <c r="P7" s="109">
        <f>(OPEX!$E$54*10^6)*OPEX!$B$75</f>
        <v>40071417.214714162</v>
      </c>
      <c r="Q7" s="109">
        <f>(OPEX!$E$54*10^6)*OPEX!$B$75</f>
        <v>40071417.214714162</v>
      </c>
      <c r="R7" s="109">
        <f>(OPEX!$E$54*10^6)*OPEX!$B$75</f>
        <v>40071417.214714162</v>
      </c>
      <c r="S7" s="109">
        <f>(OPEX!$E$54*10^6)*OPEX!$B$75</f>
        <v>40071417.214714162</v>
      </c>
      <c r="T7" s="109">
        <f>(OPEX!$E$54*10^6)*OPEX!$B$75</f>
        <v>40071417.214714162</v>
      </c>
      <c r="U7" s="109">
        <f>(OPEX!$E$54*10^6)*OPEX!$B$75</f>
        <v>40071417.214714162</v>
      </c>
      <c r="V7" s="109">
        <f>(OPEX!$E$54*10^6)*OPEX!$B$75</f>
        <v>40071417.214714162</v>
      </c>
      <c r="W7" s="109">
        <f>(OPEX!$E$54*10^6)*OPEX!$B$75</f>
        <v>40071417.214714162</v>
      </c>
    </row>
    <row r="8" spans="2:23" x14ac:dyDescent="0.3">
      <c r="B8" s="118" t="s">
        <v>349</v>
      </c>
      <c r="C8" s="109"/>
      <c r="D8" s="109">
        <f>(OPEX!$E$51*10^6)*OPEX!$B$75</f>
        <v>71035694.153356925</v>
      </c>
      <c r="E8" s="109">
        <f>(OPEX!$E$51*10^6)*OPEX!$B$75</f>
        <v>71035694.153356925</v>
      </c>
      <c r="F8" s="109">
        <f>(OPEX!$E$51*10^6)*OPEX!$B$75</f>
        <v>71035694.153356925</v>
      </c>
      <c r="G8" s="109">
        <f>(OPEX!$E$51*10^6)*OPEX!$B$75</f>
        <v>71035694.153356925</v>
      </c>
      <c r="H8" s="109">
        <f>(OPEX!$E$51*10^6)*OPEX!$B$75</f>
        <v>71035694.153356925</v>
      </c>
      <c r="I8" s="109">
        <f>(OPEX!$E$51*10^6)*OPEX!$B$75</f>
        <v>71035694.153356925</v>
      </c>
      <c r="J8" s="109">
        <f>(OPEX!$E$51*10^6)*OPEX!$B$75</f>
        <v>71035694.153356925</v>
      </c>
      <c r="K8" s="109">
        <f>(OPEX!$E$51*10^6)*OPEX!$B$75</f>
        <v>71035694.153356925</v>
      </c>
      <c r="L8" s="109">
        <f>(OPEX!$E$51*10^6)*OPEX!$B$75</f>
        <v>71035694.153356925</v>
      </c>
      <c r="M8" s="109">
        <f>(OPEX!$E$51*10^6)*OPEX!$B$75</f>
        <v>71035694.153356925</v>
      </c>
      <c r="N8" s="109">
        <f>(OPEX!$E$51*10^6)*OPEX!$B$75</f>
        <v>71035694.153356925</v>
      </c>
      <c r="O8" s="109">
        <f>(OPEX!$E$51*10^6)*OPEX!$B$75</f>
        <v>71035694.153356925</v>
      </c>
      <c r="P8" s="109">
        <f>(OPEX!$E$51*10^6)*OPEX!$B$75</f>
        <v>71035694.153356925</v>
      </c>
      <c r="Q8" s="109">
        <f>(OPEX!$E$51*10^6)*OPEX!$B$75</f>
        <v>71035694.153356925</v>
      </c>
      <c r="R8" s="109">
        <f>(OPEX!$E$51*10^6)*OPEX!$B$75</f>
        <v>71035694.153356925</v>
      </c>
      <c r="S8" s="109">
        <f>(OPEX!$E$51*10^6)*OPEX!$B$75</f>
        <v>71035694.153356925</v>
      </c>
      <c r="T8" s="109">
        <f>(OPEX!$E$51*10^6)*OPEX!$B$75</f>
        <v>71035694.153356925</v>
      </c>
      <c r="U8" s="109">
        <f>(OPEX!$E$51*10^6)*OPEX!$B$75</f>
        <v>71035694.153356925</v>
      </c>
      <c r="V8" s="109">
        <f>(OPEX!$E$51*10^6)*OPEX!$B$75</f>
        <v>71035694.153356925</v>
      </c>
      <c r="W8" s="109">
        <f>(OPEX!$E$51*10^6)*OPEX!$B$75</f>
        <v>71035694.153356925</v>
      </c>
    </row>
    <row r="9" spans="2:23" x14ac:dyDescent="0.3">
      <c r="B9" s="118" t="s">
        <v>350</v>
      </c>
      <c r="C9" s="109"/>
      <c r="D9" s="109">
        <f>(OPEX!$E$56*10^6)*OPEX!$B$75</f>
        <v>840659.10240659083</v>
      </c>
      <c r="E9" s="109">
        <f>(OPEX!$E$56*10^6)*OPEX!$B$75</f>
        <v>840659.10240659083</v>
      </c>
      <c r="F9" s="109">
        <f>(OPEX!$E$56*10^6)*OPEX!$B$75</f>
        <v>840659.10240659083</v>
      </c>
      <c r="G9" s="109">
        <f>(OPEX!$E$56*10^6)*OPEX!$B$75</f>
        <v>840659.10240659083</v>
      </c>
      <c r="H9" s="109">
        <f>(OPEX!$E$56*10^6)*OPEX!$B$75</f>
        <v>840659.10240659083</v>
      </c>
      <c r="I9" s="109">
        <f>(OPEX!$E$56*10^6)*OPEX!$B$75</f>
        <v>840659.10240659083</v>
      </c>
      <c r="J9" s="109">
        <f>(OPEX!$E$56*10^6)*OPEX!$B$75</f>
        <v>840659.10240659083</v>
      </c>
      <c r="K9" s="109">
        <f>(OPEX!$E$56*10^6)*OPEX!$B$75</f>
        <v>840659.10240659083</v>
      </c>
      <c r="L9" s="109">
        <f>(OPEX!$E$56*10^6)*OPEX!$B$75</f>
        <v>840659.10240659083</v>
      </c>
      <c r="M9" s="109">
        <f>(OPEX!$E$56*10^6)*OPEX!$B$75</f>
        <v>840659.10240659083</v>
      </c>
      <c r="N9" s="109">
        <f>(OPEX!$E$56*10^6)*OPEX!$B$75</f>
        <v>840659.10240659083</v>
      </c>
      <c r="O9" s="109">
        <f>(OPEX!$E$56*10^6)*OPEX!$B$75</f>
        <v>840659.10240659083</v>
      </c>
      <c r="P9" s="109">
        <f>(OPEX!$E$56*10^6)*OPEX!$B$75</f>
        <v>840659.10240659083</v>
      </c>
      <c r="Q9" s="109">
        <f>(OPEX!$E$56*10^6)*OPEX!$B$75</f>
        <v>840659.10240659083</v>
      </c>
      <c r="R9" s="109">
        <f>(OPEX!$E$56*10^6)*OPEX!$B$75</f>
        <v>840659.10240659083</v>
      </c>
      <c r="S9" s="109">
        <f>(OPEX!$E$56*10^6)*OPEX!$B$75</f>
        <v>840659.10240659083</v>
      </c>
      <c r="T9" s="109">
        <f>(OPEX!$E$56*10^6)*OPEX!$B$75</f>
        <v>840659.10240659083</v>
      </c>
      <c r="U9" s="109">
        <f>(OPEX!$E$56*10^6)*OPEX!$B$75</f>
        <v>840659.10240659083</v>
      </c>
      <c r="V9" s="109">
        <f>(OPEX!$E$56*10^6)*OPEX!$B$75</f>
        <v>840659.10240659083</v>
      </c>
      <c r="W9" s="109">
        <f>(OPEX!$E$56*10^6)*OPEX!$B$75</f>
        <v>840659.10240659083</v>
      </c>
    </row>
    <row r="10" spans="2:23" x14ac:dyDescent="0.3">
      <c r="B10" s="118" t="s">
        <v>351</v>
      </c>
      <c r="C10" s="109"/>
      <c r="D10" s="109">
        <f>((OPEX!$E$57+OPEX!$B$62)*10^6)*OPEX!$B$75</f>
        <v>840659.10240659083</v>
      </c>
      <c r="E10" s="109">
        <f>((OPEX!$E$57+OPEX!$B$62)*10^6)*OPEX!$B$75</f>
        <v>840659.10240659083</v>
      </c>
      <c r="F10" s="109">
        <f>((OPEX!$E$57+OPEX!$B$62)*10^6)*OPEX!$B$75</f>
        <v>840659.10240659083</v>
      </c>
      <c r="G10" s="109">
        <f>((OPEX!$E$57+OPEX!$B$62)*10^6)*OPEX!$B$75</f>
        <v>840659.10240659083</v>
      </c>
      <c r="H10" s="109">
        <f>((OPEX!$E$57+OPEX!$B$62)*10^6)*OPEX!$B$75</f>
        <v>840659.10240659083</v>
      </c>
      <c r="I10" s="109">
        <f>((OPEX!$E$57+OPEX!$B$62)*10^6)*OPEX!$B$75</f>
        <v>840659.10240659083</v>
      </c>
      <c r="J10" s="109">
        <f>((OPEX!$E$57+OPEX!$B$62)*10^6)*OPEX!$B$75</f>
        <v>840659.10240659083</v>
      </c>
      <c r="K10" s="109">
        <f>((OPEX!$E$57+OPEX!$B$62)*10^6)*OPEX!$B$75</f>
        <v>840659.10240659083</v>
      </c>
      <c r="L10" s="109">
        <f>((OPEX!$E$57+OPEX!$B$62)*10^6)*OPEX!$B$75</f>
        <v>840659.10240659083</v>
      </c>
      <c r="M10" s="109">
        <f>((OPEX!$E$57+OPEX!$B$62)*10^6)*OPEX!$B$75</f>
        <v>840659.10240659083</v>
      </c>
      <c r="N10" s="109">
        <f>((OPEX!$E$57+OPEX!$B$62)*10^6)*OPEX!$B$75</f>
        <v>840659.10240659083</v>
      </c>
      <c r="O10" s="109">
        <f>((OPEX!$E$57+OPEX!$B$62)*10^6)*OPEX!$B$75</f>
        <v>840659.10240659083</v>
      </c>
      <c r="P10" s="109">
        <f>((OPEX!$E$57+OPEX!$B$62)*10^6)*OPEX!$B$75</f>
        <v>840659.10240659083</v>
      </c>
      <c r="Q10" s="109">
        <f>((OPEX!$E$57+OPEX!$B$62)*10^6)*OPEX!$B$75</f>
        <v>840659.10240659083</v>
      </c>
      <c r="R10" s="109">
        <f>((OPEX!$E$57+OPEX!$B$62)*10^6)*OPEX!$B$75</f>
        <v>840659.10240659083</v>
      </c>
      <c r="S10" s="109">
        <f>((OPEX!$E$57+OPEX!$B$62)*10^6)*OPEX!$B$75</f>
        <v>840659.10240659083</v>
      </c>
      <c r="T10" s="109">
        <f>((OPEX!$E$57+OPEX!$B$62)*10^6)*OPEX!$B$75</f>
        <v>840659.10240659083</v>
      </c>
      <c r="U10" s="109">
        <f>((OPEX!$E$57+OPEX!$B$62)*10^6)*OPEX!$B$75</f>
        <v>840659.10240659083</v>
      </c>
      <c r="V10" s="109">
        <f>((OPEX!$E$57+OPEX!$B$62)*10^6)*OPEX!$B$75</f>
        <v>840659.10240659083</v>
      </c>
      <c r="W10" s="109">
        <f>((OPEX!$E$57+OPEX!$B$62)*10^6)*OPEX!$B$75</f>
        <v>840659.10240659083</v>
      </c>
    </row>
    <row r="11" spans="2:23" x14ac:dyDescent="0.3">
      <c r="B11" s="118" t="s">
        <v>352</v>
      </c>
      <c r="C11" s="109"/>
      <c r="D11" s="109">
        <f>(OPEX!$E$58*10^6)*OPEX!$B$75</f>
        <v>1891482.9804148297</v>
      </c>
      <c r="E11" s="109">
        <f>(OPEX!$E$58*10^6)*OPEX!$B$75</f>
        <v>1891482.9804148297</v>
      </c>
      <c r="F11" s="109">
        <f>(OPEX!$E$58*10^6)*OPEX!$B$75</f>
        <v>1891482.9804148297</v>
      </c>
      <c r="G11" s="109">
        <f>(OPEX!$E$58*10^6)*OPEX!$B$75</f>
        <v>1891482.9804148297</v>
      </c>
      <c r="H11" s="109">
        <f>(OPEX!$E$58*10^6)*OPEX!$B$75</f>
        <v>1891482.9804148297</v>
      </c>
      <c r="I11" s="109">
        <f>(OPEX!$E$58*10^6)*OPEX!$B$75</f>
        <v>1891482.9804148297</v>
      </c>
      <c r="J11" s="109">
        <f>(OPEX!$E$58*10^6)*OPEX!$B$75</f>
        <v>1891482.9804148297</v>
      </c>
      <c r="K11" s="109">
        <f>(OPEX!$E$58*10^6)*OPEX!$B$75</f>
        <v>1891482.9804148297</v>
      </c>
      <c r="L11" s="109">
        <f>(OPEX!$E$58*10^6)*OPEX!$B$75</f>
        <v>1891482.9804148297</v>
      </c>
      <c r="M11" s="109">
        <f>(OPEX!$E$58*10^6)*OPEX!$B$75</f>
        <v>1891482.9804148297</v>
      </c>
      <c r="N11" s="109">
        <f>(OPEX!$E$58*10^6)*OPEX!$B$75</f>
        <v>1891482.9804148297</v>
      </c>
      <c r="O11" s="109">
        <f>(OPEX!$E$58*10^6)*OPEX!$B$75</f>
        <v>1891482.9804148297</v>
      </c>
      <c r="P11" s="109">
        <f>(OPEX!$E$58*10^6)*OPEX!$B$75</f>
        <v>1891482.9804148297</v>
      </c>
      <c r="Q11" s="109">
        <f>(OPEX!$E$58*10^6)*OPEX!$B$75</f>
        <v>1891482.9804148297</v>
      </c>
      <c r="R11" s="109">
        <f>(OPEX!$E$58*10^6)*OPEX!$B$75</f>
        <v>1891482.9804148297</v>
      </c>
      <c r="S11" s="109">
        <f>(OPEX!$E$58*10^6)*OPEX!$B$75</f>
        <v>1891482.9804148297</v>
      </c>
      <c r="T11" s="109">
        <f>(OPEX!$E$58*10^6)*OPEX!$B$75</f>
        <v>1891482.9804148297</v>
      </c>
      <c r="U11" s="109">
        <f>(OPEX!$E$58*10^6)*OPEX!$B$75</f>
        <v>1891482.9804148297</v>
      </c>
      <c r="V11" s="109">
        <f>(OPEX!$E$58*10^6)*OPEX!$B$75</f>
        <v>1891482.9804148297</v>
      </c>
      <c r="W11" s="109">
        <f>(OPEX!$E$58*10^6)*OPEX!$B$75</f>
        <v>1891482.9804148297</v>
      </c>
    </row>
    <row r="12" spans="2:23" x14ac:dyDescent="0.3">
      <c r="B12" s="118" t="s">
        <v>353</v>
      </c>
      <c r="C12" s="109"/>
      <c r="D12" s="109">
        <f>(OPEX!$E$60*10^6)*OPEX!$B$75</f>
        <v>22207411.288574111</v>
      </c>
      <c r="E12" s="109">
        <f>(OPEX!$E$60*10^6)*OPEX!$B$75</f>
        <v>22207411.288574111</v>
      </c>
      <c r="F12" s="109">
        <f>(OPEX!$E$60*10^6)*OPEX!$B$75</f>
        <v>22207411.288574111</v>
      </c>
      <c r="G12" s="109">
        <f>(OPEX!$E$60*10^6)*OPEX!$B$75</f>
        <v>22207411.288574111</v>
      </c>
      <c r="H12" s="109">
        <f>(OPEX!$E$60*10^6)*OPEX!$B$75</f>
        <v>22207411.288574111</v>
      </c>
      <c r="I12" s="109">
        <f>(OPEX!$E$60*10^6)*OPEX!$B$75</f>
        <v>22207411.288574111</v>
      </c>
      <c r="J12" s="109">
        <f>(OPEX!$E$60*10^6)*OPEX!$B$75</f>
        <v>22207411.288574111</v>
      </c>
      <c r="K12" s="109">
        <f>(OPEX!$E$60*10^6)*OPEX!$B$75</f>
        <v>22207411.288574111</v>
      </c>
      <c r="L12" s="109">
        <f>(OPEX!$E$60*10^6)*OPEX!$B$75</f>
        <v>22207411.288574111</v>
      </c>
      <c r="M12" s="109">
        <f>(OPEX!$E$60*10^6)*OPEX!$B$75</f>
        <v>22207411.288574111</v>
      </c>
      <c r="N12" s="109">
        <f>(OPEX!$E$60*10^6)*OPEX!$B$75</f>
        <v>22207411.288574111</v>
      </c>
      <c r="O12" s="109">
        <f>(OPEX!$E$60*10^6)*OPEX!$B$75</f>
        <v>22207411.288574111</v>
      </c>
      <c r="P12" s="109">
        <f>(OPEX!$E$60*10^6)*OPEX!$B$75</f>
        <v>22207411.288574111</v>
      </c>
      <c r="Q12" s="109">
        <f>(OPEX!$E$60*10^6)*OPEX!$B$75</f>
        <v>22207411.288574111</v>
      </c>
      <c r="R12" s="109">
        <f>(OPEX!$E$60*10^6)*OPEX!$B$75</f>
        <v>22207411.288574111</v>
      </c>
      <c r="S12" s="109">
        <f>(OPEX!$E$60*10^6)*OPEX!$B$75</f>
        <v>22207411.288574111</v>
      </c>
      <c r="T12" s="109">
        <f>(OPEX!$E$60*10^6)*OPEX!$B$75</f>
        <v>22207411.288574111</v>
      </c>
      <c r="U12" s="109">
        <f>(OPEX!$E$60*10^6)*OPEX!$B$75</f>
        <v>22207411.288574111</v>
      </c>
      <c r="V12" s="109">
        <f>(OPEX!$E$60*10^6)*OPEX!$B$75</f>
        <v>22207411.288574111</v>
      </c>
      <c r="W12" s="109">
        <f>(OPEX!$E$60*10^6)*OPEX!$B$75</f>
        <v>22207411.288574111</v>
      </c>
    </row>
    <row r="13" spans="2:23" x14ac:dyDescent="0.3">
      <c r="B13" s="118" t="s">
        <v>354</v>
      </c>
      <c r="C13" s="109"/>
      <c r="D13" s="109">
        <f>(OPEX!$E$59*10^6)*OPEX!$B$75</f>
        <v>140109.85040109849</v>
      </c>
      <c r="E13" s="109">
        <f>(OPEX!$E$59*10^6)*OPEX!$B$75</f>
        <v>140109.85040109849</v>
      </c>
      <c r="F13" s="109">
        <f>(OPEX!$E$59*10^6)*OPEX!$B$75</f>
        <v>140109.85040109849</v>
      </c>
      <c r="G13" s="109">
        <f>(OPEX!$E$59*10^6)*OPEX!$B$75</f>
        <v>140109.85040109849</v>
      </c>
      <c r="H13" s="109">
        <f>(OPEX!$E$59*10^6)*OPEX!$B$75</f>
        <v>140109.85040109849</v>
      </c>
      <c r="I13" s="109">
        <f>(OPEX!$E$59*10^6)*OPEX!$B$75</f>
        <v>140109.85040109849</v>
      </c>
      <c r="J13" s="109">
        <f>(OPEX!$E$59*10^6)*OPEX!$B$75</f>
        <v>140109.85040109849</v>
      </c>
      <c r="K13" s="109">
        <f>(OPEX!$E$59*10^6)*OPEX!$B$75</f>
        <v>140109.85040109849</v>
      </c>
      <c r="L13" s="109">
        <f>(OPEX!$E$59*10^6)*OPEX!$B$75</f>
        <v>140109.85040109849</v>
      </c>
      <c r="M13" s="109">
        <f>(OPEX!$E$59*10^6)*OPEX!$B$75</f>
        <v>140109.85040109849</v>
      </c>
      <c r="N13" s="109">
        <f>(OPEX!$E$59*10^6)*OPEX!$B$75</f>
        <v>140109.85040109849</v>
      </c>
      <c r="O13" s="109">
        <f>(OPEX!$E$59*10^6)*OPEX!$B$75</f>
        <v>140109.85040109849</v>
      </c>
      <c r="P13" s="109">
        <f>(OPEX!$E$59*10^6)*OPEX!$B$75</f>
        <v>140109.85040109849</v>
      </c>
      <c r="Q13" s="109">
        <f>(OPEX!$E$59*10^6)*OPEX!$B$75</f>
        <v>140109.85040109849</v>
      </c>
      <c r="R13" s="109">
        <f>(OPEX!$E$59*10^6)*OPEX!$B$75</f>
        <v>140109.85040109849</v>
      </c>
      <c r="S13" s="109">
        <f>(OPEX!$E$59*10^6)*OPEX!$B$75</f>
        <v>140109.85040109849</v>
      </c>
      <c r="T13" s="109">
        <f>(OPEX!$E$59*10^6)*OPEX!$B$75</f>
        <v>140109.85040109849</v>
      </c>
      <c r="U13" s="109">
        <f>(OPEX!$E$59*10^6)*OPEX!$B$75</f>
        <v>140109.85040109849</v>
      </c>
      <c r="V13" s="109">
        <f>(OPEX!$E$59*10^6)*OPEX!$B$75</f>
        <v>140109.85040109849</v>
      </c>
      <c r="W13" s="109">
        <f>(OPEX!$E$59*10^6)*OPEX!$B$75</f>
        <v>140109.85040109849</v>
      </c>
    </row>
    <row r="14" spans="2:23" x14ac:dyDescent="0.3">
      <c r="B14" s="118" t="s">
        <v>355</v>
      </c>
      <c r="C14" s="109"/>
      <c r="D14" s="109">
        <f>(OPEX!$E$61*10^6)*OPEX!$B$75</f>
        <v>55553555.68403554</v>
      </c>
      <c r="E14" s="109">
        <f>(OPEX!$E$61*10^6)*OPEX!$B$75</f>
        <v>55553555.68403554</v>
      </c>
      <c r="F14" s="109">
        <f>(OPEX!$E$61*10^6)*OPEX!$B$75</f>
        <v>55553555.68403554</v>
      </c>
      <c r="G14" s="109">
        <f>(OPEX!$E$61*10^6)*OPEX!$B$75</f>
        <v>55553555.68403554</v>
      </c>
      <c r="H14" s="109">
        <f>(OPEX!$E$61*10^6)*OPEX!$B$75</f>
        <v>55553555.68403554</v>
      </c>
      <c r="I14" s="109">
        <f>(OPEX!$E$61*10^6)*OPEX!$B$75</f>
        <v>55553555.68403554</v>
      </c>
      <c r="J14" s="109">
        <f>(OPEX!$E$61*10^6)*OPEX!$B$75</f>
        <v>55553555.68403554</v>
      </c>
      <c r="K14" s="109">
        <f>(OPEX!$E$61*10^6)*OPEX!$B$75</f>
        <v>55553555.68403554</v>
      </c>
      <c r="L14" s="109">
        <f>(OPEX!$E$61*10^6)*OPEX!$B$75</f>
        <v>55553555.68403554</v>
      </c>
      <c r="M14" s="109">
        <f>(OPEX!$E$61*10^6)*OPEX!$B$75</f>
        <v>55553555.68403554</v>
      </c>
      <c r="N14" s="109">
        <f>(OPEX!$E$61*10^6)*OPEX!$B$75</f>
        <v>55553555.68403554</v>
      </c>
      <c r="O14" s="109">
        <f>(OPEX!$E$61*10^6)*OPEX!$B$75</f>
        <v>55553555.68403554</v>
      </c>
      <c r="P14" s="109">
        <f>(OPEX!$E$61*10^6)*OPEX!$B$75</f>
        <v>55553555.68403554</v>
      </c>
      <c r="Q14" s="109">
        <f>(OPEX!$E$61*10^6)*OPEX!$B$75</f>
        <v>55553555.68403554</v>
      </c>
      <c r="R14" s="109">
        <f>(OPEX!$E$61*10^6)*OPEX!$B$75</f>
        <v>55553555.68403554</v>
      </c>
      <c r="S14" s="109">
        <f>(OPEX!$E$61*10^6)*OPEX!$B$75</f>
        <v>55553555.68403554</v>
      </c>
      <c r="T14" s="109">
        <f>(OPEX!$E$61*10^6)*OPEX!$B$75</f>
        <v>55553555.68403554</v>
      </c>
      <c r="U14" s="109">
        <f>(OPEX!$E$61*10^6)*OPEX!$B$75</f>
        <v>55553555.68403554</v>
      </c>
      <c r="V14" s="109">
        <f>(OPEX!$E$61*10^6)*OPEX!$B$75</f>
        <v>55553555.68403554</v>
      </c>
      <c r="W14" s="109">
        <f>(OPEX!$E$61*10^6)*OPEX!$B$75</f>
        <v>55553555.68403554</v>
      </c>
    </row>
    <row r="15" spans="2:23" x14ac:dyDescent="0.3">
      <c r="B15" s="118" t="s">
        <v>356</v>
      </c>
      <c r="C15" s="109"/>
      <c r="D15" s="109">
        <f>(OPEX!$E$67*10^6)*OPEX!$B$75</f>
        <v>70531070.754800111</v>
      </c>
      <c r="E15" s="109">
        <f>(OPEX!$E$67*10^6)*OPEX!$B$75</f>
        <v>70531070.754800111</v>
      </c>
      <c r="F15" s="109">
        <f>(OPEX!$E$67*10^6)*OPEX!$B$75</f>
        <v>70531070.754800111</v>
      </c>
      <c r="G15" s="109">
        <f>(OPEX!$E$67*10^6)*OPEX!$B$75</f>
        <v>70531070.754800111</v>
      </c>
      <c r="H15" s="109">
        <f>(OPEX!$E$67*10^6)*OPEX!$B$75</f>
        <v>70531070.754800111</v>
      </c>
      <c r="I15" s="109">
        <f>(OPEX!$E$67*10^6)*OPEX!$B$75</f>
        <v>70531070.754800111</v>
      </c>
      <c r="J15" s="109">
        <f>(OPEX!$E$67*10^6)*OPEX!$B$75</f>
        <v>70531070.754800111</v>
      </c>
      <c r="K15" s="109">
        <f>(OPEX!$E$67*10^6)*OPEX!$B$75</f>
        <v>70531070.754800111</v>
      </c>
      <c r="L15" s="109">
        <f>(OPEX!$E$67*10^6)*OPEX!$B$75</f>
        <v>70531070.754800111</v>
      </c>
      <c r="M15" s="109">
        <f>(OPEX!$E$67*10^6)*OPEX!$B$75</f>
        <v>70531070.754800111</v>
      </c>
      <c r="N15" s="109">
        <f>(OPEX!$E$67*10^6)*OPEX!$B$75</f>
        <v>70531070.754800111</v>
      </c>
      <c r="O15" s="109">
        <f>(OPEX!$E$67*10^6)*OPEX!$B$75</f>
        <v>70531070.754800111</v>
      </c>
      <c r="P15" s="109">
        <f>(OPEX!$E$67*10^6)*OPEX!$B$75</f>
        <v>70531070.754800111</v>
      </c>
      <c r="Q15" s="109">
        <f>(OPEX!$E$67*10^6)*OPEX!$B$75</f>
        <v>70531070.754800111</v>
      </c>
      <c r="R15" s="109">
        <f>(OPEX!$E$67*10^6)*OPEX!$B$75</f>
        <v>70531070.754800111</v>
      </c>
      <c r="S15" s="109">
        <f>(OPEX!$E$67*10^6)*OPEX!$B$75</f>
        <v>70531070.754800111</v>
      </c>
      <c r="T15" s="109">
        <f>(OPEX!$E$67*10^6)*OPEX!$B$75</f>
        <v>70531070.754800111</v>
      </c>
      <c r="U15" s="109">
        <f>(OPEX!$E$67*10^6)*OPEX!$B$75</f>
        <v>70531070.754800111</v>
      </c>
      <c r="V15" s="109">
        <f>(OPEX!$E$67*10^6)*OPEX!$B$75</f>
        <v>70531070.754800111</v>
      </c>
      <c r="W15" s="109">
        <f>(OPEX!$E$67*10^6)*OPEX!$B$75</f>
        <v>70531070.754800111</v>
      </c>
    </row>
    <row r="16" spans="2:23" x14ac:dyDescent="0.3">
      <c r="B16" s="118" t="s">
        <v>358</v>
      </c>
      <c r="C16" s="109"/>
      <c r="D16" s="109">
        <f>(OPEX!$E$69*10^6)*OPEX!$B$75</f>
        <v>37269220.206692196</v>
      </c>
      <c r="E16" s="109">
        <f>(OPEX!$E$69*10^6)*OPEX!$B$75</f>
        <v>37269220.206692196</v>
      </c>
      <c r="F16" s="109">
        <f>(OPEX!$E$69*10^6)*OPEX!$B$75</f>
        <v>37269220.206692196</v>
      </c>
      <c r="G16" s="109">
        <f>(OPEX!$E$69*10^6)*OPEX!$B$75</f>
        <v>37269220.206692196</v>
      </c>
      <c r="H16" s="109">
        <f>(OPEX!$E$69*10^6)*OPEX!$B$75</f>
        <v>37269220.206692196</v>
      </c>
      <c r="I16" s="109">
        <f>(OPEX!$E$69*10^6)*OPEX!$B$75</f>
        <v>37269220.206692196</v>
      </c>
      <c r="J16" s="109">
        <f>(OPEX!$E$69*10^6)*OPEX!$B$75</f>
        <v>37269220.206692196</v>
      </c>
      <c r="K16" s="109">
        <f>(OPEX!$E$69*10^6)*OPEX!$B$75</f>
        <v>37269220.206692196</v>
      </c>
      <c r="L16" s="109">
        <f>(OPEX!$E$69*10^6)*OPEX!$B$75</f>
        <v>37269220.206692196</v>
      </c>
      <c r="M16" s="109">
        <f>(OPEX!$E$69*10^6)*OPEX!$B$75</f>
        <v>37269220.206692196</v>
      </c>
      <c r="N16" s="109">
        <f>(OPEX!$E$69*10^6)*OPEX!$B$75</f>
        <v>37269220.206692196</v>
      </c>
      <c r="O16" s="109">
        <f>(OPEX!$E$69*10^6)*OPEX!$B$75</f>
        <v>37269220.206692196</v>
      </c>
      <c r="P16" s="109">
        <f>(OPEX!$E$69*10^6)*OPEX!$B$75</f>
        <v>37269220.206692196</v>
      </c>
      <c r="Q16" s="109">
        <f>(OPEX!$E$69*10^6)*OPEX!$B$75</f>
        <v>37269220.206692196</v>
      </c>
      <c r="R16" s="109">
        <f>(OPEX!$E$69*10^6)*OPEX!$B$75</f>
        <v>37269220.206692196</v>
      </c>
      <c r="S16" s="109">
        <f>(OPEX!$E$69*10^6)*OPEX!$B$75</f>
        <v>37269220.206692196</v>
      </c>
      <c r="T16" s="109">
        <f>(OPEX!$E$69*10^6)*OPEX!$B$75</f>
        <v>37269220.206692196</v>
      </c>
      <c r="U16" s="109">
        <f>(OPEX!$E$69*10^6)*OPEX!$B$75</f>
        <v>37269220.206692196</v>
      </c>
      <c r="V16" s="109">
        <f>(OPEX!$E$69*10^6)*OPEX!$B$75</f>
        <v>37269220.206692196</v>
      </c>
      <c r="W16" s="109">
        <f>(OPEX!$E$69*10^6)*OPEX!$B$75</f>
        <v>37269220.206692196</v>
      </c>
    </row>
    <row r="17" spans="2:25" x14ac:dyDescent="0.3">
      <c r="B17" s="110" t="s">
        <v>342</v>
      </c>
      <c r="C17" s="110"/>
      <c r="D17" s="111">
        <f>D2-D3</f>
        <v>783121834.72793663</v>
      </c>
      <c r="E17" s="111">
        <f t="shared" ref="E17:V17" si="0">E2-E3</f>
        <v>872911819.2464081</v>
      </c>
      <c r="F17" s="111">
        <f t="shared" si="0"/>
        <v>1216947300.340241</v>
      </c>
      <c r="G17" s="111">
        <f t="shared" si="0"/>
        <v>1544023711.2114315</v>
      </c>
      <c r="H17" s="111">
        <f t="shared" si="0"/>
        <v>1617791579.3258286</v>
      </c>
      <c r="I17" s="111">
        <f t="shared" si="0"/>
        <v>1617791579.325829</v>
      </c>
      <c r="J17" s="111">
        <f t="shared" si="0"/>
        <v>1617791579.32583</v>
      </c>
      <c r="K17" s="111">
        <f t="shared" si="0"/>
        <v>1617791579.32583</v>
      </c>
      <c r="L17" s="111">
        <f t="shared" si="0"/>
        <v>1617791579.3258295</v>
      </c>
      <c r="M17" s="111">
        <f t="shared" si="0"/>
        <v>1617791579.325829</v>
      </c>
      <c r="N17" s="111">
        <f>N2-N3</f>
        <v>1737376358.7446289</v>
      </c>
      <c r="O17" s="111">
        <f t="shared" si="0"/>
        <v>1737376358.7446294</v>
      </c>
      <c r="P17" s="111">
        <f t="shared" si="0"/>
        <v>1737376358.7446289</v>
      </c>
      <c r="Q17" s="111">
        <f t="shared" si="0"/>
        <v>1737376358.7446294</v>
      </c>
      <c r="R17" s="111">
        <f t="shared" si="0"/>
        <v>1737376358.7446289</v>
      </c>
      <c r="S17" s="111">
        <f t="shared" si="0"/>
        <v>1737376358.7446289</v>
      </c>
      <c r="T17" s="111">
        <f t="shared" si="0"/>
        <v>1771374688.1357765</v>
      </c>
      <c r="U17" s="111">
        <f t="shared" si="0"/>
        <v>1771376223.2431908</v>
      </c>
      <c r="V17" s="111">
        <f t="shared" si="0"/>
        <v>1680810303.0016913</v>
      </c>
      <c r="W17" s="111">
        <f>W2-W3</f>
        <v>1669561290.6662884</v>
      </c>
    </row>
    <row r="18" spans="2:25" s="41" customFormat="1" x14ac:dyDescent="0.3">
      <c r="B18" s="164" t="s">
        <v>410</v>
      </c>
      <c r="C18" s="106"/>
      <c r="D18" s="106">
        <f>E18</f>
        <v>201964577.66580552</v>
      </c>
      <c r="E18" s="106">
        <f t="shared" ref="E18:M18" si="1">F18</f>
        <v>201964577.66580552</v>
      </c>
      <c r="F18" s="106">
        <f t="shared" si="1"/>
        <v>201964577.66580552</v>
      </c>
      <c r="G18" s="106">
        <f t="shared" si="1"/>
        <v>201964577.66580552</v>
      </c>
      <c r="H18" s="106">
        <f t="shared" si="1"/>
        <v>201964577.66580552</v>
      </c>
      <c r="I18" s="106">
        <f t="shared" si="1"/>
        <v>201964577.66580552</v>
      </c>
      <c r="J18" s="106">
        <f t="shared" si="1"/>
        <v>201964577.66580552</v>
      </c>
      <c r="K18" s="106">
        <f t="shared" si="1"/>
        <v>201964577.66580552</v>
      </c>
      <c r="L18" s="106">
        <f t="shared" si="1"/>
        <v>201964577.66580552</v>
      </c>
      <c r="M18" s="106">
        <f t="shared" si="1"/>
        <v>201964577.66580552</v>
      </c>
      <c r="N18" s="106">
        <f>O18</f>
        <v>201964577.66580552</v>
      </c>
      <c r="O18" s="106">
        <f>((406049*1000)*(1+(SUMIFS(Inflação!$L$1:$L$20,Inflação!$I$1:$I$20,O$1)+Inflação!$K$22))*'Receita Máxima'!$H$47)</f>
        <v>201964577.66580552</v>
      </c>
      <c r="P18" s="106">
        <f>((422429*1000)*(1+(SUMIFS(Inflação!$L$1:$L$20,Inflação!$I$1:$I$20,P$1)+Inflação!$K$22))*'Receita Máxima'!$H$47)</f>
        <v>211173709.34135738</v>
      </c>
      <c r="Q18" s="106">
        <f>((336045*1000)*(1+(SUMIFS(Inflação!$L$1:$L$20,Inflação!$I$1:$I$20,Q$1)+Inflação!$K$22))*'Receita Máxima'!$H$47)</f>
        <v>156625074.53007716</v>
      </c>
      <c r="R18" s="106">
        <f>(((439093*1000)*(1+(SUMIFS(Inflação!$L$1:$L$20,Inflação!$I$1:$I$20,R$1)+Inflação!$K$22))*'Receita Máxima'!$H$47))</f>
        <v>191242559.43487641</v>
      </c>
      <c r="S18" s="106">
        <f>((450910*1000)*(1+(SUMIFS(Inflação!$L$1:$L$20,Inflação!$I$1:$I$20,S$1)+Inflação!$K$22))*'Receita Máxima'!$H$47)</f>
        <v>160957538.14162177</v>
      </c>
      <c r="T18" s="106">
        <f>((461439*1000)*(1+(SUMIFS(Inflação!$L$1:$L$20,Inflação!$I$1:$I$20,T$1)+Inflação!$K$22))*'Receita Máxima'!$H$47)</f>
        <v>141056134.32001835</v>
      </c>
      <c r="U18" s="106">
        <f>((478771*1000)*(1+(SUMIFS(Inflação!$L$1:$L$20,Inflação!$I$1:$I$20,U$1)+Inflação!$K$22))*'Receita Máxima'!$H$47)</f>
        <v>139218185.77947769</v>
      </c>
      <c r="V18" s="106">
        <f>((457834*1000)*(1+(Inflação!$K$22))*'Receita Máxima'!$H$47)</f>
        <v>134705644.19142976</v>
      </c>
      <c r="W18" s="106">
        <f>V18</f>
        <v>134705644.19142976</v>
      </c>
    </row>
    <row r="19" spans="2:25" s="41" customFormat="1" x14ac:dyDescent="0.3">
      <c r="B19" s="112" t="s">
        <v>343</v>
      </c>
      <c r="C19" s="112"/>
      <c r="D19" s="112">
        <f>D17-D18</f>
        <v>581157257.06213117</v>
      </c>
      <c r="E19" s="112">
        <f>E17-E18</f>
        <v>670947241.58060265</v>
      </c>
      <c r="F19" s="112">
        <f t="shared" ref="E19:W19" si="2">F17-F18</f>
        <v>1014982722.6744354</v>
      </c>
      <c r="G19" s="112">
        <f t="shared" si="2"/>
        <v>1342059133.5456259</v>
      </c>
      <c r="H19" s="112">
        <f t="shared" si="2"/>
        <v>1415827001.660023</v>
      </c>
      <c r="I19" s="112">
        <f t="shared" si="2"/>
        <v>1415827001.6600235</v>
      </c>
      <c r="J19" s="112">
        <f t="shared" si="2"/>
        <v>1415827001.6600244</v>
      </c>
      <c r="K19" s="112">
        <f t="shared" si="2"/>
        <v>1415827001.6600244</v>
      </c>
      <c r="L19" s="112">
        <f t="shared" si="2"/>
        <v>1415827001.6600239</v>
      </c>
      <c r="M19" s="112">
        <f t="shared" si="2"/>
        <v>1415827001.6600235</v>
      </c>
      <c r="N19" s="112">
        <f t="shared" si="2"/>
        <v>1535411781.0788233</v>
      </c>
      <c r="O19" s="112">
        <f t="shared" si="2"/>
        <v>1535411781.0788238</v>
      </c>
      <c r="P19" s="112">
        <f t="shared" si="2"/>
        <v>1526202649.4032714</v>
      </c>
      <c r="Q19" s="112">
        <f t="shared" si="2"/>
        <v>1580751284.2145522</v>
      </c>
      <c r="R19" s="112">
        <f t="shared" si="2"/>
        <v>1546133799.3097525</v>
      </c>
      <c r="S19" s="112">
        <f t="shared" si="2"/>
        <v>1576418820.6030071</v>
      </c>
      <c r="T19" s="112">
        <f t="shared" si="2"/>
        <v>1630318553.8157582</v>
      </c>
      <c r="U19" s="112">
        <f t="shared" si="2"/>
        <v>1632158037.4637132</v>
      </c>
      <c r="V19" s="112">
        <f t="shared" si="2"/>
        <v>1546104658.8102615</v>
      </c>
      <c r="W19" s="112">
        <f t="shared" si="2"/>
        <v>1534855646.4748585</v>
      </c>
    </row>
    <row r="20" spans="2:25" x14ac:dyDescent="0.3">
      <c r="B20" s="14" t="s">
        <v>344</v>
      </c>
      <c r="C20" s="14"/>
      <c r="D20" s="113">
        <f>34%*D19</f>
        <v>197593467.4011246</v>
      </c>
      <c r="E20" s="113">
        <f t="shared" ref="E20:W20" si="3">34%*E19</f>
        <v>228122062.13740492</v>
      </c>
      <c r="F20" s="113">
        <f t="shared" si="3"/>
        <v>345094125.70930803</v>
      </c>
      <c r="G20" s="113">
        <f t="shared" si="3"/>
        <v>456300105.40551287</v>
      </c>
      <c r="H20" s="113">
        <f t="shared" si="3"/>
        <v>481381180.56440783</v>
      </c>
      <c r="I20" s="113">
        <f t="shared" si="3"/>
        <v>481381180.564408</v>
      </c>
      <c r="J20" s="113">
        <f t="shared" si="3"/>
        <v>481381180.5644083</v>
      </c>
      <c r="K20" s="113">
        <f t="shared" si="3"/>
        <v>481381180.5644083</v>
      </c>
      <c r="L20" s="113">
        <f t="shared" si="3"/>
        <v>481381180.56440818</v>
      </c>
      <c r="M20" s="113">
        <f t="shared" si="3"/>
        <v>481381180.564408</v>
      </c>
      <c r="N20" s="113">
        <f t="shared" si="3"/>
        <v>522040005.5668</v>
      </c>
      <c r="O20" s="113">
        <f t="shared" si="3"/>
        <v>522040005.56680012</v>
      </c>
      <c r="P20" s="113">
        <f t="shared" si="3"/>
        <v>518908900.79711235</v>
      </c>
      <c r="Q20" s="113">
        <f t="shared" si="3"/>
        <v>537455436.6329478</v>
      </c>
      <c r="R20" s="113">
        <f t="shared" si="3"/>
        <v>525685491.76531589</v>
      </c>
      <c r="S20" s="113">
        <f t="shared" si="3"/>
        <v>535982399.00502247</v>
      </c>
      <c r="T20" s="113">
        <f t="shared" si="3"/>
        <v>554308308.2973578</v>
      </c>
      <c r="U20" s="113">
        <f t="shared" si="3"/>
        <v>554933732.73766255</v>
      </c>
      <c r="V20" s="113">
        <f t="shared" si="3"/>
        <v>525675583.99548894</v>
      </c>
      <c r="W20" s="113">
        <f t="shared" si="3"/>
        <v>521850919.80145192</v>
      </c>
    </row>
    <row r="21" spans="2:25" s="41" customFormat="1" x14ac:dyDescent="0.3">
      <c r="B21" s="117" t="s">
        <v>365</v>
      </c>
      <c r="C21" s="117"/>
      <c r="D21" s="117">
        <f>D19-D20</f>
        <v>383563789.66100657</v>
      </c>
      <c r="E21" s="117">
        <f t="shared" ref="E21:W21" si="4">E19-E20</f>
        <v>442825179.44319773</v>
      </c>
      <c r="F21" s="117">
        <f t="shared" si="4"/>
        <v>669888596.96512735</v>
      </c>
      <c r="G21" s="117">
        <f t="shared" si="4"/>
        <v>885759028.14011312</v>
      </c>
      <c r="H21" s="117">
        <f t="shared" si="4"/>
        <v>934445821.09561515</v>
      </c>
      <c r="I21" s="117">
        <f t="shared" si="4"/>
        <v>934445821.09561539</v>
      </c>
      <c r="J21" s="117">
        <f t="shared" si="4"/>
        <v>934445821.0956161</v>
      </c>
      <c r="K21" s="117">
        <f t="shared" si="4"/>
        <v>934445821.0956161</v>
      </c>
      <c r="L21" s="117">
        <f t="shared" si="4"/>
        <v>934445821.09561574</v>
      </c>
      <c r="M21" s="117">
        <f t="shared" si="4"/>
        <v>934445821.09561539</v>
      </c>
      <c r="N21" s="117">
        <f t="shared" si="4"/>
        <v>1013371775.5120233</v>
      </c>
      <c r="O21" s="117">
        <f t="shared" si="4"/>
        <v>1013371775.5120237</v>
      </c>
      <c r="P21" s="117">
        <f t="shared" si="4"/>
        <v>1007293748.6061591</v>
      </c>
      <c r="Q21" s="117">
        <f t="shared" si="4"/>
        <v>1043295847.5816044</v>
      </c>
      <c r="R21" s="117">
        <f t="shared" si="4"/>
        <v>1020448307.5444366</v>
      </c>
      <c r="S21" s="117">
        <f t="shared" si="4"/>
        <v>1040436421.5979846</v>
      </c>
      <c r="T21" s="117">
        <f t="shared" si="4"/>
        <v>1076010245.5184004</v>
      </c>
      <c r="U21" s="117">
        <f t="shared" si="4"/>
        <v>1077224304.7260506</v>
      </c>
      <c r="V21" s="117">
        <f t="shared" si="4"/>
        <v>1020429074.8147726</v>
      </c>
      <c r="W21" s="117">
        <f t="shared" si="4"/>
        <v>1013004726.6734066</v>
      </c>
    </row>
    <row r="22" spans="2:25" s="41" customFormat="1" x14ac:dyDescent="0.3">
      <c r="B22" s="120" t="s">
        <v>366</v>
      </c>
      <c r="C22" s="114">
        <v>0</v>
      </c>
      <c r="D22" s="114">
        <v>137334848.96691191</v>
      </c>
      <c r="E22" s="114">
        <v>2148151177.177258</v>
      </c>
      <c r="F22" s="114">
        <v>3455217461.0597854</v>
      </c>
      <c r="G22" s="114">
        <v>102854091.08505529</v>
      </c>
      <c r="H22" s="114">
        <v>1102774110.001935</v>
      </c>
      <c r="I22" s="114">
        <v>331519770.55646402</v>
      </c>
      <c r="J22" s="114">
        <v>337496081.67736095</v>
      </c>
      <c r="K22" s="114">
        <v>357792127.6868034</v>
      </c>
      <c r="L22" s="114">
        <v>138536116.04585001</v>
      </c>
      <c r="M22" s="114">
        <v>78971781.534170955</v>
      </c>
      <c r="N22" s="114">
        <v>63299249.940328225</v>
      </c>
      <c r="O22" s="114">
        <v>59473478.551090986</v>
      </c>
      <c r="P22" s="114">
        <v>30503268.475515325</v>
      </c>
      <c r="Q22" s="114">
        <v>0</v>
      </c>
      <c r="R22" s="114">
        <v>78025314.547165692</v>
      </c>
      <c r="S22" s="114">
        <v>53844228.67266757</v>
      </c>
      <c r="T22" s="114">
        <v>13582065.541472554</v>
      </c>
      <c r="U22" s="114">
        <v>226644355.03835645</v>
      </c>
      <c r="V22" s="114">
        <v>343915058.02523786</v>
      </c>
      <c r="W22" s="114">
        <v>0</v>
      </c>
      <c r="Y22" s="100"/>
    </row>
    <row r="23" spans="2:25" x14ac:dyDescent="0.3">
      <c r="B23" s="120" t="s">
        <v>368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>
        <v>0</v>
      </c>
      <c r="X23" s="41"/>
      <c r="Y23" s="68"/>
    </row>
    <row r="24" spans="2:25" x14ac:dyDescent="0.3">
      <c r="B24" s="120" t="s">
        <v>369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41"/>
    </row>
    <row r="25" spans="2:25" s="41" customFormat="1" x14ac:dyDescent="0.3">
      <c r="B25" s="117" t="s">
        <v>364</v>
      </c>
      <c r="C25" s="117">
        <f>-C27</f>
        <v>-168797970.11399001</v>
      </c>
      <c r="D25" s="117">
        <f>D21-D22+D18+D23-D24</f>
        <v>448193518.35990018</v>
      </c>
      <c r="E25" s="117">
        <f>E21-E22+E18+E23-E24</f>
        <v>-1503361420.0682547</v>
      </c>
      <c r="F25" s="117">
        <f t="shared" ref="D25:W25" si="5">F21-F22+F18+F23-F24</f>
        <v>-2583364286.4288526</v>
      </c>
      <c r="G25" s="117">
        <f t="shared" si="5"/>
        <v>984869514.72086334</v>
      </c>
      <c r="H25" s="117">
        <f t="shared" si="5"/>
        <v>33636288.759485662</v>
      </c>
      <c r="I25" s="117">
        <f t="shared" si="5"/>
        <v>804890628.20495701</v>
      </c>
      <c r="J25" s="117">
        <f t="shared" si="5"/>
        <v>798914317.08406067</v>
      </c>
      <c r="K25" s="117">
        <f t="shared" si="5"/>
        <v>778618271.07461834</v>
      </c>
      <c r="L25" s="117">
        <f t="shared" si="5"/>
        <v>997874282.71557117</v>
      </c>
      <c r="M25" s="117">
        <f t="shared" si="5"/>
        <v>1057438617.2272499</v>
      </c>
      <c r="N25" s="117">
        <f t="shared" si="5"/>
        <v>1152037103.2375007</v>
      </c>
      <c r="O25" s="117">
        <f t="shared" si="5"/>
        <v>1155862874.6267383</v>
      </c>
      <c r="P25" s="117">
        <f t="shared" si="5"/>
        <v>1187964189.4720011</v>
      </c>
      <c r="Q25" s="117">
        <f t="shared" si="5"/>
        <v>1199920922.1116815</v>
      </c>
      <c r="R25" s="117">
        <f t="shared" si="5"/>
        <v>1133665552.4321473</v>
      </c>
      <c r="S25" s="117">
        <f t="shared" si="5"/>
        <v>1147549731.0669386</v>
      </c>
      <c r="T25" s="117">
        <f t="shared" si="5"/>
        <v>1203484314.2969463</v>
      </c>
      <c r="U25" s="117">
        <f t="shared" si="5"/>
        <v>989798135.46717191</v>
      </c>
      <c r="V25" s="117">
        <f t="shared" si="5"/>
        <v>811219660.98096454</v>
      </c>
      <c r="W25" s="117">
        <f t="shared" si="5"/>
        <v>1147710370.8648365</v>
      </c>
    </row>
    <row r="26" spans="2:25" x14ac:dyDescent="0.3">
      <c r="B26" s="8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2:25" x14ac:dyDescent="0.3">
      <c r="B27" s="121" t="s">
        <v>375</v>
      </c>
      <c r="C27" s="122">
        <v>168797970.11399001</v>
      </c>
      <c r="D27" s="123">
        <f>(C27-C28)+D22-D28</f>
        <v>66029844.90140292</v>
      </c>
      <c r="E27" s="123">
        <f>(D27)+E22-E28</f>
        <v>987801532.24213099</v>
      </c>
      <c r="F27" s="123">
        <f t="shared" ref="F27:W27" si="6">(E27)+F22-F28</f>
        <v>2571001031.4581261</v>
      </c>
      <c r="G27" s="123">
        <f t="shared" si="6"/>
        <v>2616670273.8480396</v>
      </c>
      <c r="H27" s="123">
        <f t="shared" si="6"/>
        <v>3135578573.4028096</v>
      </c>
      <c r="I27" s="123">
        <f t="shared" si="6"/>
        <v>3282195172.1383009</v>
      </c>
      <c r="J27" s="123">
        <f t="shared" si="6"/>
        <v>3444534364.9082642</v>
      </c>
      <c r="K27" s="123">
        <f t="shared" si="6"/>
        <v>3635235988.4687366</v>
      </c>
      <c r="L27" s="123">
        <f t="shared" si="6"/>
        <v>3706643645.056829</v>
      </c>
      <c r="M27" s="123">
        <f t="shared" si="6"/>
        <v>3749733145.7825475</v>
      </c>
      <c r="N27" s="123">
        <f t="shared" si="6"/>
        <v>3787040615.5727015</v>
      </c>
      <c r="O27" s="123">
        <f t="shared" si="6"/>
        <v>3821583234.3230309</v>
      </c>
      <c r="P27" s="123">
        <f t="shared" si="6"/>
        <v>3841910882.2783442</v>
      </c>
      <c r="Q27" s="123">
        <f t="shared" si="6"/>
        <v>3841910882.2783442</v>
      </c>
      <c r="R27" s="123">
        <f t="shared" si="6"/>
        <v>3877972458.7365637</v>
      </c>
      <c r="S27" s="123">
        <f t="shared" si="6"/>
        <v>3923099204.1989832</v>
      </c>
      <c r="T27" s="123">
        <f t="shared" si="6"/>
        <v>3934674860.5786204</v>
      </c>
      <c r="U27" s="123">
        <f t="shared" si="6"/>
        <v>4104353045.2531099</v>
      </c>
      <c r="V27" s="123">
        <f t="shared" si="6"/>
        <v>4445512719.208147</v>
      </c>
      <c r="W27" s="123">
        <f>(V27)+W22-W28</f>
        <v>4445512719.208147</v>
      </c>
    </row>
    <row r="28" spans="2:25" s="41" customFormat="1" x14ac:dyDescent="0.3">
      <c r="B28" s="124" t="s">
        <v>363</v>
      </c>
      <c r="C28" s="123">
        <v>103708190.86785901</v>
      </c>
      <c r="D28" s="123">
        <v>136394783.31163999</v>
      </c>
      <c r="E28" s="123">
        <v>1226379489.83653</v>
      </c>
      <c r="F28" s="123">
        <v>1872017961.8437901</v>
      </c>
      <c r="G28" s="123">
        <v>57184848.695142001</v>
      </c>
      <c r="H28" s="123">
        <v>583865810.44716501</v>
      </c>
      <c r="I28" s="123">
        <v>184903171.82097301</v>
      </c>
      <c r="J28" s="123">
        <v>175156888.90739799</v>
      </c>
      <c r="K28" s="123">
        <v>167090504.126331</v>
      </c>
      <c r="L28" s="123">
        <v>67128459.457757398</v>
      </c>
      <c r="M28" s="123">
        <v>35882280.808452435</v>
      </c>
      <c r="N28" s="123">
        <v>25991780.150174074</v>
      </c>
      <c r="O28" s="123">
        <v>24930859.800761517</v>
      </c>
      <c r="P28" s="123">
        <v>10175620.520202344</v>
      </c>
      <c r="Q28" s="123">
        <v>0</v>
      </c>
      <c r="R28" s="123">
        <v>41963738.08894629</v>
      </c>
      <c r="S28" s="123">
        <v>8717483.2102479357</v>
      </c>
      <c r="T28" s="123">
        <v>2006409.1618352039</v>
      </c>
      <c r="U28" s="123">
        <v>56966170.363866724</v>
      </c>
      <c r="V28" s="123">
        <v>2755384.070200637</v>
      </c>
      <c r="W28" s="123">
        <v>0</v>
      </c>
    </row>
    <row r="29" spans="2:25" x14ac:dyDescent="0.3">
      <c r="F29" s="40"/>
    </row>
    <row r="30" spans="2:25" x14ac:dyDescent="0.3">
      <c r="B30" s="125" t="s">
        <v>370</v>
      </c>
      <c r="C30" s="126">
        <f>NPV($C$33,D25:W25)-(C27)</f>
        <v>4012837310.3043723</v>
      </c>
      <c r="N30" s="75"/>
    </row>
    <row r="31" spans="2:25" x14ac:dyDescent="0.3">
      <c r="E31" s="8"/>
    </row>
    <row r="32" spans="2:25" x14ac:dyDescent="0.3">
      <c r="C32" s="74"/>
      <c r="D32" s="68"/>
    </row>
    <row r="33" spans="2:23" x14ac:dyDescent="0.3">
      <c r="B33" s="107" t="s">
        <v>371</v>
      </c>
      <c r="C33" s="129">
        <v>7.2499999999999995E-2</v>
      </c>
      <c r="D33" s="10"/>
    </row>
    <row r="34" spans="2:23" x14ac:dyDescent="0.3">
      <c r="B34" s="107" t="s">
        <v>388</v>
      </c>
      <c r="C34" s="129">
        <f>IRR(C25:W25)</f>
        <v>0.19706337203730051</v>
      </c>
      <c r="D34" s="10"/>
    </row>
    <row r="35" spans="2:23" x14ac:dyDescent="0.3">
      <c r="D35" s="10"/>
    </row>
    <row r="36" spans="2:23" x14ac:dyDescent="0.3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2:23" x14ac:dyDescent="0.3">
      <c r="D37" s="10"/>
    </row>
    <row r="38" spans="2:23" x14ac:dyDescent="0.3">
      <c r="B38" s="98" t="s">
        <v>377</v>
      </c>
      <c r="C38" s="94">
        <f>-C25</f>
        <v>168797970.11399001</v>
      </c>
      <c r="D38" s="94">
        <f>C38+D22</f>
        <v>306132819.08090192</v>
      </c>
      <c r="E38" s="94">
        <f t="shared" ref="D38:W38" si="7">D38+E22</f>
        <v>2454283996.2581601</v>
      </c>
      <c r="F38" s="94">
        <f t="shared" si="7"/>
        <v>5909501457.3179455</v>
      </c>
      <c r="G38" s="94">
        <f t="shared" si="7"/>
        <v>6012355548.4030008</v>
      </c>
      <c r="H38" s="94">
        <f t="shared" si="7"/>
        <v>7115129658.4049358</v>
      </c>
      <c r="I38" s="94">
        <f t="shared" si="7"/>
        <v>7446649428.9614</v>
      </c>
      <c r="J38" s="94">
        <f t="shared" si="7"/>
        <v>7784145510.6387606</v>
      </c>
      <c r="K38" s="94">
        <f t="shared" si="7"/>
        <v>8141937638.3255644</v>
      </c>
      <c r="L38" s="94">
        <f t="shared" si="7"/>
        <v>8280473754.3714142</v>
      </c>
      <c r="M38" s="94">
        <f t="shared" si="7"/>
        <v>8359445535.9055853</v>
      </c>
      <c r="N38" s="94">
        <f t="shared" si="7"/>
        <v>8422744785.8459139</v>
      </c>
      <c r="O38" s="94">
        <f t="shared" si="7"/>
        <v>8482218264.3970051</v>
      </c>
      <c r="P38" s="94">
        <f t="shared" si="7"/>
        <v>8512721532.8725204</v>
      </c>
      <c r="Q38" s="94">
        <f t="shared" si="7"/>
        <v>8512721532.8725204</v>
      </c>
      <c r="R38" s="94">
        <f t="shared" si="7"/>
        <v>8590746847.4196854</v>
      </c>
      <c r="S38" s="94">
        <f t="shared" si="7"/>
        <v>8644591076.0923538</v>
      </c>
      <c r="T38" s="94">
        <f t="shared" si="7"/>
        <v>8658173141.6338272</v>
      </c>
      <c r="U38" s="94">
        <f t="shared" si="7"/>
        <v>8884817496.672184</v>
      </c>
      <c r="V38" s="94">
        <f t="shared" si="7"/>
        <v>9228732554.697422</v>
      </c>
      <c r="W38" s="94">
        <f t="shared" si="7"/>
        <v>9228732554.697422</v>
      </c>
    </row>
    <row r="39" spans="2:23" x14ac:dyDescent="0.3">
      <c r="B39" s="98" t="s">
        <v>392</v>
      </c>
      <c r="C39" s="94">
        <f>NPV($C$33,D39:W39)</f>
        <v>10846460489.896694</v>
      </c>
      <c r="D39" s="94">
        <f>D21+D18</f>
        <v>585528367.32681203</v>
      </c>
      <c r="E39" s="94">
        <f t="shared" ref="D39:W39" si="8">E21+E18</f>
        <v>644789757.10900331</v>
      </c>
      <c r="F39" s="94">
        <f t="shared" si="8"/>
        <v>871853174.63093281</v>
      </c>
      <c r="G39" s="94">
        <f t="shared" si="8"/>
        <v>1087723605.8059187</v>
      </c>
      <c r="H39" s="94">
        <f t="shared" si="8"/>
        <v>1136410398.7614207</v>
      </c>
      <c r="I39" s="94">
        <f t="shared" si="8"/>
        <v>1136410398.761421</v>
      </c>
      <c r="J39" s="94">
        <f t="shared" si="8"/>
        <v>1136410398.7614217</v>
      </c>
      <c r="K39" s="94">
        <f t="shared" si="8"/>
        <v>1136410398.7614217</v>
      </c>
      <c r="L39" s="94">
        <f t="shared" si="8"/>
        <v>1136410398.7614212</v>
      </c>
      <c r="M39" s="94">
        <f t="shared" si="8"/>
        <v>1136410398.761421</v>
      </c>
      <c r="N39" s="94">
        <f t="shared" si="8"/>
        <v>1215336353.1778288</v>
      </c>
      <c r="O39" s="94">
        <f t="shared" si="8"/>
        <v>1215336353.1778293</v>
      </c>
      <c r="P39" s="94">
        <f t="shared" si="8"/>
        <v>1218467457.9475164</v>
      </c>
      <c r="Q39" s="94">
        <f t="shared" si="8"/>
        <v>1199920922.1116815</v>
      </c>
      <c r="R39" s="94">
        <f t="shared" si="8"/>
        <v>1211690866.9793129</v>
      </c>
      <c r="S39" s="94">
        <f t="shared" si="8"/>
        <v>1201393959.7396064</v>
      </c>
      <c r="T39" s="94">
        <f t="shared" si="8"/>
        <v>1217066379.8384187</v>
      </c>
      <c r="U39" s="94">
        <f t="shared" si="8"/>
        <v>1216442490.5055282</v>
      </c>
      <c r="V39" s="94">
        <f t="shared" si="8"/>
        <v>1155134719.0062025</v>
      </c>
      <c r="W39" s="94">
        <f t="shared" si="8"/>
        <v>1147710370.8648365</v>
      </c>
    </row>
    <row r="40" spans="2:23" x14ac:dyDescent="0.3">
      <c r="B40" s="98" t="s">
        <v>393</v>
      </c>
      <c r="C40" s="94">
        <f>NPV(12%,D40:W40)</f>
        <v>7509931631.984005</v>
      </c>
      <c r="D40" s="94">
        <f t="shared" ref="D40:W40" si="9">D21+D18</f>
        <v>585528367.32681203</v>
      </c>
      <c r="E40" s="94">
        <f t="shared" si="9"/>
        <v>644789757.10900331</v>
      </c>
      <c r="F40" s="94">
        <f t="shared" si="9"/>
        <v>871853174.63093281</v>
      </c>
      <c r="G40" s="94">
        <f t="shared" si="9"/>
        <v>1087723605.8059187</v>
      </c>
      <c r="H40" s="94">
        <f t="shared" si="9"/>
        <v>1136410398.7614207</v>
      </c>
      <c r="I40" s="94">
        <f t="shared" si="9"/>
        <v>1136410398.761421</v>
      </c>
      <c r="J40" s="94">
        <f t="shared" si="9"/>
        <v>1136410398.7614217</v>
      </c>
      <c r="K40" s="94">
        <f t="shared" si="9"/>
        <v>1136410398.7614217</v>
      </c>
      <c r="L40" s="94">
        <f t="shared" si="9"/>
        <v>1136410398.7614212</v>
      </c>
      <c r="M40" s="94">
        <f t="shared" si="9"/>
        <v>1136410398.761421</v>
      </c>
      <c r="N40" s="94">
        <f t="shared" si="9"/>
        <v>1215336353.1778288</v>
      </c>
      <c r="O40" s="94">
        <f t="shared" si="9"/>
        <v>1215336353.1778293</v>
      </c>
      <c r="P40" s="94">
        <f t="shared" si="9"/>
        <v>1218467457.9475164</v>
      </c>
      <c r="Q40" s="94">
        <f t="shared" si="9"/>
        <v>1199920922.1116815</v>
      </c>
      <c r="R40" s="94">
        <f t="shared" si="9"/>
        <v>1211690866.9793129</v>
      </c>
      <c r="S40" s="94">
        <f t="shared" si="9"/>
        <v>1201393959.7396064</v>
      </c>
      <c r="T40" s="94">
        <f t="shared" si="9"/>
        <v>1217066379.8384187</v>
      </c>
      <c r="U40" s="94">
        <f t="shared" si="9"/>
        <v>1216442490.5055282</v>
      </c>
      <c r="V40" s="94">
        <f t="shared" si="9"/>
        <v>1155134719.0062025</v>
      </c>
      <c r="W40" s="94">
        <f t="shared" si="9"/>
        <v>1147710370.8648365</v>
      </c>
    </row>
    <row r="41" spans="2:23" x14ac:dyDescent="0.3">
      <c r="B41" s="98" t="s">
        <v>395</v>
      </c>
      <c r="C41" s="94">
        <f>NPV(7.25%,D41:W41)-C25</f>
        <v>6833623179.5923233</v>
      </c>
      <c r="D41" s="94">
        <f>D22</f>
        <v>137334848.96691191</v>
      </c>
      <c r="E41" s="94">
        <f t="shared" ref="E41:W41" si="10">E22</f>
        <v>2148151177.177258</v>
      </c>
      <c r="F41" s="94">
        <f t="shared" si="10"/>
        <v>3455217461.0597854</v>
      </c>
      <c r="G41" s="94">
        <f t="shared" si="10"/>
        <v>102854091.08505529</v>
      </c>
      <c r="H41" s="94">
        <f t="shared" si="10"/>
        <v>1102774110.001935</v>
      </c>
      <c r="I41" s="94">
        <f t="shared" si="10"/>
        <v>331519770.55646402</v>
      </c>
      <c r="J41" s="94">
        <f t="shared" si="10"/>
        <v>337496081.67736095</v>
      </c>
      <c r="K41" s="94">
        <f t="shared" si="10"/>
        <v>357792127.6868034</v>
      </c>
      <c r="L41" s="94">
        <f t="shared" si="10"/>
        <v>138536116.04585001</v>
      </c>
      <c r="M41" s="94">
        <f t="shared" si="10"/>
        <v>78971781.534170955</v>
      </c>
      <c r="N41" s="94">
        <f t="shared" si="10"/>
        <v>63299249.940328225</v>
      </c>
      <c r="O41" s="94">
        <f t="shared" si="10"/>
        <v>59473478.551090986</v>
      </c>
      <c r="P41" s="94">
        <f t="shared" si="10"/>
        <v>30503268.475515325</v>
      </c>
      <c r="Q41" s="94">
        <f t="shared" si="10"/>
        <v>0</v>
      </c>
      <c r="R41" s="94">
        <f t="shared" si="10"/>
        <v>78025314.547165692</v>
      </c>
      <c r="S41" s="94">
        <f t="shared" si="10"/>
        <v>53844228.67266757</v>
      </c>
      <c r="T41" s="94">
        <f t="shared" si="10"/>
        <v>13582065.541472554</v>
      </c>
      <c r="U41" s="94">
        <f t="shared" si="10"/>
        <v>226644355.03835645</v>
      </c>
      <c r="V41" s="94">
        <f t="shared" si="10"/>
        <v>343915058.02523786</v>
      </c>
      <c r="W41" s="94">
        <f t="shared" si="10"/>
        <v>0</v>
      </c>
    </row>
    <row r="42" spans="2:23" x14ac:dyDescent="0.3">
      <c r="B42" s="98" t="s">
        <v>396</v>
      </c>
      <c r="C42" s="94">
        <f>NPV(12%,D42:W42)-C25</f>
        <v>5829763827.3973904</v>
      </c>
      <c r="D42" s="94">
        <f>D22</f>
        <v>137334848.96691191</v>
      </c>
      <c r="E42" s="94">
        <f t="shared" ref="E42:W42" si="11">E22</f>
        <v>2148151177.177258</v>
      </c>
      <c r="F42" s="94">
        <f t="shared" si="11"/>
        <v>3455217461.0597854</v>
      </c>
      <c r="G42" s="94">
        <f t="shared" si="11"/>
        <v>102854091.08505529</v>
      </c>
      <c r="H42" s="94">
        <f t="shared" si="11"/>
        <v>1102774110.001935</v>
      </c>
      <c r="I42" s="94">
        <f t="shared" si="11"/>
        <v>331519770.55646402</v>
      </c>
      <c r="J42" s="94">
        <f t="shared" si="11"/>
        <v>337496081.67736095</v>
      </c>
      <c r="K42" s="94">
        <f t="shared" si="11"/>
        <v>357792127.6868034</v>
      </c>
      <c r="L42" s="94">
        <f t="shared" si="11"/>
        <v>138536116.04585001</v>
      </c>
      <c r="M42" s="94">
        <f t="shared" si="11"/>
        <v>78971781.534170955</v>
      </c>
      <c r="N42" s="94">
        <f t="shared" si="11"/>
        <v>63299249.940328225</v>
      </c>
      <c r="O42" s="94">
        <f t="shared" si="11"/>
        <v>59473478.551090986</v>
      </c>
      <c r="P42" s="94">
        <f t="shared" si="11"/>
        <v>30503268.475515325</v>
      </c>
      <c r="Q42" s="94">
        <f t="shared" si="11"/>
        <v>0</v>
      </c>
      <c r="R42" s="94">
        <f t="shared" si="11"/>
        <v>78025314.547165692</v>
      </c>
      <c r="S42" s="94">
        <f t="shared" si="11"/>
        <v>53844228.67266757</v>
      </c>
      <c r="T42" s="94">
        <f t="shared" si="11"/>
        <v>13582065.541472554</v>
      </c>
      <c r="U42" s="94">
        <f t="shared" si="11"/>
        <v>226644355.03835645</v>
      </c>
      <c r="V42" s="94">
        <f t="shared" si="11"/>
        <v>343915058.02523786</v>
      </c>
      <c r="W42" s="94">
        <f t="shared" si="11"/>
        <v>0</v>
      </c>
    </row>
    <row r="47" spans="2:23" x14ac:dyDescent="0.3">
      <c r="B47" s="75"/>
    </row>
  </sheetData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647E-4934-4BDC-9328-3C0C4F0B20C0}">
  <dimension ref="B1:Y33"/>
  <sheetViews>
    <sheetView showGridLines="0" workbookViewId="0">
      <pane xSplit="2" ySplit="1" topLeftCell="P2" activePane="bottomRight" state="frozen"/>
      <selection pane="topRight" activeCell="C1" sqref="C1"/>
      <selection pane="bottomLeft" activeCell="A2" sqref="A2"/>
      <selection pane="bottomRight" activeCell="D16" sqref="D16:W16"/>
    </sheetView>
  </sheetViews>
  <sheetFormatPr defaultColWidth="9.109375" defaultRowHeight="14.4" outlineLevelRow="1" x14ac:dyDescent="0.3"/>
  <cols>
    <col min="1" max="1" width="2.6640625" customWidth="1"/>
    <col min="2" max="2" width="63.88671875" customWidth="1"/>
    <col min="3" max="3" width="16.33203125" customWidth="1"/>
    <col min="4" max="4" width="15.6640625" customWidth="1"/>
    <col min="5" max="20" width="15.44140625" customWidth="1"/>
    <col min="21" max="23" width="15.6640625" customWidth="1"/>
    <col min="25" max="25" width="16.5546875" bestFit="1" customWidth="1"/>
  </cols>
  <sheetData>
    <row r="1" spans="2:25" x14ac:dyDescent="0.3">
      <c r="B1" t="s">
        <v>391</v>
      </c>
      <c r="C1" s="183">
        <v>2005</v>
      </c>
      <c r="D1" s="183">
        <v>2006</v>
      </c>
      <c r="E1" s="183">
        <v>2007</v>
      </c>
      <c r="F1" s="183">
        <v>2008</v>
      </c>
      <c r="G1" s="183">
        <v>2009</v>
      </c>
      <c r="H1" s="183">
        <v>2010</v>
      </c>
      <c r="I1" s="183">
        <v>2011</v>
      </c>
      <c r="J1" s="183">
        <v>2012</v>
      </c>
      <c r="K1" s="183">
        <v>2013</v>
      </c>
      <c r="L1" s="183">
        <v>2014</v>
      </c>
      <c r="M1" s="183">
        <v>2015</v>
      </c>
      <c r="N1" s="183">
        <v>2016</v>
      </c>
      <c r="O1" s="183">
        <v>2017</v>
      </c>
      <c r="P1" s="183">
        <v>2018</v>
      </c>
      <c r="Q1" s="183">
        <v>2019</v>
      </c>
      <c r="R1" s="183">
        <v>2020</v>
      </c>
      <c r="S1" s="183">
        <v>2021</v>
      </c>
      <c r="T1" s="183">
        <v>2022</v>
      </c>
      <c r="U1" s="183">
        <v>2023</v>
      </c>
      <c r="V1" s="183">
        <v>2024</v>
      </c>
      <c r="W1" s="183">
        <v>2025</v>
      </c>
    </row>
    <row r="2" spans="2:25" hidden="1" outlineLevel="1" x14ac:dyDescent="0.3">
      <c r="B2" s="184" t="s">
        <v>415</v>
      </c>
      <c r="C2" s="184"/>
      <c r="D2" s="185">
        <v>306027</v>
      </c>
      <c r="E2" s="185">
        <v>314964</v>
      </c>
      <c r="F2" s="185"/>
      <c r="G2" s="185"/>
      <c r="H2" s="185"/>
      <c r="I2" s="185"/>
      <c r="J2" s="185"/>
      <c r="K2" s="185"/>
      <c r="L2" s="185"/>
      <c r="M2" s="185"/>
      <c r="N2" s="185"/>
      <c r="O2" s="185">
        <v>4112460</v>
      </c>
      <c r="P2" s="185">
        <v>4040892</v>
      </c>
      <c r="Q2" s="185">
        <v>4406215</v>
      </c>
      <c r="R2" s="185">
        <v>4671168</v>
      </c>
      <c r="S2" s="185">
        <v>5765779</v>
      </c>
      <c r="T2" s="185">
        <v>6777519</v>
      </c>
      <c r="U2" s="185">
        <v>7353022</v>
      </c>
      <c r="V2" s="185">
        <v>7256473</v>
      </c>
      <c r="W2" s="185"/>
    </row>
    <row r="3" spans="2:25" hidden="1" outlineLevel="1" x14ac:dyDescent="0.3">
      <c r="B3" s="184" t="s">
        <v>380</v>
      </c>
      <c r="C3" s="184"/>
      <c r="D3" s="185">
        <f>(D2*1000)*(1+(SUMIFS(Inflação!$L$1:$L$20,Inflação!$I$1:$I$20,D$1)+Inflação!$K$22))</f>
        <v>1066580378.3618736</v>
      </c>
      <c r="E3" s="185">
        <f>(E2*1000)*(1+(SUMIFS(Inflação!$L$1:$L$20,Inflação!$I$1:$I$20,E$1)+Inflação!$K$22))</f>
        <v>1057948627.2079599</v>
      </c>
      <c r="F3" s="185"/>
      <c r="G3" s="185"/>
      <c r="H3" s="185"/>
      <c r="I3" s="185"/>
      <c r="J3" s="185"/>
      <c r="K3" s="185"/>
      <c r="L3" s="185"/>
      <c r="M3" s="185"/>
      <c r="N3" s="185"/>
      <c r="O3" s="185">
        <f>(O2*1000)*(1+(SUMIFS(Inflação!$L$1:$L$20,Inflação!$I$1:$I$20,O$1)+Inflação!$K$22))</f>
        <v>7388066840.8252716</v>
      </c>
      <c r="P3" s="185">
        <f>(P2*1000)*(1+(SUMIFS(Inflação!$L$1:$L$20,Inflação!$I$1:$I$20,P$1)+Inflação!$K$22))</f>
        <v>7296183287.4550734</v>
      </c>
      <c r="Q3" s="185">
        <f>(Q2*1000)*(1+(SUMIFS(Inflação!$L$1:$L$20,Inflação!$I$1:$I$20,Q$1)+Inflação!$K$22))</f>
        <v>7417574312.9844227</v>
      </c>
      <c r="R3" s="185">
        <f>(R2*1000)*(1+(SUMIFS(Inflação!$L$1:$L$20,Inflação!$I$1:$I$20,R$1)+Inflação!$K$22))</f>
        <v>7348283266.2039995</v>
      </c>
      <c r="S3" s="185">
        <f>(S2*1000)*(1+(SUMIFS(Inflação!$L$1:$L$20,Inflação!$I$1:$I$20,S$1)+Inflação!$K$22))</f>
        <v>7433816124.7250643</v>
      </c>
      <c r="T3" s="185">
        <f>(T2*1000)*(1+(SUMIFS(Inflação!$L$1:$L$20,Inflação!$I$1:$I$20,T$1)+Inflação!$K$22))</f>
        <v>7483086967.9613514</v>
      </c>
      <c r="U3" s="185">
        <f>(U2*1000)*(1+(SUMIFS(Inflação!$L$1:$L$20,Inflação!$I$1:$I$20,U$1)+Inflação!$K$22))</f>
        <v>7722650265.0802565</v>
      </c>
      <c r="V3" s="185">
        <f>(V2*1000)*(1+(SUMIFS(Inflação!$L$1:$L$20,Inflação!$I$1:$I$20,V$1)+Inflação!$K$22))</f>
        <v>7711443909.5916166</v>
      </c>
      <c r="W3" s="186"/>
    </row>
    <row r="4" spans="2:25" s="103" customFormat="1" collapsed="1" x14ac:dyDescent="0.3">
      <c r="B4" s="130" t="s">
        <v>381</v>
      </c>
      <c r="C4" s="130"/>
      <c r="D4" s="130">
        <f>D3</f>
        <v>1066580378.3618736</v>
      </c>
      <c r="E4" s="130">
        <f>E3</f>
        <v>1057948627.2079599</v>
      </c>
      <c r="F4" s="131">
        <f>'Receita Máxima'!D$33</f>
        <v>1604687072.4031281</v>
      </c>
      <c r="G4" s="131">
        <f>'Receita Máxima'!E$33</f>
        <v>1931763483.2743187</v>
      </c>
      <c r="H4" s="131">
        <f>'Receita Máxima'!F$33</f>
        <v>2005531351.3887157</v>
      </c>
      <c r="I4" s="131">
        <f>'Receita Máxima'!G$33</f>
        <v>2005531351.3887162</v>
      </c>
      <c r="J4" s="131">
        <f>'Receita Máxima'!H$33</f>
        <v>2005531351.3887169</v>
      </c>
      <c r="K4" s="131">
        <f>'Receita Máxima'!I$33</f>
        <v>2005531351.3887169</v>
      </c>
      <c r="L4" s="131">
        <f>'Receita Máxima'!J$33</f>
        <v>2005531351.3887167</v>
      </c>
      <c r="M4" s="131">
        <f>'Receita Máxima'!K$33</f>
        <v>2005531351.388716</v>
      </c>
      <c r="N4" s="131">
        <f>'Receita Máxima'!L$33</f>
        <v>2125116130.8075159</v>
      </c>
      <c r="O4" s="130">
        <f>O3*'Receita Máxima'!$H$47</f>
        <v>2045495117.7506127</v>
      </c>
      <c r="P4" s="130">
        <f>P3*'Receita Máxima'!$H$47</f>
        <v>2020055802.7214427</v>
      </c>
      <c r="Q4" s="130">
        <f>Q3*'Receita Máxima'!$H$47</f>
        <v>2053664696.0095937</v>
      </c>
      <c r="R4" s="130">
        <f>R3*'Receita Máxima'!$H$47</f>
        <v>2034480449.1765816</v>
      </c>
      <c r="S4" s="130">
        <f>S3*'Receita Máxima'!$H$47</f>
        <v>2058161480.8025148</v>
      </c>
      <c r="T4" s="130">
        <f>T3*'Receita Máxima'!$H$47</f>
        <v>2071802839.4229281</v>
      </c>
      <c r="U4" s="130">
        <f>U3*'Receita Máxima'!$H$47</f>
        <v>2138129466.5645719</v>
      </c>
      <c r="V4" s="130">
        <f>V3*'Receita Máxima'!$H$47</f>
        <v>2135026821.9981849</v>
      </c>
      <c r="W4" s="131">
        <f>'Receita Máxima'!U$33</f>
        <v>2057301062.7291756</v>
      </c>
    </row>
    <row r="5" spans="2:25" hidden="1" outlineLevel="1" x14ac:dyDescent="0.3">
      <c r="B5" s="188" t="s">
        <v>414</v>
      </c>
      <c r="C5" s="181"/>
      <c r="D5" s="187">
        <v>11057</v>
      </c>
      <c r="E5" s="187">
        <v>33714</v>
      </c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</row>
    <row r="6" spans="2:25" s="41" customFormat="1" collapsed="1" x14ac:dyDescent="0.3">
      <c r="B6" s="134" t="s">
        <v>384</v>
      </c>
      <c r="C6" s="134"/>
      <c r="D6" s="134">
        <f>(D5*1000)*(1+(SUMIFS(Inflação!$L$1:$L$20,Inflação!$I$1:$I$20,D$1)+Inflação!$K$22))</f>
        <v>38536401.178808525</v>
      </c>
      <c r="E6" s="134">
        <f>(E5*1000)*(1+(SUMIFS(Inflação!$L$1:$L$20,Inflação!$I$1:$I$20,E$1)+Inflação!$K$22))</f>
        <v>113243672.34886895</v>
      </c>
      <c r="F6" s="131">
        <f t="shared" ref="F6:M6" si="0">F18*$B$28</f>
        <v>264599301.63677713</v>
      </c>
      <c r="G6" s="131">
        <f t="shared" si="0"/>
        <v>269299435.74594098</v>
      </c>
      <c r="H6" s="131">
        <f t="shared" si="0"/>
        <v>322703838.15407592</v>
      </c>
      <c r="I6" s="131">
        <f t="shared" si="0"/>
        <v>337793155.17849129</v>
      </c>
      <c r="J6" s="131">
        <f t="shared" si="0"/>
        <v>354500591.89657336</v>
      </c>
      <c r="K6" s="131">
        <f t="shared" si="0"/>
        <v>374127000.3645944</v>
      </c>
      <c r="L6" s="131">
        <f t="shared" si="0"/>
        <v>381476050.72806787</v>
      </c>
      <c r="M6" s="131">
        <f t="shared" si="0"/>
        <v>385910685.97729462</v>
      </c>
      <c r="N6" s="131">
        <f>N18*$B$28</f>
        <v>389750252.87420535</v>
      </c>
      <c r="O6" s="134">
        <f>-(('[3]O&amp;M e G&amp;A Malhas SE'!C$15+'[3]O&amp;M e G&amp;A Malhas SE'!C$21)*1000)*(1+(SUMIFS(Inflação!$L$1:$L$20,Inflação!$I$1:$I$20,O$1)+Inflação!$K$22))</f>
        <v>429463547.1054849</v>
      </c>
      <c r="P6" s="134">
        <f>-(('[3]O&amp;M e G&amp;A Malhas SE'!E$15+'[3]O&amp;M e G&amp;A Malhas SE'!E$21)*1000)*(1+(SUMIFS(Inflação!$L$1:$L$20,Inflação!$I$1:$I$20,P$1)+Inflação!$K$22))</f>
        <v>450229441.30184549</v>
      </c>
      <c r="Q6" s="134">
        <f>-(('[3]O&amp;M e G&amp;A Malhas SE'!G$15+'[3]O&amp;M e G&amp;A Malhas SE'!G$21)*1000)*(1+(SUMIFS(Inflação!$L$1:$L$20,Inflação!$I$1:$I$20,Q$1)+Inflação!$K$22))</f>
        <v>458247299.21705014</v>
      </c>
      <c r="R6" s="134">
        <f>-(('[3]O&amp;M e G&amp;A Malhas SE'!I$15+'[3]O&amp;M e G&amp;A Malhas SE'!I$21)*1000)*(1+(SUMIFS(Inflação!$L$1:$L$20,Inflação!$I$1:$I$20,R$1)+Inflação!$K$22))</f>
        <v>478628826.78989464</v>
      </c>
      <c r="S6" s="134">
        <f>-(('[3]O&amp;M e G&amp;A Malhas SE'!K$15+'[3]O&amp;M e G&amp;A Malhas SE'!K$21)*1000)*(1+(SUMIFS(Inflação!$L$1:$L$20,Inflação!$I$1:$I$20,S$1)+Inflação!$K$22))</f>
        <v>427535688.40233284</v>
      </c>
      <c r="T6" s="134">
        <f>-(('[3]O&amp;M e G&amp;A Malhas SE'!M$15+'[3]O&amp;M e G&amp;A Malhas SE'!M$21)*1000)*(1+(SUMIFS(Inflação!$L$1:$L$20,Inflação!$I$1:$I$20,T$1)+Inflação!$K$22))</f>
        <v>330371484.10302556</v>
      </c>
      <c r="U6" s="134">
        <f>-(('[3]O&amp;M e G&amp;A Malhas SE'!O$15+'[3]O&amp;M e G&amp;A Malhas SE'!O$21)*1000)*(1+(SUMIFS(Inflação!$L$1:$L$20,Inflação!$I$1:$I$20,U$1)+Inflação!$K$22))</f>
        <v>347389693.65833902</v>
      </c>
      <c r="V6" s="134">
        <f>-(('[3]O&amp;M e G&amp;A Malhas SE'!Q$15+'[3]O&amp;M e G&amp;A Malhas SE'!Q$21)*1000)*(1+(SUMIFS(Inflação!$L$1:$L$20,Inflação!$I$1:$I$20,V$1)+Inflação!$K$22))</f>
        <v>349965057.02135402</v>
      </c>
      <c r="W6" s="131">
        <f>(OPEX!$E$70*OPEX!$B$75)*10^6</f>
        <v>387739772.06288707</v>
      </c>
    </row>
    <row r="7" spans="2:25" s="41" customFormat="1" x14ac:dyDescent="0.3">
      <c r="B7" s="110" t="s">
        <v>342</v>
      </c>
      <c r="C7" s="112"/>
      <c r="D7" s="112">
        <f>D4-D6</f>
        <v>1028043977.1830651</v>
      </c>
      <c r="E7" s="112">
        <f>E4-E6</f>
        <v>944704954.85909092</v>
      </c>
      <c r="F7" s="112">
        <f>F4-F6</f>
        <v>1340087770.766351</v>
      </c>
      <c r="G7" s="112">
        <f>G4-G6</f>
        <v>1662464047.5283778</v>
      </c>
      <c r="H7" s="112">
        <f>H4-H6</f>
        <v>1682827513.2346399</v>
      </c>
      <c r="I7" s="112">
        <f>I4-I6</f>
        <v>1667738196.2102249</v>
      </c>
      <c r="J7" s="112">
        <f>J4-J6</f>
        <v>1651030759.4921436</v>
      </c>
      <c r="K7" s="112">
        <f>K4-K6</f>
        <v>1631404351.0241225</v>
      </c>
      <c r="L7" s="112">
        <f>L4-L6</f>
        <v>1624055300.6606488</v>
      </c>
      <c r="M7" s="112">
        <f>M4-M6</f>
        <v>1619620665.4114213</v>
      </c>
      <c r="N7" s="112">
        <f>N4-N6</f>
        <v>1735365877.9333105</v>
      </c>
      <c r="O7" s="112">
        <f>O4-O6</f>
        <v>1616031570.6451278</v>
      </c>
      <c r="P7" s="112">
        <f>P4-P6</f>
        <v>1569826361.4195971</v>
      </c>
      <c r="Q7" s="112">
        <f>Q4-Q6</f>
        <v>1595417396.7925436</v>
      </c>
      <c r="R7" s="112">
        <f>R4-R6</f>
        <v>1555851622.386687</v>
      </c>
      <c r="S7" s="112">
        <f>S4-S6</f>
        <v>1630625792.400182</v>
      </c>
      <c r="T7" s="112">
        <f>T4-T6</f>
        <v>1741431355.3199024</v>
      </c>
      <c r="U7" s="112">
        <f>U4-U6</f>
        <v>1790739772.9062328</v>
      </c>
      <c r="V7" s="112">
        <f>V4-V6</f>
        <v>1785061764.976831</v>
      </c>
      <c r="W7" s="112">
        <f>W4-W6</f>
        <v>1669561290.6662884</v>
      </c>
    </row>
    <row r="8" spans="2:25" hidden="1" outlineLevel="1" x14ac:dyDescent="0.3">
      <c r="B8" s="184" t="s">
        <v>367</v>
      </c>
      <c r="C8" s="10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  <c r="O8" s="191">
        <f>(406049*1000)*(1+(SUMIFS(Inflação!$L$1:$L$20,Inflação!$I$1:$I$20,O$1)+Inflação!$K$22))</f>
        <v>729470232.57375407</v>
      </c>
      <c r="P8" s="191">
        <f>(422429*1000)*(1+(SUMIFS(Inflação!$L$1:$L$20,Inflação!$I$1:$I$20,P$1)+Inflação!$K$22))</f>
        <v>762732438.7626195</v>
      </c>
      <c r="Q8" s="191">
        <f>(336045*1000)*(1+(SUMIFS(Inflação!$L$1:$L$20,Inflação!$I$1:$I$20,Q$1)+Inflação!$K$22))</f>
        <v>565709744.07895446</v>
      </c>
      <c r="R8" s="191">
        <f>(439093*1000)*(1+(SUMIFS(Inflação!$L$1:$L$20,Inflação!$I$1:$I$20,R$1)+Inflação!$K$22))</f>
        <v>690743673.57528412</v>
      </c>
      <c r="S8" s="191">
        <f>(450910*1000)*(1+(SUMIFS(Inflação!$L$1:$L$20,Inflação!$I$1:$I$20,S$1)+Inflação!$K$22))</f>
        <v>581358048.72156537</v>
      </c>
      <c r="T8" s="191">
        <f>(461439*1000)*(1+(SUMIFS(Inflação!$L$1:$L$20,Inflação!$I$1:$I$20,T$1)+Inflação!$K$22))</f>
        <v>509476722.58965528</v>
      </c>
      <c r="U8" s="192">
        <f>(478771*1000)*(1+(SUMIFS(Inflação!$L$1:$L$20,Inflação!$I$1:$I$20,U$1)+Inflação!$K$22))</f>
        <v>502838287.45007694</v>
      </c>
      <c r="V8" s="192">
        <f>(457834*1000)*(1+(Inflação!$K$22))</f>
        <v>486539564.18000424</v>
      </c>
      <c r="W8" s="192">
        <f>V8</f>
        <v>486539564.18000424</v>
      </c>
    </row>
    <row r="9" spans="2:25" s="41" customFormat="1" collapsed="1" x14ac:dyDescent="0.3">
      <c r="B9" s="164" t="s">
        <v>385</v>
      </c>
      <c r="C9" s="135"/>
      <c r="D9" s="135">
        <f t="shared" ref="D9:K9" si="1">E9</f>
        <v>201964577.66580552</v>
      </c>
      <c r="E9" s="135">
        <f t="shared" si="1"/>
        <v>201964577.66580552</v>
      </c>
      <c r="F9" s="135">
        <f t="shared" si="1"/>
        <v>201964577.66580552</v>
      </c>
      <c r="G9" s="135">
        <f t="shared" si="1"/>
        <v>201964577.66580552</v>
      </c>
      <c r="H9" s="135">
        <f t="shared" si="1"/>
        <v>201964577.66580552</v>
      </c>
      <c r="I9" s="135">
        <f t="shared" si="1"/>
        <v>201964577.66580552</v>
      </c>
      <c r="J9" s="135">
        <f t="shared" si="1"/>
        <v>201964577.66580552</v>
      </c>
      <c r="K9" s="135">
        <f t="shared" si="1"/>
        <v>201964577.66580552</v>
      </c>
      <c r="L9" s="135">
        <f>M9</f>
        <v>201964577.66580552</v>
      </c>
      <c r="M9" s="135">
        <f t="shared" ref="M9" si="2">N9</f>
        <v>201964577.66580552</v>
      </c>
      <c r="N9" s="135">
        <f>O9</f>
        <v>201964577.66580552</v>
      </c>
      <c r="O9" s="135">
        <f>'Receita Máxima'!$H$47*FCR_CHCI_DRE!O8</f>
        <v>201964577.66580552</v>
      </c>
      <c r="P9" s="135">
        <f>'Receita Máxima'!$H$47*FCR_CHCI_DRE!P8</f>
        <v>211173709.34135738</v>
      </c>
      <c r="Q9" s="135">
        <f>'Receita Máxima'!$H$47*FCR_CHCI_DRE!Q8</f>
        <v>156625074.53007716</v>
      </c>
      <c r="R9" s="135">
        <f>'Receita Máxima'!$H$47*FCR_CHCI_DRE!R8</f>
        <v>191242559.43487641</v>
      </c>
      <c r="S9" s="135">
        <f>'Receita Máxima'!$H$47*FCR_CHCI_DRE!S8</f>
        <v>160957538.14162177</v>
      </c>
      <c r="T9" s="135">
        <f>'Receita Máxima'!$H$47*FCR_CHCI_DRE!T8</f>
        <v>141056134.32001835</v>
      </c>
      <c r="U9" s="135">
        <f>'Receita Máxima'!$H$47*FCR_CHCI_DRE!U8</f>
        <v>139218185.77947769</v>
      </c>
      <c r="V9" s="135">
        <f>'Receita Máxima'!$H$47*FCR_CHCI_DRE!V8</f>
        <v>134705644.19142976</v>
      </c>
      <c r="W9" s="106">
        <f>V9</f>
        <v>134705644.19142976</v>
      </c>
    </row>
    <row r="10" spans="2:25" s="41" customFormat="1" x14ac:dyDescent="0.3">
      <c r="B10" s="112" t="s">
        <v>343</v>
      </c>
      <c r="C10" s="112"/>
      <c r="D10" s="112">
        <f>D7-D9</f>
        <v>826079399.5172596</v>
      </c>
      <c r="E10" s="112">
        <f t="shared" ref="E10:L10" si="3">E7-E9</f>
        <v>742740377.19328547</v>
      </c>
      <c r="F10" s="112">
        <f t="shared" si="3"/>
        <v>1138123193.1005454</v>
      </c>
      <c r="G10" s="112">
        <f t="shared" si="3"/>
        <v>1460499469.8625722</v>
      </c>
      <c r="H10" s="112">
        <f t="shared" si="3"/>
        <v>1480862935.5688343</v>
      </c>
      <c r="I10" s="112">
        <f t="shared" si="3"/>
        <v>1465773618.5444193</v>
      </c>
      <c r="J10" s="112">
        <f t="shared" si="3"/>
        <v>1449066181.8263381</v>
      </c>
      <c r="K10" s="112">
        <f t="shared" si="3"/>
        <v>1429439773.3583169</v>
      </c>
      <c r="L10" s="112">
        <f t="shared" si="3"/>
        <v>1422090722.9948432</v>
      </c>
      <c r="M10" s="112">
        <f>M7-M9</f>
        <v>1417656087.7456157</v>
      </c>
      <c r="N10" s="112">
        <f t="shared" ref="N10:W10" si="4">N7-N9</f>
        <v>1533401300.2675049</v>
      </c>
      <c r="O10" s="112">
        <f t="shared" si="4"/>
        <v>1414066992.9793222</v>
      </c>
      <c r="P10" s="112">
        <f t="shared" si="4"/>
        <v>1358652652.0782397</v>
      </c>
      <c r="Q10" s="112">
        <f t="shared" si="4"/>
        <v>1438792322.2624664</v>
      </c>
      <c r="R10" s="112">
        <f t="shared" si="4"/>
        <v>1364609062.9518106</v>
      </c>
      <c r="S10" s="112">
        <f t="shared" si="4"/>
        <v>1469668254.2585602</v>
      </c>
      <c r="T10" s="112">
        <f t="shared" si="4"/>
        <v>1600375220.9998841</v>
      </c>
      <c r="U10" s="112">
        <f t="shared" si="4"/>
        <v>1651521587.1267552</v>
      </c>
      <c r="V10" s="112">
        <f t="shared" si="4"/>
        <v>1650356120.7854011</v>
      </c>
      <c r="W10" s="112">
        <f t="shared" si="4"/>
        <v>1534855646.4748585</v>
      </c>
    </row>
    <row r="11" spans="2:25" x14ac:dyDescent="0.3">
      <c r="B11" s="14" t="s">
        <v>344</v>
      </c>
      <c r="C11" s="106"/>
      <c r="D11" s="106">
        <f>D10*34%</f>
        <v>280866995.8358683</v>
      </c>
      <c r="E11" s="106">
        <f>E10*34%</f>
        <v>252531728.24571708</v>
      </c>
      <c r="F11" s="106">
        <f>F10*34%</f>
        <v>386961885.65418547</v>
      </c>
      <c r="G11" s="106">
        <f>G10*34%</f>
        <v>496569819.75327456</v>
      </c>
      <c r="H11" s="106">
        <f>H10*34%</f>
        <v>503493398.0934037</v>
      </c>
      <c r="I11" s="106">
        <f>I10*34%</f>
        <v>498363030.30510259</v>
      </c>
      <c r="J11" s="106">
        <f>J10*34%</f>
        <v>492682501.82095498</v>
      </c>
      <c r="K11" s="106">
        <f>K10*34%</f>
        <v>486009522.94182777</v>
      </c>
      <c r="L11" s="106">
        <f>L10*34%</f>
        <v>483510845.81824672</v>
      </c>
      <c r="M11" s="106">
        <f>M10*34%</f>
        <v>482003069.83350939</v>
      </c>
      <c r="N11" s="106">
        <f>N10*34%</f>
        <v>521356442.09095174</v>
      </c>
      <c r="O11" s="106">
        <f>O10*34%</f>
        <v>480782777.61296958</v>
      </c>
      <c r="P11" s="106">
        <f>P10*34%</f>
        <v>461941901.7066015</v>
      </c>
      <c r="Q11" s="106">
        <f>Q10*34%</f>
        <v>489189389.5692386</v>
      </c>
      <c r="R11" s="106">
        <f>R10*34%</f>
        <v>463967081.40361565</v>
      </c>
      <c r="S11" s="106">
        <f>S10*34%</f>
        <v>499687206.44791049</v>
      </c>
      <c r="T11" s="106">
        <f>T10*34%</f>
        <v>544127575.13996065</v>
      </c>
      <c r="U11" s="106">
        <f>U10*34%</f>
        <v>561517339.62309682</v>
      </c>
      <c r="V11" s="106">
        <f>V10*34%</f>
        <v>561121081.06703639</v>
      </c>
      <c r="W11" s="106">
        <f>W10*34%</f>
        <v>521850919.80145192</v>
      </c>
    </row>
    <row r="12" spans="2:25" s="41" customFormat="1" x14ac:dyDescent="0.3">
      <c r="B12" s="117" t="s">
        <v>365</v>
      </c>
      <c r="C12" s="157"/>
      <c r="D12" s="193">
        <f>D10-D11</f>
        <v>545212403.68139124</v>
      </c>
      <c r="E12" s="193">
        <f>E10-E11</f>
        <v>490208648.94756842</v>
      </c>
      <c r="F12" s="193">
        <f>F10-F11</f>
        <v>751161307.44635987</v>
      </c>
      <c r="G12" s="193">
        <f>G10-G11</f>
        <v>963929650.10929763</v>
      </c>
      <c r="H12" s="193">
        <f>H10-H11</f>
        <v>977369537.47543061</v>
      </c>
      <c r="I12" s="193">
        <f>I10-I11</f>
        <v>967410588.2393167</v>
      </c>
      <c r="J12" s="193">
        <f>J10-J11</f>
        <v>956383680.00538301</v>
      </c>
      <c r="K12" s="193">
        <f>K10-K11</f>
        <v>943430250.41648912</v>
      </c>
      <c r="L12" s="193">
        <f>L10-L11</f>
        <v>938579877.17659652</v>
      </c>
      <c r="M12" s="193">
        <f>M10-M11</f>
        <v>935653017.91210628</v>
      </c>
      <c r="N12" s="193">
        <f>N10-N11</f>
        <v>1012044858.1765532</v>
      </c>
      <c r="O12" s="193">
        <f>O10-O11</f>
        <v>933284215.36635256</v>
      </c>
      <c r="P12" s="193">
        <f>P10-P11</f>
        <v>896710750.37163818</v>
      </c>
      <c r="Q12" s="193">
        <f>Q10-Q11</f>
        <v>949602932.69322777</v>
      </c>
      <c r="R12" s="193">
        <f>R10-R11</f>
        <v>900641981.54819489</v>
      </c>
      <c r="S12" s="193">
        <f>S10-S11</f>
        <v>969981047.81064963</v>
      </c>
      <c r="T12" s="193">
        <f>T10-T11</f>
        <v>1056247645.8599235</v>
      </c>
      <c r="U12" s="193">
        <f>U10-U11</f>
        <v>1090004247.5036583</v>
      </c>
      <c r="V12" s="193">
        <f>V10-V11</f>
        <v>1089235039.7183647</v>
      </c>
      <c r="W12" s="193">
        <f>W10-W11</f>
        <v>1013004726.6734066</v>
      </c>
    </row>
    <row r="13" spans="2:25" x14ac:dyDescent="0.3">
      <c r="B13" s="120" t="s">
        <v>366</v>
      </c>
      <c r="C13" s="114"/>
      <c r="D13" s="114">
        <v>137334848.96691191</v>
      </c>
      <c r="E13" s="114">
        <v>2148151177.177258</v>
      </c>
      <c r="F13" s="114">
        <v>3455217461.0597854</v>
      </c>
      <c r="G13" s="114">
        <v>102854091.08505529</v>
      </c>
      <c r="H13" s="114">
        <v>1102774110.001935</v>
      </c>
      <c r="I13" s="114">
        <v>331519770.55646402</v>
      </c>
      <c r="J13" s="114">
        <v>337496081.67736095</v>
      </c>
      <c r="K13" s="114">
        <v>357792127.6868034</v>
      </c>
      <c r="L13" s="114">
        <v>138536116.04585001</v>
      </c>
      <c r="M13" s="114">
        <v>78971781.534170955</v>
      </c>
      <c r="N13" s="114">
        <v>63299249.940328225</v>
      </c>
      <c r="O13" s="114">
        <v>59473478.551090986</v>
      </c>
      <c r="P13" s="114">
        <v>30503268.475515325</v>
      </c>
      <c r="Q13" s="114">
        <v>0</v>
      </c>
      <c r="R13" s="114">
        <v>78025314.547165692</v>
      </c>
      <c r="S13" s="114">
        <v>53844228.67266757</v>
      </c>
      <c r="T13" s="114">
        <v>13582065.541472554</v>
      </c>
      <c r="U13" s="114">
        <v>226644355.03835645</v>
      </c>
      <c r="V13" s="114">
        <v>343915058.02523786</v>
      </c>
      <c r="W13" s="114">
        <v>0</v>
      </c>
      <c r="X13" s="41"/>
      <c r="Y13" s="69"/>
    </row>
    <row r="14" spans="2:25" x14ac:dyDescent="0.3">
      <c r="B14" s="120" t="s">
        <v>368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5">
        <v>0</v>
      </c>
      <c r="X14" s="41"/>
      <c r="Y14" s="68"/>
    </row>
    <row r="15" spans="2:25" x14ac:dyDescent="0.3">
      <c r="B15" s="120" t="s">
        <v>369</v>
      </c>
      <c r="C15" s="116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41"/>
    </row>
    <row r="16" spans="2:25" x14ac:dyDescent="0.3">
      <c r="B16" s="117" t="s">
        <v>364</v>
      </c>
      <c r="C16" s="117">
        <f>-C18</f>
        <v>-168797970.11399001</v>
      </c>
      <c r="D16" s="117">
        <f>D12-D13+D9+D14-D15</f>
        <v>609842132.38028479</v>
      </c>
      <c r="E16" s="117">
        <f>E12-E13+E9+E14-E15</f>
        <v>-1455977950.563884</v>
      </c>
      <c r="F16" s="117">
        <f>F12-F13+F9+F14-F15</f>
        <v>-2502091575.9476199</v>
      </c>
      <c r="G16" s="117">
        <f>G12-G13+G9+G14-G15</f>
        <v>1063040136.690048</v>
      </c>
      <c r="H16" s="117">
        <f>H12-H13+H9+H14-H15</f>
        <v>76560005.139301121</v>
      </c>
      <c r="I16" s="117">
        <f>I12-I13+I9+I14-I15</f>
        <v>837855395.34865832</v>
      </c>
      <c r="J16" s="117">
        <f>J12-J13+J9+J14-J15</f>
        <v>820852175.99382758</v>
      </c>
      <c r="K16" s="117">
        <f>K12-K13+K9+K14-K15</f>
        <v>787602700.39549136</v>
      </c>
      <c r="L16" s="117">
        <f>L12-L13+L9+L14-L15</f>
        <v>1002008338.7965519</v>
      </c>
      <c r="M16" s="117">
        <f>M12-M13+M9+M14-M15</f>
        <v>1058645814.0437407</v>
      </c>
      <c r="N16" s="117">
        <f>N12-N13+N9+N14-N15</f>
        <v>1150710185.9020305</v>
      </c>
      <c r="O16" s="117">
        <f>O12-O13+O9+O14-O15</f>
        <v>1075775314.4810672</v>
      </c>
      <c r="P16" s="117">
        <f>P12-P13+P9+P14-P15</f>
        <v>1077381191.2374802</v>
      </c>
      <c r="Q16" s="117">
        <f>Q12-Q13+Q9+Q14-Q15</f>
        <v>1106228007.223305</v>
      </c>
      <c r="R16" s="117">
        <f>R12-R13+R9+R14-R15</f>
        <v>1013859226.4359057</v>
      </c>
      <c r="S16" s="117">
        <f>S12-S13+S9+S14-S15</f>
        <v>1077094357.2796037</v>
      </c>
      <c r="T16" s="117">
        <f>T12-T13+T9+T14-T15</f>
        <v>1183721714.6384692</v>
      </c>
      <c r="U16" s="117">
        <f>U12-U13+U9+U14-U15</f>
        <v>1002578078.2447796</v>
      </c>
      <c r="V16" s="117">
        <f>V12-V13+V9+V14-V15</f>
        <v>880025625.88455665</v>
      </c>
      <c r="W16" s="117">
        <f>W12-W13+W9+W14-W15</f>
        <v>1147710370.8648365</v>
      </c>
    </row>
    <row r="17" spans="2:24" x14ac:dyDescent="0.3">
      <c r="B17" s="8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2:24" s="41" customFormat="1" x14ac:dyDescent="0.3">
      <c r="B18" s="121" t="s">
        <v>375</v>
      </c>
      <c r="C18" s="136">
        <v>168797970.11399001</v>
      </c>
      <c r="D18" s="123">
        <v>66029844.90140292</v>
      </c>
      <c r="E18" s="123">
        <v>987801532.24213099</v>
      </c>
      <c r="F18" s="123">
        <v>2571001031.4581261</v>
      </c>
      <c r="G18" s="123">
        <v>2616670273.8480396</v>
      </c>
      <c r="H18" s="123">
        <v>3135578573.4028096</v>
      </c>
      <c r="I18" s="123">
        <v>3282195172.1383009</v>
      </c>
      <c r="J18" s="123">
        <v>3444534364.9082642</v>
      </c>
      <c r="K18" s="123">
        <v>3635235988.4687366</v>
      </c>
      <c r="L18" s="123">
        <v>3706643645.056829</v>
      </c>
      <c r="M18" s="123">
        <v>3749733145.7825475</v>
      </c>
      <c r="N18" s="123">
        <v>3787040615.5727015</v>
      </c>
      <c r="O18" s="123">
        <v>3821583234.3230309</v>
      </c>
      <c r="P18" s="123">
        <v>3841910882.2783442</v>
      </c>
      <c r="Q18" s="123">
        <v>3841910882.2783442</v>
      </c>
      <c r="R18" s="123">
        <v>3877972458.7365637</v>
      </c>
      <c r="S18" s="123">
        <v>3923099204.1989832</v>
      </c>
      <c r="T18" s="123">
        <v>3934674860.5786204</v>
      </c>
      <c r="U18" s="123">
        <v>4104353045.2531099</v>
      </c>
      <c r="V18" s="123">
        <v>4445512719.208147</v>
      </c>
      <c r="W18" s="123">
        <v>4445512719.208147</v>
      </c>
    </row>
    <row r="19" spans="2:24" s="41" customFormat="1" x14ac:dyDescent="0.3">
      <c r="B19" s="124" t="s">
        <v>363</v>
      </c>
      <c r="C19" s="136">
        <v>103708190.86785901</v>
      </c>
      <c r="D19" s="123">
        <v>136394783.31163999</v>
      </c>
      <c r="E19" s="123">
        <v>1226379489.83653</v>
      </c>
      <c r="F19" s="123">
        <v>1872017961.8437901</v>
      </c>
      <c r="G19" s="123">
        <v>57184848.695142001</v>
      </c>
      <c r="H19" s="123">
        <v>583865810.44716501</v>
      </c>
      <c r="I19" s="123">
        <v>184903171.82097301</v>
      </c>
      <c r="J19" s="123">
        <v>175156888.90739799</v>
      </c>
      <c r="K19" s="123">
        <v>167090504.126331</v>
      </c>
      <c r="L19" s="123">
        <v>67128459.457757398</v>
      </c>
      <c r="M19" s="123">
        <v>35882280.808452435</v>
      </c>
      <c r="N19" s="123">
        <v>25991780.150174074</v>
      </c>
      <c r="O19" s="123">
        <v>24930859.800761517</v>
      </c>
      <c r="P19" s="123">
        <v>10175620.520202344</v>
      </c>
      <c r="Q19" s="123">
        <v>0</v>
      </c>
      <c r="R19" s="123">
        <v>41963738.08894629</v>
      </c>
      <c r="S19" s="123">
        <v>8717483.2102479357</v>
      </c>
      <c r="T19" s="123">
        <v>2006409.1618352039</v>
      </c>
      <c r="U19" s="123">
        <v>56966170.363866724</v>
      </c>
      <c r="V19" s="123">
        <v>2755384.070200637</v>
      </c>
      <c r="W19" s="123">
        <v>0</v>
      </c>
    </row>
    <row r="21" spans="2:24" x14ac:dyDescent="0.3">
      <c r="B21" s="125" t="s">
        <v>370</v>
      </c>
      <c r="C21" s="126">
        <f>NPV($C$24,D16:W16)-(C18)</f>
        <v>4239013368.6044302</v>
      </c>
      <c r="N21" s="75"/>
      <c r="O21" s="40"/>
    </row>
    <row r="22" spans="2:24" x14ac:dyDescent="0.3">
      <c r="B22" s="127" t="s">
        <v>389</v>
      </c>
      <c r="C22" s="128">
        <f>NPV(C24,D13:W13)+C18</f>
        <v>6833623179.5923233</v>
      </c>
      <c r="D22" s="41"/>
      <c r="E22" s="8"/>
      <c r="O22" s="40"/>
      <c r="P22" s="40"/>
      <c r="Q22" s="40"/>
      <c r="R22" s="40"/>
      <c r="S22" s="40"/>
      <c r="T22" s="40"/>
      <c r="U22" s="40"/>
      <c r="V22" s="40"/>
      <c r="W22" s="40"/>
    </row>
    <row r="23" spans="2:24" ht="15" thickBot="1" x14ac:dyDescent="0.35">
      <c r="C23" s="74"/>
      <c r="D23" s="84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63"/>
      <c r="P23" s="41"/>
      <c r="Q23" s="41"/>
      <c r="R23" s="41"/>
      <c r="S23" s="41"/>
      <c r="T23" s="41"/>
      <c r="U23" s="41"/>
      <c r="V23" s="41"/>
      <c r="W23" s="41"/>
    </row>
    <row r="24" spans="2:24" x14ac:dyDescent="0.3">
      <c r="B24" s="88" t="s">
        <v>371</v>
      </c>
      <c r="C24" s="89">
        <v>7.2499999999999995E-2</v>
      </c>
      <c r="D24" s="10"/>
      <c r="O24" s="162"/>
    </row>
    <row r="25" spans="2:24" ht="15" thickBot="1" x14ac:dyDescent="0.35">
      <c r="B25" s="90" t="s">
        <v>372</v>
      </c>
      <c r="C25" s="91">
        <f>IRR(C16:W16)</f>
        <v>0.21975721315199759</v>
      </c>
      <c r="D25" s="10"/>
      <c r="V25" s="40"/>
    </row>
    <row r="26" spans="2:24" x14ac:dyDescent="0.3">
      <c r="D26" s="10"/>
    </row>
    <row r="27" spans="2:24" x14ac:dyDescent="0.3">
      <c r="B27" s="78" t="s">
        <v>390</v>
      </c>
      <c r="D27" s="10"/>
    </row>
    <row r="28" spans="2:24" x14ac:dyDescent="0.3">
      <c r="B28" s="104">
        <f>AVERAGE(SUM(O6:V6)/SUM(O18:V18))</f>
        <v>0.10291683993868778</v>
      </c>
      <c r="C28" t="s">
        <v>386</v>
      </c>
      <c r="D28" s="10"/>
    </row>
    <row r="29" spans="2:24" x14ac:dyDescent="0.3">
      <c r="D29" s="10"/>
    </row>
    <row r="30" spans="2:24" x14ac:dyDescent="0.3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2:24" x14ac:dyDescent="0.3">
      <c r="D31" s="10"/>
    </row>
    <row r="32" spans="2:24" x14ac:dyDescent="0.3">
      <c r="D32" s="10"/>
    </row>
    <row r="33" spans="2:2" x14ac:dyDescent="0.3">
      <c r="B33" s="75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4BF6-EBD3-482B-A710-9218D75EE591}">
  <dimension ref="B1:Y42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1" sqref="C41"/>
    </sheetView>
  </sheetViews>
  <sheetFormatPr defaultColWidth="9.109375" defaultRowHeight="14.4" x14ac:dyDescent="0.3"/>
  <cols>
    <col min="1" max="1" width="2.6640625" customWidth="1"/>
    <col min="2" max="2" width="63.88671875" customWidth="1"/>
    <col min="3" max="3" width="15.77734375" customWidth="1"/>
    <col min="4" max="4" width="16.109375" customWidth="1"/>
    <col min="5" max="20" width="15.44140625" customWidth="1"/>
    <col min="21" max="23" width="15.6640625" customWidth="1"/>
    <col min="25" max="25" width="16.5546875" bestFit="1" customWidth="1"/>
  </cols>
  <sheetData>
    <row r="1" spans="2:23" x14ac:dyDescent="0.3">
      <c r="B1" t="s">
        <v>391</v>
      </c>
      <c r="C1" s="105">
        <v>2005</v>
      </c>
      <c r="D1" s="105">
        <v>2006</v>
      </c>
      <c r="E1" s="105">
        <v>2007</v>
      </c>
      <c r="F1" s="105">
        <v>2008</v>
      </c>
      <c r="G1" s="105">
        <v>2009</v>
      </c>
      <c r="H1" s="105">
        <v>2010</v>
      </c>
      <c r="I1" s="105">
        <v>2011</v>
      </c>
      <c r="J1" s="105">
        <v>2012</v>
      </c>
      <c r="K1" s="105">
        <v>2013</v>
      </c>
      <c r="L1" s="105">
        <v>2014</v>
      </c>
      <c r="M1" s="105">
        <v>2015</v>
      </c>
      <c r="N1" s="105">
        <v>2016</v>
      </c>
      <c r="O1" s="105">
        <v>2017</v>
      </c>
      <c r="P1" s="105">
        <v>2018</v>
      </c>
      <c r="Q1" s="105">
        <v>2019</v>
      </c>
      <c r="R1" s="105">
        <v>2020</v>
      </c>
      <c r="S1" s="105">
        <v>2021</v>
      </c>
      <c r="T1" s="105">
        <v>2022</v>
      </c>
      <c r="U1" s="105">
        <v>2023</v>
      </c>
      <c r="V1" s="105">
        <v>2024</v>
      </c>
      <c r="W1" s="105">
        <v>2025</v>
      </c>
    </row>
    <row r="2" spans="2:23" s="41" customFormat="1" x14ac:dyDescent="0.3">
      <c r="B2" s="167" t="s">
        <v>407</v>
      </c>
      <c r="C2" s="114"/>
      <c r="D2" s="114">
        <f>'Receita Máxima'!B$33</f>
        <v>1170861606.7908237</v>
      </c>
      <c r="E2" s="114">
        <f>'Receita Máxima'!C$33</f>
        <v>1260651591.3092952</v>
      </c>
      <c r="F2" s="114">
        <f>'Receita Máxima'!D$33</f>
        <v>1604687072.4031281</v>
      </c>
      <c r="G2" s="114">
        <f>'Receita Máxima'!E$33</f>
        <v>1931763483.2743187</v>
      </c>
      <c r="H2" s="114">
        <f>'Receita Máxima'!F$33</f>
        <v>2005531351.3887157</v>
      </c>
      <c r="I2" s="114">
        <f>'Receita Máxima'!G$33</f>
        <v>2005531351.3887162</v>
      </c>
      <c r="J2" s="114">
        <f>'Receita Máxima'!H$33</f>
        <v>2005531351.3887169</v>
      </c>
      <c r="K2" s="114">
        <f>'Receita Máxima'!I$33</f>
        <v>2005531351.3887169</v>
      </c>
      <c r="L2" s="114">
        <f>'Receita Máxima'!J$33</f>
        <v>2005531351.3887167</v>
      </c>
      <c r="M2" s="114">
        <f>'Receita Máxima'!K$33</f>
        <v>2005531351.388716</v>
      </c>
      <c r="N2" s="114">
        <f>'Receita Máxima'!L$33</f>
        <v>2125116130.8075159</v>
      </c>
      <c r="O2" s="114">
        <f>'Receita Máxima'!M$33</f>
        <v>2125116130.8075163</v>
      </c>
      <c r="P2" s="114">
        <f>'Receita Máxima'!N$33</f>
        <v>2125116130.8075161</v>
      </c>
      <c r="Q2" s="114">
        <f>'Receita Máxima'!O$33</f>
        <v>2125116130.8075163</v>
      </c>
      <c r="R2" s="114">
        <f>'Receita Máxima'!P$33</f>
        <v>2125116130.8075161</v>
      </c>
      <c r="S2" s="114">
        <f>'Receita Máxima'!Q$33</f>
        <v>2125116130.8075161</v>
      </c>
      <c r="T2" s="114">
        <f>'Receita Máxima'!R$33</f>
        <v>2159114460.1986637</v>
      </c>
      <c r="U2" s="114">
        <f>'Receita Máxima'!S$33</f>
        <v>2159115995.306078</v>
      </c>
      <c r="V2" s="114">
        <f>'Receita Máxima'!T$33</f>
        <v>2068550075.0645785</v>
      </c>
      <c r="W2" s="114">
        <f>'Receita Máxima'!U$33</f>
        <v>2057301062.7291756</v>
      </c>
    </row>
    <row r="3" spans="2:23" s="41" customFormat="1" x14ac:dyDescent="0.3">
      <c r="B3" s="194" t="s">
        <v>341</v>
      </c>
      <c r="C3" s="194"/>
      <c r="D3" s="194">
        <f>SUM(D4:D16)</f>
        <v>387739772.06288707</v>
      </c>
      <c r="E3" s="194">
        <f t="shared" ref="E3:W3" si="0">SUM(E4:E16)</f>
        <v>387739772.06288707</v>
      </c>
      <c r="F3" s="194">
        <f t="shared" si="0"/>
        <v>387739772.06288707</v>
      </c>
      <c r="G3" s="194">
        <f t="shared" si="0"/>
        <v>387739772.06288707</v>
      </c>
      <c r="H3" s="194">
        <f t="shared" si="0"/>
        <v>387739772.06288707</v>
      </c>
      <c r="I3" s="194">
        <f t="shared" si="0"/>
        <v>387739772.06288707</v>
      </c>
      <c r="J3" s="194">
        <f t="shared" si="0"/>
        <v>387739772.06288707</v>
      </c>
      <c r="K3" s="194">
        <f t="shared" si="0"/>
        <v>387739772.06288707</v>
      </c>
      <c r="L3" s="194">
        <f t="shared" si="0"/>
        <v>387739772.06288707</v>
      </c>
      <c r="M3" s="194">
        <f t="shared" si="0"/>
        <v>387739772.06288707</v>
      </c>
      <c r="N3" s="194">
        <f t="shared" si="0"/>
        <v>387739772.06288707</v>
      </c>
      <c r="O3" s="194">
        <f t="shared" si="0"/>
        <v>387739772.06288707</v>
      </c>
      <c r="P3" s="194">
        <f t="shared" si="0"/>
        <v>387739772.06288707</v>
      </c>
      <c r="Q3" s="194">
        <f t="shared" si="0"/>
        <v>387739772.06288707</v>
      </c>
      <c r="R3" s="194">
        <f t="shared" si="0"/>
        <v>387739772.06288707</v>
      </c>
      <c r="S3" s="194">
        <f t="shared" si="0"/>
        <v>387739772.06288707</v>
      </c>
      <c r="T3" s="194">
        <f t="shared" si="0"/>
        <v>387739772.06288707</v>
      </c>
      <c r="U3" s="194">
        <f t="shared" si="0"/>
        <v>387739772.06288707</v>
      </c>
      <c r="V3" s="194">
        <f t="shared" si="0"/>
        <v>387739772.06288707</v>
      </c>
      <c r="W3" s="194">
        <f t="shared" si="0"/>
        <v>387739772.06288707</v>
      </c>
    </row>
    <row r="4" spans="2:23" x14ac:dyDescent="0.3">
      <c r="B4" s="118" t="s">
        <v>345</v>
      </c>
      <c r="C4" s="109"/>
      <c r="D4" s="109">
        <f>(OPEX!$E$52*10^6)*OPEX!$B$75</f>
        <v>67603002.818530008</v>
      </c>
      <c r="E4" s="109">
        <f>(OPEX!$E$52*10^6)*OPEX!$B$75</f>
        <v>67603002.818530008</v>
      </c>
      <c r="F4" s="109">
        <f>(OPEX!$E$52*10^6)*OPEX!$B$75</f>
        <v>67603002.818530008</v>
      </c>
      <c r="G4" s="109">
        <f>(OPEX!$E$52*10^6)*OPEX!$B$75</f>
        <v>67603002.818530008</v>
      </c>
      <c r="H4" s="109">
        <f>(OPEX!$E$52*10^6)*OPEX!$B$75</f>
        <v>67603002.818530008</v>
      </c>
      <c r="I4" s="109">
        <f>(OPEX!$E$52*10^6)*OPEX!$B$75</f>
        <v>67603002.818530008</v>
      </c>
      <c r="J4" s="109">
        <f>(OPEX!$E$52*10^6)*OPEX!$B$75</f>
        <v>67603002.818530008</v>
      </c>
      <c r="K4" s="109">
        <f>(OPEX!$E$52*10^6)*OPEX!$B$75</f>
        <v>67603002.818530008</v>
      </c>
      <c r="L4" s="109">
        <f>(OPEX!$E$52*10^6)*OPEX!$B$75</f>
        <v>67603002.818530008</v>
      </c>
      <c r="M4" s="109">
        <f>(OPEX!$E$52*10^6)*OPEX!$B$75</f>
        <v>67603002.818530008</v>
      </c>
      <c r="N4" s="109">
        <f>(OPEX!$E$52*10^6)*OPEX!$B$75</f>
        <v>67603002.818530008</v>
      </c>
      <c r="O4" s="109">
        <f>(OPEX!$E$52*10^6)*OPEX!$B$75</f>
        <v>67603002.818530008</v>
      </c>
      <c r="P4" s="109">
        <f>(OPEX!$E$52*10^6)*OPEX!$B$75</f>
        <v>67603002.818530008</v>
      </c>
      <c r="Q4" s="109">
        <f>(OPEX!$E$52*10^6)*OPEX!$B$75</f>
        <v>67603002.818530008</v>
      </c>
      <c r="R4" s="109">
        <f>(OPEX!$E$52*10^6)*OPEX!$B$75</f>
        <v>67603002.818530008</v>
      </c>
      <c r="S4" s="109">
        <f>(OPEX!$E$52*10^6)*OPEX!$B$75</f>
        <v>67603002.818530008</v>
      </c>
      <c r="T4" s="109">
        <f>(OPEX!$E$52*10^6)*OPEX!$B$75</f>
        <v>67603002.818530008</v>
      </c>
      <c r="U4" s="109">
        <f>(OPEX!$E$52*10^6)*OPEX!$B$75</f>
        <v>67603002.818530008</v>
      </c>
      <c r="V4" s="109">
        <f>(OPEX!$E$52*10^6)*OPEX!$B$75</f>
        <v>67603002.818530008</v>
      </c>
      <c r="W4" s="109">
        <f>(OPEX!$E$52*10^6)*OPEX!$B$75</f>
        <v>67603002.818530008</v>
      </c>
    </row>
    <row r="5" spans="2:23" x14ac:dyDescent="0.3">
      <c r="B5" s="118" t="s">
        <v>346</v>
      </c>
      <c r="C5" s="109"/>
      <c r="D5" s="109">
        <f>(OPEX!$E$53*10^6)*OPEX!$B$75</f>
        <v>19054939.654549394</v>
      </c>
      <c r="E5" s="109">
        <f>(OPEX!$E$53*10^6)*OPEX!$B$75</f>
        <v>19054939.654549394</v>
      </c>
      <c r="F5" s="109">
        <f>(OPEX!$E$53*10^6)*OPEX!$B$75</f>
        <v>19054939.654549394</v>
      </c>
      <c r="G5" s="109">
        <f>(OPEX!$E$53*10^6)*OPEX!$B$75</f>
        <v>19054939.654549394</v>
      </c>
      <c r="H5" s="109">
        <f>(OPEX!$E$53*10^6)*OPEX!$B$75</f>
        <v>19054939.654549394</v>
      </c>
      <c r="I5" s="109">
        <f>(OPEX!$E$53*10^6)*OPEX!$B$75</f>
        <v>19054939.654549394</v>
      </c>
      <c r="J5" s="109">
        <f>(OPEX!$E$53*10^6)*OPEX!$B$75</f>
        <v>19054939.654549394</v>
      </c>
      <c r="K5" s="109">
        <f>(OPEX!$E$53*10^6)*OPEX!$B$75</f>
        <v>19054939.654549394</v>
      </c>
      <c r="L5" s="109">
        <f>(OPEX!$E$53*10^6)*OPEX!$B$75</f>
        <v>19054939.654549394</v>
      </c>
      <c r="M5" s="109">
        <f>(OPEX!$E$53*10^6)*OPEX!$B$75</f>
        <v>19054939.654549394</v>
      </c>
      <c r="N5" s="109">
        <f>(OPEX!$E$53*10^6)*OPEX!$B$75</f>
        <v>19054939.654549394</v>
      </c>
      <c r="O5" s="109">
        <f>(OPEX!$E$53*10^6)*OPEX!$B$75</f>
        <v>19054939.654549394</v>
      </c>
      <c r="P5" s="109">
        <f>(OPEX!$E$53*10^6)*OPEX!$B$75</f>
        <v>19054939.654549394</v>
      </c>
      <c r="Q5" s="109">
        <f>(OPEX!$E$53*10^6)*OPEX!$B$75</f>
        <v>19054939.654549394</v>
      </c>
      <c r="R5" s="109">
        <f>(OPEX!$E$53*10^6)*OPEX!$B$75</f>
        <v>19054939.654549394</v>
      </c>
      <c r="S5" s="109">
        <f>(OPEX!$E$53*10^6)*OPEX!$B$75</f>
        <v>19054939.654549394</v>
      </c>
      <c r="T5" s="109">
        <f>(OPEX!$E$53*10^6)*OPEX!$B$75</f>
        <v>19054939.654549394</v>
      </c>
      <c r="U5" s="109">
        <f>(OPEX!$E$53*10^6)*OPEX!$B$75</f>
        <v>19054939.654549394</v>
      </c>
      <c r="V5" s="109">
        <f>(OPEX!$E$53*10^6)*OPEX!$B$75</f>
        <v>19054939.654549394</v>
      </c>
      <c r="W5" s="109">
        <f>(OPEX!$E$53*10^6)*OPEX!$B$75</f>
        <v>19054939.654549394</v>
      </c>
    </row>
    <row r="6" spans="2:23" x14ac:dyDescent="0.3">
      <c r="B6" s="118" t="s">
        <v>347</v>
      </c>
      <c r="C6" s="109"/>
      <c r="D6" s="109">
        <f>(OPEX!$E$55*10^6)*OPEX!$B$75</f>
        <v>700549.25200549234</v>
      </c>
      <c r="E6" s="109">
        <f>(OPEX!$E$55*10^6)*OPEX!$B$75</f>
        <v>700549.25200549234</v>
      </c>
      <c r="F6" s="109">
        <f>(OPEX!$E$55*10^6)*OPEX!$B$75</f>
        <v>700549.25200549234</v>
      </c>
      <c r="G6" s="109">
        <f>(OPEX!$E$55*10^6)*OPEX!$B$75</f>
        <v>700549.25200549234</v>
      </c>
      <c r="H6" s="109">
        <f>(OPEX!$E$55*10^6)*OPEX!$B$75</f>
        <v>700549.25200549234</v>
      </c>
      <c r="I6" s="109">
        <f>(OPEX!$E$55*10^6)*OPEX!$B$75</f>
        <v>700549.25200549234</v>
      </c>
      <c r="J6" s="109">
        <f>(OPEX!$E$55*10^6)*OPEX!$B$75</f>
        <v>700549.25200549234</v>
      </c>
      <c r="K6" s="109">
        <f>(OPEX!$E$55*10^6)*OPEX!$B$75</f>
        <v>700549.25200549234</v>
      </c>
      <c r="L6" s="109">
        <f>(OPEX!$E$55*10^6)*OPEX!$B$75</f>
        <v>700549.25200549234</v>
      </c>
      <c r="M6" s="109">
        <f>(OPEX!$E$55*10^6)*OPEX!$B$75</f>
        <v>700549.25200549234</v>
      </c>
      <c r="N6" s="109">
        <f>(OPEX!$E$55*10^6)*OPEX!$B$75</f>
        <v>700549.25200549234</v>
      </c>
      <c r="O6" s="109">
        <f>(OPEX!$E$55*10^6)*OPEX!$B$75</f>
        <v>700549.25200549234</v>
      </c>
      <c r="P6" s="109">
        <f>(OPEX!$E$55*10^6)*OPEX!$B$75</f>
        <v>700549.25200549234</v>
      </c>
      <c r="Q6" s="109">
        <f>(OPEX!$E$55*10^6)*OPEX!$B$75</f>
        <v>700549.25200549234</v>
      </c>
      <c r="R6" s="109">
        <f>(OPEX!$E$55*10^6)*OPEX!$B$75</f>
        <v>700549.25200549234</v>
      </c>
      <c r="S6" s="109">
        <f>(OPEX!$E$55*10^6)*OPEX!$B$75</f>
        <v>700549.25200549234</v>
      </c>
      <c r="T6" s="109">
        <f>(OPEX!$E$55*10^6)*OPEX!$B$75</f>
        <v>700549.25200549234</v>
      </c>
      <c r="U6" s="109">
        <f>(OPEX!$E$55*10^6)*OPEX!$B$75</f>
        <v>700549.25200549234</v>
      </c>
      <c r="V6" s="109">
        <f>(OPEX!$E$55*10^6)*OPEX!$B$75</f>
        <v>700549.25200549234</v>
      </c>
      <c r="W6" s="109">
        <f>(OPEX!$E$55*10^6)*OPEX!$B$75</f>
        <v>700549.25200549234</v>
      </c>
    </row>
    <row r="7" spans="2:23" x14ac:dyDescent="0.3">
      <c r="B7" s="118" t="s">
        <v>348</v>
      </c>
      <c r="C7" s="109"/>
      <c r="D7" s="109">
        <f>(OPEX!$E$54*10^6)*OPEX!$B$75</f>
        <v>40071417.214714162</v>
      </c>
      <c r="E7" s="109">
        <f>(OPEX!$E$54*10^6)*OPEX!$B$75</f>
        <v>40071417.214714162</v>
      </c>
      <c r="F7" s="109">
        <f>(OPEX!$E$54*10^6)*OPEX!$B$75</f>
        <v>40071417.214714162</v>
      </c>
      <c r="G7" s="109">
        <f>(OPEX!$E$54*10^6)*OPEX!$B$75</f>
        <v>40071417.214714162</v>
      </c>
      <c r="H7" s="109">
        <f>(OPEX!$E$54*10^6)*OPEX!$B$75</f>
        <v>40071417.214714162</v>
      </c>
      <c r="I7" s="109">
        <f>(OPEX!$E$54*10^6)*OPEX!$B$75</f>
        <v>40071417.214714162</v>
      </c>
      <c r="J7" s="109">
        <f>(OPEX!$E$54*10^6)*OPEX!$B$75</f>
        <v>40071417.214714162</v>
      </c>
      <c r="K7" s="109">
        <f>(OPEX!$E$54*10^6)*OPEX!$B$75</f>
        <v>40071417.214714162</v>
      </c>
      <c r="L7" s="109">
        <f>(OPEX!$E$54*10^6)*OPEX!$B$75</f>
        <v>40071417.214714162</v>
      </c>
      <c r="M7" s="109">
        <f>(OPEX!$E$54*10^6)*OPEX!$B$75</f>
        <v>40071417.214714162</v>
      </c>
      <c r="N7" s="109">
        <f>(OPEX!$E$54*10^6)*OPEX!$B$75</f>
        <v>40071417.214714162</v>
      </c>
      <c r="O7" s="109">
        <f>(OPEX!$E$54*10^6)*OPEX!$B$75</f>
        <v>40071417.214714162</v>
      </c>
      <c r="P7" s="109">
        <f>(OPEX!$E$54*10^6)*OPEX!$B$75</f>
        <v>40071417.214714162</v>
      </c>
      <c r="Q7" s="109">
        <f>(OPEX!$E$54*10^6)*OPEX!$B$75</f>
        <v>40071417.214714162</v>
      </c>
      <c r="R7" s="109">
        <f>(OPEX!$E$54*10^6)*OPEX!$B$75</f>
        <v>40071417.214714162</v>
      </c>
      <c r="S7" s="109">
        <f>(OPEX!$E$54*10^6)*OPEX!$B$75</f>
        <v>40071417.214714162</v>
      </c>
      <c r="T7" s="109">
        <f>(OPEX!$E$54*10^6)*OPEX!$B$75</f>
        <v>40071417.214714162</v>
      </c>
      <c r="U7" s="109">
        <f>(OPEX!$E$54*10^6)*OPEX!$B$75</f>
        <v>40071417.214714162</v>
      </c>
      <c r="V7" s="109">
        <f>(OPEX!$E$54*10^6)*OPEX!$B$75</f>
        <v>40071417.214714162</v>
      </c>
      <c r="W7" s="109">
        <f>(OPEX!$E$54*10^6)*OPEX!$B$75</f>
        <v>40071417.214714162</v>
      </c>
    </row>
    <row r="8" spans="2:23" x14ac:dyDescent="0.3">
      <c r="B8" s="118" t="s">
        <v>349</v>
      </c>
      <c r="C8" s="109"/>
      <c r="D8" s="109">
        <f>(OPEX!$E$51*10^6)*OPEX!$B$75</f>
        <v>71035694.153356925</v>
      </c>
      <c r="E8" s="109">
        <f>(OPEX!$E$51*10^6)*OPEX!$B$75</f>
        <v>71035694.153356925</v>
      </c>
      <c r="F8" s="109">
        <f>(OPEX!$E$51*10^6)*OPEX!$B$75</f>
        <v>71035694.153356925</v>
      </c>
      <c r="G8" s="109">
        <f>(OPEX!$E$51*10^6)*OPEX!$B$75</f>
        <v>71035694.153356925</v>
      </c>
      <c r="H8" s="109">
        <f>(OPEX!$E$51*10^6)*OPEX!$B$75</f>
        <v>71035694.153356925</v>
      </c>
      <c r="I8" s="109">
        <f>(OPEX!$E$51*10^6)*OPEX!$B$75</f>
        <v>71035694.153356925</v>
      </c>
      <c r="J8" s="109">
        <f>(OPEX!$E$51*10^6)*OPEX!$B$75</f>
        <v>71035694.153356925</v>
      </c>
      <c r="K8" s="109">
        <f>(OPEX!$E$51*10^6)*OPEX!$B$75</f>
        <v>71035694.153356925</v>
      </c>
      <c r="L8" s="109">
        <f>(OPEX!$E$51*10^6)*OPEX!$B$75</f>
        <v>71035694.153356925</v>
      </c>
      <c r="M8" s="109">
        <f>(OPEX!$E$51*10^6)*OPEX!$B$75</f>
        <v>71035694.153356925</v>
      </c>
      <c r="N8" s="109">
        <f>(OPEX!$E$51*10^6)*OPEX!$B$75</f>
        <v>71035694.153356925</v>
      </c>
      <c r="O8" s="109">
        <f>(OPEX!$E$51*10^6)*OPEX!$B$75</f>
        <v>71035694.153356925</v>
      </c>
      <c r="P8" s="109">
        <f>(OPEX!$E$51*10^6)*OPEX!$B$75</f>
        <v>71035694.153356925</v>
      </c>
      <c r="Q8" s="109">
        <f>(OPEX!$E$51*10^6)*OPEX!$B$75</f>
        <v>71035694.153356925</v>
      </c>
      <c r="R8" s="109">
        <f>(OPEX!$E$51*10^6)*OPEX!$B$75</f>
        <v>71035694.153356925</v>
      </c>
      <c r="S8" s="109">
        <f>(OPEX!$E$51*10^6)*OPEX!$B$75</f>
        <v>71035694.153356925</v>
      </c>
      <c r="T8" s="109">
        <f>(OPEX!$E$51*10^6)*OPEX!$B$75</f>
        <v>71035694.153356925</v>
      </c>
      <c r="U8" s="109">
        <f>(OPEX!$E$51*10^6)*OPEX!$B$75</f>
        <v>71035694.153356925</v>
      </c>
      <c r="V8" s="109">
        <f>(OPEX!$E$51*10^6)*OPEX!$B$75</f>
        <v>71035694.153356925</v>
      </c>
      <c r="W8" s="109">
        <f>(OPEX!$E$51*10^6)*OPEX!$B$75</f>
        <v>71035694.153356925</v>
      </c>
    </row>
    <row r="9" spans="2:23" x14ac:dyDescent="0.3">
      <c r="B9" s="118" t="s">
        <v>350</v>
      </c>
      <c r="C9" s="109"/>
      <c r="D9" s="109">
        <f>(OPEX!$E$56*10^6)*OPEX!$B$75</f>
        <v>840659.10240659083</v>
      </c>
      <c r="E9" s="109">
        <f>(OPEX!$E$56*10^6)*OPEX!$B$75</f>
        <v>840659.10240659083</v>
      </c>
      <c r="F9" s="109">
        <f>(OPEX!$E$56*10^6)*OPEX!$B$75</f>
        <v>840659.10240659083</v>
      </c>
      <c r="G9" s="109">
        <f>(OPEX!$E$56*10^6)*OPEX!$B$75</f>
        <v>840659.10240659083</v>
      </c>
      <c r="H9" s="109">
        <f>(OPEX!$E$56*10^6)*OPEX!$B$75</f>
        <v>840659.10240659083</v>
      </c>
      <c r="I9" s="109">
        <f>(OPEX!$E$56*10^6)*OPEX!$B$75</f>
        <v>840659.10240659083</v>
      </c>
      <c r="J9" s="109">
        <f>(OPEX!$E$56*10^6)*OPEX!$B$75</f>
        <v>840659.10240659083</v>
      </c>
      <c r="K9" s="109">
        <f>(OPEX!$E$56*10^6)*OPEX!$B$75</f>
        <v>840659.10240659083</v>
      </c>
      <c r="L9" s="109">
        <f>(OPEX!$E$56*10^6)*OPEX!$B$75</f>
        <v>840659.10240659083</v>
      </c>
      <c r="M9" s="109">
        <f>(OPEX!$E$56*10^6)*OPEX!$B$75</f>
        <v>840659.10240659083</v>
      </c>
      <c r="N9" s="109">
        <f>(OPEX!$E$56*10^6)*OPEX!$B$75</f>
        <v>840659.10240659083</v>
      </c>
      <c r="O9" s="109">
        <f>(OPEX!$E$56*10^6)*OPEX!$B$75</f>
        <v>840659.10240659083</v>
      </c>
      <c r="P9" s="109">
        <f>(OPEX!$E$56*10^6)*OPEX!$B$75</f>
        <v>840659.10240659083</v>
      </c>
      <c r="Q9" s="109">
        <f>(OPEX!$E$56*10^6)*OPEX!$B$75</f>
        <v>840659.10240659083</v>
      </c>
      <c r="R9" s="109">
        <f>(OPEX!$E$56*10^6)*OPEX!$B$75</f>
        <v>840659.10240659083</v>
      </c>
      <c r="S9" s="109">
        <f>(OPEX!$E$56*10^6)*OPEX!$B$75</f>
        <v>840659.10240659083</v>
      </c>
      <c r="T9" s="109">
        <f>(OPEX!$E$56*10^6)*OPEX!$B$75</f>
        <v>840659.10240659083</v>
      </c>
      <c r="U9" s="109">
        <f>(OPEX!$E$56*10^6)*OPEX!$B$75</f>
        <v>840659.10240659083</v>
      </c>
      <c r="V9" s="109">
        <f>(OPEX!$E$56*10^6)*OPEX!$B$75</f>
        <v>840659.10240659083</v>
      </c>
      <c r="W9" s="109">
        <f>(OPEX!$E$56*10^6)*OPEX!$B$75</f>
        <v>840659.10240659083</v>
      </c>
    </row>
    <row r="10" spans="2:23" x14ac:dyDescent="0.3">
      <c r="B10" s="118" t="s">
        <v>351</v>
      </c>
      <c r="C10" s="109"/>
      <c r="D10" s="109">
        <f>((OPEX!$E$57+OPEX!$B$62)*10^6)*OPEX!$B$75</f>
        <v>840659.10240659083</v>
      </c>
      <c r="E10" s="109">
        <f>((OPEX!$E$57+OPEX!$B$62)*10^6)*OPEX!$B$75</f>
        <v>840659.10240659083</v>
      </c>
      <c r="F10" s="109">
        <f>((OPEX!$E$57+OPEX!$B$62)*10^6)*OPEX!$B$75</f>
        <v>840659.10240659083</v>
      </c>
      <c r="G10" s="109">
        <f>((OPEX!$E$57+OPEX!$B$62)*10^6)*OPEX!$B$75</f>
        <v>840659.10240659083</v>
      </c>
      <c r="H10" s="109">
        <f>((OPEX!$E$57+OPEX!$B$62)*10^6)*OPEX!$B$75</f>
        <v>840659.10240659083</v>
      </c>
      <c r="I10" s="109">
        <f>((OPEX!$E$57+OPEX!$B$62)*10^6)*OPEX!$B$75</f>
        <v>840659.10240659083</v>
      </c>
      <c r="J10" s="109">
        <f>((OPEX!$E$57+OPEX!$B$62)*10^6)*OPEX!$B$75</f>
        <v>840659.10240659083</v>
      </c>
      <c r="K10" s="109">
        <f>((OPEX!$E$57+OPEX!$B$62)*10^6)*OPEX!$B$75</f>
        <v>840659.10240659083</v>
      </c>
      <c r="L10" s="109">
        <f>((OPEX!$E$57+OPEX!$B$62)*10^6)*OPEX!$B$75</f>
        <v>840659.10240659083</v>
      </c>
      <c r="M10" s="109">
        <f>((OPEX!$E$57+OPEX!$B$62)*10^6)*OPEX!$B$75</f>
        <v>840659.10240659083</v>
      </c>
      <c r="N10" s="109">
        <f>((OPEX!$E$57+OPEX!$B$62)*10^6)*OPEX!$B$75</f>
        <v>840659.10240659083</v>
      </c>
      <c r="O10" s="109">
        <f>((OPEX!$E$57+OPEX!$B$62)*10^6)*OPEX!$B$75</f>
        <v>840659.10240659083</v>
      </c>
      <c r="P10" s="109">
        <f>((OPEX!$E$57+OPEX!$B$62)*10^6)*OPEX!$B$75</f>
        <v>840659.10240659083</v>
      </c>
      <c r="Q10" s="109">
        <f>((OPEX!$E$57+OPEX!$B$62)*10^6)*OPEX!$B$75</f>
        <v>840659.10240659083</v>
      </c>
      <c r="R10" s="109">
        <f>((OPEX!$E$57+OPEX!$B$62)*10^6)*OPEX!$B$75</f>
        <v>840659.10240659083</v>
      </c>
      <c r="S10" s="109">
        <f>((OPEX!$E$57+OPEX!$B$62)*10^6)*OPEX!$B$75</f>
        <v>840659.10240659083</v>
      </c>
      <c r="T10" s="109">
        <f>((OPEX!$E$57+OPEX!$B$62)*10^6)*OPEX!$B$75</f>
        <v>840659.10240659083</v>
      </c>
      <c r="U10" s="109">
        <f>((OPEX!$E$57+OPEX!$B$62)*10^6)*OPEX!$B$75</f>
        <v>840659.10240659083</v>
      </c>
      <c r="V10" s="109">
        <f>((OPEX!$E$57+OPEX!$B$62)*10^6)*OPEX!$B$75</f>
        <v>840659.10240659083</v>
      </c>
      <c r="W10" s="109">
        <f>((OPEX!$E$57+OPEX!$B$62)*10^6)*OPEX!$B$75</f>
        <v>840659.10240659083</v>
      </c>
    </row>
    <row r="11" spans="2:23" x14ac:dyDescent="0.3">
      <c r="B11" s="118" t="s">
        <v>352</v>
      </c>
      <c r="C11" s="109"/>
      <c r="D11" s="109">
        <f>(OPEX!$E$58*10^6)*OPEX!$B$75</f>
        <v>1891482.9804148297</v>
      </c>
      <c r="E11" s="109">
        <f>(OPEX!$E$58*10^6)*OPEX!$B$75</f>
        <v>1891482.9804148297</v>
      </c>
      <c r="F11" s="109">
        <f>(OPEX!$E$58*10^6)*OPEX!$B$75</f>
        <v>1891482.9804148297</v>
      </c>
      <c r="G11" s="109">
        <f>(OPEX!$E$58*10^6)*OPEX!$B$75</f>
        <v>1891482.9804148297</v>
      </c>
      <c r="H11" s="109">
        <f>(OPEX!$E$58*10^6)*OPEX!$B$75</f>
        <v>1891482.9804148297</v>
      </c>
      <c r="I11" s="109">
        <f>(OPEX!$E$58*10^6)*OPEX!$B$75</f>
        <v>1891482.9804148297</v>
      </c>
      <c r="J11" s="109">
        <f>(OPEX!$E$58*10^6)*OPEX!$B$75</f>
        <v>1891482.9804148297</v>
      </c>
      <c r="K11" s="109">
        <f>(OPEX!$E$58*10^6)*OPEX!$B$75</f>
        <v>1891482.9804148297</v>
      </c>
      <c r="L11" s="109">
        <f>(OPEX!$E$58*10^6)*OPEX!$B$75</f>
        <v>1891482.9804148297</v>
      </c>
      <c r="M11" s="109">
        <f>(OPEX!$E$58*10^6)*OPEX!$B$75</f>
        <v>1891482.9804148297</v>
      </c>
      <c r="N11" s="109">
        <f>(OPEX!$E$58*10^6)*OPEX!$B$75</f>
        <v>1891482.9804148297</v>
      </c>
      <c r="O11" s="109">
        <f>(OPEX!$E$58*10^6)*OPEX!$B$75</f>
        <v>1891482.9804148297</v>
      </c>
      <c r="P11" s="109">
        <f>(OPEX!$E$58*10^6)*OPEX!$B$75</f>
        <v>1891482.9804148297</v>
      </c>
      <c r="Q11" s="109">
        <f>(OPEX!$E$58*10^6)*OPEX!$B$75</f>
        <v>1891482.9804148297</v>
      </c>
      <c r="R11" s="109">
        <f>(OPEX!$E$58*10^6)*OPEX!$B$75</f>
        <v>1891482.9804148297</v>
      </c>
      <c r="S11" s="109">
        <f>(OPEX!$E$58*10^6)*OPEX!$B$75</f>
        <v>1891482.9804148297</v>
      </c>
      <c r="T11" s="109">
        <f>(OPEX!$E$58*10^6)*OPEX!$B$75</f>
        <v>1891482.9804148297</v>
      </c>
      <c r="U11" s="109">
        <f>(OPEX!$E$58*10^6)*OPEX!$B$75</f>
        <v>1891482.9804148297</v>
      </c>
      <c r="V11" s="109">
        <f>(OPEX!$E$58*10^6)*OPEX!$B$75</f>
        <v>1891482.9804148297</v>
      </c>
      <c r="W11" s="109">
        <f>(OPEX!$E$58*10^6)*OPEX!$B$75</f>
        <v>1891482.9804148297</v>
      </c>
    </row>
    <row r="12" spans="2:23" x14ac:dyDescent="0.3">
      <c r="B12" s="118" t="s">
        <v>353</v>
      </c>
      <c r="C12" s="109"/>
      <c r="D12" s="109">
        <f>(OPEX!$E$60*10^6)*OPEX!$B$75</f>
        <v>22207411.288574111</v>
      </c>
      <c r="E12" s="109">
        <f>(OPEX!$E$60*10^6)*OPEX!$B$75</f>
        <v>22207411.288574111</v>
      </c>
      <c r="F12" s="109">
        <f>(OPEX!$E$60*10^6)*OPEX!$B$75</f>
        <v>22207411.288574111</v>
      </c>
      <c r="G12" s="109">
        <f>(OPEX!$E$60*10^6)*OPEX!$B$75</f>
        <v>22207411.288574111</v>
      </c>
      <c r="H12" s="109">
        <f>(OPEX!$E$60*10^6)*OPEX!$B$75</f>
        <v>22207411.288574111</v>
      </c>
      <c r="I12" s="109">
        <f>(OPEX!$E$60*10^6)*OPEX!$B$75</f>
        <v>22207411.288574111</v>
      </c>
      <c r="J12" s="109">
        <f>(OPEX!$E$60*10^6)*OPEX!$B$75</f>
        <v>22207411.288574111</v>
      </c>
      <c r="K12" s="109">
        <f>(OPEX!$E$60*10^6)*OPEX!$B$75</f>
        <v>22207411.288574111</v>
      </c>
      <c r="L12" s="109">
        <f>(OPEX!$E$60*10^6)*OPEX!$B$75</f>
        <v>22207411.288574111</v>
      </c>
      <c r="M12" s="109">
        <f>(OPEX!$E$60*10^6)*OPEX!$B$75</f>
        <v>22207411.288574111</v>
      </c>
      <c r="N12" s="109">
        <f>(OPEX!$E$60*10^6)*OPEX!$B$75</f>
        <v>22207411.288574111</v>
      </c>
      <c r="O12" s="109">
        <f>(OPEX!$E$60*10^6)*OPEX!$B$75</f>
        <v>22207411.288574111</v>
      </c>
      <c r="P12" s="109">
        <f>(OPEX!$E$60*10^6)*OPEX!$B$75</f>
        <v>22207411.288574111</v>
      </c>
      <c r="Q12" s="109">
        <f>(OPEX!$E$60*10^6)*OPEX!$B$75</f>
        <v>22207411.288574111</v>
      </c>
      <c r="R12" s="109">
        <f>(OPEX!$E$60*10^6)*OPEX!$B$75</f>
        <v>22207411.288574111</v>
      </c>
      <c r="S12" s="109">
        <f>(OPEX!$E$60*10^6)*OPEX!$B$75</f>
        <v>22207411.288574111</v>
      </c>
      <c r="T12" s="109">
        <f>(OPEX!$E$60*10^6)*OPEX!$B$75</f>
        <v>22207411.288574111</v>
      </c>
      <c r="U12" s="109">
        <f>(OPEX!$E$60*10^6)*OPEX!$B$75</f>
        <v>22207411.288574111</v>
      </c>
      <c r="V12" s="109">
        <f>(OPEX!$E$60*10^6)*OPEX!$B$75</f>
        <v>22207411.288574111</v>
      </c>
      <c r="W12" s="109">
        <f>(OPEX!$E$60*10^6)*OPEX!$B$75</f>
        <v>22207411.288574111</v>
      </c>
    </row>
    <row r="13" spans="2:23" x14ac:dyDescent="0.3">
      <c r="B13" s="118" t="s">
        <v>354</v>
      </c>
      <c r="C13" s="109"/>
      <c r="D13" s="109">
        <f>(OPEX!$E$59*10^6)*OPEX!$B$75</f>
        <v>140109.85040109849</v>
      </c>
      <c r="E13" s="109">
        <f>(OPEX!$E$59*10^6)*OPEX!$B$75</f>
        <v>140109.85040109849</v>
      </c>
      <c r="F13" s="109">
        <f>(OPEX!$E$59*10^6)*OPEX!$B$75</f>
        <v>140109.85040109849</v>
      </c>
      <c r="G13" s="109">
        <f>(OPEX!$E$59*10^6)*OPEX!$B$75</f>
        <v>140109.85040109849</v>
      </c>
      <c r="H13" s="109">
        <f>(OPEX!$E$59*10^6)*OPEX!$B$75</f>
        <v>140109.85040109849</v>
      </c>
      <c r="I13" s="109">
        <f>(OPEX!$E$59*10^6)*OPEX!$B$75</f>
        <v>140109.85040109849</v>
      </c>
      <c r="J13" s="109">
        <f>(OPEX!$E$59*10^6)*OPEX!$B$75</f>
        <v>140109.85040109849</v>
      </c>
      <c r="K13" s="109">
        <f>(OPEX!$E$59*10^6)*OPEX!$B$75</f>
        <v>140109.85040109849</v>
      </c>
      <c r="L13" s="109">
        <f>(OPEX!$E$59*10^6)*OPEX!$B$75</f>
        <v>140109.85040109849</v>
      </c>
      <c r="M13" s="109">
        <f>(OPEX!$E$59*10^6)*OPEX!$B$75</f>
        <v>140109.85040109849</v>
      </c>
      <c r="N13" s="109">
        <f>(OPEX!$E$59*10^6)*OPEX!$B$75</f>
        <v>140109.85040109849</v>
      </c>
      <c r="O13" s="109">
        <f>(OPEX!$E$59*10^6)*OPEX!$B$75</f>
        <v>140109.85040109849</v>
      </c>
      <c r="P13" s="109">
        <f>(OPEX!$E$59*10^6)*OPEX!$B$75</f>
        <v>140109.85040109849</v>
      </c>
      <c r="Q13" s="109">
        <f>(OPEX!$E$59*10^6)*OPEX!$B$75</f>
        <v>140109.85040109849</v>
      </c>
      <c r="R13" s="109">
        <f>(OPEX!$E$59*10^6)*OPEX!$B$75</f>
        <v>140109.85040109849</v>
      </c>
      <c r="S13" s="109">
        <f>(OPEX!$E$59*10^6)*OPEX!$B$75</f>
        <v>140109.85040109849</v>
      </c>
      <c r="T13" s="109">
        <f>(OPEX!$E$59*10^6)*OPEX!$B$75</f>
        <v>140109.85040109849</v>
      </c>
      <c r="U13" s="109">
        <f>(OPEX!$E$59*10^6)*OPEX!$B$75</f>
        <v>140109.85040109849</v>
      </c>
      <c r="V13" s="109">
        <f>(OPEX!$E$59*10^6)*OPEX!$B$75</f>
        <v>140109.85040109849</v>
      </c>
      <c r="W13" s="109">
        <f>(OPEX!$E$59*10^6)*OPEX!$B$75</f>
        <v>140109.85040109849</v>
      </c>
    </row>
    <row r="14" spans="2:23" x14ac:dyDescent="0.3">
      <c r="B14" s="118" t="s">
        <v>355</v>
      </c>
      <c r="C14" s="109"/>
      <c r="D14" s="109">
        <f>(OPEX!$E$61*10^6)*OPEX!$B$75</f>
        <v>55553555.68403554</v>
      </c>
      <c r="E14" s="109">
        <f>(OPEX!$E$61*10^6)*OPEX!$B$75</f>
        <v>55553555.68403554</v>
      </c>
      <c r="F14" s="109">
        <f>(OPEX!$E$61*10^6)*OPEX!$B$75</f>
        <v>55553555.68403554</v>
      </c>
      <c r="G14" s="109">
        <f>(OPEX!$E$61*10^6)*OPEX!$B$75</f>
        <v>55553555.68403554</v>
      </c>
      <c r="H14" s="109">
        <f>(OPEX!$E$61*10^6)*OPEX!$B$75</f>
        <v>55553555.68403554</v>
      </c>
      <c r="I14" s="109">
        <f>(OPEX!$E$61*10^6)*OPEX!$B$75</f>
        <v>55553555.68403554</v>
      </c>
      <c r="J14" s="109">
        <f>(OPEX!$E$61*10^6)*OPEX!$B$75</f>
        <v>55553555.68403554</v>
      </c>
      <c r="K14" s="109">
        <f>(OPEX!$E$61*10^6)*OPEX!$B$75</f>
        <v>55553555.68403554</v>
      </c>
      <c r="L14" s="109">
        <f>(OPEX!$E$61*10^6)*OPEX!$B$75</f>
        <v>55553555.68403554</v>
      </c>
      <c r="M14" s="109">
        <f>(OPEX!$E$61*10^6)*OPEX!$B$75</f>
        <v>55553555.68403554</v>
      </c>
      <c r="N14" s="109">
        <f>(OPEX!$E$61*10^6)*OPEX!$B$75</f>
        <v>55553555.68403554</v>
      </c>
      <c r="O14" s="109">
        <f>(OPEX!$E$61*10^6)*OPEX!$B$75</f>
        <v>55553555.68403554</v>
      </c>
      <c r="P14" s="109">
        <f>(OPEX!$E$61*10^6)*OPEX!$B$75</f>
        <v>55553555.68403554</v>
      </c>
      <c r="Q14" s="109">
        <f>(OPEX!$E$61*10^6)*OPEX!$B$75</f>
        <v>55553555.68403554</v>
      </c>
      <c r="R14" s="109">
        <f>(OPEX!$E$61*10^6)*OPEX!$B$75</f>
        <v>55553555.68403554</v>
      </c>
      <c r="S14" s="109">
        <f>(OPEX!$E$61*10^6)*OPEX!$B$75</f>
        <v>55553555.68403554</v>
      </c>
      <c r="T14" s="109">
        <f>(OPEX!$E$61*10^6)*OPEX!$B$75</f>
        <v>55553555.68403554</v>
      </c>
      <c r="U14" s="109">
        <f>(OPEX!$E$61*10^6)*OPEX!$B$75</f>
        <v>55553555.68403554</v>
      </c>
      <c r="V14" s="109">
        <f>(OPEX!$E$61*10^6)*OPEX!$B$75</f>
        <v>55553555.68403554</v>
      </c>
      <c r="W14" s="109">
        <f>(OPEX!$E$61*10^6)*OPEX!$B$75</f>
        <v>55553555.68403554</v>
      </c>
    </row>
    <row r="15" spans="2:23" x14ac:dyDescent="0.3">
      <c r="B15" s="118" t="s">
        <v>356</v>
      </c>
      <c r="C15" s="109"/>
      <c r="D15" s="109">
        <f>(OPEX!$E$67*10^6)*OPEX!$B$75</f>
        <v>70531070.754800111</v>
      </c>
      <c r="E15" s="109">
        <f>(OPEX!$E$67*10^6)*OPEX!$B$75</f>
        <v>70531070.754800111</v>
      </c>
      <c r="F15" s="109">
        <f>(OPEX!$E$67*10^6)*OPEX!$B$75</f>
        <v>70531070.754800111</v>
      </c>
      <c r="G15" s="109">
        <f>(OPEX!$E$67*10^6)*OPEX!$B$75</f>
        <v>70531070.754800111</v>
      </c>
      <c r="H15" s="109">
        <f>(OPEX!$E$67*10^6)*OPEX!$B$75</f>
        <v>70531070.754800111</v>
      </c>
      <c r="I15" s="109">
        <f>(OPEX!$E$67*10^6)*OPEX!$B$75</f>
        <v>70531070.754800111</v>
      </c>
      <c r="J15" s="109">
        <f>(OPEX!$E$67*10^6)*OPEX!$B$75</f>
        <v>70531070.754800111</v>
      </c>
      <c r="K15" s="109">
        <f>(OPEX!$E$67*10^6)*OPEX!$B$75</f>
        <v>70531070.754800111</v>
      </c>
      <c r="L15" s="109">
        <f>(OPEX!$E$67*10^6)*OPEX!$B$75</f>
        <v>70531070.754800111</v>
      </c>
      <c r="M15" s="109">
        <f>(OPEX!$E$67*10^6)*OPEX!$B$75</f>
        <v>70531070.754800111</v>
      </c>
      <c r="N15" s="109">
        <f>(OPEX!$E$67*10^6)*OPEX!$B$75</f>
        <v>70531070.754800111</v>
      </c>
      <c r="O15" s="109">
        <f>(OPEX!$E$67*10^6)*OPEX!$B$75</f>
        <v>70531070.754800111</v>
      </c>
      <c r="P15" s="109">
        <f>(OPEX!$E$67*10^6)*OPEX!$B$75</f>
        <v>70531070.754800111</v>
      </c>
      <c r="Q15" s="109">
        <f>(OPEX!$E$67*10^6)*OPEX!$B$75</f>
        <v>70531070.754800111</v>
      </c>
      <c r="R15" s="109">
        <f>(OPEX!$E$67*10^6)*OPEX!$B$75</f>
        <v>70531070.754800111</v>
      </c>
      <c r="S15" s="109">
        <f>(OPEX!$E$67*10^6)*OPEX!$B$75</f>
        <v>70531070.754800111</v>
      </c>
      <c r="T15" s="109">
        <f>(OPEX!$E$67*10^6)*OPEX!$B$75</f>
        <v>70531070.754800111</v>
      </c>
      <c r="U15" s="109">
        <f>(OPEX!$E$67*10^6)*OPEX!$B$75</f>
        <v>70531070.754800111</v>
      </c>
      <c r="V15" s="109">
        <f>(OPEX!$E$67*10^6)*OPEX!$B$75</f>
        <v>70531070.754800111</v>
      </c>
      <c r="W15" s="109">
        <f>(OPEX!$E$67*10^6)*OPEX!$B$75</f>
        <v>70531070.754800111</v>
      </c>
    </row>
    <row r="16" spans="2:23" x14ac:dyDescent="0.3">
      <c r="B16" s="118" t="s">
        <v>358</v>
      </c>
      <c r="C16" s="109"/>
      <c r="D16" s="109">
        <f>(OPEX!$E$69*10^6)*OPEX!$B$75</f>
        <v>37269220.206692196</v>
      </c>
      <c r="E16" s="109">
        <f>(OPEX!$E$69*10^6)*OPEX!$B$75</f>
        <v>37269220.206692196</v>
      </c>
      <c r="F16" s="109">
        <f>(OPEX!$E$69*10^6)*OPEX!$B$75</f>
        <v>37269220.206692196</v>
      </c>
      <c r="G16" s="109">
        <f>(OPEX!$E$69*10^6)*OPEX!$B$75</f>
        <v>37269220.206692196</v>
      </c>
      <c r="H16" s="109">
        <f>(OPEX!$E$69*10^6)*OPEX!$B$75</f>
        <v>37269220.206692196</v>
      </c>
      <c r="I16" s="109">
        <f>(OPEX!$E$69*10^6)*OPEX!$B$75</f>
        <v>37269220.206692196</v>
      </c>
      <c r="J16" s="109">
        <f>(OPEX!$E$69*10^6)*OPEX!$B$75</f>
        <v>37269220.206692196</v>
      </c>
      <c r="K16" s="109">
        <f>(OPEX!$E$69*10^6)*OPEX!$B$75</f>
        <v>37269220.206692196</v>
      </c>
      <c r="L16" s="109">
        <f>(OPEX!$E$69*10^6)*OPEX!$B$75</f>
        <v>37269220.206692196</v>
      </c>
      <c r="M16" s="109">
        <f>(OPEX!$E$69*10^6)*OPEX!$B$75</f>
        <v>37269220.206692196</v>
      </c>
      <c r="N16" s="109">
        <f>(OPEX!$E$69*10^6)*OPEX!$B$75</f>
        <v>37269220.206692196</v>
      </c>
      <c r="O16" s="109">
        <f>(OPEX!$E$69*10^6)*OPEX!$B$75</f>
        <v>37269220.206692196</v>
      </c>
      <c r="P16" s="109">
        <f>(OPEX!$E$69*10^6)*OPEX!$B$75</f>
        <v>37269220.206692196</v>
      </c>
      <c r="Q16" s="109">
        <f>(OPEX!$E$69*10^6)*OPEX!$B$75</f>
        <v>37269220.206692196</v>
      </c>
      <c r="R16" s="109">
        <f>(OPEX!$E$69*10^6)*OPEX!$B$75</f>
        <v>37269220.206692196</v>
      </c>
      <c r="S16" s="109">
        <f>(OPEX!$E$69*10^6)*OPEX!$B$75</f>
        <v>37269220.206692196</v>
      </c>
      <c r="T16" s="109">
        <f>(OPEX!$E$69*10^6)*OPEX!$B$75</f>
        <v>37269220.206692196</v>
      </c>
      <c r="U16" s="109">
        <f>(OPEX!$E$69*10^6)*OPEX!$B$75</f>
        <v>37269220.206692196</v>
      </c>
      <c r="V16" s="109">
        <f>(OPEX!$E$69*10^6)*OPEX!$B$75</f>
        <v>37269220.206692196</v>
      </c>
      <c r="W16" s="109">
        <f>(OPEX!$E$69*10^6)*OPEX!$B$75</f>
        <v>37269220.206692196</v>
      </c>
    </row>
    <row r="17" spans="2:25" s="41" customFormat="1" x14ac:dyDescent="0.3">
      <c r="B17" s="112" t="s">
        <v>342</v>
      </c>
      <c r="C17" s="112"/>
      <c r="D17" s="112">
        <f>D2-D3</f>
        <v>783121834.72793663</v>
      </c>
      <c r="E17" s="112">
        <f t="shared" ref="E17:V17" si="1">E2-E3</f>
        <v>872911819.2464081</v>
      </c>
      <c r="F17" s="112">
        <f t="shared" si="1"/>
        <v>1216947300.340241</v>
      </c>
      <c r="G17" s="112">
        <f t="shared" si="1"/>
        <v>1544023711.2114315</v>
      </c>
      <c r="H17" s="112">
        <f t="shared" si="1"/>
        <v>1617791579.3258286</v>
      </c>
      <c r="I17" s="112">
        <f t="shared" si="1"/>
        <v>1617791579.325829</v>
      </c>
      <c r="J17" s="112">
        <f t="shared" si="1"/>
        <v>1617791579.32583</v>
      </c>
      <c r="K17" s="112">
        <f t="shared" si="1"/>
        <v>1617791579.32583</v>
      </c>
      <c r="L17" s="112">
        <f t="shared" si="1"/>
        <v>1617791579.3258295</v>
      </c>
      <c r="M17" s="112">
        <f t="shared" si="1"/>
        <v>1617791579.325829</v>
      </c>
      <c r="N17" s="112">
        <f>N2-N3</f>
        <v>1737376358.7446289</v>
      </c>
      <c r="O17" s="112">
        <f t="shared" si="1"/>
        <v>1737376358.7446294</v>
      </c>
      <c r="P17" s="112">
        <f t="shared" si="1"/>
        <v>1737376358.7446289</v>
      </c>
      <c r="Q17" s="112">
        <f t="shared" si="1"/>
        <v>1737376358.7446294</v>
      </c>
      <c r="R17" s="112">
        <f t="shared" si="1"/>
        <v>1737376358.7446289</v>
      </c>
      <c r="S17" s="112">
        <f t="shared" si="1"/>
        <v>1737376358.7446289</v>
      </c>
      <c r="T17" s="112">
        <f t="shared" si="1"/>
        <v>1771374688.1357765</v>
      </c>
      <c r="U17" s="112">
        <f t="shared" si="1"/>
        <v>1771376223.2431908</v>
      </c>
      <c r="V17" s="112">
        <f t="shared" si="1"/>
        <v>1680810303.0016913</v>
      </c>
      <c r="W17" s="112">
        <f>W2-W3</f>
        <v>1669561290.6662884</v>
      </c>
    </row>
    <row r="18" spans="2:25" s="41" customFormat="1" x14ac:dyDescent="0.3">
      <c r="B18" s="164" t="s">
        <v>410</v>
      </c>
      <c r="C18" s="106"/>
      <c r="D18" s="106">
        <f t="shared" ref="D18:M18" si="2">E18</f>
        <v>201964577.66580552</v>
      </c>
      <c r="E18" s="106">
        <f t="shared" si="2"/>
        <v>201964577.66580552</v>
      </c>
      <c r="F18" s="106">
        <f t="shared" si="2"/>
        <v>201964577.66580552</v>
      </c>
      <c r="G18" s="106">
        <f t="shared" si="2"/>
        <v>201964577.66580552</v>
      </c>
      <c r="H18" s="106">
        <f t="shared" si="2"/>
        <v>201964577.66580552</v>
      </c>
      <c r="I18" s="106">
        <f t="shared" si="2"/>
        <v>201964577.66580552</v>
      </c>
      <c r="J18" s="106">
        <f t="shared" si="2"/>
        <v>201964577.66580552</v>
      </c>
      <c r="K18" s="106">
        <f t="shared" si="2"/>
        <v>201964577.66580552</v>
      </c>
      <c r="L18" s="106">
        <f t="shared" si="2"/>
        <v>201964577.66580552</v>
      </c>
      <c r="M18" s="106">
        <f t="shared" si="2"/>
        <v>201964577.66580552</v>
      </c>
      <c r="N18" s="106">
        <f>O18</f>
        <v>201964577.66580552</v>
      </c>
      <c r="O18" s="106">
        <f>((406049*1000)*(1+(SUMIFS(Inflação!$L$1:$L$20,Inflação!$I$1:$I$20,O$1)+Inflação!$K$22))*'Receita Máxima'!$H$47)</f>
        <v>201964577.66580552</v>
      </c>
      <c r="P18" s="106">
        <f>((422429*1000)*(1+(SUMIFS(Inflação!$L$1:$L$20,Inflação!$I$1:$I$20,P$1)+Inflação!$K$22))*'Receita Máxima'!$H$47)</f>
        <v>211173709.34135738</v>
      </c>
      <c r="Q18" s="106">
        <f>((336045*1000)*(1+(SUMIFS(Inflação!$L$1:$L$20,Inflação!$I$1:$I$20,Q$1)+Inflação!$K$22))*'Receita Máxima'!$H$47)</f>
        <v>156625074.53007716</v>
      </c>
      <c r="R18" s="106">
        <f>(((439093*1000)*(1+(SUMIFS(Inflação!$L$1:$L$20,Inflação!$I$1:$I$20,R$1)+Inflação!$K$22))*'Receita Máxima'!$H$47))</f>
        <v>191242559.43487641</v>
      </c>
      <c r="S18" s="106">
        <f>((450910*1000)*(1+(SUMIFS(Inflação!$L$1:$L$20,Inflação!$I$1:$I$20,S$1)+Inflação!$K$22))*'Receita Máxima'!$H$47)</f>
        <v>160957538.14162177</v>
      </c>
      <c r="T18" s="106">
        <f>((461439*1000)*(1+(SUMIFS(Inflação!$L$1:$L$20,Inflação!$I$1:$I$20,T$1)+Inflação!$K$22))*'Receita Máxima'!$H$47)</f>
        <v>141056134.32001835</v>
      </c>
      <c r="U18" s="106">
        <f>((478771*1000)*(1+(SUMIFS(Inflação!$L$1:$L$20,Inflação!$I$1:$I$20,U$1)+Inflação!$K$22))*'Receita Máxima'!$H$47)</f>
        <v>139218185.77947769</v>
      </c>
      <c r="V18" s="106">
        <f>((457834*1000)*(1+(Inflação!$K$22))*'Receita Máxima'!$H$47)</f>
        <v>134705644.19142976</v>
      </c>
      <c r="W18" s="106">
        <f>V18</f>
        <v>134705644.19142976</v>
      </c>
    </row>
    <row r="19" spans="2:25" s="41" customFormat="1" x14ac:dyDescent="0.3">
      <c r="B19" s="112" t="s">
        <v>343</v>
      </c>
      <c r="C19" s="112"/>
      <c r="D19" s="112">
        <f>D17-D18</f>
        <v>581157257.06213117</v>
      </c>
      <c r="E19" s="112">
        <f t="shared" ref="E19:W19" si="3">E17-E18</f>
        <v>670947241.58060265</v>
      </c>
      <c r="F19" s="112">
        <f t="shared" si="3"/>
        <v>1014982722.6744354</v>
      </c>
      <c r="G19" s="112">
        <f t="shared" si="3"/>
        <v>1342059133.5456259</v>
      </c>
      <c r="H19" s="112">
        <f t="shared" si="3"/>
        <v>1415827001.660023</v>
      </c>
      <c r="I19" s="112">
        <f t="shared" si="3"/>
        <v>1415827001.6600235</v>
      </c>
      <c r="J19" s="112">
        <f t="shared" si="3"/>
        <v>1415827001.6600244</v>
      </c>
      <c r="K19" s="112">
        <f t="shared" si="3"/>
        <v>1415827001.6600244</v>
      </c>
      <c r="L19" s="112">
        <f t="shared" si="3"/>
        <v>1415827001.6600239</v>
      </c>
      <c r="M19" s="112">
        <f t="shared" si="3"/>
        <v>1415827001.6600235</v>
      </c>
      <c r="N19" s="112">
        <f t="shared" si="3"/>
        <v>1535411781.0788233</v>
      </c>
      <c r="O19" s="112">
        <f t="shared" si="3"/>
        <v>1535411781.0788238</v>
      </c>
      <c r="P19" s="112">
        <f t="shared" si="3"/>
        <v>1526202649.4032714</v>
      </c>
      <c r="Q19" s="112">
        <f t="shared" si="3"/>
        <v>1580751284.2145522</v>
      </c>
      <c r="R19" s="112">
        <f t="shared" si="3"/>
        <v>1546133799.3097525</v>
      </c>
      <c r="S19" s="112">
        <f t="shared" si="3"/>
        <v>1576418820.6030071</v>
      </c>
      <c r="T19" s="112">
        <f t="shared" si="3"/>
        <v>1630318553.8157582</v>
      </c>
      <c r="U19" s="112">
        <f t="shared" si="3"/>
        <v>1632158037.4637132</v>
      </c>
      <c r="V19" s="112">
        <f t="shared" si="3"/>
        <v>1546104658.8102615</v>
      </c>
      <c r="W19" s="112">
        <f t="shared" si="3"/>
        <v>1534855646.4748585</v>
      </c>
    </row>
    <row r="20" spans="2:25" x14ac:dyDescent="0.3">
      <c r="B20" s="14" t="s">
        <v>344</v>
      </c>
      <c r="C20" s="14"/>
      <c r="D20" s="113">
        <f>34%*D19</f>
        <v>197593467.4011246</v>
      </c>
      <c r="E20" s="113">
        <f t="shared" ref="E20:W20" si="4">34%*E19</f>
        <v>228122062.13740492</v>
      </c>
      <c r="F20" s="113">
        <f t="shared" si="4"/>
        <v>345094125.70930803</v>
      </c>
      <c r="G20" s="113">
        <f t="shared" si="4"/>
        <v>456300105.40551287</v>
      </c>
      <c r="H20" s="113">
        <f t="shared" si="4"/>
        <v>481381180.56440783</v>
      </c>
      <c r="I20" s="113">
        <f t="shared" si="4"/>
        <v>481381180.564408</v>
      </c>
      <c r="J20" s="113">
        <f t="shared" si="4"/>
        <v>481381180.5644083</v>
      </c>
      <c r="K20" s="113">
        <f t="shared" si="4"/>
        <v>481381180.5644083</v>
      </c>
      <c r="L20" s="113">
        <f t="shared" si="4"/>
        <v>481381180.56440818</v>
      </c>
      <c r="M20" s="113">
        <f t="shared" si="4"/>
        <v>481381180.564408</v>
      </c>
      <c r="N20" s="113">
        <f t="shared" si="4"/>
        <v>522040005.5668</v>
      </c>
      <c r="O20" s="113">
        <f t="shared" si="4"/>
        <v>522040005.56680012</v>
      </c>
      <c r="P20" s="113">
        <f t="shared" si="4"/>
        <v>518908900.79711235</v>
      </c>
      <c r="Q20" s="113">
        <f t="shared" si="4"/>
        <v>537455436.6329478</v>
      </c>
      <c r="R20" s="113">
        <f t="shared" si="4"/>
        <v>525685491.76531589</v>
      </c>
      <c r="S20" s="113">
        <f t="shared" si="4"/>
        <v>535982399.00502247</v>
      </c>
      <c r="T20" s="113">
        <f t="shared" si="4"/>
        <v>554308308.2973578</v>
      </c>
      <c r="U20" s="113">
        <f t="shared" si="4"/>
        <v>554933732.73766255</v>
      </c>
      <c r="V20" s="113">
        <f t="shared" si="4"/>
        <v>525675583.99548894</v>
      </c>
      <c r="W20" s="113">
        <f t="shared" si="4"/>
        <v>521850919.80145192</v>
      </c>
    </row>
    <row r="21" spans="2:25" s="41" customFormat="1" x14ac:dyDescent="0.3">
      <c r="B21" s="117" t="s">
        <v>365</v>
      </c>
      <c r="C21" s="117"/>
      <c r="D21" s="117">
        <f>D19-D20</f>
        <v>383563789.66100657</v>
      </c>
      <c r="E21" s="117">
        <f t="shared" ref="E21:V21" si="5">E19-E20</f>
        <v>442825179.44319773</v>
      </c>
      <c r="F21" s="117">
        <f t="shared" si="5"/>
        <v>669888596.96512735</v>
      </c>
      <c r="G21" s="117">
        <f t="shared" si="5"/>
        <v>885759028.14011312</v>
      </c>
      <c r="H21" s="117">
        <f t="shared" si="5"/>
        <v>934445821.09561515</v>
      </c>
      <c r="I21" s="117">
        <f t="shared" si="5"/>
        <v>934445821.09561539</v>
      </c>
      <c r="J21" s="117">
        <f t="shared" si="5"/>
        <v>934445821.0956161</v>
      </c>
      <c r="K21" s="117">
        <f t="shared" si="5"/>
        <v>934445821.0956161</v>
      </c>
      <c r="L21" s="117">
        <f t="shared" si="5"/>
        <v>934445821.09561574</v>
      </c>
      <c r="M21" s="117">
        <f t="shared" si="5"/>
        <v>934445821.09561539</v>
      </c>
      <c r="N21" s="117">
        <f t="shared" si="5"/>
        <v>1013371775.5120233</v>
      </c>
      <c r="O21" s="117">
        <f t="shared" si="5"/>
        <v>1013371775.5120237</v>
      </c>
      <c r="P21" s="117">
        <f t="shared" si="5"/>
        <v>1007293748.6061591</v>
      </c>
      <c r="Q21" s="117">
        <f t="shared" si="5"/>
        <v>1043295847.5816044</v>
      </c>
      <c r="R21" s="117">
        <f t="shared" si="5"/>
        <v>1020448307.5444366</v>
      </c>
      <c r="S21" s="117">
        <f t="shared" si="5"/>
        <v>1040436421.5979846</v>
      </c>
      <c r="T21" s="117">
        <f t="shared" si="5"/>
        <v>1076010245.5184004</v>
      </c>
      <c r="U21" s="117">
        <f t="shared" si="5"/>
        <v>1077224304.7260506</v>
      </c>
      <c r="V21" s="117">
        <f t="shared" si="5"/>
        <v>1020429074.8147726</v>
      </c>
      <c r="W21" s="117">
        <f>W19-W20</f>
        <v>1013004726.6734066</v>
      </c>
    </row>
    <row r="22" spans="2:25" s="41" customFormat="1" x14ac:dyDescent="0.3">
      <c r="B22" s="120" t="s">
        <v>366</v>
      </c>
      <c r="C22" s="114"/>
      <c r="D22" s="114"/>
      <c r="E22" s="114"/>
      <c r="F22" s="114">
        <v>7540860714.5164089</v>
      </c>
      <c r="G22" s="114">
        <v>28857540.659153871</v>
      </c>
      <c r="H22" s="114"/>
      <c r="I22" s="114">
        <v>727125229.93670261</v>
      </c>
      <c r="J22" s="114"/>
      <c r="K22" s="114">
        <v>53927586.083815746</v>
      </c>
      <c r="L22" s="114">
        <v>19608233.845851727</v>
      </c>
      <c r="M22" s="114"/>
      <c r="N22" s="114"/>
      <c r="O22" s="114"/>
      <c r="P22" s="114"/>
      <c r="Q22" s="114"/>
      <c r="R22" s="114"/>
      <c r="S22" s="114"/>
      <c r="T22" s="114">
        <v>54370009.43285615</v>
      </c>
      <c r="U22" s="114"/>
      <c r="V22" s="114"/>
      <c r="W22" s="114"/>
      <c r="Y22" s="100"/>
    </row>
    <row r="23" spans="2:25" x14ac:dyDescent="0.3">
      <c r="B23" s="120" t="s">
        <v>368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>
        <v>0</v>
      </c>
      <c r="X23" s="41"/>
      <c r="Y23" s="68"/>
    </row>
    <row r="24" spans="2:25" x14ac:dyDescent="0.3">
      <c r="B24" s="120" t="s">
        <v>369</v>
      </c>
      <c r="C24" s="116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41"/>
    </row>
    <row r="25" spans="2:25" s="41" customFormat="1" x14ac:dyDescent="0.3">
      <c r="B25" s="117" t="s">
        <v>364</v>
      </c>
      <c r="C25" s="117">
        <f>-C27</f>
        <v>-9697281033.0446243</v>
      </c>
      <c r="D25" s="117">
        <f>D21-D22+D18+D23-D24</f>
        <v>585528367.32681203</v>
      </c>
      <c r="E25" s="117">
        <f>E21-E22+E18+E23-E24</f>
        <v>644789757.10900331</v>
      </c>
      <c r="F25" s="117">
        <f>F21-F22+F18+F23-F24</f>
        <v>-6669007539.8854761</v>
      </c>
      <c r="G25" s="117">
        <f>G21-G22+G18+G23-G24</f>
        <v>1058866065.1467648</v>
      </c>
      <c r="H25" s="117">
        <f>H21-H22+H18+H23-H24</f>
        <v>1136410398.7614207</v>
      </c>
      <c r="I25" s="117">
        <f>I21-I22+I18+I23-I24</f>
        <v>409285168.8247183</v>
      </c>
      <c r="J25" s="117">
        <f>J21-J22+J18+J23-J24</f>
        <v>1136410398.7614217</v>
      </c>
      <c r="K25" s="117">
        <f>K21-K22+K18+K23-K24</f>
        <v>1082482812.6776059</v>
      </c>
      <c r="L25" s="117">
        <f>L21-L22+L18+L23-L24</f>
        <v>1116802164.9155695</v>
      </c>
      <c r="M25" s="117">
        <f>M21-M22+M18+M23-M24</f>
        <v>1136410398.761421</v>
      </c>
      <c r="N25" s="117">
        <f>N21-N22+N18+N23-N24</f>
        <v>1215336353.1778288</v>
      </c>
      <c r="O25" s="117">
        <f>O21-O22+O18+O23-O24</f>
        <v>1215336353.1778293</v>
      </c>
      <c r="P25" s="117">
        <f>P21-P22+P18+P23-P24</f>
        <v>1218467457.9475164</v>
      </c>
      <c r="Q25" s="117">
        <f>Q21-Q22+Q18+Q23-Q24</f>
        <v>1199920922.1116815</v>
      </c>
      <c r="R25" s="117">
        <f>R21-R22+R18+R23-R24</f>
        <v>1211690866.9793129</v>
      </c>
      <c r="S25" s="117">
        <f>S21-S22+S18+S23-S24</f>
        <v>1201393959.7396064</v>
      </c>
      <c r="T25" s="117">
        <f>T21-T22+T18+T23-T24</f>
        <v>1162696370.4055626</v>
      </c>
      <c r="U25" s="117">
        <f>U21-U22+U18+U23-U24</f>
        <v>1216442490.5055282</v>
      </c>
      <c r="V25" s="117">
        <f>V21-V22+V18+V23-V24</f>
        <v>1155134719.0062025</v>
      </c>
      <c r="W25" s="117">
        <f>W21-W22+W18+W23-W24</f>
        <v>1147710370.8648365</v>
      </c>
    </row>
    <row r="26" spans="2:25" x14ac:dyDescent="0.3">
      <c r="B26" s="8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2:25" x14ac:dyDescent="0.3">
      <c r="B27" s="121" t="s">
        <v>417</v>
      </c>
      <c r="C27" s="136">
        <v>9697281033.0446243</v>
      </c>
      <c r="D27" s="123">
        <f>(C27-C28)+D22-D28</f>
        <v>3913070345.5</v>
      </c>
      <c r="E27" s="123">
        <f t="shared" ref="E27:W27" si="6">(D27)+E22-E28</f>
        <v>3913070345.5</v>
      </c>
      <c r="F27" s="123">
        <f t="shared" si="6"/>
        <v>6929428907.5</v>
      </c>
      <c r="G27" s="123">
        <f t="shared" si="6"/>
        <v>6940975184.5</v>
      </c>
      <c r="H27" s="123">
        <f t="shared" si="6"/>
        <v>6940975184.5</v>
      </c>
      <c r="I27" s="123">
        <f t="shared" si="6"/>
        <v>7231823612.5</v>
      </c>
      <c r="J27" s="123">
        <f t="shared" si="6"/>
        <v>7231823612.5</v>
      </c>
      <c r="K27" s="123">
        <f t="shared" si="6"/>
        <v>7253389746.5</v>
      </c>
      <c r="L27" s="123">
        <f t="shared" si="6"/>
        <v>7261229003.5</v>
      </c>
      <c r="M27" s="123">
        <f t="shared" si="6"/>
        <v>7261229003.5</v>
      </c>
      <c r="N27" s="123">
        <f t="shared" si="6"/>
        <v>7261229003.5</v>
      </c>
      <c r="O27" s="123">
        <f t="shared" si="6"/>
        <v>7261229003.5</v>
      </c>
      <c r="P27" s="123">
        <f t="shared" si="6"/>
        <v>7261229003.5</v>
      </c>
      <c r="Q27" s="123">
        <f t="shared" si="6"/>
        <v>7261229003.5</v>
      </c>
      <c r="R27" s="123">
        <f t="shared" si="6"/>
        <v>7261229003.5</v>
      </c>
      <c r="S27" s="123">
        <f t="shared" si="6"/>
        <v>7261229003.5</v>
      </c>
      <c r="T27" s="123">
        <f t="shared" si="6"/>
        <v>7308144612.5</v>
      </c>
      <c r="U27" s="123">
        <f t="shared" si="6"/>
        <v>7308144612.5</v>
      </c>
      <c r="V27" s="123">
        <f t="shared" si="6"/>
        <v>7308144612.5</v>
      </c>
      <c r="W27" s="123">
        <f t="shared" si="6"/>
        <v>7308144612.5</v>
      </c>
    </row>
    <row r="28" spans="2:25" s="41" customFormat="1" x14ac:dyDescent="0.3">
      <c r="B28" s="124" t="s">
        <v>363</v>
      </c>
      <c r="C28" s="123">
        <v>5784210687.5446243</v>
      </c>
      <c r="D28" s="123"/>
      <c r="E28" s="123"/>
      <c r="F28" s="123">
        <v>4524502152.5164089</v>
      </c>
      <c r="G28" s="123">
        <v>17311263.659153871</v>
      </c>
      <c r="H28" s="123"/>
      <c r="I28" s="123">
        <v>436276801.93670261</v>
      </c>
      <c r="J28" s="123"/>
      <c r="K28" s="123">
        <v>32361452.083815746</v>
      </c>
      <c r="L28" s="123">
        <v>11768976.845851727</v>
      </c>
      <c r="M28" s="123"/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7454400.43285615</v>
      </c>
      <c r="U28" s="123">
        <v>0</v>
      </c>
      <c r="V28" s="123">
        <v>0</v>
      </c>
      <c r="W28" s="123">
        <v>0</v>
      </c>
    </row>
    <row r="29" spans="2:25" x14ac:dyDescent="0.3">
      <c r="F29" s="40"/>
    </row>
    <row r="30" spans="2:25" x14ac:dyDescent="0.3">
      <c r="B30" s="125" t="s">
        <v>370</v>
      </c>
      <c r="C30" s="139">
        <f>NPV($C$33,D25:W25)-(C27)</f>
        <v>-5520843600.7121906</v>
      </c>
      <c r="N30" s="75"/>
    </row>
    <row r="31" spans="2:25" hidden="1" x14ac:dyDescent="0.3">
      <c r="B31" s="127" t="s">
        <v>389</v>
      </c>
      <c r="C31" s="128">
        <f>NPV(C33,D22:W22)+C27</f>
        <v>17433186591.358376</v>
      </c>
      <c r="E31" s="8"/>
    </row>
    <row r="32" spans="2:25" x14ac:dyDescent="0.3">
      <c r="C32" s="74"/>
      <c r="D32" s="68"/>
    </row>
    <row r="33" spans="2:23" x14ac:dyDescent="0.3">
      <c r="B33" s="107" t="s">
        <v>371</v>
      </c>
      <c r="C33" s="129">
        <v>7.2499999999999995E-2</v>
      </c>
      <c r="D33" s="10"/>
    </row>
    <row r="34" spans="2:23" x14ac:dyDescent="0.3">
      <c r="B34" s="107" t="s">
        <v>388</v>
      </c>
      <c r="C34" s="129">
        <f>IRR(C25:W25)</f>
        <v>2.1105276157059372E-2</v>
      </c>
      <c r="D34" s="10"/>
    </row>
    <row r="35" spans="2:23" x14ac:dyDescent="0.3">
      <c r="D35" s="10"/>
    </row>
    <row r="36" spans="2:23" x14ac:dyDescent="0.3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2:23" x14ac:dyDescent="0.3">
      <c r="D37" s="10"/>
    </row>
    <row r="38" spans="2:23" x14ac:dyDescent="0.3">
      <c r="B38" s="98" t="s">
        <v>378</v>
      </c>
      <c r="C38" s="94">
        <f>-C25</f>
        <v>9697281033.0446243</v>
      </c>
      <c r="D38" s="94">
        <f t="shared" ref="D38:W38" si="7">C38+D22</f>
        <v>9697281033.0446243</v>
      </c>
      <c r="E38" s="94">
        <f t="shared" si="7"/>
        <v>9697281033.0446243</v>
      </c>
      <c r="F38" s="94">
        <f>E38+F22</f>
        <v>17238141747.561035</v>
      </c>
      <c r="G38" s="94">
        <f t="shared" si="7"/>
        <v>17266999288.220188</v>
      </c>
      <c r="H38" s="94">
        <f t="shared" si="7"/>
        <v>17266999288.220188</v>
      </c>
      <c r="I38" s="94">
        <f t="shared" si="7"/>
        <v>17994124518.156891</v>
      </c>
      <c r="J38" s="94">
        <f t="shared" si="7"/>
        <v>17994124518.156891</v>
      </c>
      <c r="K38" s="94">
        <f t="shared" si="7"/>
        <v>18048052104.240707</v>
      </c>
      <c r="L38" s="94">
        <f t="shared" si="7"/>
        <v>18067660338.086559</v>
      </c>
      <c r="M38" s="94">
        <f t="shared" si="7"/>
        <v>18067660338.086559</v>
      </c>
      <c r="N38" s="94">
        <f t="shared" si="7"/>
        <v>18067660338.086559</v>
      </c>
      <c r="O38" s="94">
        <f t="shared" si="7"/>
        <v>18067660338.086559</v>
      </c>
      <c r="P38" s="94">
        <f t="shared" si="7"/>
        <v>18067660338.086559</v>
      </c>
      <c r="Q38" s="94">
        <f t="shared" si="7"/>
        <v>18067660338.086559</v>
      </c>
      <c r="R38" s="94">
        <f t="shared" si="7"/>
        <v>18067660338.086559</v>
      </c>
      <c r="S38" s="94">
        <f t="shared" si="7"/>
        <v>18067660338.086559</v>
      </c>
      <c r="T38" s="94">
        <f t="shared" si="7"/>
        <v>18122030347.519417</v>
      </c>
      <c r="U38" s="94">
        <f t="shared" si="7"/>
        <v>18122030347.519417</v>
      </c>
      <c r="V38" s="94">
        <f t="shared" si="7"/>
        <v>18122030347.519417</v>
      </c>
      <c r="W38" s="94">
        <f t="shared" si="7"/>
        <v>18122030347.519417</v>
      </c>
    </row>
    <row r="39" spans="2:23" x14ac:dyDescent="0.3">
      <c r="B39" s="98" t="s">
        <v>392</v>
      </c>
      <c r="C39" s="94">
        <f>NPV($C$33,D39:W39)</f>
        <v>10846460489.896694</v>
      </c>
      <c r="D39" s="94">
        <f>D21+D18</f>
        <v>585528367.32681203</v>
      </c>
      <c r="E39" s="94">
        <f>E21+E18</f>
        <v>644789757.10900331</v>
      </c>
      <c r="F39" s="94">
        <f>F21+F18</f>
        <v>871853174.63093281</v>
      </c>
      <c r="G39" s="94">
        <f>G21+G18</f>
        <v>1087723605.8059187</v>
      </c>
      <c r="H39" s="94">
        <f>H21+H18</f>
        <v>1136410398.7614207</v>
      </c>
      <c r="I39" s="94">
        <f>I21+I18</f>
        <v>1136410398.761421</v>
      </c>
      <c r="J39" s="94">
        <f>J21+J18</f>
        <v>1136410398.7614217</v>
      </c>
      <c r="K39" s="94">
        <f>K21+K18</f>
        <v>1136410398.7614217</v>
      </c>
      <c r="L39" s="94">
        <f>L21+L18</f>
        <v>1136410398.7614212</v>
      </c>
      <c r="M39" s="94">
        <f>M21+M18</f>
        <v>1136410398.761421</v>
      </c>
      <c r="N39" s="94">
        <f>N21+N18</f>
        <v>1215336353.1778288</v>
      </c>
      <c r="O39" s="94">
        <f>O21+O18</f>
        <v>1215336353.1778293</v>
      </c>
      <c r="P39" s="94">
        <f>P21+P18</f>
        <v>1218467457.9475164</v>
      </c>
      <c r="Q39" s="94">
        <f>Q21+Q18</f>
        <v>1199920922.1116815</v>
      </c>
      <c r="R39" s="94">
        <f>R21+R18</f>
        <v>1211690866.9793129</v>
      </c>
      <c r="S39" s="94">
        <f>S21+S18</f>
        <v>1201393959.7396064</v>
      </c>
      <c r="T39" s="94">
        <f>T21+T18</f>
        <v>1217066379.8384187</v>
      </c>
      <c r="U39" s="94">
        <f>U21+U18</f>
        <v>1216442490.5055282</v>
      </c>
      <c r="V39" s="94">
        <f>V21+V18</f>
        <v>1155134719.0062025</v>
      </c>
      <c r="W39" s="94">
        <f>W21+W18</f>
        <v>1147710370.8648365</v>
      </c>
    </row>
    <row r="40" spans="2:23" x14ac:dyDescent="0.3">
      <c r="B40" s="98" t="s">
        <v>393</v>
      </c>
      <c r="C40" s="94">
        <f>NPV(12%,D40:W40)</f>
        <v>7509931631.984005</v>
      </c>
      <c r="D40" s="94">
        <f>D21+D18</f>
        <v>585528367.32681203</v>
      </c>
      <c r="E40" s="94">
        <f>E21+E18</f>
        <v>644789757.10900331</v>
      </c>
      <c r="F40" s="94">
        <f>F21+F18</f>
        <v>871853174.63093281</v>
      </c>
      <c r="G40" s="94">
        <f>G21+G18</f>
        <v>1087723605.8059187</v>
      </c>
      <c r="H40" s="94">
        <f>H21+H18</f>
        <v>1136410398.7614207</v>
      </c>
      <c r="I40" s="94">
        <f>I21+I18</f>
        <v>1136410398.761421</v>
      </c>
      <c r="J40" s="94">
        <f>J21+J18</f>
        <v>1136410398.7614217</v>
      </c>
      <c r="K40" s="94">
        <f>K21+K18</f>
        <v>1136410398.7614217</v>
      </c>
      <c r="L40" s="94">
        <f>L21+L18</f>
        <v>1136410398.7614212</v>
      </c>
      <c r="M40" s="94">
        <f>M21+M18</f>
        <v>1136410398.761421</v>
      </c>
      <c r="N40" s="94">
        <f>N21+N18</f>
        <v>1215336353.1778288</v>
      </c>
      <c r="O40" s="94">
        <f>O21+O18</f>
        <v>1215336353.1778293</v>
      </c>
      <c r="P40" s="94">
        <f>P21+P18</f>
        <v>1218467457.9475164</v>
      </c>
      <c r="Q40" s="94">
        <f>Q21+Q18</f>
        <v>1199920922.1116815</v>
      </c>
      <c r="R40" s="94">
        <f>R21+R18</f>
        <v>1211690866.9793129</v>
      </c>
      <c r="S40" s="94">
        <f>S21+S18</f>
        <v>1201393959.7396064</v>
      </c>
      <c r="T40" s="94">
        <f>T21+T18</f>
        <v>1217066379.8384187</v>
      </c>
      <c r="U40" s="94">
        <f>U21+U18</f>
        <v>1216442490.5055282</v>
      </c>
      <c r="V40" s="94">
        <f>V21+V18</f>
        <v>1155134719.0062025</v>
      </c>
      <c r="W40" s="94">
        <f>W21+W18</f>
        <v>1147710370.8648365</v>
      </c>
    </row>
    <row r="41" spans="2:23" x14ac:dyDescent="0.3">
      <c r="B41" s="98" t="s">
        <v>395</v>
      </c>
      <c r="C41" s="94">
        <f>NPV(7.25%,D41:W41)+C27</f>
        <v>16367304090.608887</v>
      </c>
      <c r="D41" s="94">
        <f>D22</f>
        <v>0</v>
      </c>
      <c r="E41" s="94">
        <f t="shared" ref="E41:W41" si="8">E22</f>
        <v>0</v>
      </c>
      <c r="F41" s="94">
        <f t="shared" si="8"/>
        <v>7540860714.5164089</v>
      </c>
      <c r="G41" s="94">
        <f t="shared" si="8"/>
        <v>28857540.659153871</v>
      </c>
      <c r="H41" s="94">
        <f t="shared" si="8"/>
        <v>0</v>
      </c>
      <c r="I41" s="94">
        <f t="shared" si="8"/>
        <v>727125229.93670261</v>
      </c>
      <c r="J41" s="94">
        <f t="shared" si="8"/>
        <v>0</v>
      </c>
      <c r="K41" s="94">
        <f t="shared" si="8"/>
        <v>53927586.083815746</v>
      </c>
      <c r="L41" s="94">
        <f t="shared" si="8"/>
        <v>19608233.845851727</v>
      </c>
      <c r="M41" s="94">
        <f t="shared" si="8"/>
        <v>0</v>
      </c>
      <c r="N41" s="94">
        <f t="shared" si="8"/>
        <v>0</v>
      </c>
      <c r="O41" s="94">
        <f t="shared" si="8"/>
        <v>0</v>
      </c>
      <c r="P41" s="94">
        <f t="shared" si="8"/>
        <v>0</v>
      </c>
      <c r="Q41" s="94">
        <f t="shared" si="8"/>
        <v>0</v>
      </c>
      <c r="R41" s="94">
        <f t="shared" si="8"/>
        <v>0</v>
      </c>
      <c r="S41" s="94">
        <f t="shared" si="8"/>
        <v>0</v>
      </c>
      <c r="T41" s="94">
        <f t="shared" si="8"/>
        <v>54370009.43285615</v>
      </c>
      <c r="U41" s="94">
        <f t="shared" si="8"/>
        <v>0</v>
      </c>
      <c r="V41" s="94">
        <f t="shared" si="8"/>
        <v>0</v>
      </c>
      <c r="W41" s="94">
        <f t="shared" si="8"/>
        <v>0</v>
      </c>
    </row>
    <row r="42" spans="2:23" x14ac:dyDescent="0.3">
      <c r="B42" s="98" t="s">
        <v>396</v>
      </c>
      <c r="C42" s="94">
        <f>NPV(12%,D42:W42)+C27</f>
        <v>15488210557.847813</v>
      </c>
      <c r="D42" s="94">
        <f>D22</f>
        <v>0</v>
      </c>
      <c r="E42" s="94">
        <f t="shared" ref="E42:W42" si="9">E22</f>
        <v>0</v>
      </c>
      <c r="F42" s="94">
        <f t="shared" si="9"/>
        <v>7540860714.5164089</v>
      </c>
      <c r="G42" s="94">
        <f t="shared" si="9"/>
        <v>28857540.659153871</v>
      </c>
      <c r="H42" s="94">
        <f t="shared" si="9"/>
        <v>0</v>
      </c>
      <c r="I42" s="94">
        <f t="shared" si="9"/>
        <v>727125229.93670261</v>
      </c>
      <c r="J42" s="94">
        <f t="shared" si="9"/>
        <v>0</v>
      </c>
      <c r="K42" s="94">
        <f t="shared" si="9"/>
        <v>53927586.083815746</v>
      </c>
      <c r="L42" s="94">
        <f t="shared" si="9"/>
        <v>19608233.845851727</v>
      </c>
      <c r="M42" s="94">
        <f t="shared" si="9"/>
        <v>0</v>
      </c>
      <c r="N42" s="94">
        <f t="shared" si="9"/>
        <v>0</v>
      </c>
      <c r="O42" s="94">
        <f t="shared" si="9"/>
        <v>0</v>
      </c>
      <c r="P42" s="94">
        <f t="shared" si="9"/>
        <v>0</v>
      </c>
      <c r="Q42" s="94">
        <f t="shared" si="9"/>
        <v>0</v>
      </c>
      <c r="R42" s="94">
        <f t="shared" si="9"/>
        <v>0</v>
      </c>
      <c r="S42" s="94">
        <f t="shared" si="9"/>
        <v>0</v>
      </c>
      <c r="T42" s="94">
        <f t="shared" si="9"/>
        <v>54370009.43285615</v>
      </c>
      <c r="U42" s="94">
        <f t="shared" si="9"/>
        <v>0</v>
      </c>
      <c r="V42" s="94">
        <f t="shared" si="9"/>
        <v>0</v>
      </c>
      <c r="W42" s="94">
        <f t="shared" si="9"/>
        <v>0</v>
      </c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22AA-1A43-4660-8E68-657F1715DECF}">
  <dimension ref="B1:Y32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3" sqref="F23"/>
    </sheetView>
  </sheetViews>
  <sheetFormatPr defaultColWidth="9.109375" defaultRowHeight="14.4" outlineLevelRow="1" x14ac:dyDescent="0.3"/>
  <cols>
    <col min="1" max="1" width="2.6640625" customWidth="1"/>
    <col min="2" max="2" width="63.88671875" customWidth="1"/>
    <col min="3" max="3" width="16.33203125" customWidth="1"/>
    <col min="4" max="4" width="15.6640625" customWidth="1"/>
    <col min="5" max="20" width="15.44140625" customWidth="1"/>
    <col min="21" max="23" width="15.6640625" customWidth="1"/>
    <col min="25" max="25" width="16.5546875" bestFit="1" customWidth="1"/>
  </cols>
  <sheetData>
    <row r="1" spans="2:25" x14ac:dyDescent="0.3">
      <c r="B1" t="s">
        <v>391</v>
      </c>
      <c r="C1" s="105">
        <v>2005</v>
      </c>
      <c r="D1" s="105">
        <v>2006</v>
      </c>
      <c r="E1" s="105">
        <v>2007</v>
      </c>
      <c r="F1" s="105">
        <v>2008</v>
      </c>
      <c r="G1" s="105">
        <v>2009</v>
      </c>
      <c r="H1" s="105">
        <v>2010</v>
      </c>
      <c r="I1" s="105">
        <v>2011</v>
      </c>
      <c r="J1" s="105">
        <v>2012</v>
      </c>
      <c r="K1" s="105">
        <v>2013</v>
      </c>
      <c r="L1" s="105">
        <v>2014</v>
      </c>
      <c r="M1" s="105">
        <v>2015</v>
      </c>
      <c r="N1" s="105">
        <v>2016</v>
      </c>
      <c r="O1" s="105">
        <v>2017</v>
      </c>
      <c r="P1" s="105">
        <v>2018</v>
      </c>
      <c r="Q1" s="105">
        <v>2019</v>
      </c>
      <c r="R1" s="105">
        <v>2020</v>
      </c>
      <c r="S1" s="105">
        <v>2021</v>
      </c>
      <c r="T1" s="105">
        <v>2022</v>
      </c>
      <c r="U1" s="105">
        <v>2023</v>
      </c>
      <c r="V1" s="105">
        <v>2024</v>
      </c>
      <c r="W1" s="105">
        <v>2025</v>
      </c>
    </row>
    <row r="2" spans="2:25" s="41" customFormat="1" hidden="1" outlineLevel="1" x14ac:dyDescent="0.3">
      <c r="B2" s="192" t="s">
        <v>415</v>
      </c>
      <c r="C2" s="192"/>
      <c r="D2" s="192">
        <v>306027</v>
      </c>
      <c r="E2" s="192">
        <v>314964</v>
      </c>
      <c r="F2" s="192"/>
      <c r="G2" s="192"/>
      <c r="H2" s="192"/>
      <c r="I2" s="192"/>
      <c r="J2" s="192"/>
      <c r="K2" s="192"/>
      <c r="L2" s="192"/>
      <c r="M2" s="192"/>
      <c r="N2" s="192"/>
      <c r="O2" s="192">
        <v>4112460</v>
      </c>
      <c r="P2" s="192">
        <v>4040892</v>
      </c>
      <c r="Q2" s="192">
        <v>4406215</v>
      </c>
      <c r="R2" s="192">
        <v>4671168</v>
      </c>
      <c r="S2" s="192">
        <v>5765779</v>
      </c>
      <c r="T2" s="192">
        <v>6777519</v>
      </c>
      <c r="U2" s="192">
        <v>7353022</v>
      </c>
      <c r="V2" s="192">
        <v>7256473</v>
      </c>
      <c r="W2" s="192"/>
    </row>
    <row r="3" spans="2:25" s="41" customFormat="1" hidden="1" outlineLevel="1" x14ac:dyDescent="0.3">
      <c r="B3" s="192" t="s">
        <v>380</v>
      </c>
      <c r="C3" s="192"/>
      <c r="D3" s="192">
        <f>(D2*1000)*(1+(SUMIFS(Inflação!$L$1:$L$20,Inflação!$I$1:$I$20,D$1)+Inflação!$K$22))</f>
        <v>1066580378.3618736</v>
      </c>
      <c r="E3" s="192">
        <f>(E2*1000)*(1+(SUMIFS(Inflação!$L$1:$L$20,Inflação!$I$1:$I$20,E$1)+Inflação!$K$22))</f>
        <v>1057948627.2079599</v>
      </c>
      <c r="F3" s="192"/>
      <c r="G3" s="192"/>
      <c r="H3" s="192"/>
      <c r="I3" s="192"/>
      <c r="J3" s="192"/>
      <c r="K3" s="192"/>
      <c r="L3" s="192"/>
      <c r="M3" s="192"/>
      <c r="N3" s="192"/>
      <c r="O3" s="192">
        <f>(O2*1000)*(1+(SUMIFS(Inflação!$L$1:$L$20,Inflação!$I$1:$I$20,O$1)+Inflação!$K$22))</f>
        <v>7388066840.8252716</v>
      </c>
      <c r="P3" s="192">
        <f>(P2*1000)*(1+(SUMIFS(Inflação!$L$1:$L$20,Inflação!$I$1:$I$20,P$1)+Inflação!$K$22))</f>
        <v>7296183287.4550734</v>
      </c>
      <c r="Q3" s="192">
        <f>(Q2*1000)*(1+(SUMIFS(Inflação!$L$1:$L$20,Inflação!$I$1:$I$20,Q$1)+Inflação!$K$22))</f>
        <v>7417574312.9844227</v>
      </c>
      <c r="R3" s="192">
        <f>(R2*1000)*(1+(SUMIFS(Inflação!$L$1:$L$20,Inflação!$I$1:$I$20,R$1)+Inflação!$K$22))</f>
        <v>7348283266.2039995</v>
      </c>
      <c r="S3" s="192">
        <f>(S2*1000)*(1+(SUMIFS(Inflação!$L$1:$L$20,Inflação!$I$1:$I$20,S$1)+Inflação!$K$22))</f>
        <v>7433816124.7250643</v>
      </c>
      <c r="T3" s="192">
        <f>(T2*1000)*(1+(SUMIFS(Inflação!$L$1:$L$20,Inflação!$I$1:$I$20,T$1)+Inflação!$K$22))</f>
        <v>7483086967.9613514</v>
      </c>
      <c r="U3" s="192">
        <f>(U2*1000)*(1+(SUMIFS(Inflação!$L$1:$L$20,Inflação!$I$1:$I$20,U$1)+Inflação!$K$22))</f>
        <v>7722650265.0802565</v>
      </c>
      <c r="V3" s="192">
        <f>(V2*1000)*(1+(SUMIFS(Inflação!$L$1:$L$20,Inflação!$I$1:$I$20,V$1)+Inflação!$K$22))</f>
        <v>7711443909.5916166</v>
      </c>
      <c r="W3" s="195"/>
    </row>
    <row r="4" spans="2:25" s="103" customFormat="1" collapsed="1" x14ac:dyDescent="0.3">
      <c r="B4" s="130" t="s">
        <v>381</v>
      </c>
      <c r="C4" s="130"/>
      <c r="D4" s="130">
        <f>D3</f>
        <v>1066580378.3618736</v>
      </c>
      <c r="E4" s="130">
        <f>E3</f>
        <v>1057948627.2079599</v>
      </c>
      <c r="F4" s="131">
        <f>'Receita Máxima'!D$33</f>
        <v>1604687072.4031281</v>
      </c>
      <c r="G4" s="131">
        <f>'Receita Máxima'!E$33</f>
        <v>1931763483.2743187</v>
      </c>
      <c r="H4" s="131">
        <f>'Receita Máxima'!F$33</f>
        <v>2005531351.3887157</v>
      </c>
      <c r="I4" s="131">
        <f>'Receita Máxima'!G$33</f>
        <v>2005531351.3887162</v>
      </c>
      <c r="J4" s="131">
        <f>'Receita Máxima'!H$33</f>
        <v>2005531351.3887169</v>
      </c>
      <c r="K4" s="131">
        <f>'Receita Máxima'!I$33</f>
        <v>2005531351.3887169</v>
      </c>
      <c r="L4" s="131">
        <f>'Receita Máxima'!J$33</f>
        <v>2005531351.3887167</v>
      </c>
      <c r="M4" s="131">
        <f>'Receita Máxima'!K$33</f>
        <v>2005531351.388716</v>
      </c>
      <c r="N4" s="131">
        <f>'Receita Máxima'!L$33</f>
        <v>2125116130.8075159</v>
      </c>
      <c r="O4" s="130">
        <f>O3*'Receita Máxima'!$H$47</f>
        <v>2045495117.7506127</v>
      </c>
      <c r="P4" s="130">
        <f>P3*'Receita Máxima'!$H$47</f>
        <v>2020055802.7214427</v>
      </c>
      <c r="Q4" s="130">
        <f>Q3*'Receita Máxima'!$H$47</f>
        <v>2053664696.0095937</v>
      </c>
      <c r="R4" s="130">
        <f>R3*'Receita Máxima'!$H$47</f>
        <v>2034480449.1765816</v>
      </c>
      <c r="S4" s="130">
        <f>S3*'Receita Máxima'!$H$47</f>
        <v>2058161480.8025148</v>
      </c>
      <c r="T4" s="130">
        <f>T3*'Receita Máxima'!$H$47</f>
        <v>2071802839.4229281</v>
      </c>
      <c r="U4" s="130">
        <f>U3*'Receita Máxima'!$H$47</f>
        <v>2138129466.5645719</v>
      </c>
      <c r="V4" s="130">
        <f>V3*'Receita Máxima'!$H$47</f>
        <v>2135026821.9981849</v>
      </c>
      <c r="W4" s="131">
        <f>'Receita Máxima'!U$33</f>
        <v>2057301062.7291756</v>
      </c>
    </row>
    <row r="5" spans="2:25" hidden="1" outlineLevel="1" x14ac:dyDescent="0.3">
      <c r="B5" s="188" t="s">
        <v>414</v>
      </c>
      <c r="C5" s="132"/>
      <c r="D5" s="187">
        <v>11057</v>
      </c>
      <c r="E5" s="187">
        <v>33714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</row>
    <row r="6" spans="2:25" s="41" customFormat="1" collapsed="1" x14ac:dyDescent="0.3">
      <c r="B6" s="134" t="s">
        <v>384</v>
      </c>
      <c r="C6" s="134"/>
      <c r="D6" s="134">
        <f>(D5*1000)*(1+(SUMIFS(Inflação!$L$1:$L$20,Inflação!$I$1:$I$20,D$1)+Inflação!$K$22))</f>
        <v>38536401.178808525</v>
      </c>
      <c r="E6" s="134">
        <f>(E5*1000)*(1+(SUMIFS(Inflação!$L$1:$L$20,Inflação!$I$1:$I$20,E$1)+Inflação!$K$22))</f>
        <v>113243672.34886895</v>
      </c>
      <c r="F6" s="131">
        <f t="shared" ref="F6:N6" si="0">F18*$B$28</f>
        <v>389347332.93398744</v>
      </c>
      <c r="G6" s="131">
        <f t="shared" si="0"/>
        <v>389996089.44989616</v>
      </c>
      <c r="H6" s="131">
        <f t="shared" si="0"/>
        <v>389996089.44989616</v>
      </c>
      <c r="I6" s="131">
        <f t="shared" si="0"/>
        <v>406338137.43703657</v>
      </c>
      <c r="J6" s="131">
        <f t="shared" si="0"/>
        <v>406338137.43703657</v>
      </c>
      <c r="K6" s="131">
        <f t="shared" si="0"/>
        <v>407549884.73492843</v>
      </c>
      <c r="L6" s="131">
        <f t="shared" si="0"/>
        <v>407990353.03987497</v>
      </c>
      <c r="M6" s="131">
        <f t="shared" si="0"/>
        <v>407990353.03987497</v>
      </c>
      <c r="N6" s="131">
        <f t="shared" si="0"/>
        <v>407990353.03987497</v>
      </c>
      <c r="O6" s="134">
        <f>-(('[3]O&amp;M e G&amp;A Malhas SE'!C$15+'[3]O&amp;M e G&amp;A Malhas SE'!C$21)*1000)*(1+(SUMIFS(Inflação!$L$1:$L$20,Inflação!$I$1:$I$20,O$1)+Inflação!$K$22))</f>
        <v>429463547.1054849</v>
      </c>
      <c r="P6" s="134">
        <f>-(('[3]O&amp;M e G&amp;A Malhas SE'!E$15+'[3]O&amp;M e G&amp;A Malhas SE'!E$21)*1000)*(1+(SUMIFS(Inflação!$L$1:$L$20,Inflação!$I$1:$I$20,P$1)+Inflação!$K$22))</f>
        <v>450229441.30184549</v>
      </c>
      <c r="Q6" s="134">
        <f>-(('[3]O&amp;M e G&amp;A Malhas SE'!G$15+'[3]O&amp;M e G&amp;A Malhas SE'!G$21)*1000)*(1+(SUMIFS(Inflação!$L$1:$L$20,Inflação!$I$1:$I$20,Q$1)+Inflação!$K$22))</f>
        <v>458247299.21705014</v>
      </c>
      <c r="R6" s="134">
        <f>-(('[3]O&amp;M e G&amp;A Malhas SE'!I$15+'[3]O&amp;M e G&amp;A Malhas SE'!I$21)*1000)*(1+(SUMIFS(Inflação!$L$1:$L$20,Inflação!$I$1:$I$20,R$1)+Inflação!$K$22))</f>
        <v>478628826.78989464</v>
      </c>
      <c r="S6" s="134">
        <f>-(('[3]O&amp;M e G&amp;A Malhas SE'!K$15+'[3]O&amp;M e G&amp;A Malhas SE'!K$21)*1000)*(1+(SUMIFS(Inflação!$L$1:$L$20,Inflação!$I$1:$I$20,S$1)+Inflação!$K$22))</f>
        <v>427535688.40233284</v>
      </c>
      <c r="T6" s="134">
        <f>-(('[3]O&amp;M e G&amp;A Malhas SE'!M$15+'[3]O&amp;M e G&amp;A Malhas SE'!M$21)*1000)*(1+(SUMIFS(Inflação!$L$1:$L$20,Inflação!$I$1:$I$20,T$1)+Inflação!$K$22))</f>
        <v>330371484.10302556</v>
      </c>
      <c r="U6" s="134">
        <f>-(('[3]O&amp;M e G&amp;A Malhas SE'!O$15+'[3]O&amp;M e G&amp;A Malhas SE'!O$21)*1000)*(1+(SUMIFS(Inflação!$L$1:$L$20,Inflação!$I$1:$I$20,U$1)+Inflação!$K$22))</f>
        <v>347389693.65833902</v>
      </c>
      <c r="V6" s="134">
        <f>-(('[3]O&amp;M e G&amp;A Malhas SE'!Q$15+'[3]O&amp;M e G&amp;A Malhas SE'!Q$21)*1000)*(1+(SUMIFS(Inflação!$L$1:$L$20,Inflação!$I$1:$I$20,V$1)+Inflação!$K$22))</f>
        <v>349965057.02135402</v>
      </c>
      <c r="W6" s="131">
        <f>(OPEX!$E$70*OPEX!$B$75)*10^6</f>
        <v>387739772.06288707</v>
      </c>
    </row>
    <row r="7" spans="2:25" s="41" customFormat="1" x14ac:dyDescent="0.3">
      <c r="B7" s="110" t="s">
        <v>342</v>
      </c>
      <c r="C7" s="112"/>
      <c r="D7" s="112">
        <f>D4-D6</f>
        <v>1028043977.1830651</v>
      </c>
      <c r="E7" s="112">
        <f>E4-E6</f>
        <v>944704954.85909092</v>
      </c>
      <c r="F7" s="112">
        <f>F4-F6</f>
        <v>1215339739.4691408</v>
      </c>
      <c r="G7" s="112">
        <f>G4-G6</f>
        <v>1541767393.8244226</v>
      </c>
      <c r="H7" s="112">
        <f>H4-H6</f>
        <v>1615535261.9388196</v>
      </c>
      <c r="I7" s="112">
        <f>I4-I6</f>
        <v>1599193213.9516797</v>
      </c>
      <c r="J7" s="112">
        <f>J4-J6</f>
        <v>1599193213.9516804</v>
      </c>
      <c r="K7" s="112">
        <f>K4-K6</f>
        <v>1597981466.6537886</v>
      </c>
      <c r="L7" s="112">
        <f>L4-L6</f>
        <v>1597540998.3488417</v>
      </c>
      <c r="M7" s="112">
        <f>M4-M6</f>
        <v>1597540998.348841</v>
      </c>
      <c r="N7" s="112">
        <f>N4-N6</f>
        <v>1717125777.7676408</v>
      </c>
      <c r="O7" s="112">
        <f>O4-O6</f>
        <v>1616031570.6451278</v>
      </c>
      <c r="P7" s="112">
        <f>P4-P6</f>
        <v>1569826361.4195971</v>
      </c>
      <c r="Q7" s="112">
        <f>Q4-Q6</f>
        <v>1595417396.7925436</v>
      </c>
      <c r="R7" s="112">
        <f>R4-R6</f>
        <v>1555851622.386687</v>
      </c>
      <c r="S7" s="112">
        <f>S4-S6</f>
        <v>1630625792.400182</v>
      </c>
      <c r="T7" s="112">
        <f>T4-T6</f>
        <v>1741431355.3199024</v>
      </c>
      <c r="U7" s="112">
        <f>U4-U6</f>
        <v>1790739772.9062328</v>
      </c>
      <c r="V7" s="112">
        <f>V4-V6</f>
        <v>1785061764.976831</v>
      </c>
      <c r="W7" s="112">
        <f>W4-W6</f>
        <v>1669561290.6662884</v>
      </c>
    </row>
    <row r="8" spans="2:25" s="41" customFormat="1" outlineLevel="1" x14ac:dyDescent="0.3">
      <c r="B8" s="192" t="s">
        <v>367</v>
      </c>
      <c r="C8" s="10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6"/>
      <c r="O8" s="192">
        <f>(406049*1000)*(1+(SUMIFS(Inflação!$L$1:$L$20,Inflação!$I$1:$I$20,O$1)+Inflação!$K$22))</f>
        <v>729470232.57375407</v>
      </c>
      <c r="P8" s="192">
        <f>(422429*1000)*(1+(SUMIFS(Inflação!$L$1:$L$20,Inflação!$I$1:$I$20,P$1)+Inflação!$K$22))</f>
        <v>762732438.7626195</v>
      </c>
      <c r="Q8" s="192">
        <f>(336045*1000)*(1+(SUMIFS(Inflação!$L$1:$L$20,Inflação!$I$1:$I$20,Q$1)+Inflação!$K$22))</f>
        <v>565709744.07895446</v>
      </c>
      <c r="R8" s="192">
        <f>(439093*1000)*(1+(SUMIFS(Inflação!$L$1:$L$20,Inflação!$I$1:$I$20,R$1)+Inflação!$K$22))</f>
        <v>690743673.57528412</v>
      </c>
      <c r="S8" s="192">
        <f>(450910*1000)*(1+(SUMIFS(Inflação!$L$1:$L$20,Inflação!$I$1:$I$20,S$1)+Inflação!$K$22))</f>
        <v>581358048.72156537</v>
      </c>
      <c r="T8" s="192">
        <f>(461439*1000)*(1+(SUMIFS(Inflação!$L$1:$L$20,Inflação!$I$1:$I$20,T$1)+Inflação!$K$22))</f>
        <v>509476722.58965528</v>
      </c>
      <c r="U8" s="192">
        <f>(478771*1000)*(1+(SUMIFS(Inflação!$L$1:$L$20,Inflação!$I$1:$I$20,U$1)+Inflação!$K$22))</f>
        <v>502838287.45007694</v>
      </c>
      <c r="V8" s="192">
        <f>(457834*1000)*(1+(Inflação!$K$22))</f>
        <v>486539564.18000424</v>
      </c>
      <c r="W8" s="192">
        <f>V8</f>
        <v>486539564.18000424</v>
      </c>
    </row>
    <row r="9" spans="2:25" s="41" customFormat="1" x14ac:dyDescent="0.3">
      <c r="B9" s="106" t="s">
        <v>385</v>
      </c>
      <c r="C9" s="135"/>
      <c r="D9" s="135">
        <f t="shared" ref="D9:K9" si="1">E9</f>
        <v>201964577.66580552</v>
      </c>
      <c r="E9" s="135">
        <f t="shared" si="1"/>
        <v>201964577.66580552</v>
      </c>
      <c r="F9" s="135">
        <f t="shared" si="1"/>
        <v>201964577.66580552</v>
      </c>
      <c r="G9" s="135">
        <f t="shared" si="1"/>
        <v>201964577.66580552</v>
      </c>
      <c r="H9" s="135">
        <f t="shared" si="1"/>
        <v>201964577.66580552</v>
      </c>
      <c r="I9" s="135">
        <f t="shared" si="1"/>
        <v>201964577.66580552</v>
      </c>
      <c r="J9" s="135">
        <f t="shared" si="1"/>
        <v>201964577.66580552</v>
      </c>
      <c r="K9" s="135">
        <f t="shared" si="1"/>
        <v>201964577.66580552</v>
      </c>
      <c r="L9" s="135">
        <f>M9</f>
        <v>201964577.66580552</v>
      </c>
      <c r="M9" s="135">
        <f t="shared" ref="M9" si="2">N9</f>
        <v>201964577.66580552</v>
      </c>
      <c r="N9" s="135">
        <f>O9</f>
        <v>201964577.66580552</v>
      </c>
      <c r="O9" s="135">
        <f>'Receita Máxima'!$H$47*FCR_CNR_DRE_NTS!O8</f>
        <v>201964577.66580552</v>
      </c>
      <c r="P9" s="135">
        <f>'Receita Máxima'!$H$47*FCR_CNR_DRE_NTS!P8</f>
        <v>211173709.34135738</v>
      </c>
      <c r="Q9" s="135">
        <f>'Receita Máxima'!$H$47*FCR_CNR_DRE_NTS!Q8</f>
        <v>156625074.53007716</v>
      </c>
      <c r="R9" s="135">
        <f>'Receita Máxima'!$H$47*FCR_CNR_DRE_NTS!R8</f>
        <v>191242559.43487641</v>
      </c>
      <c r="S9" s="135">
        <f>'Receita Máxima'!$H$47*FCR_CNR_DRE_NTS!S8</f>
        <v>160957538.14162177</v>
      </c>
      <c r="T9" s="135">
        <f>'Receita Máxima'!$H$47*FCR_CNR_DRE_NTS!T8</f>
        <v>141056134.32001835</v>
      </c>
      <c r="U9" s="135">
        <f>'Receita Máxima'!$H$47*FCR_CNR_DRE_NTS!U8</f>
        <v>139218185.77947769</v>
      </c>
      <c r="V9" s="135">
        <f>'Receita Máxima'!$H$47*FCR_CNR_DRE_NTS!V8</f>
        <v>134705644.19142976</v>
      </c>
      <c r="W9" s="135">
        <f>'Receita Máxima'!$H$47*FCR_CNR_DRE_NTS!W8</f>
        <v>134705644.19142976</v>
      </c>
    </row>
    <row r="10" spans="2:25" s="41" customFormat="1" x14ac:dyDescent="0.3">
      <c r="B10" s="112" t="s">
        <v>343</v>
      </c>
      <c r="C10" s="112"/>
      <c r="D10" s="112">
        <f>D7-D9</f>
        <v>826079399.5172596</v>
      </c>
      <c r="E10" s="112">
        <f t="shared" ref="E10:W10" si="3">E7-E9</f>
        <v>742740377.19328547</v>
      </c>
      <c r="F10" s="112">
        <f t="shared" si="3"/>
        <v>1013375161.8033352</v>
      </c>
      <c r="G10" s="112">
        <f t="shared" si="3"/>
        <v>1339802816.158617</v>
      </c>
      <c r="H10" s="112">
        <f t="shared" si="3"/>
        <v>1413570684.2730141</v>
      </c>
      <c r="I10" s="112">
        <f t="shared" si="3"/>
        <v>1397228636.2858741</v>
      </c>
      <c r="J10" s="112">
        <f t="shared" si="3"/>
        <v>1397228636.2858748</v>
      </c>
      <c r="K10" s="112">
        <f t="shared" si="3"/>
        <v>1396016888.987983</v>
      </c>
      <c r="L10" s="112">
        <f t="shared" si="3"/>
        <v>1395576420.6830361</v>
      </c>
      <c r="M10" s="112">
        <f t="shared" si="3"/>
        <v>1395576420.6830354</v>
      </c>
      <c r="N10" s="112">
        <f t="shared" si="3"/>
        <v>1515161200.1018353</v>
      </c>
      <c r="O10" s="112">
        <f t="shared" si="3"/>
        <v>1414066992.9793222</v>
      </c>
      <c r="P10" s="112">
        <f t="shared" si="3"/>
        <v>1358652652.0782397</v>
      </c>
      <c r="Q10" s="112">
        <f t="shared" si="3"/>
        <v>1438792322.2624664</v>
      </c>
      <c r="R10" s="112">
        <f t="shared" si="3"/>
        <v>1364609062.9518106</v>
      </c>
      <c r="S10" s="112">
        <f t="shared" si="3"/>
        <v>1469668254.2585602</v>
      </c>
      <c r="T10" s="112">
        <f t="shared" si="3"/>
        <v>1600375220.9998841</v>
      </c>
      <c r="U10" s="112">
        <f t="shared" si="3"/>
        <v>1651521587.1267552</v>
      </c>
      <c r="V10" s="112">
        <f t="shared" si="3"/>
        <v>1650356120.7854011</v>
      </c>
      <c r="W10" s="112">
        <f t="shared" si="3"/>
        <v>1534855646.4748585</v>
      </c>
    </row>
    <row r="11" spans="2:25" s="41" customFormat="1" x14ac:dyDescent="0.3">
      <c r="B11" s="14" t="s">
        <v>344</v>
      </c>
      <c r="C11" s="106"/>
      <c r="D11" s="106">
        <f>D10*34%</f>
        <v>280866995.8358683</v>
      </c>
      <c r="E11" s="106">
        <f>E10*34%</f>
        <v>252531728.24571708</v>
      </c>
      <c r="F11" s="106">
        <f>F10*34%</f>
        <v>344547555.013134</v>
      </c>
      <c r="G11" s="106">
        <f>G10*34%</f>
        <v>455532957.4939298</v>
      </c>
      <c r="H11" s="106">
        <f>H10*34%</f>
        <v>480614032.65282482</v>
      </c>
      <c r="I11" s="106">
        <f>I10*34%</f>
        <v>475057736.33719724</v>
      </c>
      <c r="J11" s="106">
        <f>J10*34%</f>
        <v>475057736.33719748</v>
      </c>
      <c r="K11" s="106">
        <f>K10*34%</f>
        <v>474645742.25591427</v>
      </c>
      <c r="L11" s="106">
        <f>L10*34%</f>
        <v>474495983.03223228</v>
      </c>
      <c r="M11" s="106">
        <f>M10*34%</f>
        <v>474495983.03223205</v>
      </c>
      <c r="N11" s="106">
        <f>N10*34%</f>
        <v>515154808.03462404</v>
      </c>
      <c r="O11" s="106">
        <f>O10*34%</f>
        <v>480782777.61296958</v>
      </c>
      <c r="P11" s="106">
        <f>P10*34%</f>
        <v>461941901.7066015</v>
      </c>
      <c r="Q11" s="106">
        <f>Q10*34%</f>
        <v>489189389.5692386</v>
      </c>
      <c r="R11" s="106">
        <f>R10*34%</f>
        <v>463967081.40361565</v>
      </c>
      <c r="S11" s="106">
        <f>S10*34%</f>
        <v>499687206.44791049</v>
      </c>
      <c r="T11" s="106">
        <f>T10*34%</f>
        <v>544127575.13996065</v>
      </c>
      <c r="U11" s="106">
        <f>U10*34%</f>
        <v>561517339.62309682</v>
      </c>
      <c r="V11" s="106">
        <f>V10*34%</f>
        <v>561121081.06703639</v>
      </c>
      <c r="W11" s="106">
        <f>W10*34%</f>
        <v>521850919.80145192</v>
      </c>
    </row>
    <row r="12" spans="2:25" x14ac:dyDescent="0.3">
      <c r="B12" s="117" t="s">
        <v>365</v>
      </c>
      <c r="C12" s="157"/>
      <c r="D12" s="193">
        <f>D10-D11</f>
        <v>545212403.68139124</v>
      </c>
      <c r="E12" s="193">
        <f>E10-E11</f>
        <v>490208648.94756842</v>
      </c>
      <c r="F12" s="193">
        <f>F10-F11</f>
        <v>668827606.79020119</v>
      </c>
      <c r="G12" s="193">
        <f>G10-G11</f>
        <v>884269858.66468716</v>
      </c>
      <c r="H12" s="193">
        <f>H10-H11</f>
        <v>932956651.62018919</v>
      </c>
      <c r="I12" s="193">
        <f>I10-I11</f>
        <v>922170899.94867682</v>
      </c>
      <c r="J12" s="193">
        <f>J10-J11</f>
        <v>922170899.9486773</v>
      </c>
      <c r="K12" s="193">
        <f>K10-K11</f>
        <v>921371146.73206878</v>
      </c>
      <c r="L12" s="193">
        <f>L10-L11</f>
        <v>921080437.6508038</v>
      </c>
      <c r="M12" s="193">
        <f>M10-M11</f>
        <v>921080437.65080333</v>
      </c>
      <c r="N12" s="193">
        <f>N10-N11</f>
        <v>1000006392.0672112</v>
      </c>
      <c r="O12" s="193">
        <f>O10-O11</f>
        <v>933284215.36635256</v>
      </c>
      <c r="P12" s="193">
        <f>P10-P11</f>
        <v>896710750.37163818</v>
      </c>
      <c r="Q12" s="193">
        <f>Q10-Q11</f>
        <v>949602932.69322777</v>
      </c>
      <c r="R12" s="193">
        <f>R10-R11</f>
        <v>900641981.54819489</v>
      </c>
      <c r="S12" s="193">
        <f>S10-S11</f>
        <v>969981047.81064963</v>
      </c>
      <c r="T12" s="193">
        <f>T10-T11</f>
        <v>1056247645.8599235</v>
      </c>
      <c r="U12" s="193">
        <f>U10-U11</f>
        <v>1090004247.5036583</v>
      </c>
      <c r="V12" s="193">
        <f>V10-V11</f>
        <v>1089235039.7183647</v>
      </c>
      <c r="W12" s="193">
        <f>W10-W11</f>
        <v>1013004726.6734066</v>
      </c>
    </row>
    <row r="13" spans="2:25" s="41" customFormat="1" x14ac:dyDescent="0.3">
      <c r="B13" s="119" t="s">
        <v>366</v>
      </c>
      <c r="C13" s="114"/>
      <c r="D13" s="114"/>
      <c r="E13" s="114"/>
      <c r="F13" s="114">
        <v>7540860714.5164089</v>
      </c>
      <c r="G13" s="114">
        <v>28857540.659153871</v>
      </c>
      <c r="H13" s="114"/>
      <c r="I13" s="114">
        <v>727125229.93670261</v>
      </c>
      <c r="J13" s="114"/>
      <c r="K13" s="114">
        <v>53927586.083815746</v>
      </c>
      <c r="L13" s="114">
        <v>19608233.845851727</v>
      </c>
      <c r="M13" s="114"/>
      <c r="N13" s="114"/>
      <c r="O13" s="114"/>
      <c r="P13" s="114"/>
      <c r="Q13" s="114"/>
      <c r="R13" s="114"/>
      <c r="S13" s="114"/>
      <c r="T13" s="114">
        <v>54370009.43285615</v>
      </c>
      <c r="U13" s="114"/>
      <c r="V13" s="114"/>
      <c r="W13" s="114"/>
      <c r="Y13" s="100"/>
    </row>
    <row r="14" spans="2:25" x14ac:dyDescent="0.3">
      <c r="B14" s="120" t="s">
        <v>368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5">
        <v>0</v>
      </c>
      <c r="X14" s="41"/>
      <c r="Y14" s="68"/>
    </row>
    <row r="15" spans="2:25" x14ac:dyDescent="0.3">
      <c r="B15" s="120" t="s">
        <v>369</v>
      </c>
      <c r="C15" s="116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41"/>
    </row>
    <row r="16" spans="2:25" s="41" customFormat="1" x14ac:dyDescent="0.3">
      <c r="B16" s="117" t="s">
        <v>364</v>
      </c>
      <c r="C16" s="117">
        <f>-C18</f>
        <v>-9697281033.0446243</v>
      </c>
      <c r="D16" s="117">
        <f>D12-D13+D9+D14-D15</f>
        <v>747176981.34719682</v>
      </c>
      <c r="E16" s="117">
        <f>E12-E13+E9+E14-E15</f>
        <v>692173226.61337399</v>
      </c>
      <c r="F16" s="117">
        <f>F12-F13+F9+F14-F15</f>
        <v>-6670068530.0604019</v>
      </c>
      <c r="G16" s="117">
        <f>G12-G13+G9+G14-G15</f>
        <v>1057376895.6713388</v>
      </c>
      <c r="H16" s="117">
        <f>H12-H13+H9+H14-H15</f>
        <v>1134921229.2859948</v>
      </c>
      <c r="I16" s="117">
        <f>I12-I13+I9+I14-I15</f>
        <v>397010247.67777973</v>
      </c>
      <c r="J16" s="117">
        <f>J12-J13+J9+J14-J15</f>
        <v>1124135477.6144829</v>
      </c>
      <c r="K16" s="117">
        <f>K12-K13+K9+K14-K15</f>
        <v>1069408138.3140585</v>
      </c>
      <c r="L16" s="117">
        <f>L12-L13+L9+L14-L15</f>
        <v>1103436781.4707575</v>
      </c>
      <c r="M16" s="117">
        <f>M12-M13+M9+M14-M15</f>
        <v>1123045015.3166089</v>
      </c>
      <c r="N16" s="117">
        <f>N12-N13+N9+N14-N15</f>
        <v>1201970969.7330167</v>
      </c>
      <c r="O16" s="117">
        <f>O12-O13+O9+O14-O15</f>
        <v>1135248793.0321581</v>
      </c>
      <c r="P16" s="117">
        <f>P12-P13+P9+P14-P15</f>
        <v>1107884459.7129955</v>
      </c>
      <c r="Q16" s="117">
        <f>Q12-Q13+Q9+Q14-Q15</f>
        <v>1106228007.223305</v>
      </c>
      <c r="R16" s="117">
        <f>R12-R13+R9+R14-R15</f>
        <v>1091884540.9830713</v>
      </c>
      <c r="S16" s="117">
        <f>S12-S13+S9+S14-S15</f>
        <v>1130938585.9522715</v>
      </c>
      <c r="T16" s="117">
        <f>T12-T13+T9+T14-T15</f>
        <v>1142933770.7470856</v>
      </c>
      <c r="U16" s="117">
        <f>U12-U13+U9+U14-U15</f>
        <v>1229222433.2831359</v>
      </c>
      <c r="V16" s="117">
        <f>V12-V13+V9+V14-V15</f>
        <v>1223940683.9097946</v>
      </c>
      <c r="W16" s="117">
        <f>W12-W13+W9+W14-W15</f>
        <v>1147710370.8648365</v>
      </c>
    </row>
    <row r="17" spans="2:24" x14ac:dyDescent="0.3">
      <c r="B17" s="8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2:24" x14ac:dyDescent="0.3">
      <c r="B18" s="121" t="s">
        <v>417</v>
      </c>
      <c r="C18" s="136">
        <v>9697281033.0446243</v>
      </c>
      <c r="D18" s="123">
        <f>(C18-C19)+D13-D19</f>
        <v>3913070345.5</v>
      </c>
      <c r="E18" s="123">
        <f t="shared" ref="E18:W18" si="4">(D18)+E13-E19</f>
        <v>3913070345.5</v>
      </c>
      <c r="F18" s="123">
        <f t="shared" si="4"/>
        <v>6929428907.5</v>
      </c>
      <c r="G18" s="123">
        <f t="shared" si="4"/>
        <v>6940975184.5</v>
      </c>
      <c r="H18" s="123">
        <f t="shared" si="4"/>
        <v>6940975184.5</v>
      </c>
      <c r="I18" s="123">
        <f t="shared" si="4"/>
        <v>7231823612.5</v>
      </c>
      <c r="J18" s="123">
        <f t="shared" si="4"/>
        <v>7231823612.5</v>
      </c>
      <c r="K18" s="123">
        <f t="shared" si="4"/>
        <v>7253389746.5</v>
      </c>
      <c r="L18" s="123">
        <f t="shared" si="4"/>
        <v>7261229003.5</v>
      </c>
      <c r="M18" s="123">
        <f t="shared" si="4"/>
        <v>7261229003.5</v>
      </c>
      <c r="N18" s="123">
        <f t="shared" si="4"/>
        <v>7261229003.5</v>
      </c>
      <c r="O18" s="123">
        <f t="shared" si="4"/>
        <v>7261229003.5</v>
      </c>
      <c r="P18" s="123">
        <f t="shared" si="4"/>
        <v>7261229003.5</v>
      </c>
      <c r="Q18" s="123">
        <f t="shared" si="4"/>
        <v>7261229003.5</v>
      </c>
      <c r="R18" s="123">
        <f t="shared" si="4"/>
        <v>7261229003.5</v>
      </c>
      <c r="S18" s="123">
        <f t="shared" si="4"/>
        <v>7261229003.5</v>
      </c>
      <c r="T18" s="123">
        <f t="shared" si="4"/>
        <v>7308144612.5</v>
      </c>
      <c r="U18" s="123">
        <f t="shared" si="4"/>
        <v>7308144612.5</v>
      </c>
      <c r="V18" s="123">
        <f t="shared" si="4"/>
        <v>7308144612.5</v>
      </c>
      <c r="W18" s="123">
        <f t="shared" si="4"/>
        <v>7308144612.5</v>
      </c>
    </row>
    <row r="19" spans="2:24" s="41" customFormat="1" x14ac:dyDescent="0.3">
      <c r="B19" s="124" t="s">
        <v>363</v>
      </c>
      <c r="C19" s="123">
        <v>5784210687.5446243</v>
      </c>
      <c r="D19" s="123"/>
      <c r="E19" s="123"/>
      <c r="F19" s="123">
        <v>4524502152.5164089</v>
      </c>
      <c r="G19" s="123">
        <v>17311263.659153871</v>
      </c>
      <c r="H19" s="123"/>
      <c r="I19" s="123">
        <v>436276801.93670261</v>
      </c>
      <c r="J19" s="123"/>
      <c r="K19" s="123">
        <v>32361452.083815746</v>
      </c>
      <c r="L19" s="123">
        <v>11768976.845851727</v>
      </c>
      <c r="M19" s="123"/>
      <c r="N19" s="123">
        <v>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7454400.43285615</v>
      </c>
      <c r="U19" s="123">
        <v>0</v>
      </c>
      <c r="V19" s="123">
        <v>0</v>
      </c>
      <c r="W19" s="123">
        <v>0</v>
      </c>
    </row>
    <row r="21" spans="2:24" x14ac:dyDescent="0.3">
      <c r="B21" s="125" t="s">
        <v>370</v>
      </c>
      <c r="C21" s="139">
        <f>NPV($C$24,D16:W16)-(C18)</f>
        <v>-5538333376.1117592</v>
      </c>
      <c r="N21" s="75"/>
    </row>
    <row r="22" spans="2:24" x14ac:dyDescent="0.3">
      <c r="B22" s="127" t="s">
        <v>389</v>
      </c>
      <c r="C22" s="128">
        <f>NPV(C24,D13:W13)+C18</f>
        <v>17433186591.358376</v>
      </c>
      <c r="D22" s="41"/>
      <c r="E22" s="8"/>
      <c r="O22" s="40"/>
      <c r="P22" s="40"/>
      <c r="Q22" s="40"/>
      <c r="R22" s="40"/>
      <c r="S22" s="40"/>
      <c r="T22" s="40"/>
      <c r="U22" s="40"/>
      <c r="V22" s="40"/>
      <c r="W22" s="40"/>
    </row>
    <row r="23" spans="2:24" ht="15" thickBot="1" x14ac:dyDescent="0.35">
      <c r="C23" s="74"/>
      <c r="D23" s="68"/>
    </row>
    <row r="24" spans="2:24" x14ac:dyDescent="0.3">
      <c r="B24" s="88" t="s">
        <v>371</v>
      </c>
      <c r="C24" s="89">
        <v>7.2499999999999995E-2</v>
      </c>
      <c r="D24" s="10"/>
    </row>
    <row r="25" spans="2:24" ht="15" thickBot="1" x14ac:dyDescent="0.35">
      <c r="B25" s="90" t="s">
        <v>372</v>
      </c>
      <c r="C25" s="91">
        <f>IRR(C16:W16)</f>
        <v>1.9932480438214162E-2</v>
      </c>
      <c r="D25" s="10"/>
      <c r="V25" s="40"/>
    </row>
    <row r="26" spans="2:24" x14ac:dyDescent="0.3">
      <c r="D26" s="10"/>
    </row>
    <row r="27" spans="2:24" x14ac:dyDescent="0.3">
      <c r="B27" s="78" t="s">
        <v>390</v>
      </c>
      <c r="D27" s="10"/>
    </row>
    <row r="28" spans="2:24" x14ac:dyDescent="0.3">
      <c r="B28" s="104">
        <f>AVERAGE(SUM(O6:V6)/SUM(O18:V18))</f>
        <v>5.6187506666325868E-2</v>
      </c>
      <c r="C28" t="s">
        <v>386</v>
      </c>
      <c r="D28" s="10"/>
    </row>
    <row r="29" spans="2:24" x14ac:dyDescent="0.3">
      <c r="D29" s="10"/>
    </row>
    <row r="30" spans="2:24" x14ac:dyDescent="0.3">
      <c r="D30" s="10"/>
    </row>
    <row r="31" spans="2:24" x14ac:dyDescent="0.3">
      <c r="D31" s="10"/>
    </row>
    <row r="32" spans="2:24" x14ac:dyDescent="0.3">
      <c r="D32" s="10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A66B-011B-4E28-BF16-BF13EF0F656F}">
  <dimension ref="B1:Y49"/>
  <sheetViews>
    <sheetView showGridLines="0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C18" sqref="C18"/>
    </sheetView>
  </sheetViews>
  <sheetFormatPr defaultColWidth="9.109375" defaultRowHeight="14.4" x14ac:dyDescent="0.3"/>
  <cols>
    <col min="1" max="1" width="2.6640625" customWidth="1"/>
    <col min="2" max="2" width="63.88671875" customWidth="1"/>
    <col min="3" max="3" width="17.5546875" customWidth="1"/>
    <col min="4" max="4" width="14.109375" customWidth="1"/>
    <col min="5" max="20" width="15.44140625" customWidth="1"/>
    <col min="21" max="23" width="15.6640625" customWidth="1"/>
    <col min="25" max="25" width="16.5546875" bestFit="1" customWidth="1"/>
  </cols>
  <sheetData>
    <row r="1" spans="2:23" x14ac:dyDescent="0.3">
      <c r="B1" t="s">
        <v>391</v>
      </c>
      <c r="C1" s="2">
        <v>2005</v>
      </c>
      <c r="D1" s="2">
        <v>2006</v>
      </c>
      <c r="E1" s="2">
        <v>2007</v>
      </c>
      <c r="F1" s="2">
        <v>2008</v>
      </c>
      <c r="G1" s="2">
        <v>2009</v>
      </c>
      <c r="H1" s="2">
        <v>2010</v>
      </c>
      <c r="I1" s="2">
        <v>2011</v>
      </c>
      <c r="J1" s="2">
        <v>2012</v>
      </c>
      <c r="K1" s="2">
        <v>2013</v>
      </c>
      <c r="L1" s="2">
        <v>2014</v>
      </c>
      <c r="M1" s="2">
        <v>2015</v>
      </c>
      <c r="N1" s="2">
        <v>2016</v>
      </c>
      <c r="O1" s="2">
        <v>2017</v>
      </c>
      <c r="P1" s="2">
        <v>2018</v>
      </c>
      <c r="Q1" s="2">
        <v>2019</v>
      </c>
      <c r="R1" s="2">
        <v>2020</v>
      </c>
      <c r="S1" s="2">
        <v>2021</v>
      </c>
      <c r="T1" s="2">
        <v>2022</v>
      </c>
      <c r="U1" s="2">
        <v>2023</v>
      </c>
      <c r="V1" s="2">
        <v>2024</v>
      </c>
      <c r="W1" s="2">
        <v>2025</v>
      </c>
    </row>
    <row r="2" spans="2:23" s="41" customFormat="1" x14ac:dyDescent="0.3">
      <c r="B2" s="167" t="s">
        <v>407</v>
      </c>
      <c r="C2" s="114"/>
      <c r="D2" s="114">
        <f>'Receita Máxima'!B$33</f>
        <v>1170861606.7908237</v>
      </c>
      <c r="E2" s="114">
        <f>'Receita Máxima'!C$33</f>
        <v>1260651591.3092952</v>
      </c>
      <c r="F2" s="114">
        <f>'Receita Máxima'!D$33</f>
        <v>1604687072.4031281</v>
      </c>
      <c r="G2" s="114">
        <f>'Receita Máxima'!E$33</f>
        <v>1931763483.2743187</v>
      </c>
      <c r="H2" s="114">
        <f>'Receita Máxima'!F$33</f>
        <v>2005531351.3887157</v>
      </c>
      <c r="I2" s="114">
        <f>'Receita Máxima'!G$33</f>
        <v>2005531351.3887162</v>
      </c>
      <c r="J2" s="114">
        <f>'Receita Máxima'!H$33</f>
        <v>2005531351.3887169</v>
      </c>
      <c r="K2" s="114">
        <f>'Receita Máxima'!I$33</f>
        <v>2005531351.3887169</v>
      </c>
      <c r="L2" s="114">
        <f>'Receita Máxima'!J$33</f>
        <v>2005531351.3887167</v>
      </c>
      <c r="M2" s="114">
        <f>'Receita Máxima'!K$33</f>
        <v>2005531351.388716</v>
      </c>
      <c r="N2" s="114">
        <f>'Receita Máxima'!L$33</f>
        <v>2125116130.8075159</v>
      </c>
      <c r="O2" s="114">
        <f>'Receita Máxima'!M$33</f>
        <v>2125116130.8075163</v>
      </c>
      <c r="P2" s="114">
        <f>'Receita Máxima'!N$33</f>
        <v>2125116130.8075161</v>
      </c>
      <c r="Q2" s="114">
        <f>'Receita Máxima'!O$33</f>
        <v>2125116130.8075163</v>
      </c>
      <c r="R2" s="114">
        <f>'Receita Máxima'!P$33</f>
        <v>2125116130.8075161</v>
      </c>
      <c r="S2" s="114">
        <f>'Receita Máxima'!Q$33</f>
        <v>2125116130.8075161</v>
      </c>
      <c r="T2" s="114">
        <f>'Receita Máxima'!R$33</f>
        <v>2159114460.1986637</v>
      </c>
      <c r="U2" s="114">
        <f>'Receita Máxima'!S$33</f>
        <v>2159115995.306078</v>
      </c>
      <c r="V2" s="114">
        <f>'Receita Máxima'!T$33</f>
        <v>2068550075.0645785</v>
      </c>
      <c r="W2" s="114">
        <f>'Receita Máxima'!U$33</f>
        <v>2057301062.7291756</v>
      </c>
    </row>
    <row r="3" spans="2:23" s="41" customFormat="1" x14ac:dyDescent="0.3">
      <c r="B3" s="194" t="s">
        <v>341</v>
      </c>
      <c r="C3" s="194"/>
      <c r="D3" s="194">
        <f>SUM(D4:D16)</f>
        <v>387739772.06288707</v>
      </c>
      <c r="E3" s="194">
        <f t="shared" ref="E3:V3" si="0">SUM(E4:E16)</f>
        <v>387739772.06288707</v>
      </c>
      <c r="F3" s="194">
        <f t="shared" si="0"/>
        <v>387739772.06288707</v>
      </c>
      <c r="G3" s="194">
        <f t="shared" si="0"/>
        <v>387739772.06288707</v>
      </c>
      <c r="H3" s="194">
        <f t="shared" si="0"/>
        <v>387739772.06288707</v>
      </c>
      <c r="I3" s="194">
        <f t="shared" si="0"/>
        <v>387739772.06288707</v>
      </c>
      <c r="J3" s="194">
        <f t="shared" si="0"/>
        <v>387739772.06288707</v>
      </c>
      <c r="K3" s="194">
        <f t="shared" si="0"/>
        <v>387739772.06288707</v>
      </c>
      <c r="L3" s="194">
        <f t="shared" si="0"/>
        <v>387739772.06288707</v>
      </c>
      <c r="M3" s="194">
        <f t="shared" si="0"/>
        <v>387739772.06288707</v>
      </c>
      <c r="N3" s="194">
        <f t="shared" si="0"/>
        <v>387739772.06288707</v>
      </c>
      <c r="O3" s="194">
        <f t="shared" si="0"/>
        <v>387739772.06288707</v>
      </c>
      <c r="P3" s="194">
        <f t="shared" si="0"/>
        <v>387739772.06288707</v>
      </c>
      <c r="Q3" s="194">
        <f t="shared" si="0"/>
        <v>387739772.06288707</v>
      </c>
      <c r="R3" s="194">
        <f t="shared" si="0"/>
        <v>387739772.06288707</v>
      </c>
      <c r="S3" s="194">
        <f t="shared" si="0"/>
        <v>387739772.06288707</v>
      </c>
      <c r="T3" s="194">
        <f t="shared" si="0"/>
        <v>387739772.06288707</v>
      </c>
      <c r="U3" s="194">
        <f t="shared" si="0"/>
        <v>387739772.06288707</v>
      </c>
      <c r="V3" s="194">
        <f t="shared" si="0"/>
        <v>387739772.06288707</v>
      </c>
      <c r="W3" s="194">
        <f t="shared" ref="W3" si="1">SUM(W4:W16)</f>
        <v>387739772.06288707</v>
      </c>
    </row>
    <row r="4" spans="2:23" x14ac:dyDescent="0.3">
      <c r="B4" s="118" t="s">
        <v>345</v>
      </c>
      <c r="C4" s="109"/>
      <c r="D4" s="109">
        <f>(OPEX!$E$52*10^6)*OPEX!$B$75</f>
        <v>67603002.818530008</v>
      </c>
      <c r="E4" s="109">
        <f>(OPEX!$E$52*10^6)*OPEX!$B$75</f>
        <v>67603002.818530008</v>
      </c>
      <c r="F4" s="109">
        <f>(OPEX!$E$52*10^6)*OPEX!$B$75</f>
        <v>67603002.818530008</v>
      </c>
      <c r="G4" s="109">
        <f>(OPEX!$E$52*10^6)*OPEX!$B$75</f>
        <v>67603002.818530008</v>
      </c>
      <c r="H4" s="109">
        <f>(OPEX!$E$52*10^6)*OPEX!$B$75</f>
        <v>67603002.818530008</v>
      </c>
      <c r="I4" s="109">
        <f>(OPEX!$E$52*10^6)*OPEX!$B$75</f>
        <v>67603002.818530008</v>
      </c>
      <c r="J4" s="109">
        <f>(OPEX!$E$52*10^6)*OPEX!$B$75</f>
        <v>67603002.818530008</v>
      </c>
      <c r="K4" s="109">
        <f>(OPEX!$E$52*10^6)*OPEX!$B$75</f>
        <v>67603002.818530008</v>
      </c>
      <c r="L4" s="109">
        <f>(OPEX!$E$52*10^6)*OPEX!$B$75</f>
        <v>67603002.818530008</v>
      </c>
      <c r="M4" s="109">
        <f>(OPEX!$E$52*10^6)*OPEX!$B$75</f>
        <v>67603002.818530008</v>
      </c>
      <c r="N4" s="109">
        <f>(OPEX!$E$52*10^6)*OPEX!$B$75</f>
        <v>67603002.818530008</v>
      </c>
      <c r="O4" s="109">
        <f>(OPEX!$E$52*10^6)*OPEX!$B$75</f>
        <v>67603002.818530008</v>
      </c>
      <c r="P4" s="109">
        <f>(OPEX!$E$52*10^6)*OPEX!$B$75</f>
        <v>67603002.818530008</v>
      </c>
      <c r="Q4" s="109">
        <f>(OPEX!$E$52*10^6)*OPEX!$B$75</f>
        <v>67603002.818530008</v>
      </c>
      <c r="R4" s="109">
        <f>(OPEX!$E$52*10^6)*OPEX!$B$75</f>
        <v>67603002.818530008</v>
      </c>
      <c r="S4" s="109">
        <f>(OPEX!$E$52*10^6)*OPEX!$B$75</f>
        <v>67603002.818530008</v>
      </c>
      <c r="T4" s="109">
        <f>(OPEX!$E$52*10^6)*OPEX!$B$75</f>
        <v>67603002.818530008</v>
      </c>
      <c r="U4" s="109">
        <f>(OPEX!$E$52*10^6)*OPEX!$B$75</f>
        <v>67603002.818530008</v>
      </c>
      <c r="V4" s="109">
        <f>(OPEX!$E$52*10^6)*OPEX!$B$75</f>
        <v>67603002.818530008</v>
      </c>
      <c r="W4" s="109">
        <f>(OPEX!$E$52*10^6)*OPEX!$B$75</f>
        <v>67603002.818530008</v>
      </c>
    </row>
    <row r="5" spans="2:23" x14ac:dyDescent="0.3">
      <c r="B5" s="118" t="s">
        <v>346</v>
      </c>
      <c r="C5" s="109"/>
      <c r="D5" s="109">
        <f>(OPEX!$E$53*10^6)*OPEX!$B$75</f>
        <v>19054939.654549394</v>
      </c>
      <c r="E5" s="109">
        <f>(OPEX!$E$53*10^6)*OPEX!$B$75</f>
        <v>19054939.654549394</v>
      </c>
      <c r="F5" s="109">
        <f>(OPEX!$E$53*10^6)*OPEX!$B$75</f>
        <v>19054939.654549394</v>
      </c>
      <c r="G5" s="109">
        <f>(OPEX!$E$53*10^6)*OPEX!$B$75</f>
        <v>19054939.654549394</v>
      </c>
      <c r="H5" s="109">
        <f>(OPEX!$E$53*10^6)*OPEX!$B$75</f>
        <v>19054939.654549394</v>
      </c>
      <c r="I5" s="109">
        <f>(OPEX!$E$53*10^6)*OPEX!$B$75</f>
        <v>19054939.654549394</v>
      </c>
      <c r="J5" s="109">
        <f>(OPEX!$E$53*10^6)*OPEX!$B$75</f>
        <v>19054939.654549394</v>
      </c>
      <c r="K5" s="109">
        <f>(OPEX!$E$53*10^6)*OPEX!$B$75</f>
        <v>19054939.654549394</v>
      </c>
      <c r="L5" s="109">
        <f>(OPEX!$E$53*10^6)*OPEX!$B$75</f>
        <v>19054939.654549394</v>
      </c>
      <c r="M5" s="109">
        <f>(OPEX!$E$53*10^6)*OPEX!$B$75</f>
        <v>19054939.654549394</v>
      </c>
      <c r="N5" s="109">
        <f>(OPEX!$E$53*10^6)*OPEX!$B$75</f>
        <v>19054939.654549394</v>
      </c>
      <c r="O5" s="109">
        <f>(OPEX!$E$53*10^6)*OPEX!$B$75</f>
        <v>19054939.654549394</v>
      </c>
      <c r="P5" s="109">
        <f>(OPEX!$E$53*10^6)*OPEX!$B$75</f>
        <v>19054939.654549394</v>
      </c>
      <c r="Q5" s="109">
        <f>(OPEX!$E$53*10^6)*OPEX!$B$75</f>
        <v>19054939.654549394</v>
      </c>
      <c r="R5" s="109">
        <f>(OPEX!$E$53*10^6)*OPEX!$B$75</f>
        <v>19054939.654549394</v>
      </c>
      <c r="S5" s="109">
        <f>(OPEX!$E$53*10^6)*OPEX!$B$75</f>
        <v>19054939.654549394</v>
      </c>
      <c r="T5" s="109">
        <f>(OPEX!$E$53*10^6)*OPEX!$B$75</f>
        <v>19054939.654549394</v>
      </c>
      <c r="U5" s="109">
        <f>(OPEX!$E$53*10^6)*OPEX!$B$75</f>
        <v>19054939.654549394</v>
      </c>
      <c r="V5" s="109">
        <f>(OPEX!$E$53*10^6)*OPEX!$B$75</f>
        <v>19054939.654549394</v>
      </c>
      <c r="W5" s="109">
        <f>(OPEX!$E$53*10^6)*OPEX!$B$75</f>
        <v>19054939.654549394</v>
      </c>
    </row>
    <row r="6" spans="2:23" x14ac:dyDescent="0.3">
      <c r="B6" s="118" t="s">
        <v>347</v>
      </c>
      <c r="C6" s="109"/>
      <c r="D6" s="109">
        <f>(OPEX!$E$55*10^6)*OPEX!$B$75</f>
        <v>700549.25200549234</v>
      </c>
      <c r="E6" s="109">
        <f>(OPEX!$E$55*10^6)*OPEX!$B$75</f>
        <v>700549.25200549234</v>
      </c>
      <c r="F6" s="109">
        <f>(OPEX!$E$55*10^6)*OPEX!$B$75</f>
        <v>700549.25200549234</v>
      </c>
      <c r="G6" s="109">
        <f>(OPEX!$E$55*10^6)*OPEX!$B$75</f>
        <v>700549.25200549234</v>
      </c>
      <c r="H6" s="109">
        <f>(OPEX!$E$55*10^6)*OPEX!$B$75</f>
        <v>700549.25200549234</v>
      </c>
      <c r="I6" s="109">
        <f>(OPEX!$E$55*10^6)*OPEX!$B$75</f>
        <v>700549.25200549234</v>
      </c>
      <c r="J6" s="109">
        <f>(OPEX!$E$55*10^6)*OPEX!$B$75</f>
        <v>700549.25200549234</v>
      </c>
      <c r="K6" s="109">
        <f>(OPEX!$E$55*10^6)*OPEX!$B$75</f>
        <v>700549.25200549234</v>
      </c>
      <c r="L6" s="109">
        <f>(OPEX!$E$55*10^6)*OPEX!$B$75</f>
        <v>700549.25200549234</v>
      </c>
      <c r="M6" s="109">
        <f>(OPEX!$E$55*10^6)*OPEX!$B$75</f>
        <v>700549.25200549234</v>
      </c>
      <c r="N6" s="109">
        <f>(OPEX!$E$55*10^6)*OPEX!$B$75</f>
        <v>700549.25200549234</v>
      </c>
      <c r="O6" s="109">
        <f>(OPEX!$E$55*10^6)*OPEX!$B$75</f>
        <v>700549.25200549234</v>
      </c>
      <c r="P6" s="109">
        <f>(OPEX!$E$55*10^6)*OPEX!$B$75</f>
        <v>700549.25200549234</v>
      </c>
      <c r="Q6" s="109">
        <f>(OPEX!$E$55*10^6)*OPEX!$B$75</f>
        <v>700549.25200549234</v>
      </c>
      <c r="R6" s="109">
        <f>(OPEX!$E$55*10^6)*OPEX!$B$75</f>
        <v>700549.25200549234</v>
      </c>
      <c r="S6" s="109">
        <f>(OPEX!$E$55*10^6)*OPEX!$B$75</f>
        <v>700549.25200549234</v>
      </c>
      <c r="T6" s="109">
        <f>(OPEX!$E$55*10^6)*OPEX!$B$75</f>
        <v>700549.25200549234</v>
      </c>
      <c r="U6" s="109">
        <f>(OPEX!$E$55*10^6)*OPEX!$B$75</f>
        <v>700549.25200549234</v>
      </c>
      <c r="V6" s="109">
        <f>(OPEX!$E$55*10^6)*OPEX!$B$75</f>
        <v>700549.25200549234</v>
      </c>
      <c r="W6" s="109">
        <f>(OPEX!$E$55*10^6)*OPEX!$B$75</f>
        <v>700549.25200549234</v>
      </c>
    </row>
    <row r="7" spans="2:23" x14ac:dyDescent="0.3">
      <c r="B7" s="118" t="s">
        <v>348</v>
      </c>
      <c r="C7" s="109"/>
      <c r="D7" s="109">
        <f>(OPEX!$E$54*10^6)*OPEX!$B$75</f>
        <v>40071417.214714162</v>
      </c>
      <c r="E7" s="109">
        <f>(OPEX!$E$54*10^6)*OPEX!$B$75</f>
        <v>40071417.214714162</v>
      </c>
      <c r="F7" s="109">
        <f>(OPEX!$E$54*10^6)*OPEX!$B$75</f>
        <v>40071417.214714162</v>
      </c>
      <c r="G7" s="109">
        <f>(OPEX!$E$54*10^6)*OPEX!$B$75</f>
        <v>40071417.214714162</v>
      </c>
      <c r="H7" s="109">
        <f>(OPEX!$E$54*10^6)*OPEX!$B$75</f>
        <v>40071417.214714162</v>
      </c>
      <c r="I7" s="109">
        <f>(OPEX!$E$54*10^6)*OPEX!$B$75</f>
        <v>40071417.214714162</v>
      </c>
      <c r="J7" s="109">
        <f>(OPEX!$E$54*10^6)*OPEX!$B$75</f>
        <v>40071417.214714162</v>
      </c>
      <c r="K7" s="109">
        <f>(OPEX!$E$54*10^6)*OPEX!$B$75</f>
        <v>40071417.214714162</v>
      </c>
      <c r="L7" s="109">
        <f>(OPEX!$E$54*10^6)*OPEX!$B$75</f>
        <v>40071417.214714162</v>
      </c>
      <c r="M7" s="109">
        <f>(OPEX!$E$54*10^6)*OPEX!$B$75</f>
        <v>40071417.214714162</v>
      </c>
      <c r="N7" s="109">
        <f>(OPEX!$E$54*10^6)*OPEX!$B$75</f>
        <v>40071417.214714162</v>
      </c>
      <c r="O7" s="109">
        <f>(OPEX!$E$54*10^6)*OPEX!$B$75</f>
        <v>40071417.214714162</v>
      </c>
      <c r="P7" s="109">
        <f>(OPEX!$E$54*10^6)*OPEX!$B$75</f>
        <v>40071417.214714162</v>
      </c>
      <c r="Q7" s="109">
        <f>(OPEX!$E$54*10^6)*OPEX!$B$75</f>
        <v>40071417.214714162</v>
      </c>
      <c r="R7" s="109">
        <f>(OPEX!$E$54*10^6)*OPEX!$B$75</f>
        <v>40071417.214714162</v>
      </c>
      <c r="S7" s="109">
        <f>(OPEX!$E$54*10^6)*OPEX!$B$75</f>
        <v>40071417.214714162</v>
      </c>
      <c r="T7" s="109">
        <f>(OPEX!$E$54*10^6)*OPEX!$B$75</f>
        <v>40071417.214714162</v>
      </c>
      <c r="U7" s="109">
        <f>(OPEX!$E$54*10^6)*OPEX!$B$75</f>
        <v>40071417.214714162</v>
      </c>
      <c r="V7" s="109">
        <f>(OPEX!$E$54*10^6)*OPEX!$B$75</f>
        <v>40071417.214714162</v>
      </c>
      <c r="W7" s="109">
        <f>(OPEX!$E$54*10^6)*OPEX!$B$75</f>
        <v>40071417.214714162</v>
      </c>
    </row>
    <row r="8" spans="2:23" x14ac:dyDescent="0.3">
      <c r="B8" s="118" t="s">
        <v>349</v>
      </c>
      <c r="C8" s="109"/>
      <c r="D8" s="109">
        <f>(OPEX!$E$51*10^6)*OPEX!$B$75</f>
        <v>71035694.153356925</v>
      </c>
      <c r="E8" s="109">
        <f>(OPEX!$E$51*10^6)*OPEX!$B$75</f>
        <v>71035694.153356925</v>
      </c>
      <c r="F8" s="109">
        <f>(OPEX!$E$51*10^6)*OPEX!$B$75</f>
        <v>71035694.153356925</v>
      </c>
      <c r="G8" s="109">
        <f>(OPEX!$E$51*10^6)*OPEX!$B$75</f>
        <v>71035694.153356925</v>
      </c>
      <c r="H8" s="109">
        <f>(OPEX!$E$51*10^6)*OPEX!$B$75</f>
        <v>71035694.153356925</v>
      </c>
      <c r="I8" s="109">
        <f>(OPEX!$E$51*10^6)*OPEX!$B$75</f>
        <v>71035694.153356925</v>
      </c>
      <c r="J8" s="109">
        <f>(OPEX!$E$51*10^6)*OPEX!$B$75</f>
        <v>71035694.153356925</v>
      </c>
      <c r="K8" s="109">
        <f>(OPEX!$E$51*10^6)*OPEX!$B$75</f>
        <v>71035694.153356925</v>
      </c>
      <c r="L8" s="109">
        <f>(OPEX!$E$51*10^6)*OPEX!$B$75</f>
        <v>71035694.153356925</v>
      </c>
      <c r="M8" s="109">
        <f>(OPEX!$E$51*10^6)*OPEX!$B$75</f>
        <v>71035694.153356925</v>
      </c>
      <c r="N8" s="109">
        <f>(OPEX!$E$51*10^6)*OPEX!$B$75</f>
        <v>71035694.153356925</v>
      </c>
      <c r="O8" s="109">
        <f>(OPEX!$E$51*10^6)*OPEX!$B$75</f>
        <v>71035694.153356925</v>
      </c>
      <c r="P8" s="109">
        <f>(OPEX!$E$51*10^6)*OPEX!$B$75</f>
        <v>71035694.153356925</v>
      </c>
      <c r="Q8" s="109">
        <f>(OPEX!$E$51*10^6)*OPEX!$B$75</f>
        <v>71035694.153356925</v>
      </c>
      <c r="R8" s="109">
        <f>(OPEX!$E$51*10^6)*OPEX!$B$75</f>
        <v>71035694.153356925</v>
      </c>
      <c r="S8" s="109">
        <f>(OPEX!$E$51*10^6)*OPEX!$B$75</f>
        <v>71035694.153356925</v>
      </c>
      <c r="T8" s="109">
        <f>(OPEX!$E$51*10^6)*OPEX!$B$75</f>
        <v>71035694.153356925</v>
      </c>
      <c r="U8" s="109">
        <f>(OPEX!$E$51*10^6)*OPEX!$B$75</f>
        <v>71035694.153356925</v>
      </c>
      <c r="V8" s="109">
        <f>(OPEX!$E$51*10^6)*OPEX!$B$75</f>
        <v>71035694.153356925</v>
      </c>
      <c r="W8" s="109">
        <f>(OPEX!$E$51*10^6)*OPEX!$B$75</f>
        <v>71035694.153356925</v>
      </c>
    </row>
    <row r="9" spans="2:23" x14ac:dyDescent="0.3">
      <c r="B9" s="118" t="s">
        <v>350</v>
      </c>
      <c r="C9" s="109"/>
      <c r="D9" s="109">
        <f>(OPEX!$E$56*10^6)*OPEX!$B$75</f>
        <v>840659.10240659083</v>
      </c>
      <c r="E9" s="109">
        <f>(OPEX!$E$56*10^6)*OPEX!$B$75</f>
        <v>840659.10240659083</v>
      </c>
      <c r="F9" s="109">
        <f>(OPEX!$E$56*10^6)*OPEX!$B$75</f>
        <v>840659.10240659083</v>
      </c>
      <c r="G9" s="109">
        <f>(OPEX!$E$56*10^6)*OPEX!$B$75</f>
        <v>840659.10240659083</v>
      </c>
      <c r="H9" s="109">
        <f>(OPEX!$E$56*10^6)*OPEX!$B$75</f>
        <v>840659.10240659083</v>
      </c>
      <c r="I9" s="109">
        <f>(OPEX!$E$56*10^6)*OPEX!$B$75</f>
        <v>840659.10240659083</v>
      </c>
      <c r="J9" s="109">
        <f>(OPEX!$E$56*10^6)*OPEX!$B$75</f>
        <v>840659.10240659083</v>
      </c>
      <c r="K9" s="109">
        <f>(OPEX!$E$56*10^6)*OPEX!$B$75</f>
        <v>840659.10240659083</v>
      </c>
      <c r="L9" s="109">
        <f>(OPEX!$E$56*10^6)*OPEX!$B$75</f>
        <v>840659.10240659083</v>
      </c>
      <c r="M9" s="109">
        <f>(OPEX!$E$56*10^6)*OPEX!$B$75</f>
        <v>840659.10240659083</v>
      </c>
      <c r="N9" s="109">
        <f>(OPEX!$E$56*10^6)*OPEX!$B$75</f>
        <v>840659.10240659083</v>
      </c>
      <c r="O9" s="109">
        <f>(OPEX!$E$56*10^6)*OPEX!$B$75</f>
        <v>840659.10240659083</v>
      </c>
      <c r="P9" s="109">
        <f>(OPEX!$E$56*10^6)*OPEX!$B$75</f>
        <v>840659.10240659083</v>
      </c>
      <c r="Q9" s="109">
        <f>(OPEX!$E$56*10^6)*OPEX!$B$75</f>
        <v>840659.10240659083</v>
      </c>
      <c r="R9" s="109">
        <f>(OPEX!$E$56*10^6)*OPEX!$B$75</f>
        <v>840659.10240659083</v>
      </c>
      <c r="S9" s="109">
        <f>(OPEX!$E$56*10^6)*OPEX!$B$75</f>
        <v>840659.10240659083</v>
      </c>
      <c r="T9" s="109">
        <f>(OPEX!$E$56*10^6)*OPEX!$B$75</f>
        <v>840659.10240659083</v>
      </c>
      <c r="U9" s="109">
        <f>(OPEX!$E$56*10^6)*OPEX!$B$75</f>
        <v>840659.10240659083</v>
      </c>
      <c r="V9" s="109">
        <f>(OPEX!$E$56*10^6)*OPEX!$B$75</f>
        <v>840659.10240659083</v>
      </c>
      <c r="W9" s="109">
        <f>(OPEX!$E$56*10^6)*OPEX!$B$75</f>
        <v>840659.10240659083</v>
      </c>
    </row>
    <row r="10" spans="2:23" x14ac:dyDescent="0.3">
      <c r="B10" s="118" t="s">
        <v>351</v>
      </c>
      <c r="C10" s="109"/>
      <c r="D10" s="109">
        <f>((OPEX!$E$57+OPEX!$B$62)*10^6)*OPEX!$B$75</f>
        <v>840659.10240659083</v>
      </c>
      <c r="E10" s="109">
        <f>((OPEX!$E$57+OPEX!$B$62)*10^6)*OPEX!$B$75</f>
        <v>840659.10240659083</v>
      </c>
      <c r="F10" s="109">
        <f>((OPEX!$E$57+OPEX!$B$62)*10^6)*OPEX!$B$75</f>
        <v>840659.10240659083</v>
      </c>
      <c r="G10" s="109">
        <f>((OPEX!$E$57+OPEX!$B$62)*10^6)*OPEX!$B$75</f>
        <v>840659.10240659083</v>
      </c>
      <c r="H10" s="109">
        <f>((OPEX!$E$57+OPEX!$B$62)*10^6)*OPEX!$B$75</f>
        <v>840659.10240659083</v>
      </c>
      <c r="I10" s="109">
        <f>((OPEX!$E$57+OPEX!$B$62)*10^6)*OPEX!$B$75</f>
        <v>840659.10240659083</v>
      </c>
      <c r="J10" s="109">
        <f>((OPEX!$E$57+OPEX!$B$62)*10^6)*OPEX!$B$75</f>
        <v>840659.10240659083</v>
      </c>
      <c r="K10" s="109">
        <f>((OPEX!$E$57+OPEX!$B$62)*10^6)*OPEX!$B$75</f>
        <v>840659.10240659083</v>
      </c>
      <c r="L10" s="109">
        <f>((OPEX!$E$57+OPEX!$B$62)*10^6)*OPEX!$B$75</f>
        <v>840659.10240659083</v>
      </c>
      <c r="M10" s="109">
        <f>((OPEX!$E$57+OPEX!$B$62)*10^6)*OPEX!$B$75</f>
        <v>840659.10240659083</v>
      </c>
      <c r="N10" s="109">
        <f>((OPEX!$E$57+OPEX!$B$62)*10^6)*OPEX!$B$75</f>
        <v>840659.10240659083</v>
      </c>
      <c r="O10" s="109">
        <f>((OPEX!$E$57+OPEX!$B$62)*10^6)*OPEX!$B$75</f>
        <v>840659.10240659083</v>
      </c>
      <c r="P10" s="109">
        <f>((OPEX!$E$57+OPEX!$B$62)*10^6)*OPEX!$B$75</f>
        <v>840659.10240659083</v>
      </c>
      <c r="Q10" s="109">
        <f>((OPEX!$E$57+OPEX!$B$62)*10^6)*OPEX!$B$75</f>
        <v>840659.10240659083</v>
      </c>
      <c r="R10" s="109">
        <f>((OPEX!$E$57+OPEX!$B$62)*10^6)*OPEX!$B$75</f>
        <v>840659.10240659083</v>
      </c>
      <c r="S10" s="109">
        <f>((OPEX!$E$57+OPEX!$B$62)*10^6)*OPEX!$B$75</f>
        <v>840659.10240659083</v>
      </c>
      <c r="T10" s="109">
        <f>((OPEX!$E$57+OPEX!$B$62)*10^6)*OPEX!$B$75</f>
        <v>840659.10240659083</v>
      </c>
      <c r="U10" s="109">
        <f>((OPEX!$E$57+OPEX!$B$62)*10^6)*OPEX!$B$75</f>
        <v>840659.10240659083</v>
      </c>
      <c r="V10" s="109">
        <f>((OPEX!$E$57+OPEX!$B$62)*10^6)*OPEX!$B$75</f>
        <v>840659.10240659083</v>
      </c>
      <c r="W10" s="109">
        <f>((OPEX!$E$57+OPEX!$B$62)*10^6)*OPEX!$B$75</f>
        <v>840659.10240659083</v>
      </c>
    </row>
    <row r="11" spans="2:23" x14ac:dyDescent="0.3">
      <c r="B11" s="118" t="s">
        <v>352</v>
      </c>
      <c r="C11" s="109"/>
      <c r="D11" s="109">
        <f>(OPEX!$E$58*10^6)*OPEX!$B$75</f>
        <v>1891482.9804148297</v>
      </c>
      <c r="E11" s="109">
        <f>(OPEX!$E$58*10^6)*OPEX!$B$75</f>
        <v>1891482.9804148297</v>
      </c>
      <c r="F11" s="109">
        <f>(OPEX!$E$58*10^6)*OPEX!$B$75</f>
        <v>1891482.9804148297</v>
      </c>
      <c r="G11" s="109">
        <f>(OPEX!$E$58*10^6)*OPEX!$B$75</f>
        <v>1891482.9804148297</v>
      </c>
      <c r="H11" s="109">
        <f>(OPEX!$E$58*10^6)*OPEX!$B$75</f>
        <v>1891482.9804148297</v>
      </c>
      <c r="I11" s="109">
        <f>(OPEX!$E$58*10^6)*OPEX!$B$75</f>
        <v>1891482.9804148297</v>
      </c>
      <c r="J11" s="109">
        <f>(OPEX!$E$58*10^6)*OPEX!$B$75</f>
        <v>1891482.9804148297</v>
      </c>
      <c r="K11" s="109">
        <f>(OPEX!$E$58*10^6)*OPEX!$B$75</f>
        <v>1891482.9804148297</v>
      </c>
      <c r="L11" s="109">
        <f>(OPEX!$E$58*10^6)*OPEX!$B$75</f>
        <v>1891482.9804148297</v>
      </c>
      <c r="M11" s="109">
        <f>(OPEX!$E$58*10^6)*OPEX!$B$75</f>
        <v>1891482.9804148297</v>
      </c>
      <c r="N11" s="109">
        <f>(OPEX!$E$58*10^6)*OPEX!$B$75</f>
        <v>1891482.9804148297</v>
      </c>
      <c r="O11" s="109">
        <f>(OPEX!$E$58*10^6)*OPEX!$B$75</f>
        <v>1891482.9804148297</v>
      </c>
      <c r="P11" s="109">
        <f>(OPEX!$E$58*10^6)*OPEX!$B$75</f>
        <v>1891482.9804148297</v>
      </c>
      <c r="Q11" s="109">
        <f>(OPEX!$E$58*10^6)*OPEX!$B$75</f>
        <v>1891482.9804148297</v>
      </c>
      <c r="R11" s="109">
        <f>(OPEX!$E$58*10^6)*OPEX!$B$75</f>
        <v>1891482.9804148297</v>
      </c>
      <c r="S11" s="109">
        <f>(OPEX!$E$58*10^6)*OPEX!$B$75</f>
        <v>1891482.9804148297</v>
      </c>
      <c r="T11" s="109">
        <f>(OPEX!$E$58*10^6)*OPEX!$B$75</f>
        <v>1891482.9804148297</v>
      </c>
      <c r="U11" s="109">
        <f>(OPEX!$E$58*10^6)*OPEX!$B$75</f>
        <v>1891482.9804148297</v>
      </c>
      <c r="V11" s="109">
        <f>(OPEX!$E$58*10^6)*OPEX!$B$75</f>
        <v>1891482.9804148297</v>
      </c>
      <c r="W11" s="109">
        <f>(OPEX!$E$58*10^6)*OPEX!$B$75</f>
        <v>1891482.9804148297</v>
      </c>
    </row>
    <row r="12" spans="2:23" x14ac:dyDescent="0.3">
      <c r="B12" s="118" t="s">
        <v>353</v>
      </c>
      <c r="C12" s="109"/>
      <c r="D12" s="109">
        <f>(OPEX!$E$60*10^6)*OPEX!$B$75</f>
        <v>22207411.288574111</v>
      </c>
      <c r="E12" s="109">
        <f>(OPEX!$E$60*10^6)*OPEX!$B$75</f>
        <v>22207411.288574111</v>
      </c>
      <c r="F12" s="109">
        <f>(OPEX!$E$60*10^6)*OPEX!$B$75</f>
        <v>22207411.288574111</v>
      </c>
      <c r="G12" s="109">
        <f>(OPEX!$E$60*10^6)*OPEX!$B$75</f>
        <v>22207411.288574111</v>
      </c>
      <c r="H12" s="109">
        <f>(OPEX!$E$60*10^6)*OPEX!$B$75</f>
        <v>22207411.288574111</v>
      </c>
      <c r="I12" s="109">
        <f>(OPEX!$E$60*10^6)*OPEX!$B$75</f>
        <v>22207411.288574111</v>
      </c>
      <c r="J12" s="109">
        <f>(OPEX!$E$60*10^6)*OPEX!$B$75</f>
        <v>22207411.288574111</v>
      </c>
      <c r="K12" s="109">
        <f>(OPEX!$E$60*10^6)*OPEX!$B$75</f>
        <v>22207411.288574111</v>
      </c>
      <c r="L12" s="109">
        <f>(OPEX!$E$60*10^6)*OPEX!$B$75</f>
        <v>22207411.288574111</v>
      </c>
      <c r="M12" s="109">
        <f>(OPEX!$E$60*10^6)*OPEX!$B$75</f>
        <v>22207411.288574111</v>
      </c>
      <c r="N12" s="109">
        <f>(OPEX!$E$60*10^6)*OPEX!$B$75</f>
        <v>22207411.288574111</v>
      </c>
      <c r="O12" s="109">
        <f>(OPEX!$E$60*10^6)*OPEX!$B$75</f>
        <v>22207411.288574111</v>
      </c>
      <c r="P12" s="109">
        <f>(OPEX!$E$60*10^6)*OPEX!$B$75</f>
        <v>22207411.288574111</v>
      </c>
      <c r="Q12" s="109">
        <f>(OPEX!$E$60*10^6)*OPEX!$B$75</f>
        <v>22207411.288574111</v>
      </c>
      <c r="R12" s="109">
        <f>(OPEX!$E$60*10^6)*OPEX!$B$75</f>
        <v>22207411.288574111</v>
      </c>
      <c r="S12" s="109">
        <f>(OPEX!$E$60*10^6)*OPEX!$B$75</f>
        <v>22207411.288574111</v>
      </c>
      <c r="T12" s="109">
        <f>(OPEX!$E$60*10^6)*OPEX!$B$75</f>
        <v>22207411.288574111</v>
      </c>
      <c r="U12" s="109">
        <f>(OPEX!$E$60*10^6)*OPEX!$B$75</f>
        <v>22207411.288574111</v>
      </c>
      <c r="V12" s="109">
        <f>(OPEX!$E$60*10^6)*OPEX!$B$75</f>
        <v>22207411.288574111</v>
      </c>
      <c r="W12" s="109">
        <f>(OPEX!$E$60*10^6)*OPEX!$B$75</f>
        <v>22207411.288574111</v>
      </c>
    </row>
    <row r="13" spans="2:23" x14ac:dyDescent="0.3">
      <c r="B13" s="118" t="s">
        <v>354</v>
      </c>
      <c r="C13" s="109"/>
      <c r="D13" s="109">
        <f>(OPEX!$E$59*10^6)*OPEX!$B$75</f>
        <v>140109.85040109849</v>
      </c>
      <c r="E13" s="109">
        <f>(OPEX!$E$59*10^6)*OPEX!$B$75</f>
        <v>140109.85040109849</v>
      </c>
      <c r="F13" s="109">
        <f>(OPEX!$E$59*10^6)*OPEX!$B$75</f>
        <v>140109.85040109849</v>
      </c>
      <c r="G13" s="109">
        <f>(OPEX!$E$59*10^6)*OPEX!$B$75</f>
        <v>140109.85040109849</v>
      </c>
      <c r="H13" s="109">
        <f>(OPEX!$E$59*10^6)*OPEX!$B$75</f>
        <v>140109.85040109849</v>
      </c>
      <c r="I13" s="109">
        <f>(OPEX!$E$59*10^6)*OPEX!$B$75</f>
        <v>140109.85040109849</v>
      </c>
      <c r="J13" s="109">
        <f>(OPEX!$E$59*10^6)*OPEX!$B$75</f>
        <v>140109.85040109849</v>
      </c>
      <c r="K13" s="109">
        <f>(OPEX!$E$59*10^6)*OPEX!$B$75</f>
        <v>140109.85040109849</v>
      </c>
      <c r="L13" s="109">
        <f>(OPEX!$E$59*10^6)*OPEX!$B$75</f>
        <v>140109.85040109849</v>
      </c>
      <c r="M13" s="109">
        <f>(OPEX!$E$59*10^6)*OPEX!$B$75</f>
        <v>140109.85040109849</v>
      </c>
      <c r="N13" s="109">
        <f>(OPEX!$E$59*10^6)*OPEX!$B$75</f>
        <v>140109.85040109849</v>
      </c>
      <c r="O13" s="109">
        <f>(OPEX!$E$59*10^6)*OPEX!$B$75</f>
        <v>140109.85040109849</v>
      </c>
      <c r="P13" s="109">
        <f>(OPEX!$E$59*10^6)*OPEX!$B$75</f>
        <v>140109.85040109849</v>
      </c>
      <c r="Q13" s="109">
        <f>(OPEX!$E$59*10^6)*OPEX!$B$75</f>
        <v>140109.85040109849</v>
      </c>
      <c r="R13" s="109">
        <f>(OPEX!$E$59*10^6)*OPEX!$B$75</f>
        <v>140109.85040109849</v>
      </c>
      <c r="S13" s="109">
        <f>(OPEX!$E$59*10^6)*OPEX!$B$75</f>
        <v>140109.85040109849</v>
      </c>
      <c r="T13" s="109">
        <f>(OPEX!$E$59*10^6)*OPEX!$B$75</f>
        <v>140109.85040109849</v>
      </c>
      <c r="U13" s="109">
        <f>(OPEX!$E$59*10^6)*OPEX!$B$75</f>
        <v>140109.85040109849</v>
      </c>
      <c r="V13" s="109">
        <f>(OPEX!$E$59*10^6)*OPEX!$B$75</f>
        <v>140109.85040109849</v>
      </c>
      <c r="W13" s="109">
        <f>(OPEX!$E$59*10^6)*OPEX!$B$75</f>
        <v>140109.85040109849</v>
      </c>
    </row>
    <row r="14" spans="2:23" x14ac:dyDescent="0.3">
      <c r="B14" s="118" t="s">
        <v>355</v>
      </c>
      <c r="C14" s="109"/>
      <c r="D14" s="109">
        <f>(OPEX!$E$61*10^6)*OPEX!$B$75</f>
        <v>55553555.68403554</v>
      </c>
      <c r="E14" s="109">
        <f>(OPEX!$E$61*10^6)*OPEX!$B$75</f>
        <v>55553555.68403554</v>
      </c>
      <c r="F14" s="109">
        <f>(OPEX!$E$61*10^6)*OPEX!$B$75</f>
        <v>55553555.68403554</v>
      </c>
      <c r="G14" s="109">
        <f>(OPEX!$E$61*10^6)*OPEX!$B$75</f>
        <v>55553555.68403554</v>
      </c>
      <c r="H14" s="109">
        <f>(OPEX!$E$61*10^6)*OPEX!$B$75</f>
        <v>55553555.68403554</v>
      </c>
      <c r="I14" s="109">
        <f>(OPEX!$E$61*10^6)*OPEX!$B$75</f>
        <v>55553555.68403554</v>
      </c>
      <c r="J14" s="109">
        <f>(OPEX!$E$61*10^6)*OPEX!$B$75</f>
        <v>55553555.68403554</v>
      </c>
      <c r="K14" s="109">
        <f>(OPEX!$E$61*10^6)*OPEX!$B$75</f>
        <v>55553555.68403554</v>
      </c>
      <c r="L14" s="109">
        <f>(OPEX!$E$61*10^6)*OPEX!$B$75</f>
        <v>55553555.68403554</v>
      </c>
      <c r="M14" s="109">
        <f>(OPEX!$E$61*10^6)*OPEX!$B$75</f>
        <v>55553555.68403554</v>
      </c>
      <c r="N14" s="109">
        <f>(OPEX!$E$61*10^6)*OPEX!$B$75</f>
        <v>55553555.68403554</v>
      </c>
      <c r="O14" s="109">
        <f>(OPEX!$E$61*10^6)*OPEX!$B$75</f>
        <v>55553555.68403554</v>
      </c>
      <c r="P14" s="109">
        <f>(OPEX!$E$61*10^6)*OPEX!$B$75</f>
        <v>55553555.68403554</v>
      </c>
      <c r="Q14" s="109">
        <f>(OPEX!$E$61*10^6)*OPEX!$B$75</f>
        <v>55553555.68403554</v>
      </c>
      <c r="R14" s="109">
        <f>(OPEX!$E$61*10^6)*OPEX!$B$75</f>
        <v>55553555.68403554</v>
      </c>
      <c r="S14" s="109">
        <f>(OPEX!$E$61*10^6)*OPEX!$B$75</f>
        <v>55553555.68403554</v>
      </c>
      <c r="T14" s="109">
        <f>(OPEX!$E$61*10^6)*OPEX!$B$75</f>
        <v>55553555.68403554</v>
      </c>
      <c r="U14" s="109">
        <f>(OPEX!$E$61*10^6)*OPEX!$B$75</f>
        <v>55553555.68403554</v>
      </c>
      <c r="V14" s="109">
        <f>(OPEX!$E$61*10^6)*OPEX!$B$75</f>
        <v>55553555.68403554</v>
      </c>
      <c r="W14" s="109">
        <f>(OPEX!$E$61*10^6)*OPEX!$B$75</f>
        <v>55553555.68403554</v>
      </c>
    </row>
    <row r="15" spans="2:23" x14ac:dyDescent="0.3">
      <c r="B15" s="118" t="s">
        <v>356</v>
      </c>
      <c r="C15" s="109"/>
      <c r="D15" s="109">
        <f>(OPEX!$E$67*10^6)*OPEX!$B$75</f>
        <v>70531070.754800111</v>
      </c>
      <c r="E15" s="109">
        <f>(OPEX!$E$67*10^6)*OPEX!$B$75</f>
        <v>70531070.754800111</v>
      </c>
      <c r="F15" s="109">
        <f>(OPEX!$E$67*10^6)*OPEX!$B$75</f>
        <v>70531070.754800111</v>
      </c>
      <c r="G15" s="109">
        <f>(OPEX!$E$67*10^6)*OPEX!$B$75</f>
        <v>70531070.754800111</v>
      </c>
      <c r="H15" s="109">
        <f>(OPEX!$E$67*10^6)*OPEX!$B$75</f>
        <v>70531070.754800111</v>
      </c>
      <c r="I15" s="109">
        <f>(OPEX!$E$67*10^6)*OPEX!$B$75</f>
        <v>70531070.754800111</v>
      </c>
      <c r="J15" s="109">
        <f>(OPEX!$E$67*10^6)*OPEX!$B$75</f>
        <v>70531070.754800111</v>
      </c>
      <c r="K15" s="109">
        <f>(OPEX!$E$67*10^6)*OPEX!$B$75</f>
        <v>70531070.754800111</v>
      </c>
      <c r="L15" s="109">
        <f>(OPEX!$E$67*10^6)*OPEX!$B$75</f>
        <v>70531070.754800111</v>
      </c>
      <c r="M15" s="109">
        <f>(OPEX!$E$67*10^6)*OPEX!$B$75</f>
        <v>70531070.754800111</v>
      </c>
      <c r="N15" s="109">
        <f>(OPEX!$E$67*10^6)*OPEX!$B$75</f>
        <v>70531070.754800111</v>
      </c>
      <c r="O15" s="109">
        <f>(OPEX!$E$67*10^6)*OPEX!$B$75</f>
        <v>70531070.754800111</v>
      </c>
      <c r="P15" s="109">
        <f>(OPEX!$E$67*10^6)*OPEX!$B$75</f>
        <v>70531070.754800111</v>
      </c>
      <c r="Q15" s="109">
        <f>(OPEX!$E$67*10^6)*OPEX!$B$75</f>
        <v>70531070.754800111</v>
      </c>
      <c r="R15" s="109">
        <f>(OPEX!$E$67*10^6)*OPEX!$B$75</f>
        <v>70531070.754800111</v>
      </c>
      <c r="S15" s="109">
        <f>(OPEX!$E$67*10^6)*OPEX!$B$75</f>
        <v>70531070.754800111</v>
      </c>
      <c r="T15" s="109">
        <f>(OPEX!$E$67*10^6)*OPEX!$B$75</f>
        <v>70531070.754800111</v>
      </c>
      <c r="U15" s="109">
        <f>(OPEX!$E$67*10^6)*OPEX!$B$75</f>
        <v>70531070.754800111</v>
      </c>
      <c r="V15" s="109">
        <f>(OPEX!$E$67*10^6)*OPEX!$B$75</f>
        <v>70531070.754800111</v>
      </c>
      <c r="W15" s="109">
        <f>(OPEX!$E$67*10^6)*OPEX!$B$75</f>
        <v>70531070.754800111</v>
      </c>
    </row>
    <row r="16" spans="2:23" x14ac:dyDescent="0.3">
      <c r="B16" s="118" t="s">
        <v>358</v>
      </c>
      <c r="C16" s="109"/>
      <c r="D16" s="109">
        <f>(OPEX!$E$69*10^6)*OPEX!$B$75</f>
        <v>37269220.206692196</v>
      </c>
      <c r="E16" s="109">
        <f>(OPEX!$E$69*10^6)*OPEX!$B$75</f>
        <v>37269220.206692196</v>
      </c>
      <c r="F16" s="109">
        <f>(OPEX!$E$69*10^6)*OPEX!$B$75</f>
        <v>37269220.206692196</v>
      </c>
      <c r="G16" s="109">
        <f>(OPEX!$E$69*10^6)*OPEX!$B$75</f>
        <v>37269220.206692196</v>
      </c>
      <c r="H16" s="109">
        <f>(OPEX!$E$69*10^6)*OPEX!$B$75</f>
        <v>37269220.206692196</v>
      </c>
      <c r="I16" s="109">
        <f>(OPEX!$E$69*10^6)*OPEX!$B$75</f>
        <v>37269220.206692196</v>
      </c>
      <c r="J16" s="109">
        <f>(OPEX!$E$69*10^6)*OPEX!$B$75</f>
        <v>37269220.206692196</v>
      </c>
      <c r="K16" s="109">
        <f>(OPEX!$E$69*10^6)*OPEX!$B$75</f>
        <v>37269220.206692196</v>
      </c>
      <c r="L16" s="109">
        <f>(OPEX!$E$69*10^6)*OPEX!$B$75</f>
        <v>37269220.206692196</v>
      </c>
      <c r="M16" s="109">
        <f>(OPEX!$E$69*10^6)*OPEX!$B$75</f>
        <v>37269220.206692196</v>
      </c>
      <c r="N16" s="109">
        <f>(OPEX!$E$69*10^6)*OPEX!$B$75</f>
        <v>37269220.206692196</v>
      </c>
      <c r="O16" s="109">
        <f>(OPEX!$E$69*10^6)*OPEX!$B$75</f>
        <v>37269220.206692196</v>
      </c>
      <c r="P16" s="109">
        <f>(OPEX!$E$69*10^6)*OPEX!$B$75</f>
        <v>37269220.206692196</v>
      </c>
      <c r="Q16" s="109">
        <f>(OPEX!$E$69*10^6)*OPEX!$B$75</f>
        <v>37269220.206692196</v>
      </c>
      <c r="R16" s="109">
        <f>(OPEX!$E$69*10^6)*OPEX!$B$75</f>
        <v>37269220.206692196</v>
      </c>
      <c r="S16" s="109">
        <f>(OPEX!$E$69*10^6)*OPEX!$B$75</f>
        <v>37269220.206692196</v>
      </c>
      <c r="T16" s="109">
        <f>(OPEX!$E$69*10^6)*OPEX!$B$75</f>
        <v>37269220.206692196</v>
      </c>
      <c r="U16" s="109">
        <f>(OPEX!$E$69*10^6)*OPEX!$B$75</f>
        <v>37269220.206692196</v>
      </c>
      <c r="V16" s="109">
        <f>(OPEX!$E$69*10^6)*OPEX!$B$75</f>
        <v>37269220.206692196</v>
      </c>
      <c r="W16" s="109">
        <f>(OPEX!$E$69*10^6)*OPEX!$B$75</f>
        <v>37269220.206692196</v>
      </c>
    </row>
    <row r="17" spans="2:25" x14ac:dyDescent="0.3">
      <c r="B17" s="112" t="s">
        <v>342</v>
      </c>
      <c r="C17" s="110"/>
      <c r="D17" s="111">
        <f>D2-D3</f>
        <v>783121834.72793663</v>
      </c>
      <c r="E17" s="111">
        <f t="shared" ref="E17:V17" si="2">E2-E3</f>
        <v>872911819.2464081</v>
      </c>
      <c r="F17" s="111">
        <f t="shared" si="2"/>
        <v>1216947300.340241</v>
      </c>
      <c r="G17" s="111">
        <f t="shared" si="2"/>
        <v>1544023711.2114315</v>
      </c>
      <c r="H17" s="111">
        <f t="shared" si="2"/>
        <v>1617791579.3258286</v>
      </c>
      <c r="I17" s="111">
        <f t="shared" si="2"/>
        <v>1617791579.325829</v>
      </c>
      <c r="J17" s="111">
        <f t="shared" si="2"/>
        <v>1617791579.32583</v>
      </c>
      <c r="K17" s="111">
        <f t="shared" si="2"/>
        <v>1617791579.32583</v>
      </c>
      <c r="L17" s="111">
        <f t="shared" si="2"/>
        <v>1617791579.3258295</v>
      </c>
      <c r="M17" s="111">
        <f t="shared" si="2"/>
        <v>1617791579.325829</v>
      </c>
      <c r="N17" s="111">
        <f>N2-N3</f>
        <v>1737376358.7446289</v>
      </c>
      <c r="O17" s="111">
        <f t="shared" si="2"/>
        <v>1737376358.7446294</v>
      </c>
      <c r="P17" s="111">
        <f t="shared" si="2"/>
        <v>1737376358.7446289</v>
      </c>
      <c r="Q17" s="111">
        <f t="shared" si="2"/>
        <v>1737376358.7446294</v>
      </c>
      <c r="R17" s="111">
        <f t="shared" si="2"/>
        <v>1737376358.7446289</v>
      </c>
      <c r="S17" s="111">
        <f t="shared" si="2"/>
        <v>1737376358.7446289</v>
      </c>
      <c r="T17" s="111">
        <f t="shared" si="2"/>
        <v>1771374688.1357765</v>
      </c>
      <c r="U17" s="111">
        <f t="shared" si="2"/>
        <v>1771376223.2431908</v>
      </c>
      <c r="V17" s="111">
        <f t="shared" si="2"/>
        <v>1680810303.0016913</v>
      </c>
      <c r="W17" s="111">
        <f>W2-W3</f>
        <v>1669561290.6662884</v>
      </c>
    </row>
    <row r="18" spans="2:25" x14ac:dyDescent="0.3">
      <c r="B18" s="14" t="s">
        <v>367</v>
      </c>
      <c r="C18" s="106"/>
      <c r="D18" s="106">
        <f t="shared" ref="D18:M18" si="3">E18</f>
        <v>201964577.66580552</v>
      </c>
      <c r="E18" s="106">
        <f t="shared" si="3"/>
        <v>201964577.66580552</v>
      </c>
      <c r="F18" s="106">
        <f t="shared" si="3"/>
        <v>201964577.66580552</v>
      </c>
      <c r="G18" s="106">
        <f t="shared" si="3"/>
        <v>201964577.66580552</v>
      </c>
      <c r="H18" s="106">
        <f t="shared" si="3"/>
        <v>201964577.66580552</v>
      </c>
      <c r="I18" s="106">
        <f t="shared" si="3"/>
        <v>201964577.66580552</v>
      </c>
      <c r="J18" s="106">
        <f t="shared" si="3"/>
        <v>201964577.66580552</v>
      </c>
      <c r="K18" s="106">
        <f t="shared" si="3"/>
        <v>201964577.66580552</v>
      </c>
      <c r="L18" s="106">
        <f t="shared" si="3"/>
        <v>201964577.66580552</v>
      </c>
      <c r="M18" s="106">
        <f t="shared" si="3"/>
        <v>201964577.66580552</v>
      </c>
      <c r="N18" s="106">
        <f>O18</f>
        <v>201964577.66580552</v>
      </c>
      <c r="O18" s="106">
        <f>((406049*1000)*(1+(SUMIFS(Inflação!$L$1:$L$20,Inflação!$I$1:$I$20,O$1)+Inflação!$K$22))*'Receita Máxima'!$H$47)</f>
        <v>201964577.66580552</v>
      </c>
      <c r="P18" s="106">
        <f>((422429*1000)*(1+(SUMIFS(Inflação!$L$1:$L$20,Inflação!$I$1:$I$20,P$1)+Inflação!$K$22))*'Receita Máxima'!$H$47)</f>
        <v>211173709.34135738</v>
      </c>
      <c r="Q18" s="106">
        <f>((336045*1000)*(1+(SUMIFS(Inflação!$L$1:$L$20,Inflação!$I$1:$I$20,Q$1)+Inflação!$K$22))*'Receita Máxima'!$H$47)</f>
        <v>156625074.53007716</v>
      </c>
      <c r="R18" s="106">
        <f>(((439093*1000)*(1+(SUMIFS(Inflação!$L$1:$L$20,Inflação!$I$1:$I$20,R$1)+Inflação!$K$22))*'Receita Máxima'!$H$47))</f>
        <v>191242559.43487641</v>
      </c>
      <c r="S18" s="106">
        <f>((450910*1000)*(1+(SUMIFS(Inflação!$L$1:$L$20,Inflação!$I$1:$I$20,S$1)+Inflação!$K$22))*'Receita Máxima'!$H$47)</f>
        <v>160957538.14162177</v>
      </c>
      <c r="T18" s="106">
        <f>((461439*1000)*(1+(SUMIFS(Inflação!$L$1:$L$20,Inflação!$I$1:$I$20,T$1)+Inflação!$K$22))*'Receita Máxima'!$H$47)</f>
        <v>141056134.32001835</v>
      </c>
      <c r="U18" s="106">
        <f>((478771*1000)*(1+(SUMIFS(Inflação!$L$1:$L$20,Inflação!$I$1:$I$20,U$1)+Inflação!$K$22))*'Receita Máxima'!$H$47)</f>
        <v>139218185.77947769</v>
      </c>
      <c r="V18" s="106">
        <f>((457834*1000)*(1+(Inflação!$K$22))*'Receita Máxima'!$H$47)</f>
        <v>134705644.19142976</v>
      </c>
      <c r="W18" s="106">
        <f>V18</f>
        <v>134705644.19142976</v>
      </c>
    </row>
    <row r="19" spans="2:25" x14ac:dyDescent="0.3">
      <c r="B19" s="112" t="s">
        <v>343</v>
      </c>
      <c r="C19" s="110"/>
      <c r="D19" s="111">
        <f>D17-D18</f>
        <v>581157257.06213117</v>
      </c>
      <c r="E19" s="111">
        <f t="shared" ref="E19:W19" si="4">E17-E18</f>
        <v>670947241.58060265</v>
      </c>
      <c r="F19" s="111">
        <f t="shared" si="4"/>
        <v>1014982722.6744354</v>
      </c>
      <c r="G19" s="111">
        <f t="shared" si="4"/>
        <v>1342059133.5456259</v>
      </c>
      <c r="H19" s="111">
        <f t="shared" si="4"/>
        <v>1415827001.660023</v>
      </c>
      <c r="I19" s="111">
        <f t="shared" si="4"/>
        <v>1415827001.6600235</v>
      </c>
      <c r="J19" s="111">
        <f t="shared" si="4"/>
        <v>1415827001.6600244</v>
      </c>
      <c r="K19" s="111">
        <f t="shared" si="4"/>
        <v>1415827001.6600244</v>
      </c>
      <c r="L19" s="111">
        <f t="shared" si="4"/>
        <v>1415827001.6600239</v>
      </c>
      <c r="M19" s="111">
        <f t="shared" si="4"/>
        <v>1415827001.6600235</v>
      </c>
      <c r="N19" s="111">
        <f t="shared" si="4"/>
        <v>1535411781.0788233</v>
      </c>
      <c r="O19" s="111">
        <f t="shared" si="4"/>
        <v>1535411781.0788238</v>
      </c>
      <c r="P19" s="111">
        <f t="shared" si="4"/>
        <v>1526202649.4032714</v>
      </c>
      <c r="Q19" s="111">
        <f t="shared" si="4"/>
        <v>1580751284.2145522</v>
      </c>
      <c r="R19" s="111">
        <f t="shared" si="4"/>
        <v>1546133799.3097525</v>
      </c>
      <c r="S19" s="111">
        <f t="shared" si="4"/>
        <v>1576418820.6030071</v>
      </c>
      <c r="T19" s="111">
        <f t="shared" si="4"/>
        <v>1630318553.8157582</v>
      </c>
      <c r="U19" s="111">
        <f t="shared" si="4"/>
        <v>1632158037.4637132</v>
      </c>
      <c r="V19" s="111">
        <f t="shared" si="4"/>
        <v>1546104658.8102615</v>
      </c>
      <c r="W19" s="111">
        <f t="shared" si="4"/>
        <v>1534855646.4748585</v>
      </c>
    </row>
    <row r="20" spans="2:25" x14ac:dyDescent="0.3">
      <c r="B20" s="14" t="s">
        <v>344</v>
      </c>
      <c r="C20" s="14"/>
      <c r="D20" s="113">
        <f>34%*D19</f>
        <v>197593467.4011246</v>
      </c>
      <c r="E20" s="113">
        <f t="shared" ref="E20:W20" si="5">34%*E19</f>
        <v>228122062.13740492</v>
      </c>
      <c r="F20" s="113">
        <f t="shared" si="5"/>
        <v>345094125.70930803</v>
      </c>
      <c r="G20" s="113">
        <f t="shared" si="5"/>
        <v>456300105.40551287</v>
      </c>
      <c r="H20" s="113">
        <f t="shared" si="5"/>
        <v>481381180.56440783</v>
      </c>
      <c r="I20" s="113">
        <f t="shared" si="5"/>
        <v>481381180.564408</v>
      </c>
      <c r="J20" s="113">
        <f t="shared" si="5"/>
        <v>481381180.5644083</v>
      </c>
      <c r="K20" s="113">
        <f t="shared" si="5"/>
        <v>481381180.5644083</v>
      </c>
      <c r="L20" s="113">
        <f t="shared" si="5"/>
        <v>481381180.56440818</v>
      </c>
      <c r="M20" s="113">
        <f t="shared" si="5"/>
        <v>481381180.564408</v>
      </c>
      <c r="N20" s="113">
        <f t="shared" si="5"/>
        <v>522040005.5668</v>
      </c>
      <c r="O20" s="113">
        <f t="shared" si="5"/>
        <v>522040005.56680012</v>
      </c>
      <c r="P20" s="113">
        <f t="shared" si="5"/>
        <v>518908900.79711235</v>
      </c>
      <c r="Q20" s="113">
        <f t="shared" si="5"/>
        <v>537455436.6329478</v>
      </c>
      <c r="R20" s="113">
        <f t="shared" si="5"/>
        <v>525685491.76531589</v>
      </c>
      <c r="S20" s="113">
        <f t="shared" si="5"/>
        <v>535982399.00502247</v>
      </c>
      <c r="T20" s="113">
        <f t="shared" si="5"/>
        <v>554308308.2973578</v>
      </c>
      <c r="U20" s="113">
        <f t="shared" si="5"/>
        <v>554933732.73766255</v>
      </c>
      <c r="V20" s="113">
        <f t="shared" si="5"/>
        <v>525675583.99548894</v>
      </c>
      <c r="W20" s="113">
        <f t="shared" si="5"/>
        <v>521850919.80145192</v>
      </c>
    </row>
    <row r="21" spans="2:25" s="41" customFormat="1" x14ac:dyDescent="0.3">
      <c r="B21" s="117" t="s">
        <v>365</v>
      </c>
      <c r="C21" s="112"/>
      <c r="D21" s="112">
        <f>D19-D20</f>
        <v>383563789.66100657</v>
      </c>
      <c r="E21" s="112">
        <f t="shared" ref="E21:W21" si="6">E19-E20</f>
        <v>442825179.44319773</v>
      </c>
      <c r="F21" s="112">
        <f t="shared" si="6"/>
        <v>669888596.96512735</v>
      </c>
      <c r="G21" s="112">
        <f t="shared" si="6"/>
        <v>885759028.14011312</v>
      </c>
      <c r="H21" s="112">
        <f t="shared" si="6"/>
        <v>934445821.09561515</v>
      </c>
      <c r="I21" s="112">
        <f t="shared" si="6"/>
        <v>934445821.09561539</v>
      </c>
      <c r="J21" s="112">
        <f t="shared" si="6"/>
        <v>934445821.0956161</v>
      </c>
      <c r="K21" s="112">
        <f t="shared" si="6"/>
        <v>934445821.0956161</v>
      </c>
      <c r="L21" s="112">
        <f t="shared" si="6"/>
        <v>934445821.09561574</v>
      </c>
      <c r="M21" s="112">
        <f t="shared" si="6"/>
        <v>934445821.09561539</v>
      </c>
      <c r="N21" s="112">
        <f t="shared" si="6"/>
        <v>1013371775.5120233</v>
      </c>
      <c r="O21" s="112">
        <f t="shared" si="6"/>
        <v>1013371775.5120237</v>
      </c>
      <c r="P21" s="112">
        <f t="shared" si="6"/>
        <v>1007293748.6061591</v>
      </c>
      <c r="Q21" s="112">
        <f t="shared" si="6"/>
        <v>1043295847.5816044</v>
      </c>
      <c r="R21" s="112">
        <f t="shared" si="6"/>
        <v>1020448307.5444366</v>
      </c>
      <c r="S21" s="112">
        <f t="shared" si="6"/>
        <v>1040436421.5979846</v>
      </c>
      <c r="T21" s="112">
        <f t="shared" si="6"/>
        <v>1076010245.5184004</v>
      </c>
      <c r="U21" s="112">
        <f t="shared" si="6"/>
        <v>1077224304.7260506</v>
      </c>
      <c r="V21" s="112">
        <f t="shared" si="6"/>
        <v>1020429074.8147726</v>
      </c>
      <c r="W21" s="112">
        <f t="shared" si="6"/>
        <v>1013004726.6734066</v>
      </c>
    </row>
    <row r="22" spans="2:25" s="41" customFormat="1" x14ac:dyDescent="0.3">
      <c r="B22" s="120" t="s">
        <v>366</v>
      </c>
      <c r="C22" s="114"/>
      <c r="D22" s="114"/>
      <c r="E22" s="114"/>
      <c r="F22" s="114">
        <v>7540860714.5164089</v>
      </c>
      <c r="G22" s="114">
        <v>28857540.659153871</v>
      </c>
      <c r="H22" s="114"/>
      <c r="I22" s="114">
        <v>727125229.93670261</v>
      </c>
      <c r="J22" s="114"/>
      <c r="K22" s="114">
        <v>53927586.083815746</v>
      </c>
      <c r="L22" s="114">
        <v>19608233.845851727</v>
      </c>
      <c r="M22" s="114"/>
      <c r="N22" s="114"/>
      <c r="O22" s="114"/>
      <c r="P22" s="114"/>
      <c r="Q22" s="114"/>
      <c r="R22" s="114"/>
      <c r="S22" s="114"/>
      <c r="T22" s="114">
        <v>54370009.43285615</v>
      </c>
      <c r="U22" s="114"/>
      <c r="V22" s="114"/>
      <c r="W22" s="114"/>
      <c r="Y22" s="100"/>
    </row>
    <row r="23" spans="2:25" x14ac:dyDescent="0.3">
      <c r="B23" s="120" t="s">
        <v>368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>
        <v>0</v>
      </c>
      <c r="X23" s="41"/>
      <c r="Y23" s="68"/>
    </row>
    <row r="24" spans="2:25" x14ac:dyDescent="0.3">
      <c r="B24" s="120" t="s">
        <v>369</v>
      </c>
      <c r="C24" s="116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41"/>
    </row>
    <row r="25" spans="2:25" s="41" customFormat="1" x14ac:dyDescent="0.3">
      <c r="B25" s="117" t="s">
        <v>364</v>
      </c>
      <c r="C25" s="117">
        <f>-C27+C28</f>
        <v>0</v>
      </c>
      <c r="D25" s="117">
        <f>D21-D22+D18+D23-D24</f>
        <v>585528367.32681203</v>
      </c>
      <c r="E25" s="117">
        <f>E21-E22+E18+E23-E24</f>
        <v>644789757.10900331</v>
      </c>
      <c r="F25" s="117">
        <f>F21-F22+F18+F23-F24</f>
        <v>-6669007539.8854761</v>
      </c>
      <c r="G25" s="117">
        <f>G21-G22+G18+G23-G24</f>
        <v>1058866065.1467648</v>
      </c>
      <c r="H25" s="117">
        <f>H21-H22+H18+H23-H24</f>
        <v>1136410398.7614207</v>
      </c>
      <c r="I25" s="117">
        <f>I21-I22+I18+I23-I24</f>
        <v>409285168.8247183</v>
      </c>
      <c r="J25" s="117">
        <f>J21-J22+J18+J23-J24</f>
        <v>1136410398.7614217</v>
      </c>
      <c r="K25" s="117">
        <f>K21-K22+K18+K23-K24</f>
        <v>1082482812.6776059</v>
      </c>
      <c r="L25" s="117">
        <f>L21-L22+L18+L23-L24</f>
        <v>1116802164.9155695</v>
      </c>
      <c r="M25" s="117">
        <f>M21-M22+M18+M23-M24</f>
        <v>1136410398.761421</v>
      </c>
      <c r="N25" s="117">
        <f>N21-N22+N18+N23-N24</f>
        <v>1215336353.1778288</v>
      </c>
      <c r="O25" s="117">
        <f>O21-O22+O18+O23-O24</f>
        <v>1215336353.1778293</v>
      </c>
      <c r="P25" s="117">
        <f>P21-P22+P18+P23-P24</f>
        <v>1218467457.9475164</v>
      </c>
      <c r="Q25" s="117">
        <f>Q21-Q22+Q18+Q23-Q24</f>
        <v>1199920922.1116815</v>
      </c>
      <c r="R25" s="117">
        <f>R21-R22+R18+R23-R24</f>
        <v>1211690866.9793129</v>
      </c>
      <c r="S25" s="117">
        <f>S21-S22+S18+S23-S24</f>
        <v>1201393959.7396064</v>
      </c>
      <c r="T25" s="117">
        <f>T21-T22+T18+T23-T24</f>
        <v>1162696370.4055626</v>
      </c>
      <c r="U25" s="117">
        <f>U21-U22+U18+U23-U24</f>
        <v>1216442490.5055282</v>
      </c>
      <c r="V25" s="117">
        <f>V21-V22+V18+V23-V24</f>
        <v>1155134719.0062025</v>
      </c>
      <c r="W25" s="117">
        <f>W21-W22+W18+W23-W24</f>
        <v>1147710370.8648365</v>
      </c>
    </row>
    <row r="26" spans="2:25" x14ac:dyDescent="0.3">
      <c r="B26" s="8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2:25" x14ac:dyDescent="0.3">
      <c r="B27" s="121" t="s">
        <v>416</v>
      </c>
      <c r="C27" s="123">
        <v>9697281033.0446243</v>
      </c>
      <c r="D27" s="123">
        <f>(C27-C28)+D22-D28</f>
        <v>0</v>
      </c>
      <c r="E27" s="123">
        <f t="shared" ref="E27:W27" si="7">(D27)+E22-E28</f>
        <v>0</v>
      </c>
      <c r="F27" s="123">
        <f t="shared" si="7"/>
        <v>3142281924.5852594</v>
      </c>
      <c r="G27" s="123">
        <f t="shared" si="7"/>
        <v>3155428137.5522075</v>
      </c>
      <c r="H27" s="123">
        <f t="shared" si="7"/>
        <v>3155428137.5522075</v>
      </c>
      <c r="I27" s="123">
        <f t="shared" si="7"/>
        <v>3529089714.0474577</v>
      </c>
      <c r="J27" s="123">
        <f t="shared" si="7"/>
        <v>3529089714.0474577</v>
      </c>
      <c r="K27" s="123">
        <f t="shared" si="7"/>
        <v>3561071768.572165</v>
      </c>
      <c r="L27" s="123">
        <f t="shared" si="7"/>
        <v>3573272447.409584</v>
      </c>
      <c r="M27" s="123">
        <f t="shared" si="7"/>
        <v>3573272447.409584</v>
      </c>
      <c r="N27" s="123">
        <f t="shared" si="7"/>
        <v>3573272447.409584</v>
      </c>
      <c r="O27" s="123">
        <f t="shared" si="7"/>
        <v>3573272447.409584</v>
      </c>
      <c r="P27" s="123">
        <f t="shared" si="7"/>
        <v>3573272447.409584</v>
      </c>
      <c r="Q27" s="123">
        <f t="shared" si="7"/>
        <v>3573272447.409584</v>
      </c>
      <c r="R27" s="123">
        <f t="shared" si="7"/>
        <v>3573272447.409584</v>
      </c>
      <c r="S27" s="123">
        <f t="shared" si="7"/>
        <v>3573272447.409584</v>
      </c>
      <c r="T27" s="123">
        <f t="shared" si="7"/>
        <v>3620770077.2844696</v>
      </c>
      <c r="U27" s="123">
        <f t="shared" si="7"/>
        <v>3620770077.2844696</v>
      </c>
      <c r="V27" s="123">
        <f t="shared" si="7"/>
        <v>3620770077.2844696</v>
      </c>
      <c r="W27" s="123">
        <f t="shared" si="7"/>
        <v>3620770077.2844696</v>
      </c>
    </row>
    <row r="28" spans="2:25" s="41" customFormat="1" x14ac:dyDescent="0.3">
      <c r="B28" s="124" t="s">
        <v>363</v>
      </c>
      <c r="C28" s="123">
        <v>9697281033.0446243</v>
      </c>
      <c r="D28" s="123"/>
      <c r="E28" s="123"/>
      <c r="F28" s="123">
        <v>4398578789.9311495</v>
      </c>
      <c r="G28" s="123">
        <v>15711327.692205993</v>
      </c>
      <c r="H28" s="123"/>
      <c r="I28" s="123">
        <v>353463653.44145268</v>
      </c>
      <c r="J28" s="123"/>
      <c r="K28" s="123">
        <v>21945531.559108358</v>
      </c>
      <c r="L28" s="123">
        <v>7407555.0084328745</v>
      </c>
      <c r="M28" s="123"/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6872379.5579707623</v>
      </c>
      <c r="U28" s="123">
        <v>0</v>
      </c>
      <c r="V28" s="123">
        <v>0</v>
      </c>
      <c r="W28" s="123">
        <v>0</v>
      </c>
    </row>
    <row r="30" spans="2:25" x14ac:dyDescent="0.3">
      <c r="B30" s="66" t="s">
        <v>370</v>
      </c>
      <c r="C30" s="73">
        <f>NPV($C$33,D25:W25)-(C27-C28)</f>
        <v>4176437432.3324332</v>
      </c>
      <c r="N30" s="75">
        <f>N18/N27</f>
        <v>5.6520900837611236E-2</v>
      </c>
    </row>
    <row r="31" spans="2:25" x14ac:dyDescent="0.3">
      <c r="D31" s="10"/>
      <c r="F31" s="40"/>
    </row>
    <row r="32" spans="2:25" ht="15" thickBot="1" x14ac:dyDescent="0.35">
      <c r="C32" s="74"/>
      <c r="D32" s="68"/>
    </row>
    <row r="33" spans="2:23" x14ac:dyDescent="0.3">
      <c r="B33" s="88" t="s">
        <v>371</v>
      </c>
      <c r="C33" s="89">
        <v>7.2499999999999995E-2</v>
      </c>
      <c r="D33" s="10"/>
    </row>
    <row r="34" spans="2:23" ht="15" thickBot="1" x14ac:dyDescent="0.35">
      <c r="B34" s="90" t="s">
        <v>388</v>
      </c>
      <c r="C34" s="91">
        <f>IRR(C25:W25)</f>
        <v>0.19711608011021142</v>
      </c>
      <c r="D34" s="10"/>
    </row>
    <row r="35" spans="2:23" x14ac:dyDescent="0.3">
      <c r="D35" s="10"/>
    </row>
    <row r="36" spans="2:23" ht="18" x14ac:dyDescent="0.35">
      <c r="C36" s="10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2:23" x14ac:dyDescent="0.3">
      <c r="D37" s="10"/>
    </row>
    <row r="38" spans="2:23" x14ac:dyDescent="0.3">
      <c r="D38" s="10"/>
    </row>
    <row r="39" spans="2:23" x14ac:dyDescent="0.3">
      <c r="D39" s="10"/>
    </row>
    <row r="40" spans="2:23" x14ac:dyDescent="0.3">
      <c r="D40" s="10"/>
    </row>
    <row r="41" spans="2:23" x14ac:dyDescent="0.3">
      <c r="D41" s="10"/>
    </row>
    <row r="42" spans="2:23" x14ac:dyDescent="0.3">
      <c r="D42" s="10"/>
    </row>
    <row r="43" spans="2:23" x14ac:dyDescent="0.3">
      <c r="D43" s="10"/>
    </row>
    <row r="44" spans="2:23" x14ac:dyDescent="0.3">
      <c r="D44" s="10"/>
    </row>
    <row r="45" spans="2:23" x14ac:dyDescent="0.3">
      <c r="D45" s="10"/>
    </row>
    <row r="46" spans="2:23" x14ac:dyDescent="0.3">
      <c r="D46" s="10"/>
    </row>
    <row r="47" spans="2:23" x14ac:dyDescent="0.3">
      <c r="D47" s="10"/>
    </row>
    <row r="48" spans="2:23" x14ac:dyDescent="0.3">
      <c r="D48" s="10"/>
    </row>
    <row r="49" spans="4:4" x14ac:dyDescent="0.3">
      <c r="D49" s="10"/>
    </row>
  </sheetData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F762824D3369418DCA59AF2C637D9F" ma:contentTypeVersion="20" ma:contentTypeDescription="Crear nuevo documento." ma:contentTypeScope="" ma:versionID="c3314f2e1bfd70fef53e704a58696b55">
  <xsd:schema xmlns:xsd="http://www.w3.org/2001/XMLSchema" xmlns:xs="http://www.w3.org/2001/XMLSchema" xmlns:p="http://schemas.microsoft.com/office/2006/metadata/properties" xmlns:ns2="a7debb7e-84cc-409c-bf49-a1df29fecb70" xmlns:ns3="97461eed-a4fa-44f0-84c4-5e950bf77184" targetNamespace="http://schemas.microsoft.com/office/2006/metadata/properties" ma:root="true" ma:fieldsID="e37f95ebd745a37260f3a241566a1812" ns2:_="" ns3:_="">
    <xsd:import namespace="a7debb7e-84cc-409c-bf49-a1df29fecb70"/>
    <xsd:import namespace="97461eed-a4fa-44f0-84c4-5e950bf771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bb7e-84cc-409c-bf49-a1df29fec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b28575f-091e-4a67-9dc8-52f6ad128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61eed-a4fa-44f0-84c4-5e950bf77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331ff55-5c69-450a-8fd3-1326d1615ed9}" ma:internalName="TaxCatchAll" ma:showField="CatchAllData" ma:web="97461eed-a4fa-44f0-84c4-5e950bf771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debb7e-84cc-409c-bf49-a1df29fecb70">
      <Terms xmlns="http://schemas.microsoft.com/office/infopath/2007/PartnerControls"/>
    </lcf76f155ced4ddcb4097134ff3c332f>
    <TaxCatchAll xmlns="97461eed-a4fa-44f0-84c4-5e950bf771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996E36-E2ED-4EF6-8512-B111A07B7FCD}"/>
</file>

<file path=customXml/itemProps2.xml><?xml version="1.0" encoding="utf-8"?>
<ds:datastoreItem xmlns:ds="http://schemas.openxmlformats.org/officeDocument/2006/customXml" ds:itemID="{418D6D7B-0688-4338-9BFA-5BD4965835A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97461eed-a4fa-44f0-84c4-5e950bf77184"/>
    <ds:schemaRef ds:uri="http://purl.org/dc/elements/1.1/"/>
    <ds:schemaRef ds:uri="a7debb7e-84cc-409c-bf49-a1df29fecb70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D334B-F683-4793-99BB-B5AB58BBAC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FCR_CHCI_12%</vt:lpstr>
      <vt:lpstr>FCR_CHCI_7,25%</vt:lpstr>
      <vt:lpstr>Comparativa Base Bruta</vt:lpstr>
      <vt:lpstr>Comp_Valor Econ</vt:lpstr>
      <vt:lpstr>FCR_CHCI</vt:lpstr>
      <vt:lpstr>FCR_CHCI_DRE</vt:lpstr>
      <vt:lpstr>FCR_CRN NTS</vt:lpstr>
      <vt:lpstr>FCR_CNR_DRE_NTS</vt:lpstr>
      <vt:lpstr>FCR_CRN ANP</vt:lpstr>
      <vt:lpstr>Receita Máxima</vt:lpstr>
      <vt:lpstr>FCR_CRN NTS_7,25%</vt:lpstr>
      <vt:lpstr>FCR_CRN NTS_12%</vt:lpstr>
      <vt:lpstr>Inflação</vt:lpstr>
      <vt:lpstr>OPEX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Diniz  Cecilio Soares</dc:creator>
  <cp:lastModifiedBy>Clara Diniz  Cecilio Soares</cp:lastModifiedBy>
  <dcterms:created xsi:type="dcterms:W3CDTF">2026-03-16T13:16:26Z</dcterms:created>
  <dcterms:modified xsi:type="dcterms:W3CDTF">2026-03-30T14:48:48Z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0x010100A0F762824D3369418DCA59AF2C637D9F</vt:lpwstr>
  </property>
  <property fmtid="{D5CDD505-2E9C-101B-9397-08002B2CF9AE}" pid="3" name="MediaServiceImageTags">
    <vt:lpwstr/>
  </property>
</Properties>
</file>