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EstaPastaDeTrabalho" defaultThemeVersion="166925"/>
  <mc:AlternateContent xmlns:mc="http://schemas.openxmlformats.org/markup-compatibility/2006">
    <mc:Choice Requires="x15">
      <x15ac:absPath xmlns:x15ac="http://schemas.microsoft.com/office/spreadsheetml/2010/11/ac" url="O:\Comercial\Regulatório\21. RTP NTS\01. 1ª RTP NTS\01. Plano de Negócios\0. Anexos (envio de 11072025)_vsLegadoIPCA\"/>
    </mc:Choice>
  </mc:AlternateContent>
  <xr:revisionPtr revIDLastSave="0" documentId="13_ncr:1_{6DFB6066-046B-4B39-8E2A-65D7774B3566}" xr6:coauthVersionLast="47" xr6:coauthVersionMax="47" xr10:uidLastSave="{00000000-0000-0000-0000-000000000000}"/>
  <bookViews>
    <workbookView xWindow="-120" yWindow="-120" windowWidth="29040" windowHeight="15720" tabRatio="938" xr2:uid="{89632B01-E5AC-4E0F-9B71-843CD2AAAD8A}"/>
  </bookViews>
  <sheets>
    <sheet name="Resumo" sheetId="88" r:id="rId1"/>
    <sheet name="Tarifas Finais" sheetId="46" r:id="rId2"/>
    <sheet name="Premissas (BRA)" sheetId="66" r:id="rId3"/>
    <sheet name="Premissas (Legados)" sheetId="33" r:id="rId4"/>
    <sheet name="SELIC" sheetId="56" r:id="rId5"/>
    <sheet name="Conta Regulatória (C.Reg)" sheetId="55" r:id="rId6"/>
    <sheet name="Matriz Distâncias NTS" sheetId="38" r:id="rId7"/>
    <sheet name="Oferta (Legados)" sheetId="34" r:id="rId8"/>
    <sheet name="Demanda (Legados)" sheetId="35" r:id="rId9"/>
    <sheet name="Oferta (BRA)" sheetId="67" r:id="rId10"/>
    <sheet name="Demanda (BRA)" sheetId="68" r:id="rId11"/>
    <sheet name="CWD 2026 BRA (sem desc.)" sheetId="71" r:id="rId12"/>
    <sheet name="CWD 2026 BRA (com desc.)" sheetId="72" r:id="rId13"/>
    <sheet name="Tarifa Ponderada BRA 2026" sheetId="73" r:id="rId14"/>
    <sheet name="CWD 2026 Legados (sem desc.)" sheetId="49" r:id="rId15"/>
    <sheet name="CWD 2026 Legados (com desc.)" sheetId="50" r:id="rId16"/>
    <sheet name="Tarifa Ponderada Legados 2026" sheetId="51" r:id="rId17"/>
    <sheet name="CWD 2027 BRA (sem desc.)" sheetId="74" r:id="rId18"/>
    <sheet name="CWD 2027 BRA (com desc.)" sheetId="75" r:id="rId19"/>
    <sheet name="Tarifa Ponderada BRA 2027" sheetId="76" r:id="rId20"/>
    <sheet name="CWD 2027 Legados (sem desc.)" sheetId="52" r:id="rId21"/>
    <sheet name="CWD 2027 Legados (com desc.)" sheetId="53" r:id="rId22"/>
    <sheet name="Tarifa Ponderada Legados 2027" sheetId="54" r:id="rId23"/>
    <sheet name="CWD 2028 BRA (sem desc.)" sheetId="77" r:id="rId24"/>
    <sheet name="CWD 2028 BRA (com desc.)" sheetId="78" r:id="rId25"/>
    <sheet name="Tarifa Ponderada BRA 2028" sheetId="79" r:id="rId26"/>
    <sheet name="CWD 2028 Legados (sem desc.)" sheetId="57" r:id="rId27"/>
    <sheet name="CWD 2028 Legados (com desc.)" sheetId="58" r:id="rId28"/>
    <sheet name="Tarifa Ponderada Legados 2028" sheetId="59" r:id="rId29"/>
    <sheet name="CWD 2029 BRA (sem desc.)" sheetId="80" r:id="rId30"/>
    <sheet name="CWD 2029 BRA (com desc.)" sheetId="81" r:id="rId31"/>
    <sheet name="Tarifa Ponderada BRA 2029" sheetId="82" r:id="rId32"/>
    <sheet name="CWD 2029 Legados (sem desc.)" sheetId="60" r:id="rId33"/>
    <sheet name="CWD 2029 Legados (com desc.)" sheetId="61" r:id="rId34"/>
    <sheet name="Tarifa Ponderada Legados 2029" sheetId="62" r:id="rId35"/>
    <sheet name="CWD 2030 BRA (sem desc.)" sheetId="83" r:id="rId36"/>
    <sheet name="CWD 2030 BRA (com desc.)" sheetId="84" r:id="rId37"/>
    <sheet name="Tarifa Ponderada BRA 2030" sheetId="85" r:id="rId38"/>
    <sheet name="CWD 2030 Legados (sem desc.)" sheetId="63" r:id="rId39"/>
    <sheet name="CWD 2030 Legado (com desc.)" sheetId="64" r:id="rId40"/>
    <sheet name="Tarifa Ponderada Legados 2030" sheetId="65" r:id="rId41"/>
  </sheets>
  <definedNames>
    <definedName name="_tir2">#REF!</definedName>
    <definedName name="A1remlife">#REF!</definedName>
    <definedName name="A1resid" localSheetId="6">#REF!</definedName>
    <definedName name="A1resid">#REF!</definedName>
    <definedName name="A1stdlife">#REF!</definedName>
    <definedName name="A1taxremlife">#REF!</definedName>
    <definedName name="A1taxstdlife">#REF!</definedName>
    <definedName name="A1taxvalue">#REF!</definedName>
    <definedName name="A1value">#REF!</definedName>
    <definedName name="A2remlife">#REF!</definedName>
    <definedName name="A2resid" localSheetId="6">#REF!</definedName>
    <definedName name="A2resid">#REF!</definedName>
    <definedName name="A2stdlife">#REF!</definedName>
    <definedName name="A2taxremlife">#REF!</definedName>
    <definedName name="A2taxstdlife">#REF!</definedName>
    <definedName name="A2taxvalue">#REF!</definedName>
    <definedName name="A2value">#REF!</definedName>
    <definedName name="A3remlife">#REF!</definedName>
    <definedName name="A3resid" localSheetId="6">#REF!</definedName>
    <definedName name="A3resid">#REF!</definedName>
    <definedName name="A3stdlife">#REF!</definedName>
    <definedName name="A3taxremlife">#REF!</definedName>
    <definedName name="A3taxstdlife">#REF!</definedName>
    <definedName name="A3taxvalue">#REF!</definedName>
    <definedName name="A3value">#REF!</definedName>
    <definedName name="Asset_Life" localSheetId="6">#REF!</definedName>
    <definedName name="Asset_Life">#REF!</definedName>
    <definedName name="Asset1" localSheetId="6">#REF!</definedName>
    <definedName name="Asset1">#REF!</definedName>
    <definedName name="Asset2">#REF!</definedName>
    <definedName name="Ba">#REF!</definedName>
    <definedName name="Bd">#REF!</definedName>
    <definedName name="Be" localSheetId="6">#REF!</definedName>
    <definedName name="Be">#REF!</definedName>
    <definedName name="Depreciação" localSheetId="6">#REF!</definedName>
    <definedName name="Depreciação">#REF!</definedName>
    <definedName name="dm">#REF!</definedName>
    <definedName name="equity">#REF!</definedName>
    <definedName name="EV">#REF!</definedName>
    <definedName name="Fut_Exc_Rate">#REF!</definedName>
    <definedName name="Future_Exchange_Rate">#REF!</definedName>
    <definedName name="g">#REF!</definedName>
    <definedName name="ICB">#REF!</definedName>
    <definedName name="MRP">#REF!</definedName>
    <definedName name="PERIOD" localSheetId="6">#REF!</definedName>
    <definedName name="PERIOD">#REF!</definedName>
    <definedName name="Rf">#REF!</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f">#REF!</definedName>
    <definedName name="spider">#REF!</definedName>
    <definedName name="tarifa" localSheetId="6">#REF!</definedName>
    <definedName name="tarifa">#REF!</definedName>
    <definedName name="Tax_Life" localSheetId="6">#REF!</definedName>
    <definedName name="Tax_Life">#REF!</definedName>
    <definedName name="teste">#REF!</definedName>
    <definedName name="teste2">#REF!</definedName>
    <definedName name="Time_Horizon">#REF!</definedName>
    <definedName name="tir">#REF!</definedName>
    <definedName name="tir_equity">#REF!</definedName>
    <definedName name="tri_equity">#REF!</definedName>
    <definedName name="vanilla">#REF!</definedName>
    <definedName name="VPL" localSheetId="6">#REF!</definedName>
    <definedName name="VPL">#REF!</definedName>
    <definedName name="xxx" localSheetId="6">#REF!</definedName>
    <definedName name="xxx">#REF!</definedName>
    <definedName name="yyy" localSheetId="6">#REF!</definedName>
    <definedName name="yyy">#REF!</definedName>
    <definedName name="βe" localSheetId="6">#REF!</definedName>
    <definedName name="β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3" i="78" l="1"/>
  <c r="C272" i="78"/>
  <c r="C271" i="78"/>
  <c r="C270" i="78"/>
  <c r="C269" i="78"/>
  <c r="C268" i="78"/>
  <c r="C273" i="75"/>
  <c r="C272" i="75"/>
  <c r="C271" i="75"/>
  <c r="C270" i="75"/>
  <c r="C269" i="75"/>
  <c r="C268" i="75"/>
  <c r="C273" i="50"/>
  <c r="C272" i="50"/>
  <c r="C271" i="50"/>
  <c r="C270" i="50"/>
  <c r="C269" i="50"/>
  <c r="C268" i="50"/>
  <c r="C31" i="49"/>
  <c r="C32" i="49"/>
  <c r="C33" i="49"/>
  <c r="C25" i="49"/>
  <c r="C26" i="49"/>
  <c r="C27" i="49"/>
  <c r="C28" i="49"/>
  <c r="C29" i="49"/>
  <c r="C30" i="49"/>
  <c r="C273" i="72" l="1"/>
  <c r="C272" i="72"/>
  <c r="C271" i="72"/>
  <c r="C270" i="72"/>
  <c r="C269" i="72"/>
  <c r="C268" i="72"/>
  <c r="F33" i="66" l="1"/>
  <c r="E33" i="66"/>
  <c r="D33" i="66"/>
  <c r="C33" i="66"/>
  <c r="C21" i="55" l="1"/>
  <c r="C272" i="64" l="1"/>
  <c r="C271" i="64"/>
  <c r="C270" i="64"/>
  <c r="C269" i="64"/>
  <c r="C268" i="64"/>
  <c r="C43" i="64"/>
  <c r="C44" i="64"/>
  <c r="C45" i="64"/>
  <c r="C46" i="64"/>
  <c r="C47" i="64"/>
  <c r="C48" i="64"/>
  <c r="C49" i="64"/>
  <c r="C50" i="64"/>
  <c r="C51" i="64"/>
  <c r="C52" i="64"/>
  <c r="C53" i="64"/>
  <c r="C54" i="64"/>
  <c r="C42" i="64"/>
  <c r="C30" i="64"/>
  <c r="C31" i="64"/>
  <c r="C29" i="64"/>
  <c r="C26" i="64"/>
  <c r="C27" i="64"/>
  <c r="C25" i="64"/>
  <c r="C271" i="63"/>
  <c r="C270" i="63"/>
  <c r="C269" i="63"/>
  <c r="C268" i="63"/>
  <c r="C267" i="63"/>
  <c r="C42" i="63"/>
  <c r="C43" i="63"/>
  <c r="C44" i="63"/>
  <c r="C45" i="63"/>
  <c r="C46" i="63"/>
  <c r="C47" i="63"/>
  <c r="C48" i="63"/>
  <c r="C49" i="63"/>
  <c r="C50" i="63"/>
  <c r="C51" i="63"/>
  <c r="C52" i="63"/>
  <c r="C53" i="63"/>
  <c r="C54" i="63"/>
  <c r="C55" i="63"/>
  <c r="C41" i="63"/>
  <c r="C25" i="63"/>
  <c r="C26" i="63"/>
  <c r="C27" i="63"/>
  <c r="C28" i="63"/>
  <c r="C29" i="63"/>
  <c r="C30" i="63"/>
  <c r="C31" i="63"/>
  <c r="C32" i="63"/>
  <c r="C33" i="63"/>
  <c r="C24" i="63"/>
  <c r="C273" i="84"/>
  <c r="C272" i="84"/>
  <c r="C271" i="84"/>
  <c r="C270" i="84"/>
  <c r="C269" i="84"/>
  <c r="C268" i="84"/>
  <c r="C43" i="84"/>
  <c r="C44" i="84"/>
  <c r="C45" i="84"/>
  <c r="C46" i="84"/>
  <c r="C47" i="84"/>
  <c r="C48" i="84"/>
  <c r="C49" i="84"/>
  <c r="C50" i="84"/>
  <c r="C51" i="84"/>
  <c r="C52" i="84"/>
  <c r="C53" i="84"/>
  <c r="C54" i="84"/>
  <c r="C42" i="84"/>
  <c r="C31" i="84"/>
  <c r="C30" i="84"/>
  <c r="C29" i="84"/>
  <c r="C26" i="84"/>
  <c r="C27" i="84"/>
  <c r="C25" i="84"/>
  <c r="C272" i="83"/>
  <c r="C271" i="83"/>
  <c r="C270" i="83"/>
  <c r="C269" i="83"/>
  <c r="C268" i="83"/>
  <c r="C267" i="83"/>
  <c r="C42" i="83"/>
  <c r="C43" i="83"/>
  <c r="C44" i="83"/>
  <c r="C45" i="83"/>
  <c r="C46" i="83"/>
  <c r="C47" i="83"/>
  <c r="C48" i="83"/>
  <c r="C49" i="83"/>
  <c r="C50" i="83"/>
  <c r="C51" i="83"/>
  <c r="C52" i="83"/>
  <c r="C53" i="83"/>
  <c r="C54" i="83"/>
  <c r="C55" i="83"/>
  <c r="C56" i="83"/>
  <c r="C41" i="83"/>
  <c r="C25" i="83"/>
  <c r="C26" i="83"/>
  <c r="C27" i="83"/>
  <c r="C28" i="83"/>
  <c r="C29" i="83"/>
  <c r="C30" i="83"/>
  <c r="C31" i="83"/>
  <c r="C32" i="83"/>
  <c r="C33" i="83"/>
  <c r="C24" i="83"/>
  <c r="C272" i="61"/>
  <c r="C271" i="61"/>
  <c r="C270" i="61"/>
  <c r="C269" i="61"/>
  <c r="C268" i="61"/>
  <c r="G55" i="61"/>
  <c r="G56" i="61"/>
  <c r="G57" i="61"/>
  <c r="C43" i="61"/>
  <c r="G43" i="61" s="1"/>
  <c r="C44" i="61"/>
  <c r="G44" i="61" s="1"/>
  <c r="C45" i="61"/>
  <c r="G45" i="61" s="1"/>
  <c r="C46" i="61"/>
  <c r="G46" i="61" s="1"/>
  <c r="C47" i="61"/>
  <c r="G47" i="61" s="1"/>
  <c r="C48" i="61"/>
  <c r="G48" i="61" s="1"/>
  <c r="C49" i="61"/>
  <c r="G49" i="61" s="1"/>
  <c r="C50" i="61"/>
  <c r="G50" i="61" s="1"/>
  <c r="C51" i="61"/>
  <c r="G51" i="61" s="1"/>
  <c r="C52" i="61"/>
  <c r="G52" i="61" s="1"/>
  <c r="C53" i="61"/>
  <c r="G53" i="61" s="1"/>
  <c r="C54" i="61"/>
  <c r="G54" i="61" s="1"/>
  <c r="C42" i="61"/>
  <c r="G42" i="61" s="1"/>
  <c r="G28" i="61"/>
  <c r="G32" i="61"/>
  <c r="G33" i="61"/>
  <c r="G34" i="61"/>
  <c r="C30" i="61"/>
  <c r="G30" i="61" s="1"/>
  <c r="C31" i="61"/>
  <c r="G31" i="61" s="1"/>
  <c r="C29" i="61"/>
  <c r="G29" i="61" s="1"/>
  <c r="C26" i="61"/>
  <c r="G26" i="61" s="1"/>
  <c r="C27" i="61"/>
  <c r="G27" i="61" s="1"/>
  <c r="C25" i="61"/>
  <c r="G25" i="61" s="1"/>
  <c r="C271" i="60"/>
  <c r="C270" i="60"/>
  <c r="C269" i="60"/>
  <c r="C268" i="60"/>
  <c r="C267" i="60"/>
  <c r="C42" i="60"/>
  <c r="F42" i="60" s="1"/>
  <c r="C43" i="60"/>
  <c r="F43" i="60" s="1"/>
  <c r="C44" i="60"/>
  <c r="F44" i="60" s="1"/>
  <c r="C45" i="60"/>
  <c r="F45" i="60" s="1"/>
  <c r="C46" i="60"/>
  <c r="F46" i="60" s="1"/>
  <c r="C47" i="60"/>
  <c r="F47" i="60" s="1"/>
  <c r="C48" i="60"/>
  <c r="F48" i="60" s="1"/>
  <c r="C49" i="60"/>
  <c r="F49" i="60" s="1"/>
  <c r="C50" i="60"/>
  <c r="F50" i="60" s="1"/>
  <c r="C51" i="60"/>
  <c r="F51" i="60" s="1"/>
  <c r="C52" i="60"/>
  <c r="F52" i="60" s="1"/>
  <c r="C53" i="60"/>
  <c r="F53" i="60" s="1"/>
  <c r="C54" i="60"/>
  <c r="F54" i="60" s="1"/>
  <c r="C55" i="60"/>
  <c r="F55" i="60" s="1"/>
  <c r="C41" i="60"/>
  <c r="F41" i="60" s="1"/>
  <c r="C25" i="60"/>
  <c r="F25" i="60" s="1"/>
  <c r="C26" i="60"/>
  <c r="F26" i="60" s="1"/>
  <c r="C27" i="60"/>
  <c r="F27" i="60" s="1"/>
  <c r="C28" i="60"/>
  <c r="F28" i="60" s="1"/>
  <c r="C29" i="60"/>
  <c r="F29" i="60" s="1"/>
  <c r="C30" i="60"/>
  <c r="F30" i="60" s="1"/>
  <c r="C31" i="60"/>
  <c r="F31" i="60" s="1"/>
  <c r="C32" i="60"/>
  <c r="F32" i="60" s="1"/>
  <c r="C33" i="60"/>
  <c r="F33" i="60" s="1"/>
  <c r="C24" i="60"/>
  <c r="F24" i="60" s="1"/>
  <c r="C273" i="81"/>
  <c r="C272" i="81"/>
  <c r="C271" i="81"/>
  <c r="C270" i="81"/>
  <c r="C269" i="81"/>
  <c r="C268" i="81"/>
  <c r="C43" i="81"/>
  <c r="F43" i="81" s="1"/>
  <c r="C44" i="81"/>
  <c r="F44" i="81" s="1"/>
  <c r="C45" i="81"/>
  <c r="F45" i="81" s="1"/>
  <c r="C46" i="81"/>
  <c r="F46" i="81" s="1"/>
  <c r="C47" i="81"/>
  <c r="F47" i="81" s="1"/>
  <c r="C48" i="81"/>
  <c r="F48" i="81" s="1"/>
  <c r="C49" i="81"/>
  <c r="F49" i="81" s="1"/>
  <c r="C50" i="81"/>
  <c r="F50" i="81" s="1"/>
  <c r="C51" i="81"/>
  <c r="F51" i="81" s="1"/>
  <c r="C52" i="81"/>
  <c r="F52" i="81" s="1"/>
  <c r="C53" i="81"/>
  <c r="F53" i="81" s="1"/>
  <c r="C54" i="81"/>
  <c r="F54" i="81" s="1"/>
  <c r="C42" i="81"/>
  <c r="F42" i="81" s="1"/>
  <c r="F55" i="81"/>
  <c r="F56" i="81"/>
  <c r="F57" i="81"/>
  <c r="F28" i="81"/>
  <c r="F32" i="81"/>
  <c r="F33" i="81"/>
  <c r="F34" i="81"/>
  <c r="C31" i="81"/>
  <c r="F31" i="81" s="1"/>
  <c r="C30" i="81"/>
  <c r="F30" i="81" s="1"/>
  <c r="C29" i="81"/>
  <c r="F29" i="81" s="1"/>
  <c r="C27" i="81"/>
  <c r="F27" i="81" s="1"/>
  <c r="C26" i="81"/>
  <c r="F26" i="81" s="1"/>
  <c r="C25" i="81"/>
  <c r="F25" i="81" s="1"/>
  <c r="C272" i="80"/>
  <c r="C271" i="80"/>
  <c r="C270" i="80"/>
  <c r="C269" i="80"/>
  <c r="C268" i="80"/>
  <c r="C267" i="80"/>
  <c r="C42" i="80"/>
  <c r="F42" i="80" s="1"/>
  <c r="C43" i="80"/>
  <c r="F43" i="80" s="1"/>
  <c r="C44" i="80"/>
  <c r="F44" i="80" s="1"/>
  <c r="C45" i="80"/>
  <c r="F45" i="80" s="1"/>
  <c r="C46" i="80"/>
  <c r="F46" i="80" s="1"/>
  <c r="C47" i="80"/>
  <c r="F47" i="80" s="1"/>
  <c r="C48" i="80"/>
  <c r="F48" i="80" s="1"/>
  <c r="C49" i="80"/>
  <c r="F49" i="80" s="1"/>
  <c r="C50" i="80"/>
  <c r="F50" i="80" s="1"/>
  <c r="C51" i="80"/>
  <c r="F51" i="80" s="1"/>
  <c r="C52" i="80"/>
  <c r="F52" i="80" s="1"/>
  <c r="C53" i="80"/>
  <c r="F53" i="80" s="1"/>
  <c r="C54" i="80"/>
  <c r="F54" i="80" s="1"/>
  <c r="C55" i="80"/>
  <c r="F55" i="80" s="1"/>
  <c r="C56" i="80"/>
  <c r="F56" i="80" s="1"/>
  <c r="C41" i="80"/>
  <c r="F41" i="80" s="1"/>
  <c r="C25" i="80"/>
  <c r="F25" i="80" s="1"/>
  <c r="C26" i="80"/>
  <c r="F26" i="80" s="1"/>
  <c r="C27" i="80"/>
  <c r="F27" i="80" s="1"/>
  <c r="C28" i="80"/>
  <c r="F28" i="80" s="1"/>
  <c r="C29" i="80"/>
  <c r="F29" i="80" s="1"/>
  <c r="C30" i="80"/>
  <c r="F30" i="80" s="1"/>
  <c r="C31" i="80"/>
  <c r="F31" i="80" s="1"/>
  <c r="C32" i="80"/>
  <c r="F32" i="80" s="1"/>
  <c r="C33" i="80"/>
  <c r="F33" i="80" s="1"/>
  <c r="C24" i="80"/>
  <c r="F24" i="80" s="1"/>
  <c r="C272" i="58"/>
  <c r="C271" i="58"/>
  <c r="C270" i="58"/>
  <c r="C269" i="58"/>
  <c r="C268" i="58"/>
  <c r="F55" i="58"/>
  <c r="F56" i="58"/>
  <c r="F57" i="58"/>
  <c r="C43" i="58"/>
  <c r="F43" i="58" s="1"/>
  <c r="C44" i="58"/>
  <c r="F44" i="58" s="1"/>
  <c r="C45" i="58"/>
  <c r="F45" i="58" s="1"/>
  <c r="C46" i="58"/>
  <c r="F46" i="58" s="1"/>
  <c r="C47" i="58"/>
  <c r="F47" i="58" s="1"/>
  <c r="C48" i="58"/>
  <c r="F48" i="58" s="1"/>
  <c r="C49" i="58"/>
  <c r="F49" i="58" s="1"/>
  <c r="C50" i="58"/>
  <c r="F50" i="58" s="1"/>
  <c r="C51" i="58"/>
  <c r="F51" i="58" s="1"/>
  <c r="C52" i="58"/>
  <c r="F52" i="58" s="1"/>
  <c r="C53" i="58"/>
  <c r="F53" i="58" s="1"/>
  <c r="C54" i="58"/>
  <c r="F54" i="58" s="1"/>
  <c r="C42" i="58"/>
  <c r="F42" i="58" s="1"/>
  <c r="F28" i="58"/>
  <c r="F32" i="58"/>
  <c r="F33" i="58"/>
  <c r="F34" i="58"/>
  <c r="C30" i="58"/>
  <c r="F30" i="58" s="1"/>
  <c r="C31" i="58"/>
  <c r="F31" i="58" s="1"/>
  <c r="C29" i="58"/>
  <c r="F29" i="58" s="1"/>
  <c r="C27" i="58"/>
  <c r="F27" i="58" s="1"/>
  <c r="C26" i="58"/>
  <c r="F26" i="58" s="1"/>
  <c r="C25" i="58"/>
  <c r="F25" i="58" s="1"/>
  <c r="C271" i="57"/>
  <c r="C270" i="57"/>
  <c r="C269" i="57"/>
  <c r="C268" i="57"/>
  <c r="C267" i="57"/>
  <c r="C42" i="57"/>
  <c r="F42" i="57" s="1"/>
  <c r="C43" i="57"/>
  <c r="F43" i="57" s="1"/>
  <c r="C44" i="57"/>
  <c r="F44" i="57" s="1"/>
  <c r="C45" i="57"/>
  <c r="F45" i="57" s="1"/>
  <c r="C46" i="57"/>
  <c r="F46" i="57" s="1"/>
  <c r="C47" i="57"/>
  <c r="F47" i="57" s="1"/>
  <c r="C48" i="57"/>
  <c r="F48" i="57" s="1"/>
  <c r="C49" i="57"/>
  <c r="F49" i="57" s="1"/>
  <c r="C50" i="57"/>
  <c r="F50" i="57" s="1"/>
  <c r="C51" i="57"/>
  <c r="F51" i="57" s="1"/>
  <c r="C52" i="57"/>
  <c r="F52" i="57" s="1"/>
  <c r="C53" i="57"/>
  <c r="F53" i="57" s="1"/>
  <c r="C54" i="57"/>
  <c r="F54" i="57" s="1"/>
  <c r="C55" i="57"/>
  <c r="F55" i="57" s="1"/>
  <c r="C41" i="57"/>
  <c r="F41" i="57" s="1"/>
  <c r="C25" i="57"/>
  <c r="F25" i="57" s="1"/>
  <c r="C26" i="57"/>
  <c r="F26" i="57" s="1"/>
  <c r="C27" i="57"/>
  <c r="F27" i="57" s="1"/>
  <c r="C28" i="57"/>
  <c r="F28" i="57" s="1"/>
  <c r="C29" i="57"/>
  <c r="F29" i="57" s="1"/>
  <c r="C30" i="57"/>
  <c r="F30" i="57" s="1"/>
  <c r="C31" i="57"/>
  <c r="F31" i="57" s="1"/>
  <c r="C32" i="57"/>
  <c r="F32" i="57" s="1"/>
  <c r="C33" i="57"/>
  <c r="F33" i="57" s="1"/>
  <c r="C24" i="57"/>
  <c r="F24" i="57" s="1"/>
  <c r="C43" i="78"/>
  <c r="C44" i="78"/>
  <c r="C45" i="78"/>
  <c r="C46" i="78"/>
  <c r="C47" i="78"/>
  <c r="C48" i="78"/>
  <c r="C49" i="78"/>
  <c r="C50" i="78"/>
  <c r="C51" i="78"/>
  <c r="C52" i="78"/>
  <c r="C53" i="78"/>
  <c r="C54" i="78"/>
  <c r="C42" i="78"/>
  <c r="F42" i="78" s="1"/>
  <c r="F55" i="78"/>
  <c r="F56" i="78"/>
  <c r="F57" i="78"/>
  <c r="F28" i="78"/>
  <c r="F32" i="78"/>
  <c r="F33" i="78"/>
  <c r="F34" i="78"/>
  <c r="C30" i="78"/>
  <c r="F30" i="78" s="1"/>
  <c r="C31" i="78"/>
  <c r="F31" i="78" s="1"/>
  <c r="C29" i="78"/>
  <c r="F29" i="78" s="1"/>
  <c r="C26" i="78"/>
  <c r="F26" i="78" s="1"/>
  <c r="C27" i="78"/>
  <c r="F27" i="78" s="1"/>
  <c r="C25" i="78"/>
  <c r="F25" i="78" s="1"/>
  <c r="C272" i="77"/>
  <c r="C271" i="77"/>
  <c r="C270" i="77"/>
  <c r="C269" i="77"/>
  <c r="C268" i="77"/>
  <c r="C267" i="77"/>
  <c r="C42" i="77"/>
  <c r="F42" i="77" s="1"/>
  <c r="C43" i="77"/>
  <c r="F43" i="77" s="1"/>
  <c r="C44" i="77"/>
  <c r="F44" i="77" s="1"/>
  <c r="C45" i="77"/>
  <c r="F45" i="77" s="1"/>
  <c r="C46" i="77"/>
  <c r="F46" i="77" s="1"/>
  <c r="C47" i="77"/>
  <c r="F47" i="77" s="1"/>
  <c r="C48" i="77"/>
  <c r="F48" i="77" s="1"/>
  <c r="C49" i="77"/>
  <c r="F49" i="77" s="1"/>
  <c r="C50" i="77"/>
  <c r="F50" i="77" s="1"/>
  <c r="C51" i="77"/>
  <c r="F51" i="77" s="1"/>
  <c r="C52" i="77"/>
  <c r="F52" i="77" s="1"/>
  <c r="C53" i="77"/>
  <c r="F53" i="77" s="1"/>
  <c r="C54" i="77"/>
  <c r="F54" i="77" s="1"/>
  <c r="C55" i="77"/>
  <c r="F55" i="77" s="1"/>
  <c r="C56" i="77"/>
  <c r="F56" i="77" s="1"/>
  <c r="C41" i="77"/>
  <c r="F41" i="77" s="1"/>
  <c r="C25" i="77"/>
  <c r="F25" i="77" s="1"/>
  <c r="C26" i="77"/>
  <c r="F26" i="77" s="1"/>
  <c r="C27" i="77"/>
  <c r="F27" i="77" s="1"/>
  <c r="C28" i="77"/>
  <c r="F28" i="77" s="1"/>
  <c r="C29" i="77"/>
  <c r="F29" i="77" s="1"/>
  <c r="C30" i="77"/>
  <c r="F30" i="77" s="1"/>
  <c r="C31" i="77"/>
  <c r="F31" i="77" s="1"/>
  <c r="C32" i="77"/>
  <c r="F32" i="77" s="1"/>
  <c r="C33" i="77"/>
  <c r="F33" i="77" s="1"/>
  <c r="C24" i="77"/>
  <c r="F24" i="77" s="1"/>
  <c r="C272" i="53"/>
  <c r="C271" i="53"/>
  <c r="C270" i="53"/>
  <c r="C269" i="53"/>
  <c r="C268" i="53"/>
  <c r="F55" i="53"/>
  <c r="F56" i="53"/>
  <c r="F57" i="53"/>
  <c r="C43" i="53"/>
  <c r="F43" i="53" s="1"/>
  <c r="C44" i="53"/>
  <c r="F44" i="53" s="1"/>
  <c r="C45" i="53"/>
  <c r="F45" i="53" s="1"/>
  <c r="C46" i="53"/>
  <c r="F46" i="53" s="1"/>
  <c r="C47" i="53"/>
  <c r="F47" i="53" s="1"/>
  <c r="C48" i="53"/>
  <c r="F48" i="53" s="1"/>
  <c r="C49" i="53"/>
  <c r="F49" i="53" s="1"/>
  <c r="C50" i="53"/>
  <c r="F50" i="53" s="1"/>
  <c r="C51" i="53"/>
  <c r="F51" i="53" s="1"/>
  <c r="C52" i="53"/>
  <c r="F52" i="53" s="1"/>
  <c r="C53" i="53"/>
  <c r="F53" i="53" s="1"/>
  <c r="C54" i="53"/>
  <c r="F54" i="53" s="1"/>
  <c r="C42" i="53"/>
  <c r="F42" i="53" s="1"/>
  <c r="F28" i="53"/>
  <c r="F32" i="53"/>
  <c r="F33" i="53"/>
  <c r="F34" i="53"/>
  <c r="C31" i="53"/>
  <c r="F31" i="53" s="1"/>
  <c r="C30" i="53"/>
  <c r="F30" i="53" s="1"/>
  <c r="C29" i="53"/>
  <c r="F29" i="53" s="1"/>
  <c r="C27" i="53"/>
  <c r="F27" i="53" s="1"/>
  <c r="C26" i="53"/>
  <c r="F26" i="53" s="1"/>
  <c r="C25" i="53"/>
  <c r="F25" i="53" s="1"/>
  <c r="C271" i="52"/>
  <c r="C270" i="52"/>
  <c r="C269" i="52"/>
  <c r="C268" i="52"/>
  <c r="C267" i="52"/>
  <c r="C42" i="52"/>
  <c r="F42" i="52" s="1"/>
  <c r="C43" i="52"/>
  <c r="F43" i="52" s="1"/>
  <c r="C44" i="52"/>
  <c r="F44" i="52" s="1"/>
  <c r="C45" i="52"/>
  <c r="F45" i="52" s="1"/>
  <c r="C46" i="52"/>
  <c r="F46" i="52" s="1"/>
  <c r="C47" i="52"/>
  <c r="F47" i="52" s="1"/>
  <c r="C48" i="52"/>
  <c r="F48" i="52" s="1"/>
  <c r="C49" i="52"/>
  <c r="F49" i="52" s="1"/>
  <c r="C50" i="52"/>
  <c r="F50" i="52" s="1"/>
  <c r="C51" i="52"/>
  <c r="F51" i="52" s="1"/>
  <c r="C52" i="52"/>
  <c r="F52" i="52" s="1"/>
  <c r="C53" i="52"/>
  <c r="F53" i="52" s="1"/>
  <c r="C54" i="52"/>
  <c r="F54" i="52" s="1"/>
  <c r="C55" i="52"/>
  <c r="F55" i="52" s="1"/>
  <c r="C41" i="52"/>
  <c r="F41" i="52" s="1"/>
  <c r="C25" i="52"/>
  <c r="F25" i="52" s="1"/>
  <c r="C26" i="52"/>
  <c r="F26" i="52" s="1"/>
  <c r="C27" i="52"/>
  <c r="F27" i="52" s="1"/>
  <c r="C28" i="52"/>
  <c r="F28" i="52" s="1"/>
  <c r="C29" i="52"/>
  <c r="F29" i="52" s="1"/>
  <c r="C30" i="52"/>
  <c r="F30" i="52" s="1"/>
  <c r="C31" i="52"/>
  <c r="F31" i="52" s="1"/>
  <c r="C32" i="52"/>
  <c r="F32" i="52" s="1"/>
  <c r="C33" i="52"/>
  <c r="F33" i="52" s="1"/>
  <c r="C24" i="52"/>
  <c r="F24" i="52" s="1"/>
  <c r="C43" i="75"/>
  <c r="C44" i="75"/>
  <c r="C45" i="75"/>
  <c r="C46" i="75"/>
  <c r="C47" i="75"/>
  <c r="C48" i="75"/>
  <c r="C49" i="75"/>
  <c r="C50" i="75"/>
  <c r="C51" i="75"/>
  <c r="C52" i="75"/>
  <c r="C53" i="75"/>
  <c r="C54" i="75"/>
  <c r="C42" i="75"/>
  <c r="F28" i="75"/>
  <c r="F32" i="75"/>
  <c r="F33" i="75"/>
  <c r="F34" i="75"/>
  <c r="C30" i="75"/>
  <c r="F30" i="75" s="1"/>
  <c r="C31" i="75"/>
  <c r="F31" i="75" s="1"/>
  <c r="C29" i="75"/>
  <c r="F29" i="75" s="1"/>
  <c r="C26" i="75"/>
  <c r="F26" i="75" s="1"/>
  <c r="C27" i="75"/>
  <c r="F27" i="75" s="1"/>
  <c r="C25" i="75"/>
  <c r="F25" i="75" s="1"/>
  <c r="C272" i="74"/>
  <c r="C271" i="74"/>
  <c r="C270" i="74"/>
  <c r="C269" i="74"/>
  <c r="C268" i="74"/>
  <c r="C267" i="74"/>
  <c r="C42" i="74"/>
  <c r="C43" i="74"/>
  <c r="C44" i="74"/>
  <c r="C45" i="74"/>
  <c r="C46" i="74"/>
  <c r="C47" i="74"/>
  <c r="C48" i="74"/>
  <c r="C49" i="74"/>
  <c r="C50" i="74"/>
  <c r="C51" i="74"/>
  <c r="C52" i="74"/>
  <c r="C53" i="74"/>
  <c r="C54" i="74"/>
  <c r="C55" i="74"/>
  <c r="C56" i="74"/>
  <c r="C41" i="74"/>
  <c r="C25" i="74"/>
  <c r="F25" i="74" s="1"/>
  <c r="C26" i="74"/>
  <c r="F26" i="74" s="1"/>
  <c r="C27" i="74"/>
  <c r="F27" i="74" s="1"/>
  <c r="C28" i="74"/>
  <c r="F28" i="74" s="1"/>
  <c r="C29" i="74"/>
  <c r="F29" i="74" s="1"/>
  <c r="C30" i="74"/>
  <c r="F30" i="74" s="1"/>
  <c r="C31" i="74"/>
  <c r="F31" i="74" s="1"/>
  <c r="C32" i="74"/>
  <c r="F32" i="74" s="1"/>
  <c r="C33" i="74"/>
  <c r="F33" i="74" s="1"/>
  <c r="C24" i="74"/>
  <c r="F24" i="74" s="1"/>
  <c r="D34" i="33"/>
  <c r="D33" i="33"/>
  <c r="D32" i="33"/>
  <c r="D31" i="33" l="1"/>
  <c r="F55" i="50" l="1"/>
  <c r="F56" i="50"/>
  <c r="F57" i="50"/>
  <c r="C43" i="50"/>
  <c r="F43" i="50" s="1"/>
  <c r="C44" i="50"/>
  <c r="F44" i="50" s="1"/>
  <c r="C45" i="50"/>
  <c r="F45" i="50" s="1"/>
  <c r="C46" i="50"/>
  <c r="F46" i="50" s="1"/>
  <c r="C47" i="50"/>
  <c r="F47" i="50" s="1"/>
  <c r="C48" i="50"/>
  <c r="F48" i="50" s="1"/>
  <c r="C49" i="50"/>
  <c r="F49" i="50" s="1"/>
  <c r="C50" i="50"/>
  <c r="F50" i="50" s="1"/>
  <c r="C51" i="50"/>
  <c r="F51" i="50" s="1"/>
  <c r="C52" i="50"/>
  <c r="F52" i="50" s="1"/>
  <c r="C53" i="50"/>
  <c r="F53" i="50" s="1"/>
  <c r="C54" i="50"/>
  <c r="F54" i="50" s="1"/>
  <c r="C42" i="50"/>
  <c r="F42" i="50" s="1"/>
  <c r="F34" i="50"/>
  <c r="F28" i="50"/>
  <c r="F32" i="50"/>
  <c r="F33" i="50"/>
  <c r="C31" i="50"/>
  <c r="F31" i="50" s="1"/>
  <c r="C30" i="50"/>
  <c r="F30" i="50" s="1"/>
  <c r="C29" i="50"/>
  <c r="F29" i="50" s="1"/>
  <c r="C27" i="50"/>
  <c r="F27" i="50" s="1"/>
  <c r="C26" i="50"/>
  <c r="F26" i="50" s="1"/>
  <c r="C25" i="50"/>
  <c r="F25" i="50" s="1"/>
  <c r="C272" i="49"/>
  <c r="C271" i="49"/>
  <c r="C270" i="49"/>
  <c r="C269" i="49"/>
  <c r="C268" i="49"/>
  <c r="C267" i="49"/>
  <c r="C56" i="49"/>
  <c r="G56" i="49" s="1"/>
  <c r="C42" i="49"/>
  <c r="G42" i="49" s="1"/>
  <c r="C43" i="49"/>
  <c r="G43" i="49" s="1"/>
  <c r="C44" i="49"/>
  <c r="G44" i="49" s="1"/>
  <c r="C45" i="49"/>
  <c r="G45" i="49" s="1"/>
  <c r="C46" i="49"/>
  <c r="G46" i="49" s="1"/>
  <c r="C47" i="49"/>
  <c r="G47" i="49" s="1"/>
  <c r="C48" i="49"/>
  <c r="G48" i="49" s="1"/>
  <c r="C49" i="49"/>
  <c r="G49" i="49" s="1"/>
  <c r="C50" i="49"/>
  <c r="G50" i="49" s="1"/>
  <c r="C51" i="49"/>
  <c r="G51" i="49" s="1"/>
  <c r="C52" i="49"/>
  <c r="G52" i="49" s="1"/>
  <c r="C53" i="49"/>
  <c r="G53" i="49" s="1"/>
  <c r="C54" i="49"/>
  <c r="G54" i="49" s="1"/>
  <c r="C55" i="49"/>
  <c r="G55" i="49" s="1"/>
  <c r="C41" i="49"/>
  <c r="G41" i="49" s="1"/>
  <c r="C24" i="49"/>
  <c r="G24" i="49" s="1"/>
  <c r="C43" i="72"/>
  <c r="C44" i="72"/>
  <c r="C45" i="72"/>
  <c r="C46" i="72"/>
  <c r="C47" i="72"/>
  <c r="C48" i="72"/>
  <c r="C49" i="72"/>
  <c r="C50" i="72"/>
  <c r="C51" i="72"/>
  <c r="C52" i="72"/>
  <c r="C53" i="72"/>
  <c r="C54" i="72"/>
  <c r="C42" i="72"/>
  <c r="G28" i="72"/>
  <c r="G32" i="72"/>
  <c r="G33" i="72"/>
  <c r="G34" i="72"/>
  <c r="C31" i="72"/>
  <c r="G31" i="72" s="1"/>
  <c r="C30" i="72"/>
  <c r="G30" i="72" s="1"/>
  <c r="C29" i="72"/>
  <c r="G29" i="72" s="1"/>
  <c r="C27" i="72"/>
  <c r="G27" i="72" s="1"/>
  <c r="C26" i="72"/>
  <c r="G26" i="72" s="1"/>
  <c r="C25" i="72"/>
  <c r="G25" i="72" s="1"/>
  <c r="C272" i="71"/>
  <c r="C271" i="71"/>
  <c r="C270" i="71"/>
  <c r="C269" i="71"/>
  <c r="C268" i="71"/>
  <c r="C267" i="71"/>
  <c r="C42" i="71"/>
  <c r="C43" i="71"/>
  <c r="C44" i="71"/>
  <c r="C45" i="71"/>
  <c r="C46" i="71"/>
  <c r="C47" i="71"/>
  <c r="C48" i="71"/>
  <c r="C49" i="71"/>
  <c r="C50" i="71"/>
  <c r="C51" i="71"/>
  <c r="C52" i="71"/>
  <c r="C53" i="71"/>
  <c r="C54" i="71"/>
  <c r="C55" i="71"/>
  <c r="C56" i="71"/>
  <c r="C41" i="71"/>
  <c r="G32" i="71"/>
  <c r="C25" i="71"/>
  <c r="G25" i="71" s="1"/>
  <c r="C26" i="71"/>
  <c r="G26" i="71" s="1"/>
  <c r="C27" i="71"/>
  <c r="G27" i="71" s="1"/>
  <c r="C28" i="71"/>
  <c r="G28" i="71" s="1"/>
  <c r="C29" i="71"/>
  <c r="G29" i="71" s="1"/>
  <c r="C30" i="71"/>
  <c r="G30" i="71" s="1"/>
  <c r="C31" i="71"/>
  <c r="G31" i="71" s="1"/>
  <c r="C32" i="71"/>
  <c r="C33" i="71"/>
  <c r="G33" i="71" s="1"/>
  <c r="C24" i="71"/>
  <c r="G24" i="71" s="1"/>
  <c r="C31" i="56"/>
  <c r="D31" i="56" s="1"/>
  <c r="C30" i="56"/>
  <c r="C54" i="55"/>
  <c r="H36" i="33"/>
  <c r="G36" i="33"/>
  <c r="F36" i="33"/>
  <c r="E36" i="33"/>
  <c r="D19" i="55" l="1"/>
  <c r="D20" i="55"/>
  <c r="D37" i="55"/>
  <c r="D53" i="55"/>
  <c r="D30" i="56"/>
  <c r="C29" i="56" l="1"/>
  <c r="D29" i="56" s="1"/>
  <c r="C28" i="56"/>
  <c r="C27" i="56"/>
  <c r="D27" i="56" s="1"/>
  <c r="C26" i="56"/>
  <c r="D26" i="56" s="1"/>
  <c r="D52" i="55" l="1"/>
  <c r="D36" i="55"/>
  <c r="D18" i="55"/>
  <c r="D15" i="55"/>
  <c r="D28" i="56"/>
  <c r="D17" i="55"/>
  <c r="D34" i="55"/>
  <c r="D50" i="55"/>
  <c r="L82" i="71"/>
  <c r="K82" i="71"/>
  <c r="J82" i="71"/>
  <c r="I82" i="71"/>
  <c r="C80" i="71"/>
  <c r="L82" i="72"/>
  <c r="J82" i="72"/>
  <c r="J80" i="74"/>
  <c r="I80" i="74"/>
  <c r="H80" i="74"/>
  <c r="F83" i="75"/>
  <c r="E82" i="75"/>
  <c r="C82" i="75"/>
  <c r="L81" i="75"/>
  <c r="L82" i="77"/>
  <c r="K82" i="77"/>
  <c r="J82" i="77"/>
  <c r="I82" i="77"/>
  <c r="H80" i="77"/>
  <c r="D80" i="77"/>
  <c r="C80" i="77"/>
  <c r="L81" i="80"/>
  <c r="J81" i="81"/>
  <c r="H82" i="83"/>
  <c r="G82" i="83"/>
  <c r="F82" i="83"/>
  <c r="D82" i="83"/>
  <c r="F81" i="83"/>
  <c r="E81" i="83"/>
  <c r="D81" i="83"/>
  <c r="K83" i="84"/>
  <c r="L82" i="84"/>
  <c r="A30" i="85"/>
  <c r="A29" i="85"/>
  <c r="A28" i="85"/>
  <c r="A27" i="85"/>
  <c r="H26" i="85"/>
  <c r="A26" i="85"/>
  <c r="H25" i="85"/>
  <c r="A25" i="85"/>
  <c r="H24" i="85"/>
  <c r="A24" i="85"/>
  <c r="A23" i="85"/>
  <c r="H22" i="85"/>
  <c r="A22" i="85"/>
  <c r="H21" i="85"/>
  <c r="A21" i="85"/>
  <c r="H20" i="85"/>
  <c r="A20" i="85"/>
  <c r="H19" i="85"/>
  <c r="A19" i="85"/>
  <c r="A18" i="85"/>
  <c r="H17" i="85"/>
  <c r="A17" i="85"/>
  <c r="H16" i="85"/>
  <c r="A16" i="85"/>
  <c r="H15" i="85"/>
  <c r="A15" i="85"/>
  <c r="A11" i="85"/>
  <c r="A10" i="85"/>
  <c r="A9" i="85"/>
  <c r="A8" i="85"/>
  <c r="A7" i="85"/>
  <c r="A6" i="85"/>
  <c r="A5" i="85"/>
  <c r="A4" i="85"/>
  <c r="A3" i="85"/>
  <c r="A2" i="85"/>
  <c r="L259" i="84"/>
  <c r="E28" i="85" s="1"/>
  <c r="I259" i="84"/>
  <c r="B28" i="85" s="1"/>
  <c r="L5" i="85" s="1"/>
  <c r="I249" i="84"/>
  <c r="B18" i="85" s="1"/>
  <c r="B249" i="84"/>
  <c r="B5" i="85" s="1"/>
  <c r="I242" i="84"/>
  <c r="I261" i="84" s="1"/>
  <c r="B30" i="85" s="1"/>
  <c r="L7" i="85" s="1"/>
  <c r="I241" i="84"/>
  <c r="I260" i="84" s="1"/>
  <c r="B29" i="85" s="1"/>
  <c r="L6" i="85" s="1"/>
  <c r="I240" i="84"/>
  <c r="I239" i="84"/>
  <c r="I258" i="84" s="1"/>
  <c r="B27" i="85" s="1"/>
  <c r="I238" i="84"/>
  <c r="I257" i="84" s="1"/>
  <c r="B26" i="85" s="1"/>
  <c r="I237" i="84"/>
  <c r="I256" i="84" s="1"/>
  <c r="B25" i="85" s="1"/>
  <c r="I236" i="84"/>
  <c r="I255" i="84" s="1"/>
  <c r="B24" i="85" s="1"/>
  <c r="B236" i="84"/>
  <c r="B255" i="84" s="1"/>
  <c r="B11" i="85" s="1"/>
  <c r="I235" i="84"/>
  <c r="I254" i="84" s="1"/>
  <c r="B23" i="85" s="1"/>
  <c r="B235" i="84"/>
  <c r="B254" i="84" s="1"/>
  <c r="B10" i="85" s="1"/>
  <c r="I234" i="84"/>
  <c r="I253" i="84" s="1"/>
  <c r="B22" i="85" s="1"/>
  <c r="B234" i="84"/>
  <c r="B253" i="84" s="1"/>
  <c r="B9" i="85" s="1"/>
  <c r="I233" i="84"/>
  <c r="I252" i="84" s="1"/>
  <c r="B21" i="85" s="1"/>
  <c r="B233" i="84"/>
  <c r="B252" i="84" s="1"/>
  <c r="B8" i="85" s="1"/>
  <c r="I232" i="84"/>
  <c r="I251" i="84" s="1"/>
  <c r="B20" i="85" s="1"/>
  <c r="B232" i="84"/>
  <c r="B251" i="84" s="1"/>
  <c r="B7" i="85" s="1"/>
  <c r="I231" i="84"/>
  <c r="I250" i="84" s="1"/>
  <c r="B19" i="85" s="1"/>
  <c r="B231" i="84"/>
  <c r="B250" i="84" s="1"/>
  <c r="B6" i="85" s="1"/>
  <c r="I230" i="84"/>
  <c r="B230" i="84"/>
  <c r="I229" i="84"/>
  <c r="I248" i="84" s="1"/>
  <c r="B17" i="85" s="1"/>
  <c r="B229" i="84"/>
  <c r="B248" i="84" s="1"/>
  <c r="B4" i="85" s="1"/>
  <c r="I228" i="84"/>
  <c r="I247" i="84" s="1"/>
  <c r="B16" i="85" s="1"/>
  <c r="B228" i="84"/>
  <c r="B247" i="84" s="1"/>
  <c r="B3" i="85" s="1"/>
  <c r="I227" i="84"/>
  <c r="I246" i="84" s="1"/>
  <c r="B15" i="85" s="1"/>
  <c r="B227" i="84"/>
  <c r="B246" i="84" s="1"/>
  <c r="B2" i="85" s="1"/>
  <c r="B83" i="84"/>
  <c r="J83" i="84" s="1"/>
  <c r="B82" i="84"/>
  <c r="F82" i="84" s="1"/>
  <c r="B81" i="84"/>
  <c r="L81" i="84" s="1"/>
  <c r="B80" i="84"/>
  <c r="B79" i="84"/>
  <c r="B78" i="84"/>
  <c r="B77" i="84"/>
  <c r="B76" i="84"/>
  <c r="B75" i="84"/>
  <c r="B74" i="84"/>
  <c r="B73" i="84"/>
  <c r="B72" i="84"/>
  <c r="B71" i="84"/>
  <c r="B70" i="84"/>
  <c r="B69" i="84"/>
  <c r="B68" i="84"/>
  <c r="F57" i="84"/>
  <c r="J261" i="84" s="1"/>
  <c r="F56" i="84"/>
  <c r="F55" i="84"/>
  <c r="J259" i="84" s="1"/>
  <c r="F34" i="84"/>
  <c r="F33" i="84"/>
  <c r="F32" i="84"/>
  <c r="C253" i="84" s="1"/>
  <c r="F28" i="84"/>
  <c r="K264" i="83"/>
  <c r="I241" i="83"/>
  <c r="I260" i="83" s="1"/>
  <c r="I240" i="83"/>
  <c r="I259" i="83" s="1"/>
  <c r="I239" i="83"/>
  <c r="I258" i="83" s="1"/>
  <c r="I238" i="83"/>
  <c r="I257" i="83" s="1"/>
  <c r="I237" i="83"/>
  <c r="I256" i="83" s="1"/>
  <c r="I236" i="83"/>
  <c r="I255" i="83" s="1"/>
  <c r="I235" i="83"/>
  <c r="I254" i="83" s="1"/>
  <c r="B235" i="83"/>
  <c r="B254" i="83" s="1"/>
  <c r="I234" i="83"/>
  <c r="I253" i="83" s="1"/>
  <c r="B234" i="83"/>
  <c r="B253" i="83" s="1"/>
  <c r="I233" i="83"/>
  <c r="I252" i="83" s="1"/>
  <c r="B233" i="83"/>
  <c r="B252" i="83" s="1"/>
  <c r="I232" i="83"/>
  <c r="I251" i="83" s="1"/>
  <c r="B232" i="83"/>
  <c r="B251" i="83" s="1"/>
  <c r="I231" i="83"/>
  <c r="I250" i="83" s="1"/>
  <c r="B231" i="83"/>
  <c r="B250" i="83" s="1"/>
  <c r="I230" i="83"/>
  <c r="I249" i="83" s="1"/>
  <c r="B230" i="83"/>
  <c r="B249" i="83" s="1"/>
  <c r="I229" i="83"/>
  <c r="I248" i="83" s="1"/>
  <c r="B229" i="83"/>
  <c r="B248" i="83" s="1"/>
  <c r="I228" i="83"/>
  <c r="I247" i="83" s="1"/>
  <c r="B228" i="83"/>
  <c r="B247" i="83" s="1"/>
  <c r="I227" i="83"/>
  <c r="I246" i="83" s="1"/>
  <c r="B227" i="83"/>
  <c r="B246" i="83" s="1"/>
  <c r="I226" i="83"/>
  <c r="I245" i="83" s="1"/>
  <c r="B226" i="83"/>
  <c r="B245" i="83" s="1"/>
  <c r="B82" i="83"/>
  <c r="C82" i="83" s="1"/>
  <c r="B81" i="83"/>
  <c r="L81" i="83" s="1"/>
  <c r="B80" i="83"/>
  <c r="I80" i="83" s="1"/>
  <c r="B79" i="83"/>
  <c r="B78" i="83"/>
  <c r="B77" i="83"/>
  <c r="B76" i="83"/>
  <c r="B75" i="83"/>
  <c r="B74" i="83"/>
  <c r="B73" i="83"/>
  <c r="B72" i="83"/>
  <c r="B71" i="83"/>
  <c r="B70" i="83"/>
  <c r="B69" i="83"/>
  <c r="B68" i="83"/>
  <c r="B67" i="83"/>
  <c r="A30" i="82"/>
  <c r="A29" i="82"/>
  <c r="A28" i="82"/>
  <c r="A27" i="82"/>
  <c r="H26" i="82"/>
  <c r="A26" i="82"/>
  <c r="H25" i="82"/>
  <c r="A25" i="82"/>
  <c r="H24" i="82"/>
  <c r="A24" i="82"/>
  <c r="A23" i="82"/>
  <c r="H22" i="82"/>
  <c r="A22" i="82"/>
  <c r="H21" i="82"/>
  <c r="A21" i="82"/>
  <c r="H20" i="82"/>
  <c r="A20" i="82"/>
  <c r="H19" i="82"/>
  <c r="A19" i="82"/>
  <c r="A18" i="82"/>
  <c r="H17" i="82"/>
  <c r="A17" i="82"/>
  <c r="H16" i="82"/>
  <c r="A16" i="82"/>
  <c r="H15" i="82"/>
  <c r="A15" i="82"/>
  <c r="A11" i="82"/>
  <c r="A10" i="82"/>
  <c r="A9" i="82"/>
  <c r="A8" i="82"/>
  <c r="A7" i="82"/>
  <c r="A6" i="82"/>
  <c r="A5" i="82"/>
  <c r="A4" i="82"/>
  <c r="A3" i="82"/>
  <c r="A2" i="82"/>
  <c r="L259" i="81"/>
  <c r="E28" i="82" s="1"/>
  <c r="I242" i="81"/>
  <c r="I261" i="81" s="1"/>
  <c r="B30" i="82" s="1"/>
  <c r="L7" i="82" s="1"/>
  <c r="I241" i="81"/>
  <c r="I260" i="81" s="1"/>
  <c r="B29" i="82" s="1"/>
  <c r="L6" i="82" s="1"/>
  <c r="I240" i="81"/>
  <c r="I259" i="81" s="1"/>
  <c r="B28" i="82" s="1"/>
  <c r="L5" i="82" s="1"/>
  <c r="I239" i="81"/>
  <c r="I258" i="81" s="1"/>
  <c r="B27" i="82" s="1"/>
  <c r="I238" i="81"/>
  <c r="I257" i="81" s="1"/>
  <c r="B26" i="82" s="1"/>
  <c r="I237" i="81"/>
  <c r="I256" i="81" s="1"/>
  <c r="B25" i="82" s="1"/>
  <c r="I236" i="81"/>
  <c r="I255" i="81" s="1"/>
  <c r="B24" i="82" s="1"/>
  <c r="B236" i="81"/>
  <c r="B255" i="81" s="1"/>
  <c r="B11" i="82" s="1"/>
  <c r="I235" i="81"/>
  <c r="I254" i="81" s="1"/>
  <c r="B23" i="82" s="1"/>
  <c r="B235" i="81"/>
  <c r="B254" i="81" s="1"/>
  <c r="B10" i="82" s="1"/>
  <c r="I234" i="81"/>
  <c r="I253" i="81" s="1"/>
  <c r="B22" i="82" s="1"/>
  <c r="B234" i="81"/>
  <c r="B253" i="81" s="1"/>
  <c r="B9" i="82" s="1"/>
  <c r="I233" i="81"/>
  <c r="I252" i="81" s="1"/>
  <c r="B21" i="82" s="1"/>
  <c r="B233" i="81"/>
  <c r="B252" i="81" s="1"/>
  <c r="B8" i="82" s="1"/>
  <c r="I232" i="81"/>
  <c r="I251" i="81" s="1"/>
  <c r="B20" i="82" s="1"/>
  <c r="B232" i="81"/>
  <c r="B251" i="81" s="1"/>
  <c r="B7" i="82" s="1"/>
  <c r="I231" i="81"/>
  <c r="I250" i="81" s="1"/>
  <c r="B19" i="82" s="1"/>
  <c r="B231" i="81"/>
  <c r="B250" i="81" s="1"/>
  <c r="B6" i="82" s="1"/>
  <c r="I230" i="81"/>
  <c r="I249" i="81" s="1"/>
  <c r="B18" i="82" s="1"/>
  <c r="B230" i="81"/>
  <c r="B249" i="81" s="1"/>
  <c r="B5" i="82" s="1"/>
  <c r="I229" i="81"/>
  <c r="I248" i="81" s="1"/>
  <c r="B17" i="82" s="1"/>
  <c r="B229" i="81"/>
  <c r="B248" i="81" s="1"/>
  <c r="B4" i="82" s="1"/>
  <c r="I228" i="81"/>
  <c r="I247" i="81" s="1"/>
  <c r="B16" i="82" s="1"/>
  <c r="B228" i="81"/>
  <c r="B247" i="81" s="1"/>
  <c r="B3" i="82" s="1"/>
  <c r="I227" i="81"/>
  <c r="I246" i="81" s="1"/>
  <c r="B15" i="82" s="1"/>
  <c r="B227" i="81"/>
  <c r="B246" i="81" s="1"/>
  <c r="B2" i="82" s="1"/>
  <c r="B83" i="81"/>
  <c r="G83" i="81" s="1"/>
  <c r="B82" i="81"/>
  <c r="L82" i="81" s="1"/>
  <c r="B81" i="81"/>
  <c r="H81" i="81" s="1"/>
  <c r="B80" i="81"/>
  <c r="B79" i="81"/>
  <c r="B78" i="81"/>
  <c r="B77" i="81"/>
  <c r="B76" i="81"/>
  <c r="B75" i="81"/>
  <c r="B74" i="81"/>
  <c r="B73" i="81"/>
  <c r="B72" i="81"/>
  <c r="B71" i="81"/>
  <c r="B70" i="81"/>
  <c r="B69" i="81"/>
  <c r="B68" i="81"/>
  <c r="J259" i="81"/>
  <c r="C253" i="81"/>
  <c r="K264" i="80"/>
  <c r="I241" i="80"/>
  <c r="I260" i="80" s="1"/>
  <c r="I240" i="80"/>
  <c r="I259" i="80" s="1"/>
  <c r="I239" i="80"/>
  <c r="I258" i="80" s="1"/>
  <c r="I238" i="80"/>
  <c r="I257" i="80" s="1"/>
  <c r="I237" i="80"/>
  <c r="I256" i="80" s="1"/>
  <c r="I236" i="80"/>
  <c r="I255" i="80" s="1"/>
  <c r="I235" i="80"/>
  <c r="I254" i="80" s="1"/>
  <c r="B235" i="80"/>
  <c r="B254" i="80" s="1"/>
  <c r="I234" i="80"/>
  <c r="I253" i="80" s="1"/>
  <c r="B234" i="80"/>
  <c r="B253" i="80" s="1"/>
  <c r="I233" i="80"/>
  <c r="I252" i="80" s="1"/>
  <c r="B233" i="80"/>
  <c r="B252" i="80" s="1"/>
  <c r="I232" i="80"/>
  <c r="I251" i="80" s="1"/>
  <c r="B232" i="80"/>
  <c r="B251" i="80" s="1"/>
  <c r="I231" i="80"/>
  <c r="I250" i="80" s="1"/>
  <c r="B231" i="80"/>
  <c r="B250" i="80" s="1"/>
  <c r="I230" i="80"/>
  <c r="I249" i="80" s="1"/>
  <c r="B230" i="80"/>
  <c r="B249" i="80" s="1"/>
  <c r="I229" i="80"/>
  <c r="I248" i="80" s="1"/>
  <c r="B229" i="80"/>
  <c r="B248" i="80" s="1"/>
  <c r="I228" i="80"/>
  <c r="I247" i="80" s="1"/>
  <c r="B228" i="80"/>
  <c r="B247" i="80" s="1"/>
  <c r="I227" i="80"/>
  <c r="I246" i="80" s="1"/>
  <c r="B227" i="80"/>
  <c r="B246" i="80" s="1"/>
  <c r="I226" i="80"/>
  <c r="I245" i="80" s="1"/>
  <c r="B226" i="80"/>
  <c r="B245" i="80" s="1"/>
  <c r="B82" i="80"/>
  <c r="L82" i="80" s="1"/>
  <c r="B81" i="80"/>
  <c r="K81" i="80" s="1"/>
  <c r="B80" i="80"/>
  <c r="G80" i="80" s="1"/>
  <c r="B79" i="80"/>
  <c r="B78" i="80"/>
  <c r="B77" i="80"/>
  <c r="B76" i="80"/>
  <c r="B75" i="80"/>
  <c r="B74" i="80"/>
  <c r="B73" i="80"/>
  <c r="B72" i="80"/>
  <c r="B71" i="80"/>
  <c r="B70" i="80"/>
  <c r="B69" i="80"/>
  <c r="B68" i="80"/>
  <c r="B67" i="80"/>
  <c r="A30" i="79"/>
  <c r="A29" i="79"/>
  <c r="A28" i="79"/>
  <c r="A27" i="79"/>
  <c r="H26" i="79"/>
  <c r="A26" i="79"/>
  <c r="H25" i="79"/>
  <c r="A25" i="79"/>
  <c r="H24" i="79"/>
  <c r="A24" i="79"/>
  <c r="A23" i="79"/>
  <c r="H22" i="79"/>
  <c r="A22" i="79"/>
  <c r="H21" i="79"/>
  <c r="A21" i="79"/>
  <c r="H20" i="79"/>
  <c r="A20" i="79"/>
  <c r="H19" i="79"/>
  <c r="A19" i="79"/>
  <c r="A18" i="79"/>
  <c r="H17" i="79"/>
  <c r="A17" i="79"/>
  <c r="H16" i="79"/>
  <c r="A16" i="79"/>
  <c r="H15" i="79"/>
  <c r="A15" i="79"/>
  <c r="A11" i="79"/>
  <c r="A10" i="79"/>
  <c r="A9" i="79"/>
  <c r="A8" i="79"/>
  <c r="A7" i="79"/>
  <c r="A6" i="79"/>
  <c r="A5" i="79"/>
  <c r="A4" i="79"/>
  <c r="A3" i="79"/>
  <c r="A2" i="79"/>
  <c r="L259" i="78"/>
  <c r="E28" i="79" s="1"/>
  <c r="I242" i="78"/>
  <c r="I261" i="78" s="1"/>
  <c r="B30" i="79" s="1"/>
  <c r="L7" i="79" s="1"/>
  <c r="I241" i="78"/>
  <c r="I260" i="78" s="1"/>
  <c r="B29" i="79" s="1"/>
  <c r="L6" i="79" s="1"/>
  <c r="I240" i="78"/>
  <c r="I259" i="78" s="1"/>
  <c r="B28" i="79" s="1"/>
  <c r="L5" i="79" s="1"/>
  <c r="I239" i="78"/>
  <c r="I258" i="78" s="1"/>
  <c r="B27" i="79" s="1"/>
  <c r="I238" i="78"/>
  <c r="I257" i="78" s="1"/>
  <c r="B26" i="79" s="1"/>
  <c r="I237" i="78"/>
  <c r="I256" i="78" s="1"/>
  <c r="B25" i="79" s="1"/>
  <c r="I236" i="78"/>
  <c r="I255" i="78" s="1"/>
  <c r="B24" i="79" s="1"/>
  <c r="B236" i="78"/>
  <c r="B255" i="78" s="1"/>
  <c r="B11" i="79" s="1"/>
  <c r="I235" i="78"/>
  <c r="I254" i="78" s="1"/>
  <c r="B23" i="79" s="1"/>
  <c r="B235" i="78"/>
  <c r="B254" i="78" s="1"/>
  <c r="B10" i="79" s="1"/>
  <c r="I234" i="78"/>
  <c r="I253" i="78" s="1"/>
  <c r="B22" i="79" s="1"/>
  <c r="B234" i="78"/>
  <c r="B253" i="78" s="1"/>
  <c r="B9" i="79" s="1"/>
  <c r="I233" i="78"/>
  <c r="I252" i="78" s="1"/>
  <c r="B21" i="79" s="1"/>
  <c r="B233" i="78"/>
  <c r="B252" i="78" s="1"/>
  <c r="B8" i="79" s="1"/>
  <c r="I232" i="78"/>
  <c r="I251" i="78" s="1"/>
  <c r="B20" i="79" s="1"/>
  <c r="B232" i="78"/>
  <c r="B251" i="78" s="1"/>
  <c r="B7" i="79" s="1"/>
  <c r="I231" i="78"/>
  <c r="I250" i="78" s="1"/>
  <c r="B19" i="79" s="1"/>
  <c r="B231" i="78"/>
  <c r="B250" i="78" s="1"/>
  <c r="B6" i="79" s="1"/>
  <c r="I230" i="78"/>
  <c r="I249" i="78" s="1"/>
  <c r="B18" i="79" s="1"/>
  <c r="B230" i="78"/>
  <c r="B249" i="78" s="1"/>
  <c r="B5" i="79" s="1"/>
  <c r="I229" i="78"/>
  <c r="I248" i="78" s="1"/>
  <c r="B17" i="79" s="1"/>
  <c r="B229" i="78"/>
  <c r="B248" i="78" s="1"/>
  <c r="B4" i="79" s="1"/>
  <c r="I228" i="78"/>
  <c r="I247" i="78" s="1"/>
  <c r="B16" i="79" s="1"/>
  <c r="B228" i="78"/>
  <c r="B247" i="78" s="1"/>
  <c r="B3" i="79" s="1"/>
  <c r="I227" i="78"/>
  <c r="I246" i="78" s="1"/>
  <c r="B15" i="79" s="1"/>
  <c r="B227" i="78"/>
  <c r="B246" i="78" s="1"/>
  <c r="B2" i="79" s="1"/>
  <c r="B83" i="78"/>
  <c r="D83" i="78" s="1"/>
  <c r="B82" i="78"/>
  <c r="L82" i="78" s="1"/>
  <c r="B81" i="78"/>
  <c r="J81" i="78" s="1"/>
  <c r="B80" i="78"/>
  <c r="B79" i="78"/>
  <c r="B78" i="78"/>
  <c r="B77" i="78"/>
  <c r="B76" i="78"/>
  <c r="B75" i="78"/>
  <c r="B74" i="78"/>
  <c r="B73" i="78"/>
  <c r="B72" i="78"/>
  <c r="B71" i="78"/>
  <c r="B70" i="78"/>
  <c r="B69" i="78"/>
  <c r="B68" i="78"/>
  <c r="J260" i="78"/>
  <c r="C253" i="78"/>
  <c r="K264" i="77"/>
  <c r="I241" i="77"/>
  <c r="I260" i="77" s="1"/>
  <c r="I240" i="77"/>
  <c r="I259" i="77" s="1"/>
  <c r="I239" i="77"/>
  <c r="I258" i="77" s="1"/>
  <c r="I238" i="77"/>
  <c r="I257" i="77" s="1"/>
  <c r="I237" i="77"/>
  <c r="I256" i="77" s="1"/>
  <c r="I236" i="77"/>
  <c r="I255" i="77" s="1"/>
  <c r="I235" i="77"/>
  <c r="I254" i="77" s="1"/>
  <c r="B235" i="77"/>
  <c r="B254" i="77" s="1"/>
  <c r="I234" i="77"/>
  <c r="I253" i="77" s="1"/>
  <c r="B234" i="77"/>
  <c r="B253" i="77" s="1"/>
  <c r="I233" i="77"/>
  <c r="I252" i="77" s="1"/>
  <c r="B233" i="77"/>
  <c r="B252" i="77" s="1"/>
  <c r="I232" i="77"/>
  <c r="I251" i="77" s="1"/>
  <c r="B232" i="77"/>
  <c r="B251" i="77" s="1"/>
  <c r="I231" i="77"/>
  <c r="I250" i="77" s="1"/>
  <c r="B231" i="77"/>
  <c r="B250" i="77" s="1"/>
  <c r="I230" i="77"/>
  <c r="I249" i="77" s="1"/>
  <c r="B230" i="77"/>
  <c r="B249" i="77" s="1"/>
  <c r="I229" i="77"/>
  <c r="I248" i="77" s="1"/>
  <c r="B229" i="77"/>
  <c r="B248" i="77" s="1"/>
  <c r="I228" i="77"/>
  <c r="I247" i="77" s="1"/>
  <c r="B228" i="77"/>
  <c r="B247" i="77" s="1"/>
  <c r="I227" i="77"/>
  <c r="I246" i="77" s="1"/>
  <c r="B227" i="77"/>
  <c r="B246" i="77" s="1"/>
  <c r="I226" i="77"/>
  <c r="I245" i="77" s="1"/>
  <c r="B226" i="77"/>
  <c r="B245" i="77" s="1"/>
  <c r="B82" i="77"/>
  <c r="H82" i="77" s="1"/>
  <c r="B81" i="77"/>
  <c r="D81" i="77" s="1"/>
  <c r="B80" i="77"/>
  <c r="L80" i="77" s="1"/>
  <c r="B79" i="77"/>
  <c r="B78" i="77"/>
  <c r="B77" i="77"/>
  <c r="B76" i="77"/>
  <c r="B75" i="77"/>
  <c r="B74" i="77"/>
  <c r="B73" i="77"/>
  <c r="B72" i="77"/>
  <c r="B71" i="77"/>
  <c r="B70" i="77"/>
  <c r="B69" i="77"/>
  <c r="B68" i="77"/>
  <c r="B67" i="77"/>
  <c r="A30" i="76"/>
  <c r="A29" i="76"/>
  <c r="A28" i="76"/>
  <c r="A27" i="76"/>
  <c r="H26" i="76"/>
  <c r="A26" i="76"/>
  <c r="H25" i="76"/>
  <c r="A25" i="76"/>
  <c r="H24" i="76"/>
  <c r="A24" i="76"/>
  <c r="A23" i="76"/>
  <c r="H22" i="76"/>
  <c r="A22" i="76"/>
  <c r="H21" i="76"/>
  <c r="A21" i="76"/>
  <c r="H20" i="76"/>
  <c r="A20" i="76"/>
  <c r="H19" i="76"/>
  <c r="A19" i="76"/>
  <c r="A18" i="76"/>
  <c r="H17" i="76"/>
  <c r="A17" i="76"/>
  <c r="H16" i="76"/>
  <c r="A16" i="76"/>
  <c r="H15" i="76"/>
  <c r="A15" i="76"/>
  <c r="A11" i="76"/>
  <c r="A10" i="76"/>
  <c r="A9" i="76"/>
  <c r="A8" i="76"/>
  <c r="A7" i="76"/>
  <c r="A6" i="76"/>
  <c r="A5" i="76"/>
  <c r="A4" i="76"/>
  <c r="A3" i="76"/>
  <c r="A2" i="76"/>
  <c r="L259" i="75"/>
  <c r="E28" i="76" s="1"/>
  <c r="I242" i="75"/>
  <c r="I261" i="75" s="1"/>
  <c r="B30" i="76" s="1"/>
  <c r="L7" i="76" s="1"/>
  <c r="I241" i="75"/>
  <c r="I260" i="75" s="1"/>
  <c r="B29" i="76" s="1"/>
  <c r="L6" i="76" s="1"/>
  <c r="I240" i="75"/>
  <c r="I259" i="75" s="1"/>
  <c r="B28" i="76" s="1"/>
  <c r="L5" i="76" s="1"/>
  <c r="I239" i="75"/>
  <c r="I258" i="75" s="1"/>
  <c r="B27" i="76" s="1"/>
  <c r="I238" i="75"/>
  <c r="I257" i="75" s="1"/>
  <c r="B26" i="76" s="1"/>
  <c r="I237" i="75"/>
  <c r="I256" i="75" s="1"/>
  <c r="B25" i="76" s="1"/>
  <c r="I236" i="75"/>
  <c r="I255" i="75" s="1"/>
  <c r="B24" i="76" s="1"/>
  <c r="B236" i="75"/>
  <c r="B255" i="75" s="1"/>
  <c r="B11" i="76" s="1"/>
  <c r="I235" i="75"/>
  <c r="I254" i="75" s="1"/>
  <c r="B23" i="76" s="1"/>
  <c r="B235" i="75"/>
  <c r="B254" i="75" s="1"/>
  <c r="B10" i="76" s="1"/>
  <c r="I234" i="75"/>
  <c r="I253" i="75" s="1"/>
  <c r="B22" i="76" s="1"/>
  <c r="B234" i="75"/>
  <c r="B253" i="75" s="1"/>
  <c r="B9" i="76" s="1"/>
  <c r="I233" i="75"/>
  <c r="I252" i="75" s="1"/>
  <c r="B21" i="76" s="1"/>
  <c r="B233" i="75"/>
  <c r="B252" i="75" s="1"/>
  <c r="B8" i="76" s="1"/>
  <c r="I232" i="75"/>
  <c r="I251" i="75" s="1"/>
  <c r="B20" i="76" s="1"/>
  <c r="B232" i="75"/>
  <c r="B251" i="75" s="1"/>
  <c r="B7" i="76" s="1"/>
  <c r="I231" i="75"/>
  <c r="I250" i="75" s="1"/>
  <c r="B19" i="76" s="1"/>
  <c r="B231" i="75"/>
  <c r="B250" i="75" s="1"/>
  <c r="B6" i="76" s="1"/>
  <c r="I230" i="75"/>
  <c r="I249" i="75" s="1"/>
  <c r="B18" i="76" s="1"/>
  <c r="B230" i="75"/>
  <c r="B249" i="75" s="1"/>
  <c r="B5" i="76" s="1"/>
  <c r="I229" i="75"/>
  <c r="I248" i="75" s="1"/>
  <c r="B17" i="76" s="1"/>
  <c r="B229" i="75"/>
  <c r="B248" i="75" s="1"/>
  <c r="B4" i="76" s="1"/>
  <c r="I228" i="75"/>
  <c r="I247" i="75" s="1"/>
  <c r="B16" i="76" s="1"/>
  <c r="B228" i="75"/>
  <c r="B247" i="75" s="1"/>
  <c r="B3" i="76" s="1"/>
  <c r="I227" i="75"/>
  <c r="I246" i="75" s="1"/>
  <c r="B15" i="76" s="1"/>
  <c r="B227" i="75"/>
  <c r="B246" i="75" s="1"/>
  <c r="B2" i="76" s="1"/>
  <c r="B83" i="75"/>
  <c r="D83" i="75" s="1"/>
  <c r="B82" i="75"/>
  <c r="L82" i="75" s="1"/>
  <c r="B81" i="75"/>
  <c r="J81" i="75" s="1"/>
  <c r="B80" i="75"/>
  <c r="B79" i="75"/>
  <c r="B78" i="75"/>
  <c r="B77" i="75"/>
  <c r="B76" i="75"/>
  <c r="B75" i="75"/>
  <c r="B74" i="75"/>
  <c r="B73" i="75"/>
  <c r="B72" i="75"/>
  <c r="B71" i="75"/>
  <c r="B70" i="75"/>
  <c r="B69" i="75"/>
  <c r="B68" i="75"/>
  <c r="F57" i="75"/>
  <c r="F56" i="75"/>
  <c r="F55" i="75"/>
  <c r="C254" i="75"/>
  <c r="K264" i="74"/>
  <c r="I246" i="74"/>
  <c r="I241" i="74"/>
  <c r="I260" i="74" s="1"/>
  <c r="I240" i="74"/>
  <c r="I259" i="74" s="1"/>
  <c r="I239" i="74"/>
  <c r="I258" i="74" s="1"/>
  <c r="I238" i="74"/>
  <c r="I257" i="74" s="1"/>
  <c r="I237" i="74"/>
  <c r="I256" i="74" s="1"/>
  <c r="I236" i="74"/>
  <c r="I255" i="74" s="1"/>
  <c r="I235" i="74"/>
  <c r="I254" i="74" s="1"/>
  <c r="B235" i="74"/>
  <c r="B254" i="74" s="1"/>
  <c r="I234" i="74"/>
  <c r="I253" i="74" s="1"/>
  <c r="B234" i="74"/>
  <c r="B253" i="74" s="1"/>
  <c r="I233" i="74"/>
  <c r="I252" i="74" s="1"/>
  <c r="B233" i="74"/>
  <c r="B252" i="74" s="1"/>
  <c r="I232" i="74"/>
  <c r="I251" i="74" s="1"/>
  <c r="B232" i="74"/>
  <c r="B251" i="74" s="1"/>
  <c r="I231" i="74"/>
  <c r="I250" i="74" s="1"/>
  <c r="B231" i="74"/>
  <c r="B250" i="74" s="1"/>
  <c r="I230" i="74"/>
  <c r="I249" i="74" s="1"/>
  <c r="B230" i="74"/>
  <c r="B249" i="74" s="1"/>
  <c r="I229" i="74"/>
  <c r="I248" i="74" s="1"/>
  <c r="B229" i="74"/>
  <c r="B248" i="74" s="1"/>
  <c r="I228" i="74"/>
  <c r="I247" i="74" s="1"/>
  <c r="B228" i="74"/>
  <c r="B247" i="74" s="1"/>
  <c r="I227" i="74"/>
  <c r="B227" i="74"/>
  <c r="B246" i="74" s="1"/>
  <c r="I226" i="74"/>
  <c r="I245" i="74" s="1"/>
  <c r="B226" i="74"/>
  <c r="B245" i="74" s="1"/>
  <c r="B82" i="74"/>
  <c r="L82" i="74" s="1"/>
  <c r="B81" i="74"/>
  <c r="K81" i="74" s="1"/>
  <c r="B80" i="74"/>
  <c r="G80" i="74" s="1"/>
  <c r="B79" i="74"/>
  <c r="B78" i="74"/>
  <c r="B77" i="74"/>
  <c r="B76" i="74"/>
  <c r="B75" i="74"/>
  <c r="B74" i="74"/>
  <c r="B73" i="74"/>
  <c r="B72" i="74"/>
  <c r="B71" i="74"/>
  <c r="B70" i="74"/>
  <c r="B69" i="74"/>
  <c r="B68" i="74"/>
  <c r="B67" i="74"/>
  <c r="A30" i="73"/>
  <c r="A29" i="73"/>
  <c r="A28" i="73"/>
  <c r="A27" i="73"/>
  <c r="H26" i="73"/>
  <c r="A26" i="73"/>
  <c r="H25" i="73"/>
  <c r="A25" i="73"/>
  <c r="H24" i="73"/>
  <c r="A24" i="73"/>
  <c r="A23" i="73"/>
  <c r="H22" i="73"/>
  <c r="A22" i="73"/>
  <c r="H21" i="73"/>
  <c r="A21" i="73"/>
  <c r="H20" i="73"/>
  <c r="A20" i="73"/>
  <c r="H19" i="73"/>
  <c r="A19" i="73"/>
  <c r="A18" i="73"/>
  <c r="H17" i="73"/>
  <c r="A17" i="73"/>
  <c r="H16" i="73"/>
  <c r="A16" i="73"/>
  <c r="H15" i="73"/>
  <c r="A15" i="73"/>
  <c r="A11" i="73"/>
  <c r="A10" i="73"/>
  <c r="A9" i="73"/>
  <c r="A8" i="73"/>
  <c r="A7" i="73"/>
  <c r="A6" i="73"/>
  <c r="A5" i="73"/>
  <c r="A4" i="73"/>
  <c r="A3" i="73"/>
  <c r="A2" i="73"/>
  <c r="L259" i="72"/>
  <c r="E28" i="73" s="1"/>
  <c r="B255" i="72"/>
  <c r="B11" i="73" s="1"/>
  <c r="I250" i="72"/>
  <c r="B19" i="73" s="1"/>
  <c r="B249" i="72"/>
  <c r="B5" i="73" s="1"/>
  <c r="B247" i="72"/>
  <c r="B3" i="73" s="1"/>
  <c r="I242" i="72"/>
  <c r="I261" i="72" s="1"/>
  <c r="B30" i="73" s="1"/>
  <c r="L7" i="73" s="1"/>
  <c r="I241" i="72"/>
  <c r="I260" i="72" s="1"/>
  <c r="B29" i="73" s="1"/>
  <c r="L6" i="73" s="1"/>
  <c r="I240" i="72"/>
  <c r="I259" i="72" s="1"/>
  <c r="B28" i="73" s="1"/>
  <c r="L5" i="73" s="1"/>
  <c r="I239" i="72"/>
  <c r="I258" i="72" s="1"/>
  <c r="B27" i="73" s="1"/>
  <c r="I238" i="72"/>
  <c r="I257" i="72" s="1"/>
  <c r="B26" i="73" s="1"/>
  <c r="I237" i="72"/>
  <c r="I256" i="72" s="1"/>
  <c r="B25" i="73" s="1"/>
  <c r="I236" i="72"/>
  <c r="I255" i="72" s="1"/>
  <c r="B24" i="73" s="1"/>
  <c r="B236" i="72"/>
  <c r="I235" i="72"/>
  <c r="I254" i="72" s="1"/>
  <c r="B23" i="73" s="1"/>
  <c r="B235" i="72"/>
  <c r="B254" i="72" s="1"/>
  <c r="B10" i="73" s="1"/>
  <c r="I234" i="72"/>
  <c r="I253" i="72" s="1"/>
  <c r="B22" i="73" s="1"/>
  <c r="B234" i="72"/>
  <c r="B253" i="72" s="1"/>
  <c r="B9" i="73" s="1"/>
  <c r="I233" i="72"/>
  <c r="I252" i="72" s="1"/>
  <c r="B21" i="73" s="1"/>
  <c r="B233" i="72"/>
  <c r="B252" i="72" s="1"/>
  <c r="B8" i="73" s="1"/>
  <c r="I232" i="72"/>
  <c r="I251" i="72" s="1"/>
  <c r="B20" i="73" s="1"/>
  <c r="B232" i="72"/>
  <c r="B251" i="72" s="1"/>
  <c r="B7" i="73" s="1"/>
  <c r="I231" i="72"/>
  <c r="B231" i="72"/>
  <c r="B250" i="72" s="1"/>
  <c r="B6" i="73" s="1"/>
  <c r="I230" i="72"/>
  <c r="I249" i="72" s="1"/>
  <c r="B18" i="73" s="1"/>
  <c r="B230" i="72"/>
  <c r="I229" i="72"/>
  <c r="I248" i="72" s="1"/>
  <c r="B17" i="73" s="1"/>
  <c r="B229" i="72"/>
  <c r="B248" i="72" s="1"/>
  <c r="B4" i="73" s="1"/>
  <c r="I228" i="72"/>
  <c r="I247" i="72" s="1"/>
  <c r="B16" i="73" s="1"/>
  <c r="B228" i="72"/>
  <c r="I227" i="72"/>
  <c r="I246" i="72" s="1"/>
  <c r="B15" i="73" s="1"/>
  <c r="B227" i="72"/>
  <c r="B246" i="72" s="1"/>
  <c r="B2" i="73" s="1"/>
  <c r="B83" i="72"/>
  <c r="L83" i="72" s="1"/>
  <c r="B82" i="72"/>
  <c r="I82" i="72" s="1"/>
  <c r="B81" i="72"/>
  <c r="E81" i="72" s="1"/>
  <c r="B80" i="72"/>
  <c r="B79" i="72"/>
  <c r="B78" i="72"/>
  <c r="B77" i="72"/>
  <c r="B76" i="72"/>
  <c r="B75" i="72"/>
  <c r="B74" i="72"/>
  <c r="B73" i="72"/>
  <c r="B72" i="72"/>
  <c r="B71" i="72"/>
  <c r="B70" i="72"/>
  <c r="B69" i="72"/>
  <c r="B68" i="72"/>
  <c r="G57" i="72"/>
  <c r="J261" i="72" s="1"/>
  <c r="G56" i="72"/>
  <c r="J260" i="72" s="1"/>
  <c r="G55" i="72"/>
  <c r="J259" i="72" s="1"/>
  <c r="G54" i="72"/>
  <c r="G53" i="72"/>
  <c r="G52" i="72"/>
  <c r="G51" i="72"/>
  <c r="G50" i="72"/>
  <c r="G49" i="72"/>
  <c r="G48" i="72"/>
  <c r="G47" i="72"/>
  <c r="G46" i="72"/>
  <c r="G45" i="72"/>
  <c r="G44" i="72"/>
  <c r="G43" i="72"/>
  <c r="C253" i="72"/>
  <c r="K264" i="71"/>
  <c r="I241" i="71"/>
  <c r="I260" i="71" s="1"/>
  <c r="I240" i="71"/>
  <c r="I259" i="71" s="1"/>
  <c r="I239" i="71"/>
  <c r="I258" i="71" s="1"/>
  <c r="I238" i="71"/>
  <c r="I257" i="71" s="1"/>
  <c r="I237" i="71"/>
  <c r="I256" i="71" s="1"/>
  <c r="I236" i="71"/>
  <c r="I255" i="71" s="1"/>
  <c r="I235" i="71"/>
  <c r="I254" i="71" s="1"/>
  <c r="B235" i="71"/>
  <c r="B254" i="71" s="1"/>
  <c r="I234" i="71"/>
  <c r="I253" i="71" s="1"/>
  <c r="B234" i="71"/>
  <c r="B253" i="71" s="1"/>
  <c r="I233" i="71"/>
  <c r="I252" i="71" s="1"/>
  <c r="B233" i="71"/>
  <c r="B252" i="71" s="1"/>
  <c r="I232" i="71"/>
  <c r="I251" i="71" s="1"/>
  <c r="B232" i="71"/>
  <c r="B251" i="71" s="1"/>
  <c r="I231" i="71"/>
  <c r="I250" i="71" s="1"/>
  <c r="B231" i="71"/>
  <c r="B250" i="71" s="1"/>
  <c r="I230" i="71"/>
  <c r="I249" i="71" s="1"/>
  <c r="B230" i="71"/>
  <c r="B249" i="71" s="1"/>
  <c r="I229" i="71"/>
  <c r="I248" i="71" s="1"/>
  <c r="B229" i="71"/>
  <c r="B248" i="71" s="1"/>
  <c r="I228" i="71"/>
  <c r="I247" i="71" s="1"/>
  <c r="B228" i="71"/>
  <c r="B247" i="71" s="1"/>
  <c r="I227" i="71"/>
  <c r="I246" i="71" s="1"/>
  <c r="B227" i="71"/>
  <c r="B246" i="71" s="1"/>
  <c r="I226" i="71"/>
  <c r="I245" i="71" s="1"/>
  <c r="B226" i="71"/>
  <c r="B245" i="71" s="1"/>
  <c r="B82" i="71"/>
  <c r="H82" i="71" s="1"/>
  <c r="B81" i="71"/>
  <c r="D81" i="71" s="1"/>
  <c r="B80" i="71"/>
  <c r="K80" i="71" s="1"/>
  <c r="B79" i="71"/>
  <c r="B78" i="71"/>
  <c r="B77" i="71"/>
  <c r="B76" i="71"/>
  <c r="B75" i="71"/>
  <c r="B74" i="71"/>
  <c r="B73" i="71"/>
  <c r="B72" i="71"/>
  <c r="B71" i="71"/>
  <c r="B70" i="71"/>
  <c r="B69" i="71"/>
  <c r="B68" i="71"/>
  <c r="B67" i="71"/>
  <c r="G56" i="71"/>
  <c r="G55" i="71"/>
  <c r="G54" i="71"/>
  <c r="G53" i="71"/>
  <c r="G52" i="71"/>
  <c r="G51" i="71"/>
  <c r="G50" i="71"/>
  <c r="C24" i="73" s="1"/>
  <c r="G49" i="71"/>
  <c r="G48" i="71"/>
  <c r="C22" i="73" s="1"/>
  <c r="G47" i="71"/>
  <c r="G46" i="71"/>
  <c r="C20" i="73" s="1"/>
  <c r="G45" i="71"/>
  <c r="G44" i="71"/>
  <c r="C18" i="73" s="1"/>
  <c r="G43" i="71"/>
  <c r="G42" i="71"/>
  <c r="C16" i="73" s="1"/>
  <c r="C9" i="73"/>
  <c r="C7" i="73"/>
  <c r="F54" i="74"/>
  <c r="C18" i="66"/>
  <c r="D18" i="66" s="1"/>
  <c r="E18" i="66" s="1"/>
  <c r="F18" i="66" s="1"/>
  <c r="J18" i="66" s="1"/>
  <c r="F14" i="66"/>
  <c r="E14" i="66"/>
  <c r="D14" i="66"/>
  <c r="C14" i="66"/>
  <c r="B14" i="66"/>
  <c r="F9" i="66"/>
  <c r="E9" i="66"/>
  <c r="D9" i="66"/>
  <c r="C9" i="66"/>
  <c r="B9" i="66"/>
  <c r="C5" i="66"/>
  <c r="D35" i="55" l="1"/>
  <c r="D51" i="55"/>
  <c r="G81" i="84"/>
  <c r="H81" i="84"/>
  <c r="J81" i="84"/>
  <c r="C81" i="84"/>
  <c r="D81" i="84"/>
  <c r="E81" i="84"/>
  <c r="F81" i="84"/>
  <c r="G82" i="84"/>
  <c r="H82" i="84"/>
  <c r="I82" i="84"/>
  <c r="J82" i="84"/>
  <c r="K82" i="84"/>
  <c r="L83" i="84"/>
  <c r="I81" i="84"/>
  <c r="C83" i="84"/>
  <c r="K81" i="84"/>
  <c r="E83" i="84"/>
  <c r="F83" i="84"/>
  <c r="C82" i="84"/>
  <c r="G83" i="84"/>
  <c r="D82" i="84"/>
  <c r="H83" i="84"/>
  <c r="D83" i="84"/>
  <c r="E82" i="84"/>
  <c r="I83" i="84"/>
  <c r="I82" i="83"/>
  <c r="J82" i="83"/>
  <c r="J80" i="83"/>
  <c r="L80" i="83"/>
  <c r="C81" i="83"/>
  <c r="K80" i="83"/>
  <c r="E82" i="83"/>
  <c r="C80" i="83"/>
  <c r="G81" i="83"/>
  <c r="K82" i="83"/>
  <c r="D80" i="83"/>
  <c r="H81" i="83"/>
  <c r="L82" i="83"/>
  <c r="E80" i="83"/>
  <c r="I81" i="83"/>
  <c r="F80" i="83"/>
  <c r="J81" i="83"/>
  <c r="G80" i="83"/>
  <c r="K81" i="83"/>
  <c r="H80" i="83"/>
  <c r="L81" i="81"/>
  <c r="F83" i="81"/>
  <c r="I81" i="81"/>
  <c r="C83" i="81"/>
  <c r="D83" i="81"/>
  <c r="K81" i="81"/>
  <c r="E83" i="81"/>
  <c r="H83" i="81"/>
  <c r="F82" i="81"/>
  <c r="J83" i="81"/>
  <c r="E82" i="81"/>
  <c r="C81" i="81"/>
  <c r="G82" i="81"/>
  <c r="K83" i="81"/>
  <c r="C82" i="81"/>
  <c r="D81" i="81"/>
  <c r="H82" i="81"/>
  <c r="L83" i="81"/>
  <c r="E81" i="81"/>
  <c r="I82" i="81"/>
  <c r="D82" i="81"/>
  <c r="I83" i="81"/>
  <c r="F81" i="81"/>
  <c r="J82" i="81"/>
  <c r="G81" i="81"/>
  <c r="K82" i="81"/>
  <c r="H80" i="80"/>
  <c r="I80" i="80"/>
  <c r="C82" i="80"/>
  <c r="D82" i="80"/>
  <c r="E82" i="80"/>
  <c r="J80" i="80"/>
  <c r="D81" i="80"/>
  <c r="H82" i="80"/>
  <c r="E81" i="80"/>
  <c r="I82" i="80"/>
  <c r="G82" i="80"/>
  <c r="F81" i="80"/>
  <c r="J82" i="80"/>
  <c r="F82" i="80"/>
  <c r="C81" i="80"/>
  <c r="C80" i="80"/>
  <c r="G81" i="80"/>
  <c r="K82" i="80"/>
  <c r="L80" i="80"/>
  <c r="D80" i="80"/>
  <c r="H81" i="80"/>
  <c r="E80" i="80"/>
  <c r="I81" i="80"/>
  <c r="F80" i="80"/>
  <c r="J81" i="80"/>
  <c r="K80" i="80"/>
  <c r="K81" i="78"/>
  <c r="E83" i="78"/>
  <c r="L81" i="78"/>
  <c r="C82" i="78"/>
  <c r="F83" i="78"/>
  <c r="G83" i="78"/>
  <c r="H83" i="78"/>
  <c r="F80" i="77"/>
  <c r="E81" i="77"/>
  <c r="F81" i="77"/>
  <c r="G81" i="77"/>
  <c r="H81" i="77"/>
  <c r="J81" i="77"/>
  <c r="L81" i="77"/>
  <c r="E80" i="77"/>
  <c r="I81" i="77"/>
  <c r="G80" i="77"/>
  <c r="K81" i="77"/>
  <c r="I80" i="77"/>
  <c r="C82" i="77"/>
  <c r="J80" i="77"/>
  <c r="D82" i="77"/>
  <c r="K80" i="77"/>
  <c r="E82" i="77"/>
  <c r="F82" i="77"/>
  <c r="C81" i="77"/>
  <c r="G82" i="77"/>
  <c r="E83" i="75"/>
  <c r="G83" i="75"/>
  <c r="I83" i="75"/>
  <c r="K83" i="75"/>
  <c r="C81" i="75"/>
  <c r="K81" i="75"/>
  <c r="D82" i="75"/>
  <c r="H83" i="75"/>
  <c r="F82" i="75"/>
  <c r="J83" i="75"/>
  <c r="D81" i="75"/>
  <c r="H82" i="75"/>
  <c r="L83" i="75"/>
  <c r="E81" i="75"/>
  <c r="I82" i="75"/>
  <c r="G82" i="75"/>
  <c r="F81" i="75"/>
  <c r="J82" i="75"/>
  <c r="G81" i="75"/>
  <c r="K82" i="75"/>
  <c r="H81" i="75"/>
  <c r="I81" i="75"/>
  <c r="C83" i="75"/>
  <c r="C82" i="74"/>
  <c r="D82" i="74"/>
  <c r="L81" i="74"/>
  <c r="E82" i="74"/>
  <c r="K80" i="74"/>
  <c r="E81" i="74"/>
  <c r="L80" i="74"/>
  <c r="C81" i="74"/>
  <c r="G82" i="74"/>
  <c r="F82" i="74"/>
  <c r="D81" i="74"/>
  <c r="H82" i="74"/>
  <c r="F81" i="74"/>
  <c r="J82" i="74"/>
  <c r="I82" i="74"/>
  <c r="C80" i="74"/>
  <c r="G81" i="74"/>
  <c r="K82" i="74"/>
  <c r="D80" i="74"/>
  <c r="H81" i="74"/>
  <c r="E80" i="74"/>
  <c r="I81" i="74"/>
  <c r="F80" i="74"/>
  <c r="J81" i="74"/>
  <c r="G81" i="72"/>
  <c r="K82" i="72"/>
  <c r="J81" i="72"/>
  <c r="D83" i="72"/>
  <c r="F81" i="72"/>
  <c r="C83" i="72"/>
  <c r="K81" i="72"/>
  <c r="E83" i="72"/>
  <c r="L81" i="72"/>
  <c r="F83" i="72"/>
  <c r="I81" i="72"/>
  <c r="C82" i="72"/>
  <c r="G83" i="72"/>
  <c r="D82" i="72"/>
  <c r="H83" i="72"/>
  <c r="E82" i="72"/>
  <c r="I83" i="72"/>
  <c r="F82" i="72"/>
  <c r="J83" i="72"/>
  <c r="C81" i="72"/>
  <c r="G82" i="72"/>
  <c r="K83" i="72"/>
  <c r="H81" i="72"/>
  <c r="D81" i="72"/>
  <c r="H82" i="72"/>
  <c r="G80" i="71"/>
  <c r="E81" i="71"/>
  <c r="F81" i="71"/>
  <c r="H81" i="71"/>
  <c r="F80" i="71"/>
  <c r="H80" i="71"/>
  <c r="I80" i="71"/>
  <c r="I81" i="71"/>
  <c r="L81" i="71"/>
  <c r="C82" i="71"/>
  <c r="G81" i="71"/>
  <c r="J81" i="71"/>
  <c r="K81" i="71"/>
  <c r="D80" i="71"/>
  <c r="E80" i="71"/>
  <c r="E82" i="71"/>
  <c r="D82" i="71"/>
  <c r="L80" i="71"/>
  <c r="F82" i="71"/>
  <c r="C81" i="71"/>
  <c r="G82" i="71"/>
  <c r="J80" i="71"/>
  <c r="E82" i="78"/>
  <c r="I83" i="78"/>
  <c r="F82" i="78"/>
  <c r="C81" i="78"/>
  <c r="K83" i="78"/>
  <c r="D81" i="78"/>
  <c r="L83" i="78"/>
  <c r="E81" i="78"/>
  <c r="F81" i="78"/>
  <c r="J82" i="78"/>
  <c r="G81" i="78"/>
  <c r="K82" i="78"/>
  <c r="H81" i="78"/>
  <c r="I81" i="78"/>
  <c r="C83" i="78"/>
  <c r="D82" i="78"/>
  <c r="J83" i="78"/>
  <c r="G82" i="78"/>
  <c r="H82" i="78"/>
  <c r="I82" i="78"/>
  <c r="D16" i="55"/>
  <c r="D33" i="55"/>
  <c r="D49" i="55"/>
  <c r="C58" i="72"/>
  <c r="D10" i="72" s="1"/>
  <c r="C57" i="71"/>
  <c r="D9" i="71" s="1"/>
  <c r="G41" i="71"/>
  <c r="G57" i="71" s="1"/>
  <c r="F47" i="78"/>
  <c r="F51" i="78"/>
  <c r="K18" i="66"/>
  <c r="J19" i="66"/>
  <c r="C19" i="73"/>
  <c r="C27" i="73"/>
  <c r="F48" i="74"/>
  <c r="F49" i="75"/>
  <c r="C4" i="73"/>
  <c r="C6" i="73"/>
  <c r="C3" i="73"/>
  <c r="C28" i="76"/>
  <c r="C17" i="73"/>
  <c r="C25" i="73"/>
  <c r="C10" i="73"/>
  <c r="F51" i="75"/>
  <c r="F50" i="74"/>
  <c r="F27" i="84"/>
  <c r="F26" i="83"/>
  <c r="F43" i="74"/>
  <c r="F44" i="75"/>
  <c r="F45" i="74"/>
  <c r="F46" i="75"/>
  <c r="F47" i="74"/>
  <c r="F48" i="75"/>
  <c r="F49" i="74"/>
  <c r="F50" i="75"/>
  <c r="F51" i="74"/>
  <c r="F52" i="75"/>
  <c r="F53" i="74"/>
  <c r="F54" i="75"/>
  <c r="F55" i="74"/>
  <c r="C5" i="73"/>
  <c r="C23" i="73"/>
  <c r="C35" i="72"/>
  <c r="D7" i="72" s="1"/>
  <c r="D5" i="66"/>
  <c r="E5" i="66" s="1"/>
  <c r="F5" i="66" s="1"/>
  <c r="F56" i="74"/>
  <c r="C2" i="73"/>
  <c r="G34" i="71"/>
  <c r="B100" i="71" s="1"/>
  <c r="C11" i="73"/>
  <c r="G35" i="72"/>
  <c r="L100" i="72" s="1"/>
  <c r="F42" i="74"/>
  <c r="F43" i="75"/>
  <c r="F45" i="75"/>
  <c r="F44" i="74"/>
  <c r="F47" i="75"/>
  <c r="F46" i="74"/>
  <c r="F53" i="75"/>
  <c r="F52" i="74"/>
  <c r="F44" i="78"/>
  <c r="F46" i="78"/>
  <c r="F50" i="78"/>
  <c r="F52" i="78"/>
  <c r="F54" i="78"/>
  <c r="C34" i="71"/>
  <c r="D6" i="71" s="1"/>
  <c r="C21" i="73"/>
  <c r="C29" i="73"/>
  <c r="C4" i="76"/>
  <c r="C28" i="73"/>
  <c r="C30" i="73"/>
  <c r="C26" i="73"/>
  <c r="C254" i="72"/>
  <c r="G42" i="72"/>
  <c r="C249" i="72"/>
  <c r="C255" i="72"/>
  <c r="C8" i="73"/>
  <c r="C255" i="75"/>
  <c r="J261" i="75"/>
  <c r="C4" i="79"/>
  <c r="C253" i="75"/>
  <c r="J259" i="75"/>
  <c r="C255" i="78"/>
  <c r="J260" i="75"/>
  <c r="C249" i="75"/>
  <c r="J261" i="78"/>
  <c r="C254" i="81"/>
  <c r="J259" i="78"/>
  <c r="C255" i="81"/>
  <c r="C249" i="78"/>
  <c r="C254" i="78"/>
  <c r="C4" i="82"/>
  <c r="J260" i="81"/>
  <c r="J261" i="81"/>
  <c r="C249" i="81"/>
  <c r="C255" i="84"/>
  <c r="C254" i="84"/>
  <c r="C249" i="84"/>
  <c r="J260" i="84"/>
  <c r="C35" i="34" l="1"/>
  <c r="A5" i="77"/>
  <c r="C12" i="75"/>
  <c r="C11" i="74"/>
  <c r="E107" i="71"/>
  <c r="E100" i="71"/>
  <c r="E112" i="71"/>
  <c r="K100" i="72"/>
  <c r="C15" i="73"/>
  <c r="C31" i="73" s="1"/>
  <c r="C12" i="72"/>
  <c r="A5" i="74"/>
  <c r="A6" i="72"/>
  <c r="A9" i="72" s="1"/>
  <c r="O100" i="72"/>
  <c r="B107" i="72"/>
  <c r="C11" i="80"/>
  <c r="A6" i="81"/>
  <c r="A9" i="81" s="1"/>
  <c r="A5" i="80"/>
  <c r="A8" i="80" s="1"/>
  <c r="A5" i="83"/>
  <c r="A8" i="83" s="1"/>
  <c r="E104" i="71"/>
  <c r="E108" i="71"/>
  <c r="E99" i="71"/>
  <c r="E111" i="71"/>
  <c r="E101" i="71"/>
  <c r="N100" i="72"/>
  <c r="H100" i="72"/>
  <c r="B109" i="72"/>
  <c r="B104" i="72"/>
  <c r="B108" i="72"/>
  <c r="E114" i="71"/>
  <c r="E102" i="71"/>
  <c r="E103" i="71"/>
  <c r="C21" i="79"/>
  <c r="E113" i="71"/>
  <c r="E110" i="71"/>
  <c r="E105" i="71"/>
  <c r="F48" i="78"/>
  <c r="P100" i="72"/>
  <c r="J100" i="72"/>
  <c r="Q100" i="72"/>
  <c r="B106" i="72"/>
  <c r="B103" i="72"/>
  <c r="B100" i="72"/>
  <c r="B105" i="72"/>
  <c r="I100" i="72"/>
  <c r="C16" i="76"/>
  <c r="Q99" i="71"/>
  <c r="C9" i="79"/>
  <c r="C9" i="76"/>
  <c r="B101" i="71"/>
  <c r="F43" i="78"/>
  <c r="K19" i="66"/>
  <c r="L18" i="66"/>
  <c r="C11" i="79"/>
  <c r="C26" i="76"/>
  <c r="L99" i="71"/>
  <c r="K99" i="71"/>
  <c r="C25" i="76"/>
  <c r="C17" i="76"/>
  <c r="C4" i="85"/>
  <c r="I99" i="71"/>
  <c r="C30" i="76"/>
  <c r="C58" i="75"/>
  <c r="D10" i="75" s="1"/>
  <c r="F42" i="75"/>
  <c r="P99" i="71"/>
  <c r="C6" i="79"/>
  <c r="C3" i="79"/>
  <c r="D28" i="73"/>
  <c r="F28" i="73"/>
  <c r="G28" i="73" s="1"/>
  <c r="B104" i="71"/>
  <c r="D29" i="73"/>
  <c r="C27" i="79"/>
  <c r="C20" i="76"/>
  <c r="B108" i="71"/>
  <c r="C23" i="76"/>
  <c r="C57" i="74"/>
  <c r="D9" i="74" s="1"/>
  <c r="F41" i="74"/>
  <c r="C35" i="75"/>
  <c r="D7" i="75" s="1"/>
  <c r="C8" i="76"/>
  <c r="A6" i="75"/>
  <c r="C12" i="81"/>
  <c r="C11" i="71"/>
  <c r="C22" i="76"/>
  <c r="C19" i="79"/>
  <c r="B105" i="71"/>
  <c r="O99" i="71"/>
  <c r="M99" i="71"/>
  <c r="F6" i="71"/>
  <c r="C7" i="76"/>
  <c r="C34" i="74"/>
  <c r="D6" i="74" s="1"/>
  <c r="B107" i="71"/>
  <c r="D27" i="73"/>
  <c r="C18" i="76"/>
  <c r="B99" i="71"/>
  <c r="F9" i="71"/>
  <c r="E106" i="71"/>
  <c r="C29" i="76"/>
  <c r="C21" i="76"/>
  <c r="C11" i="76"/>
  <c r="C5" i="76"/>
  <c r="C24" i="76"/>
  <c r="C6" i="76"/>
  <c r="C11" i="77"/>
  <c r="C11" i="83"/>
  <c r="B103" i="71"/>
  <c r="F53" i="78"/>
  <c r="N99" i="71"/>
  <c r="C8" i="79"/>
  <c r="C7" i="79"/>
  <c r="B106" i="71"/>
  <c r="D30" i="73"/>
  <c r="C25" i="79"/>
  <c r="C17" i="79"/>
  <c r="C5" i="79"/>
  <c r="H99" i="71"/>
  <c r="B102" i="71"/>
  <c r="A6" i="78"/>
  <c r="A6" i="84"/>
  <c r="E109" i="71"/>
  <c r="F49" i="78"/>
  <c r="C24" i="79"/>
  <c r="C10" i="79"/>
  <c r="C20" i="79"/>
  <c r="G58" i="72"/>
  <c r="E100" i="72" s="1"/>
  <c r="C29" i="79"/>
  <c r="C23" i="79"/>
  <c r="F7" i="72"/>
  <c r="B102" i="72"/>
  <c r="C3" i="76"/>
  <c r="C27" i="76"/>
  <c r="C19" i="76"/>
  <c r="C10" i="76"/>
  <c r="A5" i="71"/>
  <c r="C12" i="78"/>
  <c r="C12" i="84"/>
  <c r="M100" i="72"/>
  <c r="F28" i="76"/>
  <c r="G28" i="76" s="1"/>
  <c r="D28" i="76"/>
  <c r="J99" i="71"/>
  <c r="F45" i="78"/>
  <c r="B101" i="72"/>
  <c r="D23" i="73"/>
  <c r="A8" i="77" l="1"/>
  <c r="A8" i="74"/>
  <c r="D18" i="73"/>
  <c r="D31" i="73" s="1"/>
  <c r="E115" i="71"/>
  <c r="C21" i="82"/>
  <c r="B110" i="72"/>
  <c r="B109" i="71"/>
  <c r="C24" i="82"/>
  <c r="C15" i="76"/>
  <c r="F57" i="74"/>
  <c r="C17" i="82"/>
  <c r="C57" i="77"/>
  <c r="D9" i="77" s="1"/>
  <c r="F26" i="84"/>
  <c r="F25" i="83"/>
  <c r="F55" i="83"/>
  <c r="C18" i="79"/>
  <c r="H28" i="76"/>
  <c r="C37" i="76" s="1"/>
  <c r="C15" i="79"/>
  <c r="F57" i="77"/>
  <c r="E99" i="77" s="1"/>
  <c r="D29" i="79"/>
  <c r="F10" i="72"/>
  <c r="E113" i="72"/>
  <c r="E105" i="72"/>
  <c r="E104" i="72"/>
  <c r="E111" i="72"/>
  <c r="E101" i="72"/>
  <c r="E114" i="72"/>
  <c r="E106" i="72"/>
  <c r="E115" i="72"/>
  <c r="E110" i="72"/>
  <c r="E102" i="72"/>
  <c r="E112" i="72"/>
  <c r="E108" i="72"/>
  <c r="E109" i="72"/>
  <c r="E107" i="72"/>
  <c r="E103" i="72"/>
  <c r="A9" i="84"/>
  <c r="F48" i="84"/>
  <c r="F47" i="83"/>
  <c r="C19" i="82"/>
  <c r="C20" i="82"/>
  <c r="F35" i="75"/>
  <c r="H100" i="75" s="1"/>
  <c r="C23" i="82"/>
  <c r="D30" i="76"/>
  <c r="F30" i="84"/>
  <c r="F29" i="83"/>
  <c r="F31" i="83"/>
  <c r="C27" i="82"/>
  <c r="C3" i="82"/>
  <c r="F33" i="83"/>
  <c r="C26" i="79"/>
  <c r="D27" i="79" s="1"/>
  <c r="F27" i="83"/>
  <c r="A8" i="71"/>
  <c r="A9" i="78"/>
  <c r="D27" i="76"/>
  <c r="C28" i="79"/>
  <c r="C5" i="82"/>
  <c r="E144" i="72"/>
  <c r="C29" i="82"/>
  <c r="C8" i="82"/>
  <c r="C6" i="82"/>
  <c r="F47" i="84"/>
  <c r="F46" i="83"/>
  <c r="F32" i="83"/>
  <c r="C7" i="82"/>
  <c r="L19" i="66"/>
  <c r="M18" i="66"/>
  <c r="F58" i="78"/>
  <c r="E107" i="78" s="1"/>
  <c r="C11" i="82"/>
  <c r="E144" i="71"/>
  <c r="E145" i="71"/>
  <c r="E143" i="71"/>
  <c r="R99" i="71"/>
  <c r="D29" i="76"/>
  <c r="C10" i="82"/>
  <c r="C16" i="79"/>
  <c r="C58" i="78"/>
  <c r="D10" i="78" s="1"/>
  <c r="R100" i="72"/>
  <c r="F43" i="83"/>
  <c r="F44" i="84"/>
  <c r="F52" i="84"/>
  <c r="F51" i="83"/>
  <c r="E145" i="72"/>
  <c r="F28" i="83"/>
  <c r="F29" i="84"/>
  <c r="F50" i="84"/>
  <c r="F49" i="83"/>
  <c r="F54" i="84"/>
  <c r="F53" i="83"/>
  <c r="C35" i="78"/>
  <c r="D7" i="78" s="1"/>
  <c r="A9" i="75"/>
  <c r="C9" i="82"/>
  <c r="D23" i="76"/>
  <c r="C22" i="79"/>
  <c r="D23" i="79" s="1"/>
  <c r="F51" i="84"/>
  <c r="F50" i="83"/>
  <c r="F46" i="84"/>
  <c r="F45" i="83"/>
  <c r="C2" i="76"/>
  <c r="F34" i="74"/>
  <c r="H99" i="74" s="1"/>
  <c r="C30" i="79"/>
  <c r="C25" i="82"/>
  <c r="H28" i="73"/>
  <c r="C37" i="73" s="1"/>
  <c r="F31" i="84"/>
  <c r="F30" i="83"/>
  <c r="F58" i="75"/>
  <c r="E146" i="72"/>
  <c r="C34" i="77"/>
  <c r="C273" i="53" l="1"/>
  <c r="C56" i="52"/>
  <c r="F56" i="52" s="1"/>
  <c r="C272" i="52"/>
  <c r="D6" i="77"/>
  <c r="E110" i="77"/>
  <c r="E102" i="77"/>
  <c r="E101" i="78"/>
  <c r="E111" i="78"/>
  <c r="E114" i="77"/>
  <c r="E103" i="78"/>
  <c r="E106" i="77"/>
  <c r="E112" i="77"/>
  <c r="E100" i="77"/>
  <c r="C57" i="80"/>
  <c r="E100" i="78"/>
  <c r="B99" i="74"/>
  <c r="C25" i="85"/>
  <c r="C5" i="85"/>
  <c r="B100" i="75"/>
  <c r="C18" i="82"/>
  <c r="F9" i="74"/>
  <c r="E112" i="74"/>
  <c r="E105" i="74"/>
  <c r="E109" i="74"/>
  <c r="E104" i="74"/>
  <c r="E107" i="74"/>
  <c r="E103" i="74"/>
  <c r="E108" i="74"/>
  <c r="E110" i="74"/>
  <c r="E101" i="74"/>
  <c r="E111" i="74"/>
  <c r="E114" i="74"/>
  <c r="E113" i="74"/>
  <c r="E100" i="74"/>
  <c r="E106" i="74"/>
  <c r="E102" i="74"/>
  <c r="D28" i="79"/>
  <c r="F28" i="79"/>
  <c r="G28" i="79" s="1"/>
  <c r="F10" i="75"/>
  <c r="E113" i="75"/>
  <c r="E115" i="75"/>
  <c r="E114" i="75"/>
  <c r="E107" i="75"/>
  <c r="E111" i="75"/>
  <c r="E101" i="75"/>
  <c r="E102" i="75"/>
  <c r="E109" i="75"/>
  <c r="E106" i="75"/>
  <c r="E112" i="75"/>
  <c r="E108" i="75"/>
  <c r="E104" i="75"/>
  <c r="E105" i="75"/>
  <c r="E103" i="75"/>
  <c r="E110" i="75"/>
  <c r="F43" i="84"/>
  <c r="F42" i="83"/>
  <c r="C31" i="79"/>
  <c r="D18" i="79"/>
  <c r="C29" i="85"/>
  <c r="E99" i="74"/>
  <c r="C3" i="85"/>
  <c r="C26" i="82"/>
  <c r="D27" i="82" s="1"/>
  <c r="F42" i="84"/>
  <c r="F35" i="78"/>
  <c r="C19" i="85"/>
  <c r="E116" i="72"/>
  <c r="C27" i="85"/>
  <c r="C35" i="81"/>
  <c r="D7" i="81" s="1"/>
  <c r="C9" i="85"/>
  <c r="C8" i="85"/>
  <c r="F41" i="83"/>
  <c r="C20" i="85"/>
  <c r="F45" i="84"/>
  <c r="F44" i="83"/>
  <c r="C2" i="79"/>
  <c r="F34" i="77"/>
  <c r="B99" i="77" s="1"/>
  <c r="E100" i="75"/>
  <c r="F58" i="81"/>
  <c r="E103" i="81" s="1"/>
  <c r="C16" i="82"/>
  <c r="C6" i="85"/>
  <c r="C17" i="85"/>
  <c r="F56" i="83"/>
  <c r="C34" i="80"/>
  <c r="D29" i="82"/>
  <c r="F54" i="83"/>
  <c r="C11" i="85"/>
  <c r="D18" i="76"/>
  <c r="D31" i="76" s="1"/>
  <c r="C31" i="76"/>
  <c r="C15" i="82"/>
  <c r="F57" i="80"/>
  <c r="E100" i="80" s="1"/>
  <c r="F7" i="75"/>
  <c r="B108" i="75"/>
  <c r="K100" i="75"/>
  <c r="B107" i="75"/>
  <c r="B102" i="75"/>
  <c r="O100" i="75"/>
  <c r="P100" i="75"/>
  <c r="Q100" i="75"/>
  <c r="J100" i="75"/>
  <c r="B103" i="75"/>
  <c r="B109" i="75"/>
  <c r="B106" i="75"/>
  <c r="L100" i="75"/>
  <c r="N100" i="75"/>
  <c r="B105" i="75"/>
  <c r="B101" i="75"/>
  <c r="M100" i="75"/>
  <c r="I100" i="75"/>
  <c r="B104" i="75"/>
  <c r="D30" i="79"/>
  <c r="F6" i="74"/>
  <c r="J99" i="74"/>
  <c r="B101" i="74"/>
  <c r="K99" i="74"/>
  <c r="B103" i="74"/>
  <c r="P99" i="74"/>
  <c r="N99" i="74"/>
  <c r="B108" i="74"/>
  <c r="B102" i="74"/>
  <c r="B107" i="74"/>
  <c r="M99" i="74"/>
  <c r="Q99" i="74"/>
  <c r="L99" i="74"/>
  <c r="B104" i="74"/>
  <c r="I99" i="74"/>
  <c r="B106" i="74"/>
  <c r="B100" i="74"/>
  <c r="O99" i="74"/>
  <c r="B105" i="74"/>
  <c r="C58" i="81"/>
  <c r="D10" i="81" s="1"/>
  <c r="F49" i="84"/>
  <c r="F48" i="83"/>
  <c r="E113" i="78"/>
  <c r="F10" i="78"/>
  <c r="E115" i="78"/>
  <c r="E114" i="78"/>
  <c r="E108" i="78"/>
  <c r="E112" i="78"/>
  <c r="E109" i="78"/>
  <c r="E110" i="78"/>
  <c r="E106" i="78"/>
  <c r="E104" i="78"/>
  <c r="E105" i="78"/>
  <c r="E102" i="78"/>
  <c r="M19" i="66"/>
  <c r="N18" i="66"/>
  <c r="C22" i="82"/>
  <c r="C21" i="85"/>
  <c r="C24" i="85"/>
  <c r="C23" i="85"/>
  <c r="F53" i="84"/>
  <c r="F52" i="83"/>
  <c r="C30" i="82"/>
  <c r="C10" i="85"/>
  <c r="C28" i="82"/>
  <c r="C7" i="85"/>
  <c r="F9" i="77"/>
  <c r="E111" i="77"/>
  <c r="E103" i="77"/>
  <c r="E101" i="77"/>
  <c r="E113" i="77"/>
  <c r="E104" i="77"/>
  <c r="E105" i="77"/>
  <c r="E109" i="77"/>
  <c r="E107" i="77"/>
  <c r="E108" i="77"/>
  <c r="C18" i="56"/>
  <c r="D18" i="56" s="1"/>
  <c r="C19" i="56"/>
  <c r="D19" i="56" s="1"/>
  <c r="C20" i="56"/>
  <c r="C21" i="56"/>
  <c r="C22" i="56"/>
  <c r="D22" i="56" s="1"/>
  <c r="C23" i="56"/>
  <c r="C24" i="56"/>
  <c r="C25" i="56"/>
  <c r="D25" i="56" s="1"/>
  <c r="D32" i="55" l="1"/>
  <c r="D48" i="55"/>
  <c r="D14" i="55"/>
  <c r="C56" i="57"/>
  <c r="F56" i="57" s="1"/>
  <c r="C272" i="57"/>
  <c r="D9" i="80"/>
  <c r="D6" i="80"/>
  <c r="D10" i="55"/>
  <c r="D21" i="56"/>
  <c r="D20" i="56"/>
  <c r="D43" i="55" s="1"/>
  <c r="D24" i="56"/>
  <c r="D23" i="56"/>
  <c r="D30" i="55" s="1"/>
  <c r="E114" i="80"/>
  <c r="E111" i="81"/>
  <c r="E107" i="81"/>
  <c r="E100" i="81"/>
  <c r="C57" i="83"/>
  <c r="D9" i="83" s="1"/>
  <c r="E116" i="78"/>
  <c r="E101" i="81"/>
  <c r="H99" i="77"/>
  <c r="E144" i="74"/>
  <c r="B109" i="74"/>
  <c r="C18" i="85"/>
  <c r="B103" i="78"/>
  <c r="F7" i="78"/>
  <c r="K100" i="78"/>
  <c r="B108" i="78"/>
  <c r="O100" i="78"/>
  <c r="B109" i="78"/>
  <c r="B102" i="78"/>
  <c r="P100" i="78"/>
  <c r="B107" i="78"/>
  <c r="Q100" i="78"/>
  <c r="J100" i="78"/>
  <c r="I100" i="78"/>
  <c r="B105" i="78"/>
  <c r="B101" i="78"/>
  <c r="M100" i="78"/>
  <c r="B106" i="78"/>
  <c r="L100" i="78"/>
  <c r="N100" i="78"/>
  <c r="B104" i="78"/>
  <c r="D30" i="82"/>
  <c r="E145" i="74"/>
  <c r="E99" i="80"/>
  <c r="C2" i="82"/>
  <c r="F34" i="80"/>
  <c r="H99" i="80" s="1"/>
  <c r="C30" i="85"/>
  <c r="E116" i="75"/>
  <c r="H100" i="78"/>
  <c r="E145" i="75"/>
  <c r="F9" i="80"/>
  <c r="E109" i="80"/>
  <c r="E111" i="80"/>
  <c r="E108" i="80"/>
  <c r="E107" i="80"/>
  <c r="E101" i="80"/>
  <c r="E103" i="80"/>
  <c r="E104" i="80"/>
  <c r="E113" i="80"/>
  <c r="E105" i="80"/>
  <c r="C58" i="84"/>
  <c r="D10" i="84" s="1"/>
  <c r="E106" i="80"/>
  <c r="E143" i="74"/>
  <c r="C31" i="82"/>
  <c r="D18" i="82"/>
  <c r="F6" i="77"/>
  <c r="J99" i="77"/>
  <c r="B101" i="77"/>
  <c r="B106" i="77"/>
  <c r="N99" i="77"/>
  <c r="B104" i="77"/>
  <c r="P99" i="77"/>
  <c r="B107" i="77"/>
  <c r="O99" i="77"/>
  <c r="B100" i="77"/>
  <c r="M99" i="77"/>
  <c r="L99" i="77"/>
  <c r="I99" i="77"/>
  <c r="B105" i="77"/>
  <c r="Q99" i="77"/>
  <c r="K99" i="77"/>
  <c r="B108" i="77"/>
  <c r="B102" i="77"/>
  <c r="B103" i="77"/>
  <c r="C34" i="83"/>
  <c r="D6" i="83" s="1"/>
  <c r="F24" i="83"/>
  <c r="E146" i="75"/>
  <c r="F35" i="81"/>
  <c r="C26" i="85"/>
  <c r="D23" i="82"/>
  <c r="E110" i="80"/>
  <c r="D29" i="85"/>
  <c r="H28" i="79"/>
  <c r="C37" i="79" s="1"/>
  <c r="C35" i="84"/>
  <c r="D7" i="84" s="1"/>
  <c r="F25" i="84"/>
  <c r="E115" i="77"/>
  <c r="E115" i="74"/>
  <c r="D31" i="79"/>
  <c r="E112" i="80"/>
  <c r="C22" i="85"/>
  <c r="C28" i="85"/>
  <c r="E144" i="75"/>
  <c r="D28" i="82"/>
  <c r="F28" i="82"/>
  <c r="G28" i="82" s="1"/>
  <c r="O18" i="66"/>
  <c r="N19" i="66"/>
  <c r="B110" i="75"/>
  <c r="R100" i="75"/>
  <c r="R99" i="74"/>
  <c r="F10" i="81"/>
  <c r="E115" i="81"/>
  <c r="E113" i="81"/>
  <c r="E114" i="81"/>
  <c r="E102" i="81"/>
  <c r="E106" i="81"/>
  <c r="E108" i="81"/>
  <c r="E112" i="81"/>
  <c r="E109" i="81"/>
  <c r="E105" i="81"/>
  <c r="E104" i="81"/>
  <c r="E110" i="81"/>
  <c r="C15" i="85"/>
  <c r="F57" i="83"/>
  <c r="E102" i="83" s="1"/>
  <c r="B100" i="78"/>
  <c r="F58" i="84"/>
  <c r="E103" i="84" s="1"/>
  <c r="C16" i="85"/>
  <c r="E102" i="80"/>
  <c r="D47" i="55" l="1"/>
  <c r="D31" i="55"/>
  <c r="D46" i="55"/>
  <c r="D27" i="55"/>
  <c r="D13" i="55"/>
  <c r="C272" i="60"/>
  <c r="C56" i="60"/>
  <c r="F56" i="60" s="1"/>
  <c r="C273" i="61"/>
  <c r="H28" i="82"/>
  <c r="C37" i="82" s="1"/>
  <c r="D11" i="55"/>
  <c r="D44" i="55"/>
  <c r="D28" i="55"/>
  <c r="D9" i="55"/>
  <c r="D26" i="55"/>
  <c r="D42" i="55"/>
  <c r="D29" i="55"/>
  <c r="D12" i="55"/>
  <c r="D45" i="55"/>
  <c r="E106" i="83"/>
  <c r="E107" i="84"/>
  <c r="E114" i="83"/>
  <c r="E100" i="83"/>
  <c r="B109" i="77"/>
  <c r="B110" i="78"/>
  <c r="E145" i="77"/>
  <c r="E101" i="84"/>
  <c r="F35" i="84"/>
  <c r="B100" i="84" s="1"/>
  <c r="O19" i="66"/>
  <c r="P18" i="66"/>
  <c r="F7" i="81"/>
  <c r="J100" i="81"/>
  <c r="B102" i="81"/>
  <c r="B107" i="81"/>
  <c r="B109" i="81"/>
  <c r="B103" i="81"/>
  <c r="O100" i="81"/>
  <c r="B108" i="81"/>
  <c r="P100" i="81"/>
  <c r="K100" i="81"/>
  <c r="Q100" i="81"/>
  <c r="B105" i="81"/>
  <c r="N100" i="81"/>
  <c r="B104" i="81"/>
  <c r="L100" i="81"/>
  <c r="B106" i="81"/>
  <c r="I100" i="81"/>
  <c r="B101" i="81"/>
  <c r="M100" i="81"/>
  <c r="C2" i="85"/>
  <c r="F34" i="83"/>
  <c r="B99" i="83" s="1"/>
  <c r="E144" i="78"/>
  <c r="E146" i="78"/>
  <c r="R100" i="78"/>
  <c r="E145" i="78"/>
  <c r="E115" i="80"/>
  <c r="E143" i="77"/>
  <c r="E100" i="84"/>
  <c r="F9" i="83"/>
  <c r="E107" i="83"/>
  <c r="E108" i="83"/>
  <c r="E104" i="83"/>
  <c r="E105" i="83"/>
  <c r="E111" i="83"/>
  <c r="E101" i="83"/>
  <c r="E109" i="83"/>
  <c r="E113" i="83"/>
  <c r="E103" i="83"/>
  <c r="R99" i="77"/>
  <c r="D23" i="85"/>
  <c r="B100" i="81"/>
  <c r="D30" i="85"/>
  <c r="E116" i="81"/>
  <c r="E99" i="83"/>
  <c r="E112" i="83"/>
  <c r="H100" i="81"/>
  <c r="D27" i="85"/>
  <c r="F28" i="85"/>
  <c r="G28" i="85" s="1"/>
  <c r="D28" i="85"/>
  <c r="E110" i="83"/>
  <c r="F6" i="80"/>
  <c r="J99" i="80"/>
  <c r="B101" i="80"/>
  <c r="O99" i="80"/>
  <c r="B107" i="80"/>
  <c r="B106" i="80"/>
  <c r="B100" i="80"/>
  <c r="Q99" i="80"/>
  <c r="L99" i="80"/>
  <c r="P99" i="80"/>
  <c r="I99" i="80"/>
  <c r="B102" i="80"/>
  <c r="N99" i="80"/>
  <c r="B103" i="80"/>
  <c r="K99" i="80"/>
  <c r="B105" i="80"/>
  <c r="M99" i="80"/>
  <c r="B108" i="80"/>
  <c r="B104" i="80"/>
  <c r="E113" i="84"/>
  <c r="F10" i="84"/>
  <c r="E115" i="84"/>
  <c r="E114" i="84"/>
  <c r="E112" i="84"/>
  <c r="E105" i="84"/>
  <c r="E108" i="84"/>
  <c r="E109" i="84"/>
  <c r="E106" i="84"/>
  <c r="E110" i="84"/>
  <c r="E104" i="84"/>
  <c r="E102" i="84"/>
  <c r="D18" i="85"/>
  <c r="C31" i="85"/>
  <c r="E144" i="77"/>
  <c r="E111" i="84"/>
  <c r="D31" i="82"/>
  <c r="B99" i="80"/>
  <c r="A30" i="65"/>
  <c r="A29" i="65"/>
  <c r="A28" i="65"/>
  <c r="A27" i="65"/>
  <c r="H26" i="65"/>
  <c r="A26" i="65"/>
  <c r="H25" i="65"/>
  <c r="A25" i="65"/>
  <c r="H24" i="65"/>
  <c r="A24" i="65"/>
  <c r="A23" i="65"/>
  <c r="H22" i="65"/>
  <c r="A22" i="65"/>
  <c r="H21" i="65"/>
  <c r="A21" i="65"/>
  <c r="H20" i="65"/>
  <c r="A20" i="65"/>
  <c r="H19" i="65"/>
  <c r="A19" i="65"/>
  <c r="A18" i="65"/>
  <c r="H17" i="65"/>
  <c r="A17" i="65"/>
  <c r="H16" i="65"/>
  <c r="A16" i="65"/>
  <c r="H15" i="65"/>
  <c r="A15" i="65"/>
  <c r="A11" i="65"/>
  <c r="A10" i="65"/>
  <c r="A9" i="65"/>
  <c r="A8" i="65"/>
  <c r="A7" i="65"/>
  <c r="A6" i="65"/>
  <c r="A5" i="65"/>
  <c r="A4" i="65"/>
  <c r="A3" i="65"/>
  <c r="A2" i="65"/>
  <c r="L259" i="64"/>
  <c r="E28" i="65" s="1"/>
  <c r="I242" i="64"/>
  <c r="I261" i="64" s="1"/>
  <c r="B30" i="65" s="1"/>
  <c r="L7" i="65" s="1"/>
  <c r="I241" i="64"/>
  <c r="I260" i="64" s="1"/>
  <c r="B29" i="65" s="1"/>
  <c r="L6" i="65" s="1"/>
  <c r="I240" i="64"/>
  <c r="I259" i="64" s="1"/>
  <c r="B28" i="65" s="1"/>
  <c r="L5" i="65" s="1"/>
  <c r="I239" i="64"/>
  <c r="I258" i="64" s="1"/>
  <c r="B27" i="65" s="1"/>
  <c r="I238" i="64"/>
  <c r="I257" i="64" s="1"/>
  <c r="B26" i="65" s="1"/>
  <c r="I237" i="64"/>
  <c r="I256" i="64" s="1"/>
  <c r="B25" i="65" s="1"/>
  <c r="I236" i="64"/>
  <c r="I255" i="64" s="1"/>
  <c r="B24" i="65" s="1"/>
  <c r="B236" i="64"/>
  <c r="B255" i="64" s="1"/>
  <c r="B11" i="65" s="1"/>
  <c r="I235" i="64"/>
  <c r="I254" i="64" s="1"/>
  <c r="B23" i="65" s="1"/>
  <c r="B235" i="64"/>
  <c r="B254" i="64" s="1"/>
  <c r="B10" i="65" s="1"/>
  <c r="I234" i="64"/>
  <c r="I253" i="64" s="1"/>
  <c r="B22" i="65" s="1"/>
  <c r="B234" i="64"/>
  <c r="B253" i="64" s="1"/>
  <c r="B9" i="65" s="1"/>
  <c r="I233" i="64"/>
  <c r="I252" i="64" s="1"/>
  <c r="B21" i="65" s="1"/>
  <c r="B233" i="64"/>
  <c r="B252" i="64" s="1"/>
  <c r="B8" i="65" s="1"/>
  <c r="I232" i="64"/>
  <c r="I251" i="64" s="1"/>
  <c r="B20" i="65" s="1"/>
  <c r="B232" i="64"/>
  <c r="B251" i="64" s="1"/>
  <c r="B7" i="65" s="1"/>
  <c r="I231" i="64"/>
  <c r="I250" i="64" s="1"/>
  <c r="B19" i="65" s="1"/>
  <c r="B231" i="64"/>
  <c r="B250" i="64" s="1"/>
  <c r="B6" i="65" s="1"/>
  <c r="I230" i="64"/>
  <c r="I249" i="64" s="1"/>
  <c r="B18" i="65" s="1"/>
  <c r="B230" i="64"/>
  <c r="B249" i="64" s="1"/>
  <c r="B5" i="65" s="1"/>
  <c r="I229" i="64"/>
  <c r="I248" i="64" s="1"/>
  <c r="B17" i="65" s="1"/>
  <c r="B229" i="64"/>
  <c r="B248" i="64" s="1"/>
  <c r="B4" i="65" s="1"/>
  <c r="I228" i="64"/>
  <c r="I247" i="64" s="1"/>
  <c r="B16" i="65" s="1"/>
  <c r="B228" i="64"/>
  <c r="B247" i="64" s="1"/>
  <c r="B3" i="65" s="1"/>
  <c r="I227" i="64"/>
  <c r="I246" i="64" s="1"/>
  <c r="B15" i="65" s="1"/>
  <c r="B227" i="64"/>
  <c r="B246" i="64" s="1"/>
  <c r="B2" i="65" s="1"/>
  <c r="B83" i="64"/>
  <c r="H83" i="64" s="1"/>
  <c r="I82" i="64"/>
  <c r="G82" i="64"/>
  <c r="E82" i="64"/>
  <c r="B82" i="64"/>
  <c r="K82" i="64" s="1"/>
  <c r="B81" i="64"/>
  <c r="F81" i="64" s="1"/>
  <c r="B80" i="64"/>
  <c r="B79" i="64"/>
  <c r="B78" i="64"/>
  <c r="B77" i="64"/>
  <c r="B76" i="64"/>
  <c r="B75" i="64"/>
  <c r="B74" i="64"/>
  <c r="B73" i="64"/>
  <c r="B72" i="64"/>
  <c r="B71" i="64"/>
  <c r="B70" i="64"/>
  <c r="B69" i="64"/>
  <c r="B68" i="64"/>
  <c r="C58" i="64"/>
  <c r="D10" i="64" s="1"/>
  <c r="F57" i="64"/>
  <c r="F56" i="64"/>
  <c r="F55" i="64"/>
  <c r="F54" i="64"/>
  <c r="F53" i="64"/>
  <c r="F52" i="64"/>
  <c r="F51" i="64"/>
  <c r="F50" i="64"/>
  <c r="F49" i="64"/>
  <c r="F48" i="64"/>
  <c r="F47" i="64"/>
  <c r="F46" i="64"/>
  <c r="F45" i="64"/>
  <c r="F44" i="64"/>
  <c r="F43" i="64"/>
  <c r="F42" i="64"/>
  <c r="F34" i="64"/>
  <c r="F33" i="64"/>
  <c r="F32" i="64"/>
  <c r="F31" i="64"/>
  <c r="F30" i="64"/>
  <c r="F29" i="64"/>
  <c r="F28" i="64"/>
  <c r="C249" i="64" s="1"/>
  <c r="F27" i="64"/>
  <c r="F26" i="64"/>
  <c r="F25" i="64"/>
  <c r="K264" i="63"/>
  <c r="I255" i="63"/>
  <c r="B252" i="63"/>
  <c r="I241" i="63"/>
  <c r="I260" i="63" s="1"/>
  <c r="I240" i="63"/>
  <c r="I259" i="63" s="1"/>
  <c r="I239" i="63"/>
  <c r="I258" i="63" s="1"/>
  <c r="I238" i="63"/>
  <c r="I257" i="63" s="1"/>
  <c r="I237" i="63"/>
  <c r="I256" i="63" s="1"/>
  <c r="I236" i="63"/>
  <c r="I235" i="63"/>
  <c r="I254" i="63" s="1"/>
  <c r="B235" i="63"/>
  <c r="B254" i="63" s="1"/>
  <c r="I234" i="63"/>
  <c r="I253" i="63" s="1"/>
  <c r="B234" i="63"/>
  <c r="B253" i="63" s="1"/>
  <c r="I233" i="63"/>
  <c r="I252" i="63" s="1"/>
  <c r="B233" i="63"/>
  <c r="I232" i="63"/>
  <c r="I251" i="63" s="1"/>
  <c r="B232" i="63"/>
  <c r="B251" i="63" s="1"/>
  <c r="I231" i="63"/>
  <c r="I250" i="63" s="1"/>
  <c r="B231" i="63"/>
  <c r="B250" i="63" s="1"/>
  <c r="I230" i="63"/>
  <c r="I249" i="63" s="1"/>
  <c r="B230" i="63"/>
  <c r="B249" i="63" s="1"/>
  <c r="I229" i="63"/>
  <c r="I248" i="63" s="1"/>
  <c r="B229" i="63"/>
  <c r="B248" i="63" s="1"/>
  <c r="I228" i="63"/>
  <c r="I247" i="63" s="1"/>
  <c r="B228" i="63"/>
  <c r="B247" i="63" s="1"/>
  <c r="I227" i="63"/>
  <c r="I246" i="63" s="1"/>
  <c r="B227" i="63"/>
  <c r="B246" i="63" s="1"/>
  <c r="I226" i="63"/>
  <c r="I245" i="63" s="1"/>
  <c r="B226" i="63"/>
  <c r="B245" i="63" s="1"/>
  <c r="B82" i="63"/>
  <c r="F82" i="63" s="1"/>
  <c r="B81" i="63"/>
  <c r="J81" i="63" s="1"/>
  <c r="B80" i="63"/>
  <c r="E80" i="63" s="1"/>
  <c r="B79" i="63"/>
  <c r="B78" i="63"/>
  <c r="B77" i="63"/>
  <c r="B76" i="63"/>
  <c r="B75" i="63"/>
  <c r="B74" i="63"/>
  <c r="B73" i="63"/>
  <c r="B72" i="63"/>
  <c r="B71" i="63"/>
  <c r="B70" i="63"/>
  <c r="B69" i="63"/>
  <c r="B68" i="63"/>
  <c r="B67" i="63"/>
  <c r="F55" i="63"/>
  <c r="F54" i="63"/>
  <c r="F53" i="63"/>
  <c r="F52" i="63"/>
  <c r="F51" i="63"/>
  <c r="F50" i="63"/>
  <c r="F49" i="63"/>
  <c r="F48" i="63"/>
  <c r="F47" i="63"/>
  <c r="F46" i="63"/>
  <c r="F45" i="63"/>
  <c r="F44" i="63"/>
  <c r="F43" i="63"/>
  <c r="F42" i="63"/>
  <c r="F41" i="63"/>
  <c r="F33" i="63"/>
  <c r="F32" i="63"/>
  <c r="F31" i="63"/>
  <c r="F30" i="63"/>
  <c r="F29" i="63"/>
  <c r="F28" i="63"/>
  <c r="F27" i="63"/>
  <c r="F26" i="63"/>
  <c r="F25" i="63"/>
  <c r="F24" i="63"/>
  <c r="G81" i="64" l="1"/>
  <c r="L82" i="64"/>
  <c r="I83" i="64"/>
  <c r="H81" i="64"/>
  <c r="D82" i="64"/>
  <c r="K82" i="63"/>
  <c r="L82" i="63"/>
  <c r="C81" i="63"/>
  <c r="F81" i="63"/>
  <c r="G81" i="63"/>
  <c r="K81" i="63"/>
  <c r="C82" i="63"/>
  <c r="D82" i="63"/>
  <c r="F80" i="63"/>
  <c r="I80" i="63"/>
  <c r="G82" i="63"/>
  <c r="H82" i="63"/>
  <c r="C273" i="64"/>
  <c r="C272" i="63"/>
  <c r="C56" i="63"/>
  <c r="D31" i="85"/>
  <c r="H28" i="85"/>
  <c r="C37" i="85" s="1"/>
  <c r="E145" i="80"/>
  <c r="E143" i="80"/>
  <c r="E145" i="81"/>
  <c r="E144" i="81"/>
  <c r="R100" i="81"/>
  <c r="E146" i="81"/>
  <c r="E116" i="84"/>
  <c r="B110" i="81"/>
  <c r="H99" i="83"/>
  <c r="B109" i="80"/>
  <c r="E144" i="80"/>
  <c r="E115" i="83"/>
  <c r="R99" i="80"/>
  <c r="F6" i="83"/>
  <c r="J99" i="83"/>
  <c r="B101" i="83"/>
  <c r="I99" i="83"/>
  <c r="B108" i="83"/>
  <c r="P99" i="83"/>
  <c r="B100" i="83"/>
  <c r="B107" i="83"/>
  <c r="M99" i="83"/>
  <c r="B102" i="83"/>
  <c r="K99" i="83"/>
  <c r="L99" i="83"/>
  <c r="B105" i="83"/>
  <c r="B103" i="83"/>
  <c r="B104" i="83"/>
  <c r="B106" i="83"/>
  <c r="Q99" i="83"/>
  <c r="O99" i="83"/>
  <c r="N99" i="83"/>
  <c r="B107" i="84"/>
  <c r="O100" i="84"/>
  <c r="F7" i="84"/>
  <c r="B109" i="84"/>
  <c r="Q100" i="84"/>
  <c r="P100" i="84"/>
  <c r="B108" i="84"/>
  <c r="B103" i="84"/>
  <c r="K100" i="84"/>
  <c r="B102" i="84"/>
  <c r="J100" i="84"/>
  <c r="B104" i="84"/>
  <c r="I100" i="84"/>
  <c r="B106" i="84"/>
  <c r="B105" i="84"/>
  <c r="B101" i="84"/>
  <c r="N100" i="84"/>
  <c r="M100" i="84"/>
  <c r="L100" i="84"/>
  <c r="P19" i="66"/>
  <c r="Q18" i="66"/>
  <c r="H100" i="84"/>
  <c r="C6" i="65"/>
  <c r="C249" i="63"/>
  <c r="E249" i="63" s="1"/>
  <c r="C3" i="65"/>
  <c r="C7" i="65"/>
  <c r="C250" i="63"/>
  <c r="E250" i="63" s="1"/>
  <c r="C11" i="65"/>
  <c r="C15" i="65"/>
  <c r="C19" i="65"/>
  <c r="C21" i="65"/>
  <c r="C23" i="65"/>
  <c r="C25" i="65"/>
  <c r="C29" i="65"/>
  <c r="C17" i="65"/>
  <c r="C10" i="65"/>
  <c r="F58" i="64"/>
  <c r="E108" i="64" s="1"/>
  <c r="C4" i="65"/>
  <c r="C34" i="63"/>
  <c r="D6" i="63" s="1"/>
  <c r="F35" i="64"/>
  <c r="F7" i="64" s="1"/>
  <c r="C8" i="65"/>
  <c r="C35" i="64"/>
  <c r="D7" i="64" s="1"/>
  <c r="C27" i="65"/>
  <c r="C9" i="65"/>
  <c r="C18" i="65"/>
  <c r="C26" i="65"/>
  <c r="C5" i="65"/>
  <c r="C16" i="65"/>
  <c r="C20" i="65"/>
  <c r="C22" i="65"/>
  <c r="C24" i="65"/>
  <c r="J258" i="63"/>
  <c r="L258" i="63" s="1"/>
  <c r="C28" i="65"/>
  <c r="C250" i="64"/>
  <c r="E250" i="64" s="1"/>
  <c r="D6" i="65" s="1"/>
  <c r="C2" i="65"/>
  <c r="F34" i="63"/>
  <c r="M99" i="63" s="1"/>
  <c r="G80" i="63"/>
  <c r="D81" i="63"/>
  <c r="L81" i="63"/>
  <c r="I82" i="63"/>
  <c r="H80" i="63"/>
  <c r="E81" i="63"/>
  <c r="J82" i="63"/>
  <c r="C253" i="64"/>
  <c r="J259" i="64"/>
  <c r="J80" i="63"/>
  <c r="C251" i="64"/>
  <c r="E251" i="64" s="1"/>
  <c r="D7" i="65" s="1"/>
  <c r="C254" i="64"/>
  <c r="J260" i="64"/>
  <c r="C80" i="63"/>
  <c r="K80" i="63"/>
  <c r="H81" i="63"/>
  <c r="E82" i="63"/>
  <c r="D80" i="63"/>
  <c r="L80" i="63"/>
  <c r="I81" i="63"/>
  <c r="J83" i="64"/>
  <c r="I81" i="64"/>
  <c r="F82" i="64"/>
  <c r="C83" i="64"/>
  <c r="K83" i="64"/>
  <c r="J81" i="64"/>
  <c r="D83" i="64"/>
  <c r="L83" i="64"/>
  <c r="J261" i="64"/>
  <c r="C81" i="64"/>
  <c r="K81" i="64"/>
  <c r="H82" i="64"/>
  <c r="E83" i="64"/>
  <c r="D81" i="64"/>
  <c r="L81" i="64"/>
  <c r="F83" i="64"/>
  <c r="C255" i="64"/>
  <c r="E81" i="64"/>
  <c r="J82" i="64"/>
  <c r="G83" i="64"/>
  <c r="C82" i="64"/>
  <c r="C57" i="63" l="1"/>
  <c r="D9" i="63" s="1"/>
  <c r="F56" i="63"/>
  <c r="B110" i="84"/>
  <c r="B109" i="83"/>
  <c r="E143" i="83"/>
  <c r="R99" i="83"/>
  <c r="E145" i="83"/>
  <c r="E144" i="83"/>
  <c r="E145" i="84"/>
  <c r="E144" i="84"/>
  <c r="R100" i="84"/>
  <c r="E146" i="84"/>
  <c r="Q19" i="66"/>
  <c r="R18" i="66"/>
  <c r="B99" i="63"/>
  <c r="B104" i="64"/>
  <c r="O100" i="64"/>
  <c r="Q100" i="64"/>
  <c r="M100" i="64"/>
  <c r="K100" i="64"/>
  <c r="L100" i="64"/>
  <c r="B106" i="64"/>
  <c r="N100" i="64"/>
  <c r="B107" i="64"/>
  <c r="J100" i="64"/>
  <c r="E112" i="64"/>
  <c r="B101" i="64"/>
  <c r="P100" i="64"/>
  <c r="B100" i="64"/>
  <c r="B103" i="64"/>
  <c r="B102" i="64"/>
  <c r="I100" i="64"/>
  <c r="B108" i="64"/>
  <c r="H100" i="64"/>
  <c r="B109" i="64"/>
  <c r="B105" i="64"/>
  <c r="B105" i="63"/>
  <c r="P99" i="63"/>
  <c r="I99" i="63"/>
  <c r="K99" i="63"/>
  <c r="B102" i="63"/>
  <c r="O99" i="63"/>
  <c r="B104" i="63"/>
  <c r="E106" i="64"/>
  <c r="E100" i="64"/>
  <c r="D29" i="65"/>
  <c r="L99" i="63"/>
  <c r="E109" i="64"/>
  <c r="E103" i="64"/>
  <c r="N99" i="63"/>
  <c r="J99" i="63"/>
  <c r="E113" i="64"/>
  <c r="Q99" i="63"/>
  <c r="F6" i="63"/>
  <c r="E110" i="64"/>
  <c r="E7" i="65"/>
  <c r="D27" i="65"/>
  <c r="D18" i="65"/>
  <c r="B100" i="63"/>
  <c r="E6" i="65"/>
  <c r="E107" i="64"/>
  <c r="E101" i="64"/>
  <c r="H99" i="63"/>
  <c r="B106" i="63"/>
  <c r="D23" i="65"/>
  <c r="B107" i="63"/>
  <c r="E115" i="64"/>
  <c r="F10" i="64"/>
  <c r="E104" i="64"/>
  <c r="E111" i="64"/>
  <c r="E105" i="64"/>
  <c r="F28" i="65"/>
  <c r="G28" i="65" s="1"/>
  <c r="D28" i="65"/>
  <c r="B103" i="63"/>
  <c r="B101" i="63"/>
  <c r="B108" i="63"/>
  <c r="E114" i="64"/>
  <c r="E102" i="64"/>
  <c r="C30" i="65" l="1"/>
  <c r="F57" i="63"/>
  <c r="S18" i="66"/>
  <c r="R19" i="66"/>
  <c r="B110" i="64"/>
  <c r="B109" i="63"/>
  <c r="E145" i="64"/>
  <c r="E144" i="64"/>
  <c r="E146" i="64"/>
  <c r="R100" i="64"/>
  <c r="H28" i="65"/>
  <c r="C37" i="65" s="1"/>
  <c r="R5" i="65" s="1"/>
  <c r="E145" i="63"/>
  <c r="E144" i="63"/>
  <c r="E143" i="63"/>
  <c r="R99" i="63"/>
  <c r="E116" i="64"/>
  <c r="C15" i="62"/>
  <c r="C250" i="60"/>
  <c r="E250" i="60" s="1"/>
  <c r="A30" i="62"/>
  <c r="A29" i="62"/>
  <c r="E28" i="62"/>
  <c r="A28" i="62"/>
  <c r="A27" i="62"/>
  <c r="H26" i="62"/>
  <c r="A26" i="62"/>
  <c r="H25" i="62"/>
  <c r="A25" i="62"/>
  <c r="H24" i="62"/>
  <c r="A24" i="62"/>
  <c r="A23" i="62"/>
  <c r="H22" i="62"/>
  <c r="A22" i="62"/>
  <c r="H21" i="62"/>
  <c r="A21" i="62"/>
  <c r="H20" i="62"/>
  <c r="A20" i="62"/>
  <c r="H19" i="62"/>
  <c r="A19" i="62"/>
  <c r="A18" i="62"/>
  <c r="H17" i="62"/>
  <c r="A17" i="62"/>
  <c r="H16" i="62"/>
  <c r="A16" i="62"/>
  <c r="H15" i="62"/>
  <c r="A15" i="62"/>
  <c r="A11" i="62"/>
  <c r="A10" i="62"/>
  <c r="A9" i="62"/>
  <c r="A8" i="62"/>
  <c r="A7" i="62"/>
  <c r="A6" i="62"/>
  <c r="A5" i="62"/>
  <c r="A4" i="62"/>
  <c r="A3" i="62"/>
  <c r="A2" i="62"/>
  <c r="L259" i="61"/>
  <c r="F57" i="61"/>
  <c r="F56" i="61"/>
  <c r="J259" i="61"/>
  <c r="F55" i="61"/>
  <c r="F54" i="61"/>
  <c r="I239" i="61"/>
  <c r="I258" i="61" s="1"/>
  <c r="B27" i="62" s="1"/>
  <c r="F53" i="61"/>
  <c r="F52" i="61"/>
  <c r="I237" i="61"/>
  <c r="I256" i="61" s="1"/>
  <c r="B25" i="62" s="1"/>
  <c r="F51" i="61"/>
  <c r="F50" i="61"/>
  <c r="I235" i="61"/>
  <c r="I254" i="61" s="1"/>
  <c r="B23" i="62" s="1"/>
  <c r="F49" i="61"/>
  <c r="F48" i="61"/>
  <c r="F47" i="61"/>
  <c r="F46" i="61"/>
  <c r="I231" i="61"/>
  <c r="I250" i="61" s="1"/>
  <c r="B19" i="62" s="1"/>
  <c r="F45" i="61"/>
  <c r="F44" i="61"/>
  <c r="I229" i="61"/>
  <c r="I248" i="61" s="1"/>
  <c r="B17" i="62" s="1"/>
  <c r="F43" i="61"/>
  <c r="F42" i="61"/>
  <c r="I227" i="61"/>
  <c r="I246" i="61" s="1"/>
  <c r="B15" i="62" s="1"/>
  <c r="F34" i="61"/>
  <c r="B236" i="61"/>
  <c r="B255" i="61" s="1"/>
  <c r="B11" i="62" s="1"/>
  <c r="F33" i="61"/>
  <c r="B235" i="61"/>
  <c r="B254" i="61" s="1"/>
  <c r="B10" i="62" s="1"/>
  <c r="C253" i="61"/>
  <c r="F32" i="61"/>
  <c r="B234" i="61"/>
  <c r="B253" i="61" s="1"/>
  <c r="B9" i="62" s="1"/>
  <c r="F31" i="61"/>
  <c r="B233" i="61"/>
  <c r="B252" i="61" s="1"/>
  <c r="B8" i="62" s="1"/>
  <c r="F30" i="61"/>
  <c r="B232" i="61"/>
  <c r="B251" i="61" s="1"/>
  <c r="B7" i="62" s="1"/>
  <c r="F29" i="61"/>
  <c r="B231" i="61"/>
  <c r="B250" i="61" s="1"/>
  <c r="B6" i="62" s="1"/>
  <c r="F28" i="61"/>
  <c r="B230" i="61"/>
  <c r="B249" i="61" s="1"/>
  <c r="B5" i="62" s="1"/>
  <c r="F27" i="61"/>
  <c r="B229" i="61"/>
  <c r="B248" i="61" s="1"/>
  <c r="B4" i="62" s="1"/>
  <c r="F26" i="61"/>
  <c r="B228" i="61"/>
  <c r="B247" i="61" s="1"/>
  <c r="B3" i="62" s="1"/>
  <c r="F25" i="61"/>
  <c r="B227" i="61"/>
  <c r="B246" i="61" s="1"/>
  <c r="B2" i="62" s="1"/>
  <c r="F22" i="61"/>
  <c r="F39" i="61" s="1"/>
  <c r="K264" i="60"/>
  <c r="B71" i="60"/>
  <c r="I241" i="60"/>
  <c r="I260" i="60" s="1"/>
  <c r="I240" i="60"/>
  <c r="I259" i="60" s="1"/>
  <c r="I239" i="60"/>
  <c r="I258" i="60" s="1"/>
  <c r="B79" i="60"/>
  <c r="I236" i="60"/>
  <c r="I255" i="60" s="1"/>
  <c r="I235" i="60"/>
  <c r="I254" i="60" s="1"/>
  <c r="I234" i="60"/>
  <c r="I253" i="60" s="1"/>
  <c r="I233" i="60"/>
  <c r="I252" i="60" s="1"/>
  <c r="I232" i="60"/>
  <c r="I251" i="60" s="1"/>
  <c r="I231" i="60"/>
  <c r="I250" i="60" s="1"/>
  <c r="I230" i="60"/>
  <c r="I249" i="60" s="1"/>
  <c r="I228" i="60"/>
  <c r="I247" i="60" s="1"/>
  <c r="I227" i="60"/>
  <c r="I246" i="60" s="1"/>
  <c r="I226" i="60"/>
  <c r="I245" i="60" s="1"/>
  <c r="B235" i="60"/>
  <c r="B254" i="60" s="1"/>
  <c r="B234" i="60"/>
  <c r="B253" i="60" s="1"/>
  <c r="B233" i="60"/>
  <c r="B252" i="60" s="1"/>
  <c r="B232" i="60"/>
  <c r="B251" i="60" s="1"/>
  <c r="B231" i="60"/>
  <c r="B250" i="60" s="1"/>
  <c r="B230" i="60"/>
  <c r="B249" i="60" s="1"/>
  <c r="B229" i="60"/>
  <c r="B248" i="60" s="1"/>
  <c r="B228" i="60"/>
  <c r="B247" i="60" s="1"/>
  <c r="B227" i="60"/>
  <c r="B246" i="60" s="1"/>
  <c r="B226" i="60"/>
  <c r="B245" i="60" s="1"/>
  <c r="C273" i="58"/>
  <c r="G25" i="49"/>
  <c r="G26" i="49"/>
  <c r="G27" i="49"/>
  <c r="G28" i="49"/>
  <c r="G29" i="49"/>
  <c r="G30" i="49"/>
  <c r="G31" i="49"/>
  <c r="G32" i="49"/>
  <c r="G33" i="49"/>
  <c r="F9" i="63" l="1"/>
  <c r="E109" i="63"/>
  <c r="E106" i="63"/>
  <c r="E101" i="63"/>
  <c r="E102" i="63"/>
  <c r="E107" i="63"/>
  <c r="E111" i="63"/>
  <c r="E108" i="63"/>
  <c r="E110" i="63"/>
  <c r="E105" i="63"/>
  <c r="E112" i="63"/>
  <c r="E113" i="63"/>
  <c r="E100" i="63"/>
  <c r="E104" i="63"/>
  <c r="E99" i="63"/>
  <c r="E103" i="63"/>
  <c r="D30" i="65"/>
  <c r="D31" i="65" s="1"/>
  <c r="C31" i="65"/>
  <c r="E114" i="63"/>
  <c r="S19" i="66"/>
  <c r="T18" i="66"/>
  <c r="Q5" i="65"/>
  <c r="I238" i="60"/>
  <c r="I257" i="60" s="1"/>
  <c r="B68" i="60"/>
  <c r="B72" i="61"/>
  <c r="B76" i="60"/>
  <c r="C57" i="60"/>
  <c r="D9" i="60" s="1"/>
  <c r="C29" i="62"/>
  <c r="C9" i="62"/>
  <c r="C25" i="62"/>
  <c r="I237" i="60"/>
  <c r="I256" i="60" s="1"/>
  <c r="B78" i="60"/>
  <c r="C17" i="62"/>
  <c r="C10" i="62"/>
  <c r="I229" i="60"/>
  <c r="I248" i="60" s="1"/>
  <c r="B70" i="60"/>
  <c r="C26" i="62"/>
  <c r="C28" i="62"/>
  <c r="J258" i="60"/>
  <c r="L258" i="60" s="1"/>
  <c r="C5" i="62"/>
  <c r="C30" i="62"/>
  <c r="C8" i="62"/>
  <c r="C24" i="62"/>
  <c r="F34" i="60"/>
  <c r="B106" i="60" s="1"/>
  <c r="C2" i="62"/>
  <c r="C4" i="62"/>
  <c r="C6" i="62"/>
  <c r="C249" i="60"/>
  <c r="E249" i="60" s="1"/>
  <c r="C18" i="62"/>
  <c r="C20" i="62"/>
  <c r="C22" i="62"/>
  <c r="C21" i="62"/>
  <c r="C16" i="62"/>
  <c r="C3" i="62"/>
  <c r="B73" i="60"/>
  <c r="C58" i="61"/>
  <c r="D10" i="61" s="1"/>
  <c r="B74" i="60"/>
  <c r="I228" i="61"/>
  <c r="I247" i="61" s="1"/>
  <c r="B16" i="62" s="1"/>
  <c r="B69" i="61"/>
  <c r="B71" i="61"/>
  <c r="I230" i="61"/>
  <c r="I249" i="61" s="1"/>
  <c r="B18" i="62" s="1"/>
  <c r="C34" i="60"/>
  <c r="D6" i="60" s="1"/>
  <c r="B69" i="60"/>
  <c r="B77" i="60"/>
  <c r="G35" i="61"/>
  <c r="J100" i="61" s="1"/>
  <c r="I242" i="61"/>
  <c r="I261" i="61" s="1"/>
  <c r="B30" i="62" s="1"/>
  <c r="L7" i="62" s="1"/>
  <c r="B83" i="61"/>
  <c r="C11" i="62"/>
  <c r="F35" i="61"/>
  <c r="F57" i="60"/>
  <c r="E101" i="60" s="1"/>
  <c r="B72" i="60"/>
  <c r="B80" i="60"/>
  <c r="C251" i="61"/>
  <c r="E251" i="61" s="1"/>
  <c r="D7" i="62" s="1"/>
  <c r="I236" i="61"/>
  <c r="I255" i="61" s="1"/>
  <c r="B24" i="62" s="1"/>
  <c r="B77" i="61"/>
  <c r="I238" i="61"/>
  <c r="I257" i="61" s="1"/>
  <c r="B26" i="62" s="1"/>
  <c r="B79" i="61"/>
  <c r="F58" i="61"/>
  <c r="C19" i="62"/>
  <c r="C27" i="62"/>
  <c r="C7" i="62"/>
  <c r="C23" i="62"/>
  <c r="B67" i="60"/>
  <c r="B75" i="60"/>
  <c r="B81" i="60"/>
  <c r="B82" i="60"/>
  <c r="G58" i="61"/>
  <c r="E104" i="61" s="1"/>
  <c r="C250" i="61"/>
  <c r="E250" i="61" s="1"/>
  <c r="D6" i="62" s="1"/>
  <c r="I233" i="61"/>
  <c r="I252" i="61" s="1"/>
  <c r="B21" i="62" s="1"/>
  <c r="B74" i="61"/>
  <c r="J260" i="61"/>
  <c r="B68" i="61"/>
  <c r="B76" i="61"/>
  <c r="C255" i="61"/>
  <c r="I232" i="61"/>
  <c r="I251" i="61" s="1"/>
  <c r="B20" i="62" s="1"/>
  <c r="B73" i="61"/>
  <c r="I240" i="61"/>
  <c r="I259" i="61" s="1"/>
  <c r="B28" i="62" s="1"/>
  <c r="L5" i="62" s="1"/>
  <c r="B81" i="61"/>
  <c r="J261" i="61"/>
  <c r="B78" i="61"/>
  <c r="C35" i="61"/>
  <c r="D7" i="61" s="1"/>
  <c r="I234" i="61"/>
  <c r="I253" i="61" s="1"/>
  <c r="B22" i="62" s="1"/>
  <c r="B75" i="61"/>
  <c r="B70" i="61"/>
  <c r="C249" i="61"/>
  <c r="B82" i="61"/>
  <c r="I241" i="61"/>
  <c r="I260" i="61" s="1"/>
  <c r="B29" i="62" s="1"/>
  <c r="L6" i="62" s="1"/>
  <c r="B80" i="61"/>
  <c r="C254" i="61"/>
  <c r="A30" i="59"/>
  <c r="A29" i="59"/>
  <c r="A28" i="59"/>
  <c r="A27" i="59"/>
  <c r="H26" i="59"/>
  <c r="A26" i="59"/>
  <c r="H25" i="59"/>
  <c r="A25" i="59"/>
  <c r="H24" i="59"/>
  <c r="A24" i="59"/>
  <c r="A23" i="59"/>
  <c r="H22" i="59"/>
  <c r="A22" i="59"/>
  <c r="H21" i="59"/>
  <c r="A21" i="59"/>
  <c r="H20" i="59"/>
  <c r="A20" i="59"/>
  <c r="H19" i="59"/>
  <c r="A19" i="59"/>
  <c r="A18" i="59"/>
  <c r="H17" i="59"/>
  <c r="A17" i="59"/>
  <c r="H16" i="59"/>
  <c r="A16" i="59"/>
  <c r="H15" i="59"/>
  <c r="A15" i="59"/>
  <c r="A11" i="59"/>
  <c r="A10" i="59"/>
  <c r="A9" i="59"/>
  <c r="A8" i="59"/>
  <c r="A7" i="59"/>
  <c r="A6" i="59"/>
  <c r="A5" i="59"/>
  <c r="A4" i="59"/>
  <c r="A3" i="59"/>
  <c r="A2" i="59"/>
  <c r="L259" i="58"/>
  <c r="E28" i="59" s="1"/>
  <c r="J261" i="58"/>
  <c r="B83" i="58"/>
  <c r="L83" i="58" s="1"/>
  <c r="J260" i="58"/>
  <c r="B82" i="58"/>
  <c r="C82" i="58" s="1"/>
  <c r="J259" i="58"/>
  <c r="I240" i="58"/>
  <c r="I259" i="58" s="1"/>
  <c r="B28" i="59" s="1"/>
  <c r="L5" i="59" s="1"/>
  <c r="I238" i="58"/>
  <c r="I257" i="58" s="1"/>
  <c r="B26" i="59" s="1"/>
  <c r="B77" i="58"/>
  <c r="B76" i="58"/>
  <c r="B75" i="58"/>
  <c r="I233" i="58"/>
  <c r="I252" i="58" s="1"/>
  <c r="B21" i="59" s="1"/>
  <c r="B73" i="58"/>
  <c r="B72" i="58"/>
  <c r="I228" i="58"/>
  <c r="I247" i="58" s="1"/>
  <c r="B16" i="59" s="1"/>
  <c r="B236" i="58"/>
  <c r="B255" i="58" s="1"/>
  <c r="B11" i="59" s="1"/>
  <c r="C254" i="58"/>
  <c r="B235" i="58"/>
  <c r="B254" i="58" s="1"/>
  <c r="B10" i="59" s="1"/>
  <c r="C253" i="58"/>
  <c r="B234" i="58"/>
  <c r="B253" i="58" s="1"/>
  <c r="B9" i="59" s="1"/>
  <c r="B233" i="58"/>
  <c r="B252" i="58" s="1"/>
  <c r="B8" i="59" s="1"/>
  <c r="B232" i="58"/>
  <c r="B251" i="58" s="1"/>
  <c r="B7" i="59" s="1"/>
  <c r="B231" i="58"/>
  <c r="B250" i="58" s="1"/>
  <c r="B6" i="59" s="1"/>
  <c r="B230" i="58"/>
  <c r="B249" i="58" s="1"/>
  <c r="B5" i="59" s="1"/>
  <c r="B229" i="58"/>
  <c r="B248" i="58" s="1"/>
  <c r="B4" i="59" s="1"/>
  <c r="B228" i="58"/>
  <c r="B247" i="58" s="1"/>
  <c r="B3" i="59" s="1"/>
  <c r="B227" i="58"/>
  <c r="B246" i="58" s="1"/>
  <c r="B2" i="59" s="1"/>
  <c r="K264" i="57"/>
  <c r="B76" i="57"/>
  <c r="I240" i="57"/>
  <c r="I259" i="57" s="1"/>
  <c r="I239" i="57"/>
  <c r="I258" i="57" s="1"/>
  <c r="B79" i="57"/>
  <c r="I236" i="57"/>
  <c r="I255" i="57" s="1"/>
  <c r="I235" i="57"/>
  <c r="I254" i="57" s="1"/>
  <c r="I234" i="57"/>
  <c r="I253" i="57" s="1"/>
  <c r="B74" i="57"/>
  <c r="I232" i="57"/>
  <c r="I251" i="57" s="1"/>
  <c r="I231" i="57"/>
  <c r="I250" i="57" s="1"/>
  <c r="I230" i="57"/>
  <c r="I249" i="57" s="1"/>
  <c r="I228" i="57"/>
  <c r="I247" i="57" s="1"/>
  <c r="I227" i="57"/>
  <c r="I246" i="57" s="1"/>
  <c r="I226" i="57"/>
  <c r="I245" i="57" s="1"/>
  <c r="B235" i="57"/>
  <c r="B254" i="57" s="1"/>
  <c r="B234" i="57"/>
  <c r="B253" i="57" s="1"/>
  <c r="B233" i="57"/>
  <c r="B252" i="57" s="1"/>
  <c r="B232" i="57"/>
  <c r="B251" i="57" s="1"/>
  <c r="B231" i="57"/>
  <c r="B250" i="57" s="1"/>
  <c r="B230" i="57"/>
  <c r="B249" i="57" s="1"/>
  <c r="B229" i="57"/>
  <c r="B248" i="57" s="1"/>
  <c r="C4" i="59"/>
  <c r="B228" i="57"/>
  <c r="B247" i="57" s="1"/>
  <c r="B227" i="57"/>
  <c r="B246" i="57" s="1"/>
  <c r="B226" i="57"/>
  <c r="B245" i="57" s="1"/>
  <c r="E115" i="63" l="1"/>
  <c r="T19" i="66"/>
  <c r="U18" i="66"/>
  <c r="B105" i="61"/>
  <c r="N100" i="61"/>
  <c r="C31" i="62"/>
  <c r="I100" i="61"/>
  <c r="D18" i="62"/>
  <c r="E103" i="60"/>
  <c r="O100" i="61"/>
  <c r="K100" i="61"/>
  <c r="B72" i="57"/>
  <c r="B80" i="57"/>
  <c r="E80" i="57" s="1"/>
  <c r="I238" i="57"/>
  <c r="I257" i="57" s="1"/>
  <c r="I231" i="58"/>
  <c r="I250" i="58" s="1"/>
  <c r="B19" i="59" s="1"/>
  <c r="B69" i="58"/>
  <c r="I232" i="58"/>
  <c r="I251" i="58" s="1"/>
  <c r="B20" i="59" s="1"/>
  <c r="B74" i="58"/>
  <c r="B68" i="57"/>
  <c r="B79" i="58"/>
  <c r="I235" i="58"/>
  <c r="I254" i="58" s="1"/>
  <c r="B23" i="59" s="1"/>
  <c r="B71" i="57"/>
  <c r="B81" i="58"/>
  <c r="I81" i="58" s="1"/>
  <c r="I241" i="58"/>
  <c r="I260" i="58" s="1"/>
  <c r="B29" i="59" s="1"/>
  <c r="L6" i="59" s="1"/>
  <c r="E100" i="61"/>
  <c r="B107" i="61"/>
  <c r="P100" i="61"/>
  <c r="B101" i="61"/>
  <c r="B100" i="61"/>
  <c r="B106" i="61"/>
  <c r="E112" i="60"/>
  <c r="L99" i="60"/>
  <c r="B99" i="60"/>
  <c r="B104" i="60"/>
  <c r="B103" i="60"/>
  <c r="Q99" i="60"/>
  <c r="O99" i="60"/>
  <c r="I99" i="60"/>
  <c r="H99" i="60"/>
  <c r="B102" i="60"/>
  <c r="B107" i="60"/>
  <c r="J82" i="61"/>
  <c r="I82" i="61"/>
  <c r="G82" i="61"/>
  <c r="E82" i="61"/>
  <c r="L82" i="61"/>
  <c r="K82" i="61"/>
  <c r="H82" i="61"/>
  <c r="F82" i="61"/>
  <c r="D82" i="61"/>
  <c r="C82" i="61"/>
  <c r="E115" i="61"/>
  <c r="E101" i="61"/>
  <c r="E110" i="61"/>
  <c r="E104" i="60"/>
  <c r="E107" i="60"/>
  <c r="E82" i="60"/>
  <c r="H82" i="60"/>
  <c r="L82" i="60"/>
  <c r="K82" i="60"/>
  <c r="J82" i="60"/>
  <c r="F82" i="60"/>
  <c r="I82" i="60"/>
  <c r="G82" i="60"/>
  <c r="D82" i="60"/>
  <c r="C82" i="60"/>
  <c r="D23" i="62"/>
  <c r="E102" i="61"/>
  <c r="B104" i="61"/>
  <c r="E105" i="60"/>
  <c r="M99" i="60"/>
  <c r="B105" i="60"/>
  <c r="D30" i="62"/>
  <c r="E110" i="60"/>
  <c r="E113" i="60"/>
  <c r="B103" i="61"/>
  <c r="M100" i="61"/>
  <c r="G83" i="61"/>
  <c r="F83" i="61"/>
  <c r="L83" i="61"/>
  <c r="D83" i="61"/>
  <c r="J83" i="61"/>
  <c r="K83" i="61"/>
  <c r="I83" i="61"/>
  <c r="E83" i="61"/>
  <c r="H83" i="61"/>
  <c r="C83" i="61"/>
  <c r="H100" i="61"/>
  <c r="L100" i="61"/>
  <c r="E106" i="60"/>
  <c r="E6" i="62"/>
  <c r="F6" i="60"/>
  <c r="B100" i="60"/>
  <c r="N99" i="60"/>
  <c r="K99" i="60"/>
  <c r="F28" i="62"/>
  <c r="G28" i="62" s="1"/>
  <c r="D28" i="62"/>
  <c r="F10" i="61"/>
  <c r="E108" i="61"/>
  <c r="E107" i="61"/>
  <c r="F9" i="60"/>
  <c r="E105" i="61"/>
  <c r="E109" i="60"/>
  <c r="E109" i="61"/>
  <c r="E7" i="62"/>
  <c r="E102" i="60"/>
  <c r="J99" i="60"/>
  <c r="E108" i="60"/>
  <c r="P99" i="60"/>
  <c r="B108" i="60"/>
  <c r="E106" i="61"/>
  <c r="F7" i="61"/>
  <c r="B108" i="61"/>
  <c r="Q100" i="61"/>
  <c r="D29" i="62"/>
  <c r="H81" i="60"/>
  <c r="K81" i="60"/>
  <c r="C81" i="60"/>
  <c r="L81" i="60"/>
  <c r="F81" i="60"/>
  <c r="J81" i="60"/>
  <c r="I81" i="60"/>
  <c r="G81" i="60"/>
  <c r="D81" i="60"/>
  <c r="E81" i="60"/>
  <c r="E114" i="61"/>
  <c r="E111" i="61"/>
  <c r="E81" i="61"/>
  <c r="L81" i="61"/>
  <c r="D81" i="61"/>
  <c r="J81" i="61"/>
  <c r="H81" i="61"/>
  <c r="G81" i="61"/>
  <c r="F81" i="61"/>
  <c r="C81" i="61"/>
  <c r="K81" i="61"/>
  <c r="I81" i="61"/>
  <c r="E112" i="61"/>
  <c r="E113" i="61"/>
  <c r="E103" i="61"/>
  <c r="B109" i="61"/>
  <c r="E111" i="60"/>
  <c r="F80" i="60"/>
  <c r="D80" i="60"/>
  <c r="L80" i="60"/>
  <c r="C80" i="60"/>
  <c r="K80" i="60"/>
  <c r="G80" i="60"/>
  <c r="J80" i="60"/>
  <c r="I80" i="60"/>
  <c r="E80" i="60"/>
  <c r="H80" i="60"/>
  <c r="B102" i="61"/>
  <c r="E99" i="60"/>
  <c r="E100" i="60"/>
  <c r="B101" i="60"/>
  <c r="D27" i="62"/>
  <c r="E114" i="60"/>
  <c r="C18" i="59"/>
  <c r="C20" i="59"/>
  <c r="C22" i="59"/>
  <c r="C24" i="59"/>
  <c r="C26" i="59"/>
  <c r="C28" i="59"/>
  <c r="J258" i="57"/>
  <c r="L258" i="57" s="1"/>
  <c r="B75" i="57"/>
  <c r="C5" i="59"/>
  <c r="C3" i="59"/>
  <c r="B68" i="58"/>
  <c r="I227" i="58"/>
  <c r="I246" i="58" s="1"/>
  <c r="B15" i="59" s="1"/>
  <c r="B70" i="58"/>
  <c r="I229" i="58"/>
  <c r="I248" i="58" s="1"/>
  <c r="B17" i="59" s="1"/>
  <c r="C2" i="59"/>
  <c r="C8" i="59"/>
  <c r="C10" i="59"/>
  <c r="C9" i="59"/>
  <c r="B67" i="57"/>
  <c r="I233" i="57"/>
  <c r="I252" i="57" s="1"/>
  <c r="C29" i="59"/>
  <c r="C17" i="59"/>
  <c r="C21" i="59"/>
  <c r="C25" i="59"/>
  <c r="C15" i="59"/>
  <c r="I229" i="57"/>
  <c r="I248" i="57" s="1"/>
  <c r="B70" i="57"/>
  <c r="C19" i="59"/>
  <c r="C23" i="59"/>
  <c r="I237" i="57"/>
  <c r="I256" i="57" s="1"/>
  <c r="B78" i="57"/>
  <c r="C27" i="59"/>
  <c r="I241" i="57"/>
  <c r="I260" i="57" s="1"/>
  <c r="B82" i="57"/>
  <c r="C250" i="58"/>
  <c r="E250" i="58" s="1"/>
  <c r="D6" i="59" s="1"/>
  <c r="K81" i="58"/>
  <c r="C81" i="58"/>
  <c r="D81" i="58"/>
  <c r="I236" i="58"/>
  <c r="I255" i="58" s="1"/>
  <c r="B24" i="59" s="1"/>
  <c r="B73" i="57"/>
  <c r="B81" i="57"/>
  <c r="C35" i="58"/>
  <c r="D7" i="58" s="1"/>
  <c r="I242" i="58"/>
  <c r="I261" i="58" s="1"/>
  <c r="B30" i="59" s="1"/>
  <c r="L7" i="59" s="1"/>
  <c r="B78" i="58"/>
  <c r="I237" i="58"/>
  <c r="I256" i="58" s="1"/>
  <c r="B25" i="59" s="1"/>
  <c r="H82" i="58"/>
  <c r="F82" i="58"/>
  <c r="E82" i="58"/>
  <c r="L82" i="58"/>
  <c r="D82" i="58"/>
  <c r="K82" i="58"/>
  <c r="I82" i="58"/>
  <c r="C58" i="58"/>
  <c r="D10" i="58" s="1"/>
  <c r="G82" i="58"/>
  <c r="B69" i="57"/>
  <c r="B77" i="57"/>
  <c r="J82" i="58"/>
  <c r="I230" i="58"/>
  <c r="I249" i="58" s="1"/>
  <c r="B18" i="59" s="1"/>
  <c r="B71" i="58"/>
  <c r="E83" i="58"/>
  <c r="K83" i="58"/>
  <c r="C83" i="58"/>
  <c r="J83" i="58"/>
  <c r="I83" i="58"/>
  <c r="G83" i="58"/>
  <c r="D83" i="58"/>
  <c r="F83" i="58"/>
  <c r="H83" i="58"/>
  <c r="C249" i="58"/>
  <c r="C255" i="58"/>
  <c r="C251" i="58"/>
  <c r="E251" i="58" s="1"/>
  <c r="D7" i="59" s="1"/>
  <c r="I239" i="58"/>
  <c r="I258" i="58" s="1"/>
  <c r="B27" i="59" s="1"/>
  <c r="B80" i="58"/>
  <c r="I234" i="58"/>
  <c r="I253" i="58" s="1"/>
  <c r="B22" i="59" s="1"/>
  <c r="F81" i="58" l="1"/>
  <c r="J81" i="58"/>
  <c r="G81" i="58"/>
  <c r="H81" i="58"/>
  <c r="L80" i="57"/>
  <c r="D80" i="57"/>
  <c r="I80" i="57"/>
  <c r="H80" i="57"/>
  <c r="U19" i="66"/>
  <c r="V18" i="66"/>
  <c r="D31" i="62"/>
  <c r="L81" i="58"/>
  <c r="E81" i="58"/>
  <c r="J80" i="57"/>
  <c r="K80" i="57"/>
  <c r="G80" i="57"/>
  <c r="C80" i="57"/>
  <c r="F80" i="57"/>
  <c r="B110" i="61"/>
  <c r="B109" i="60"/>
  <c r="E145" i="60"/>
  <c r="E144" i="60"/>
  <c r="E143" i="60"/>
  <c r="E116" i="61"/>
  <c r="R99" i="60"/>
  <c r="H28" i="62"/>
  <c r="C37" i="62" s="1"/>
  <c r="E115" i="60"/>
  <c r="E145" i="61"/>
  <c r="R100" i="61"/>
  <c r="E144" i="61"/>
  <c r="E146" i="61"/>
  <c r="H82" i="57"/>
  <c r="F82" i="57"/>
  <c r="E82" i="57"/>
  <c r="J82" i="57"/>
  <c r="I82" i="57"/>
  <c r="G82" i="57"/>
  <c r="L82" i="57"/>
  <c r="C82" i="57"/>
  <c r="K82" i="57"/>
  <c r="D82" i="57"/>
  <c r="F58" i="58"/>
  <c r="E100" i="58" s="1"/>
  <c r="D27" i="59"/>
  <c r="D23" i="59"/>
  <c r="D29" i="59"/>
  <c r="D28" i="59"/>
  <c r="F28" i="59"/>
  <c r="G28" i="59" s="1"/>
  <c r="F35" i="58"/>
  <c r="B100" i="58" s="1"/>
  <c r="K81" i="57"/>
  <c r="C81" i="57"/>
  <c r="H81" i="57"/>
  <c r="I81" i="57"/>
  <c r="G81" i="57"/>
  <c r="F81" i="57"/>
  <c r="L81" i="57"/>
  <c r="J81" i="57"/>
  <c r="E81" i="57"/>
  <c r="D81" i="57"/>
  <c r="C16" i="59"/>
  <c r="D18" i="59" s="1"/>
  <c r="H28" i="59" l="1"/>
  <c r="C37" i="59" s="1"/>
  <c r="R5" i="59" s="1"/>
  <c r="W18" i="66"/>
  <c r="V19" i="66"/>
  <c r="R5" i="62"/>
  <c r="Q5" i="62"/>
  <c r="H100" i="58"/>
  <c r="E103" i="58"/>
  <c r="F10" i="58"/>
  <c r="E111" i="58"/>
  <c r="E105" i="58"/>
  <c r="E114" i="58"/>
  <c r="E108" i="58"/>
  <c r="E115" i="58"/>
  <c r="E107" i="58"/>
  <c r="E101" i="58"/>
  <c r="E102" i="58"/>
  <c r="E112" i="58"/>
  <c r="E110" i="58"/>
  <c r="E109" i="58"/>
  <c r="E104" i="58"/>
  <c r="E106" i="58"/>
  <c r="E113" i="58"/>
  <c r="F7" i="58"/>
  <c r="B108" i="58"/>
  <c r="B107" i="58"/>
  <c r="Q100" i="58"/>
  <c r="O100" i="58"/>
  <c r="B101" i="58"/>
  <c r="B103" i="58"/>
  <c r="P100" i="58"/>
  <c r="N100" i="58"/>
  <c r="I100" i="58"/>
  <c r="B105" i="58"/>
  <c r="J100" i="58"/>
  <c r="K100" i="58"/>
  <c r="M100" i="58"/>
  <c r="L100" i="58"/>
  <c r="B102" i="58"/>
  <c r="B106" i="58"/>
  <c r="B104" i="58"/>
  <c r="B109" i="58"/>
  <c r="Q5" i="59" l="1"/>
  <c r="W19" i="66"/>
  <c r="X18" i="66"/>
  <c r="B110" i="58"/>
  <c r="E146" i="58"/>
  <c r="E116" i="58"/>
  <c r="E144" i="58"/>
  <c r="R100" i="58"/>
  <c r="E145" i="58"/>
  <c r="Y18" i="66" l="1"/>
  <c r="X19" i="66"/>
  <c r="Y19" i="66" l="1"/>
  <c r="Z18" i="66"/>
  <c r="AA18" i="66" l="1"/>
  <c r="Z19" i="66"/>
  <c r="E36" i="55"/>
  <c r="E53" i="55"/>
  <c r="E52" i="55"/>
  <c r="E51" i="55"/>
  <c r="E50" i="55"/>
  <c r="E49" i="55"/>
  <c r="E48" i="55"/>
  <c r="E47" i="55"/>
  <c r="E46" i="55"/>
  <c r="E45" i="55"/>
  <c r="E44" i="55"/>
  <c r="E43" i="55"/>
  <c r="E42" i="55"/>
  <c r="C38" i="55"/>
  <c r="E37" i="55"/>
  <c r="E35" i="55"/>
  <c r="E34" i="55"/>
  <c r="E33" i="55"/>
  <c r="E32" i="55"/>
  <c r="E31" i="55"/>
  <c r="E30" i="55"/>
  <c r="E29" i="55"/>
  <c r="E28" i="55"/>
  <c r="E27" i="55"/>
  <c r="E26" i="55"/>
  <c r="E19" i="55"/>
  <c r="E20" i="55"/>
  <c r="E9" i="55"/>
  <c r="E10" i="55"/>
  <c r="E11" i="55"/>
  <c r="E12" i="55"/>
  <c r="E13" i="55"/>
  <c r="E14" i="55"/>
  <c r="E15" i="55"/>
  <c r="E16" i="55"/>
  <c r="E17" i="55"/>
  <c r="E18" i="55"/>
  <c r="E21" i="55" l="1"/>
  <c r="B4" i="55" s="1"/>
  <c r="AA19" i="66"/>
  <c r="AB18" i="66"/>
  <c r="E54" i="55"/>
  <c r="D4" i="55" s="1"/>
  <c r="E38" i="55"/>
  <c r="AB19" i="66" l="1"/>
  <c r="AC18" i="66"/>
  <c r="C4" i="55"/>
  <c r="E4" i="55" s="1"/>
  <c r="C7" i="56"/>
  <c r="C8" i="56"/>
  <c r="C9" i="56"/>
  <c r="C10" i="56"/>
  <c r="C11" i="56"/>
  <c r="C12" i="56"/>
  <c r="C13" i="56"/>
  <c r="C14" i="56"/>
  <c r="C15" i="56"/>
  <c r="D15" i="56" s="1"/>
  <c r="C16" i="56"/>
  <c r="C17" i="56"/>
  <c r="D17" i="56" s="1"/>
  <c r="C6" i="56"/>
  <c r="D16" i="56" l="1"/>
  <c r="D14" i="56"/>
  <c r="D13" i="56"/>
  <c r="D12" i="56"/>
  <c r="D11" i="56"/>
  <c r="D10" i="56"/>
  <c r="D9" i="56"/>
  <c r="D8" i="56"/>
  <c r="D7" i="56"/>
  <c r="D6" i="56"/>
  <c r="AC19" i="66"/>
  <c r="AD18" i="66"/>
  <c r="A30" i="54"/>
  <c r="A29" i="54"/>
  <c r="A28" i="54"/>
  <c r="A27" i="54"/>
  <c r="H26" i="54"/>
  <c r="A26" i="54"/>
  <c r="H25" i="54"/>
  <c r="A25" i="54"/>
  <c r="H24" i="54"/>
  <c r="A24" i="54"/>
  <c r="A23" i="54"/>
  <c r="H22" i="54"/>
  <c r="A22" i="54"/>
  <c r="H21" i="54"/>
  <c r="A21" i="54"/>
  <c r="H20" i="54"/>
  <c r="A20" i="54"/>
  <c r="H19" i="54"/>
  <c r="A19" i="54"/>
  <c r="A18" i="54"/>
  <c r="H17" i="54"/>
  <c r="A17" i="54"/>
  <c r="H16" i="54"/>
  <c r="A16" i="54"/>
  <c r="H15" i="54"/>
  <c r="A15" i="54"/>
  <c r="A11" i="54"/>
  <c r="A10" i="54"/>
  <c r="A9" i="54"/>
  <c r="A8" i="54"/>
  <c r="A7" i="54"/>
  <c r="A6" i="54"/>
  <c r="A5" i="54"/>
  <c r="A4" i="54"/>
  <c r="A3" i="54"/>
  <c r="A2" i="54"/>
  <c r="L259" i="53"/>
  <c r="E28" i="54" s="1"/>
  <c r="B83" i="53"/>
  <c r="B82" i="53"/>
  <c r="B80" i="53"/>
  <c r="B79" i="53"/>
  <c r="B78" i="53"/>
  <c r="B77" i="53"/>
  <c r="B76" i="53"/>
  <c r="B75" i="53"/>
  <c r="B73" i="53"/>
  <c r="B71" i="53"/>
  <c r="B68" i="53"/>
  <c r="B236" i="53"/>
  <c r="B255" i="53" s="1"/>
  <c r="B11" i="54" s="1"/>
  <c r="B235" i="53"/>
  <c r="B254" i="53" s="1"/>
  <c r="B10" i="54" s="1"/>
  <c r="B234" i="53"/>
  <c r="B253" i="53" s="1"/>
  <c r="B9" i="54" s="1"/>
  <c r="B233" i="53"/>
  <c r="B252" i="53" s="1"/>
  <c r="B8" i="54" s="1"/>
  <c r="B232" i="53"/>
  <c r="B251" i="53" s="1"/>
  <c r="B7" i="54" s="1"/>
  <c r="B231" i="53"/>
  <c r="B250" i="53" s="1"/>
  <c r="B6" i="54" s="1"/>
  <c r="B230" i="53"/>
  <c r="B249" i="53" s="1"/>
  <c r="B5" i="54" s="1"/>
  <c r="B228" i="53"/>
  <c r="B247" i="53" s="1"/>
  <c r="B3" i="54" s="1"/>
  <c r="K264" i="52"/>
  <c r="B82" i="52"/>
  <c r="B80" i="52"/>
  <c r="B79" i="52"/>
  <c r="B78" i="52"/>
  <c r="B77" i="52"/>
  <c r="B72" i="52"/>
  <c r="B235" i="52"/>
  <c r="B254" i="52" s="1"/>
  <c r="B234" i="52"/>
  <c r="B253" i="52" s="1"/>
  <c r="B233" i="52"/>
  <c r="B252" i="52" s="1"/>
  <c r="B232" i="52"/>
  <c r="B251" i="52" s="1"/>
  <c r="B231" i="52"/>
  <c r="B250" i="52" s="1"/>
  <c r="B230" i="52"/>
  <c r="B249" i="52" s="1"/>
  <c r="B229" i="52"/>
  <c r="B248" i="52" s="1"/>
  <c r="B227" i="52"/>
  <c r="B246" i="52" s="1"/>
  <c r="AE18" i="66" l="1"/>
  <c r="AD19" i="66"/>
  <c r="I227" i="52"/>
  <c r="I246" i="52" s="1"/>
  <c r="B68" i="52"/>
  <c r="I235" i="52"/>
  <c r="I254" i="52" s="1"/>
  <c r="B76" i="52"/>
  <c r="I229" i="53"/>
  <c r="I248" i="53" s="1"/>
  <c r="B17" i="54" s="1"/>
  <c r="B70" i="53"/>
  <c r="I233" i="53"/>
  <c r="I252" i="53" s="1"/>
  <c r="B21" i="54" s="1"/>
  <c r="B74" i="53"/>
  <c r="I236" i="53"/>
  <c r="I255" i="53" s="1"/>
  <c r="B24" i="54" s="1"/>
  <c r="E82" i="53"/>
  <c r="H82" i="53"/>
  <c r="G82" i="53"/>
  <c r="F82" i="53"/>
  <c r="D82" i="53"/>
  <c r="L82" i="53"/>
  <c r="C82" i="53"/>
  <c r="I82" i="53"/>
  <c r="K82" i="53"/>
  <c r="J82" i="53"/>
  <c r="I232" i="52"/>
  <c r="I251" i="52" s="1"/>
  <c r="B73" i="52"/>
  <c r="I240" i="52"/>
  <c r="I259" i="52" s="1"/>
  <c r="B81" i="52"/>
  <c r="J80" i="52"/>
  <c r="C80" i="52"/>
  <c r="L80" i="52"/>
  <c r="K80" i="52"/>
  <c r="H80" i="52"/>
  <c r="E80" i="52"/>
  <c r="D80" i="52"/>
  <c r="F80" i="52"/>
  <c r="I80" i="52"/>
  <c r="G80" i="52"/>
  <c r="I229" i="52"/>
  <c r="I248" i="52" s="1"/>
  <c r="B70" i="52"/>
  <c r="I233" i="52"/>
  <c r="I252" i="52" s="1"/>
  <c r="B74" i="52"/>
  <c r="I231" i="53"/>
  <c r="I250" i="53" s="1"/>
  <c r="B19" i="54" s="1"/>
  <c r="B72" i="53"/>
  <c r="I228" i="52"/>
  <c r="I247" i="52" s="1"/>
  <c r="B69" i="52"/>
  <c r="L82" i="52"/>
  <c r="G82" i="52"/>
  <c r="F82" i="52"/>
  <c r="E82" i="52"/>
  <c r="J82" i="52"/>
  <c r="H82" i="52"/>
  <c r="C82" i="52"/>
  <c r="K82" i="52"/>
  <c r="D82" i="52"/>
  <c r="I82" i="52"/>
  <c r="J83" i="53"/>
  <c r="L83" i="53"/>
  <c r="K83" i="53"/>
  <c r="I83" i="53"/>
  <c r="E83" i="53"/>
  <c r="D83" i="53"/>
  <c r="C83" i="53"/>
  <c r="G83" i="53"/>
  <c r="F83" i="53"/>
  <c r="H83" i="53"/>
  <c r="I226" i="52"/>
  <c r="I245" i="52" s="1"/>
  <c r="B67" i="52"/>
  <c r="I230" i="52"/>
  <c r="I249" i="52" s="1"/>
  <c r="B71" i="52"/>
  <c r="I234" i="52"/>
  <c r="I253" i="52" s="1"/>
  <c r="B75" i="52"/>
  <c r="I228" i="53"/>
  <c r="I247" i="53" s="1"/>
  <c r="B16" i="54" s="1"/>
  <c r="B69" i="53"/>
  <c r="I240" i="53"/>
  <c r="I259" i="53" s="1"/>
  <c r="B28" i="54" s="1"/>
  <c r="L5" i="54" s="1"/>
  <c r="B81" i="53"/>
  <c r="I241" i="52"/>
  <c r="I260" i="52" s="1"/>
  <c r="C255" i="53"/>
  <c r="I236" i="52"/>
  <c r="I255" i="52" s="1"/>
  <c r="I237" i="52"/>
  <c r="I256" i="52" s="1"/>
  <c r="I234" i="53"/>
  <c r="I253" i="53" s="1"/>
  <c r="B22" i="54" s="1"/>
  <c r="I231" i="52"/>
  <c r="I250" i="52" s="1"/>
  <c r="I239" i="52"/>
  <c r="I258" i="52" s="1"/>
  <c r="I238" i="52"/>
  <c r="I257" i="52" s="1"/>
  <c r="I227" i="53"/>
  <c r="I246" i="53" s="1"/>
  <c r="B15" i="54" s="1"/>
  <c r="C253" i="53"/>
  <c r="I235" i="53"/>
  <c r="I254" i="53" s="1"/>
  <c r="B23" i="54" s="1"/>
  <c r="I237" i="53"/>
  <c r="I256" i="53" s="1"/>
  <c r="B25" i="54" s="1"/>
  <c r="J259" i="53"/>
  <c r="C249" i="53"/>
  <c r="J261" i="53"/>
  <c r="I230" i="53"/>
  <c r="I249" i="53" s="1"/>
  <c r="B18" i="54" s="1"/>
  <c r="I239" i="53"/>
  <c r="I258" i="53" s="1"/>
  <c r="B27" i="54" s="1"/>
  <c r="I241" i="53"/>
  <c r="I260" i="53" s="1"/>
  <c r="B29" i="54" s="1"/>
  <c r="L6" i="54" s="1"/>
  <c r="I232" i="53"/>
  <c r="I251" i="53" s="1"/>
  <c r="B20" i="54" s="1"/>
  <c r="C254" i="53"/>
  <c r="J260" i="53"/>
  <c r="I238" i="53"/>
  <c r="I257" i="53" s="1"/>
  <c r="B26" i="54" s="1"/>
  <c r="I242" i="53"/>
  <c r="I261" i="53" s="1"/>
  <c r="B30" i="54" s="1"/>
  <c r="L7" i="54" s="1"/>
  <c r="AE19" i="66" l="1"/>
  <c r="AF18" i="66"/>
  <c r="H81" i="53"/>
  <c r="I81" i="53"/>
  <c r="C81" i="53"/>
  <c r="K81" i="53"/>
  <c r="J81" i="53"/>
  <c r="D81" i="53"/>
  <c r="F81" i="53"/>
  <c r="L81" i="53"/>
  <c r="E81" i="53"/>
  <c r="G81" i="53"/>
  <c r="G81" i="52"/>
  <c r="I81" i="52"/>
  <c r="H81" i="52"/>
  <c r="E81" i="52"/>
  <c r="C81" i="52"/>
  <c r="K81" i="52"/>
  <c r="F81" i="52"/>
  <c r="D81" i="52"/>
  <c r="L81" i="52"/>
  <c r="J81" i="52"/>
  <c r="A30" i="51"/>
  <c r="A29" i="51"/>
  <c r="A28" i="51"/>
  <c r="A27" i="51"/>
  <c r="A26" i="51"/>
  <c r="A25" i="51"/>
  <c r="A24" i="51"/>
  <c r="A23" i="51"/>
  <c r="A22" i="51"/>
  <c r="A21" i="51"/>
  <c r="A20" i="51"/>
  <c r="A19" i="51"/>
  <c r="A18" i="51"/>
  <c r="A17" i="51"/>
  <c r="A16" i="51"/>
  <c r="A15" i="51"/>
  <c r="A11" i="51"/>
  <c r="A10" i="51"/>
  <c r="A9" i="51"/>
  <c r="A8" i="51"/>
  <c r="A7" i="51"/>
  <c r="A6" i="51"/>
  <c r="A5" i="51"/>
  <c r="A4" i="51"/>
  <c r="A3" i="51"/>
  <c r="A2" i="51"/>
  <c r="H26" i="51"/>
  <c r="H25" i="51"/>
  <c r="H24" i="51"/>
  <c r="H22" i="51"/>
  <c r="H21" i="51"/>
  <c r="H20" i="51"/>
  <c r="H19" i="51"/>
  <c r="H17" i="51"/>
  <c r="H16" i="51"/>
  <c r="H15" i="51"/>
  <c r="L259" i="50"/>
  <c r="E28" i="51" s="1"/>
  <c r="B83" i="50"/>
  <c r="B79" i="50"/>
  <c r="B77" i="50"/>
  <c r="B76" i="50"/>
  <c r="B75" i="50"/>
  <c r="B74" i="50"/>
  <c r="B71" i="50"/>
  <c r="B69" i="50"/>
  <c r="B68" i="50"/>
  <c r="B236" i="50"/>
  <c r="B255" i="50" s="1"/>
  <c r="B11" i="51" s="1"/>
  <c r="B235" i="50"/>
  <c r="B254" i="50" s="1"/>
  <c r="B10" i="51" s="1"/>
  <c r="B234" i="50"/>
  <c r="B253" i="50" s="1"/>
  <c r="B9" i="51" s="1"/>
  <c r="B233" i="50"/>
  <c r="B252" i="50" s="1"/>
  <c r="B8" i="51" s="1"/>
  <c r="B232" i="50"/>
  <c r="B251" i="50" s="1"/>
  <c r="B7" i="51" s="1"/>
  <c r="B231" i="50"/>
  <c r="B250" i="50" s="1"/>
  <c r="B6" i="51" s="1"/>
  <c r="B230" i="50"/>
  <c r="B249" i="50" s="1"/>
  <c r="B5" i="51" s="1"/>
  <c r="B228" i="50"/>
  <c r="B247" i="50" s="1"/>
  <c r="B3" i="51" s="1"/>
  <c r="K264" i="49"/>
  <c r="I233" i="49"/>
  <c r="I252" i="49" s="1"/>
  <c r="B82" i="49"/>
  <c r="B81" i="49"/>
  <c r="B79" i="49"/>
  <c r="B78" i="49"/>
  <c r="B76" i="49"/>
  <c r="B74" i="49"/>
  <c r="B73" i="49"/>
  <c r="B70" i="49"/>
  <c r="B68" i="49"/>
  <c r="B235" i="49"/>
  <c r="B254" i="49" s="1"/>
  <c r="B234" i="49"/>
  <c r="B253" i="49" s="1"/>
  <c r="B233" i="49"/>
  <c r="B252" i="49" s="1"/>
  <c r="B232" i="49"/>
  <c r="B251" i="49" s="1"/>
  <c r="B231" i="49"/>
  <c r="B250" i="49" s="1"/>
  <c r="B230" i="49"/>
  <c r="B249" i="49" s="1"/>
  <c r="B229" i="49"/>
  <c r="B248" i="49" s="1"/>
  <c r="B227" i="49"/>
  <c r="B246" i="49" s="1"/>
  <c r="AG18" i="66" l="1"/>
  <c r="AF19" i="66"/>
  <c r="I241" i="50"/>
  <c r="I260" i="50" s="1"/>
  <c r="B29" i="51" s="1"/>
  <c r="L6" i="51" s="1"/>
  <c r="B82" i="50"/>
  <c r="I226" i="49"/>
  <c r="I245" i="49" s="1"/>
  <c r="B67" i="49"/>
  <c r="I230" i="49"/>
  <c r="I249" i="49" s="1"/>
  <c r="B71" i="49"/>
  <c r="I234" i="49"/>
  <c r="I253" i="49" s="1"/>
  <c r="B75" i="49"/>
  <c r="I227" i="49"/>
  <c r="I246" i="49" s="1"/>
  <c r="I229" i="50"/>
  <c r="I248" i="50" s="1"/>
  <c r="B17" i="51" s="1"/>
  <c r="B70" i="50"/>
  <c r="I237" i="50"/>
  <c r="I256" i="50" s="1"/>
  <c r="B25" i="51" s="1"/>
  <c r="B78" i="50"/>
  <c r="K83" i="50"/>
  <c r="E83" i="50"/>
  <c r="D83" i="50"/>
  <c r="L83" i="50"/>
  <c r="F83" i="50"/>
  <c r="C83" i="50"/>
  <c r="H83" i="50"/>
  <c r="G83" i="50"/>
  <c r="I83" i="50"/>
  <c r="J83" i="50"/>
  <c r="I236" i="50"/>
  <c r="I255" i="50" s="1"/>
  <c r="B24" i="51" s="1"/>
  <c r="I231" i="49"/>
  <c r="I250" i="49" s="1"/>
  <c r="B72" i="49"/>
  <c r="I239" i="49"/>
  <c r="I258" i="49" s="1"/>
  <c r="B80" i="49"/>
  <c r="I228" i="49"/>
  <c r="I247" i="49" s="1"/>
  <c r="B69" i="49"/>
  <c r="I236" i="49"/>
  <c r="I255" i="49" s="1"/>
  <c r="B77" i="49"/>
  <c r="G81" i="49"/>
  <c r="H81" i="49"/>
  <c r="D81" i="49"/>
  <c r="L81" i="49"/>
  <c r="F81" i="49"/>
  <c r="I81" i="49"/>
  <c r="C81" i="49"/>
  <c r="E81" i="49"/>
  <c r="K81" i="49"/>
  <c r="J81" i="49"/>
  <c r="I231" i="50"/>
  <c r="I250" i="50" s="1"/>
  <c r="B19" i="51" s="1"/>
  <c r="B72" i="50"/>
  <c r="I239" i="50"/>
  <c r="I258" i="50" s="1"/>
  <c r="B27" i="51" s="1"/>
  <c r="B80" i="50"/>
  <c r="L82" i="49"/>
  <c r="G82" i="49"/>
  <c r="H82" i="49"/>
  <c r="E82" i="49"/>
  <c r="C82" i="49"/>
  <c r="K82" i="49"/>
  <c r="D82" i="49"/>
  <c r="I82" i="49"/>
  <c r="F82" i="49"/>
  <c r="J82" i="49"/>
  <c r="I232" i="50"/>
  <c r="I251" i="50" s="1"/>
  <c r="B20" i="51" s="1"/>
  <c r="B73" i="50"/>
  <c r="I240" i="50"/>
  <c r="I259" i="50" s="1"/>
  <c r="B28" i="51" s="1"/>
  <c r="L5" i="51" s="1"/>
  <c r="B81" i="50"/>
  <c r="J260" i="50"/>
  <c r="I229" i="49"/>
  <c r="I248" i="49" s="1"/>
  <c r="I230" i="50"/>
  <c r="I249" i="50" s="1"/>
  <c r="B18" i="51" s="1"/>
  <c r="I228" i="50"/>
  <c r="I247" i="50" s="1"/>
  <c r="B16" i="51" s="1"/>
  <c r="I232" i="49"/>
  <c r="I251" i="49" s="1"/>
  <c r="I240" i="49"/>
  <c r="I259" i="49" s="1"/>
  <c r="I235" i="49"/>
  <c r="I254" i="49" s="1"/>
  <c r="I237" i="49"/>
  <c r="I256" i="49" s="1"/>
  <c r="I241" i="49"/>
  <c r="I260" i="49" s="1"/>
  <c r="I227" i="50"/>
  <c r="I246" i="50" s="1"/>
  <c r="B15" i="51" s="1"/>
  <c r="I238" i="49"/>
  <c r="I257" i="49" s="1"/>
  <c r="I242" i="50"/>
  <c r="I261" i="50" s="1"/>
  <c r="B30" i="51" s="1"/>
  <c r="L7" i="51" s="1"/>
  <c r="I238" i="50"/>
  <c r="I257" i="50" s="1"/>
  <c r="B26" i="51" s="1"/>
  <c r="I233" i="50"/>
  <c r="I252" i="50" s="1"/>
  <c r="B21" i="51" s="1"/>
  <c r="I235" i="50"/>
  <c r="I254" i="50" s="1"/>
  <c r="B23" i="51" s="1"/>
  <c r="J261" i="50"/>
  <c r="I234" i="50"/>
  <c r="I253" i="50" s="1"/>
  <c r="B22" i="51" s="1"/>
  <c r="J259" i="50"/>
  <c r="AG19" i="66" l="1"/>
  <c r="AH18" i="66"/>
  <c r="I81" i="50"/>
  <c r="D81" i="50"/>
  <c r="E81" i="50"/>
  <c r="L81" i="50"/>
  <c r="G81" i="50"/>
  <c r="F81" i="50"/>
  <c r="J81" i="50"/>
  <c r="H81" i="50"/>
  <c r="C81" i="50"/>
  <c r="K81" i="50"/>
  <c r="J80" i="49"/>
  <c r="K80" i="49"/>
  <c r="H80" i="49"/>
  <c r="F80" i="49"/>
  <c r="C80" i="49"/>
  <c r="E80" i="49"/>
  <c r="G80" i="49"/>
  <c r="D80" i="49"/>
  <c r="I80" i="49"/>
  <c r="L80" i="49"/>
  <c r="F82" i="50"/>
  <c r="D82" i="50"/>
  <c r="L82" i="50"/>
  <c r="I82" i="50"/>
  <c r="H82" i="50"/>
  <c r="G82" i="50"/>
  <c r="E82" i="50"/>
  <c r="K82" i="50"/>
  <c r="J82" i="50"/>
  <c r="C82" i="50"/>
  <c r="AI18" i="66" l="1"/>
  <c r="AI19" i="66" s="1"/>
  <c r="AH19" i="66"/>
  <c r="D35" i="33"/>
  <c r="F9" i="33" l="1"/>
  <c r="C9" i="33" l="1"/>
  <c r="E9" i="33"/>
  <c r="U16" i="38" l="1"/>
  <c r="V16" i="38"/>
  <c r="W16" i="38"/>
  <c r="X16" i="38"/>
  <c r="Y16" i="38"/>
  <c r="Z16" i="38"/>
  <c r="AA16" i="38"/>
  <c r="AB16" i="38"/>
  <c r="AC16" i="38"/>
  <c r="U17" i="38"/>
  <c r="V17" i="38"/>
  <c r="W17" i="38"/>
  <c r="X17" i="38"/>
  <c r="Y17" i="38"/>
  <c r="Z17" i="38"/>
  <c r="AA17" i="38"/>
  <c r="AB17" i="38"/>
  <c r="AC17" i="38"/>
  <c r="U18" i="38"/>
  <c r="V18" i="38"/>
  <c r="W18" i="38"/>
  <c r="X18" i="38"/>
  <c r="Y18" i="38"/>
  <c r="Z18" i="38"/>
  <c r="AA18" i="38"/>
  <c r="AB18" i="38"/>
  <c r="AC18" i="38"/>
  <c r="T17" i="38"/>
  <c r="T18" i="38"/>
  <c r="T16" i="38"/>
  <c r="S17" i="38"/>
  <c r="S18" i="38"/>
  <c r="S16" i="38"/>
  <c r="C4" i="54" l="1"/>
  <c r="C4" i="51"/>
  <c r="C5" i="54"/>
  <c r="C5" i="51"/>
  <c r="X1" i="38"/>
  <c r="AC1" i="38"/>
  <c r="U1" i="38"/>
  <c r="V1" i="38"/>
  <c r="W1" i="38"/>
  <c r="Y1" i="38"/>
  <c r="Z1" i="38"/>
  <c r="AA1" i="38"/>
  <c r="AB1" i="38"/>
  <c r="T1" i="38"/>
  <c r="J3" i="38"/>
  <c r="J4" i="38"/>
  <c r="J5" i="38"/>
  <c r="J6" i="38"/>
  <c r="J7" i="38"/>
  <c r="J8" i="38"/>
  <c r="J9" i="38"/>
  <c r="J10" i="38"/>
  <c r="J11" i="38"/>
  <c r="J12" i="38"/>
  <c r="J13" i="38"/>
  <c r="J14" i="38"/>
  <c r="J15" i="38"/>
  <c r="J16" i="38"/>
  <c r="J17" i="38"/>
  <c r="J18" i="38"/>
  <c r="J19" i="38"/>
  <c r="T9" i="38" s="1"/>
  <c r="J20" i="38"/>
  <c r="J21" i="38"/>
  <c r="J22" i="38"/>
  <c r="J25" i="38"/>
  <c r="J24" i="38"/>
  <c r="J23" i="38"/>
  <c r="J26" i="38"/>
  <c r="J27" i="38"/>
  <c r="J28" i="38"/>
  <c r="J34" i="38"/>
  <c r="J29" i="38"/>
  <c r="T10" i="38" s="1"/>
  <c r="J33" i="38"/>
  <c r="J31" i="38"/>
  <c r="J32" i="38"/>
  <c r="J30" i="38"/>
  <c r="J35" i="38"/>
  <c r="J36" i="38"/>
  <c r="J37" i="38"/>
  <c r="J39" i="38"/>
  <c r="J40" i="38"/>
  <c r="J41" i="38"/>
  <c r="J42" i="38"/>
  <c r="J38" i="38"/>
  <c r="J44" i="38"/>
  <c r="J45" i="38"/>
  <c r="J43" i="38"/>
  <c r="J2" i="38"/>
  <c r="C74" i="71" l="1"/>
  <c r="C75" i="72"/>
  <c r="C74" i="74"/>
  <c r="C75" i="75"/>
  <c r="C74" i="77"/>
  <c r="C75" i="78"/>
  <c r="C74" i="80"/>
  <c r="C74" i="83"/>
  <c r="C75" i="84"/>
  <c r="C75" i="81"/>
  <c r="C73" i="71"/>
  <c r="C74" i="78"/>
  <c r="C73" i="80"/>
  <c r="C74" i="81"/>
  <c r="C73" i="74"/>
  <c r="C74" i="72"/>
  <c r="C74" i="84"/>
  <c r="C74" i="75"/>
  <c r="C73" i="77"/>
  <c r="C73" i="83"/>
  <c r="C74" i="63"/>
  <c r="C75" i="64"/>
  <c r="C73" i="63"/>
  <c r="C74" i="64"/>
  <c r="C74" i="61"/>
  <c r="C73" i="60"/>
  <c r="C74" i="60"/>
  <c r="C75" i="61"/>
  <c r="C7" i="59"/>
  <c r="E7" i="59" s="1"/>
  <c r="C75" i="53"/>
  <c r="C74" i="57"/>
  <c r="C75" i="58"/>
  <c r="C74" i="53"/>
  <c r="C74" i="58"/>
  <c r="C73" i="57"/>
  <c r="C10" i="54"/>
  <c r="C10" i="51"/>
  <c r="C58" i="50"/>
  <c r="D10" i="50" s="1"/>
  <c r="F58" i="53"/>
  <c r="E110" i="53" s="1"/>
  <c r="C58" i="53"/>
  <c r="D10" i="53" s="1"/>
  <c r="C8" i="54"/>
  <c r="C8" i="51"/>
  <c r="C35" i="53"/>
  <c r="D7" i="53" s="1"/>
  <c r="C35" i="50"/>
  <c r="D7" i="50" s="1"/>
  <c r="C74" i="50"/>
  <c r="C73" i="52"/>
  <c r="C75" i="50"/>
  <c r="C74" i="52"/>
  <c r="C74" i="49"/>
  <c r="C73" i="49"/>
  <c r="T6" i="38"/>
  <c r="T15" i="38"/>
  <c r="T13" i="38"/>
  <c r="T14" i="38"/>
  <c r="T12" i="38"/>
  <c r="T3" i="38"/>
  <c r="T5" i="38"/>
  <c r="T4" i="38"/>
  <c r="T11" i="38"/>
  <c r="T8" i="38"/>
  <c r="T7" i="38"/>
  <c r="Y3" i="38"/>
  <c r="U12" i="38"/>
  <c r="AC12" i="38"/>
  <c r="Y13" i="38"/>
  <c r="Z15" i="38"/>
  <c r="Z13" i="38"/>
  <c r="W4" i="38"/>
  <c r="W14" i="38"/>
  <c r="AC10" i="38"/>
  <c r="Y9" i="38"/>
  <c r="W8" i="38"/>
  <c r="U14" i="38"/>
  <c r="Z14" i="38"/>
  <c r="AC15" i="38"/>
  <c r="W15" i="38"/>
  <c r="Y14" i="38"/>
  <c r="AC13" i="38"/>
  <c r="W13" i="38"/>
  <c r="Y12" i="38"/>
  <c r="AC11" i="38"/>
  <c r="W11" i="38"/>
  <c r="Y10" i="38"/>
  <c r="AC9" i="38"/>
  <c r="W9" i="38"/>
  <c r="Y8" i="38"/>
  <c r="AC7" i="38"/>
  <c r="W7" i="38"/>
  <c r="Y6" i="38"/>
  <c r="AC5" i="38"/>
  <c r="W5" i="38"/>
  <c r="Y4" i="38"/>
  <c r="AB15" i="38"/>
  <c r="V15" i="38"/>
  <c r="AB13" i="38"/>
  <c r="V13" i="38"/>
  <c r="X12" i="38"/>
  <c r="AB11" i="38"/>
  <c r="V11" i="38"/>
  <c r="X10" i="38"/>
  <c r="AB9" i="38"/>
  <c r="V9" i="38"/>
  <c r="X8" i="38"/>
  <c r="AB7" i="38"/>
  <c r="V7" i="38"/>
  <c r="X6" i="38"/>
  <c r="AB5" i="38"/>
  <c r="V5" i="38"/>
  <c r="X4" i="38"/>
  <c r="X14" i="38"/>
  <c r="AA15" i="38"/>
  <c r="U15" i="38"/>
  <c r="AA13" i="38"/>
  <c r="U13" i="38"/>
  <c r="AA11" i="38"/>
  <c r="U11" i="38"/>
  <c r="AA9" i="38"/>
  <c r="U9" i="38"/>
  <c r="AA7" i="38"/>
  <c r="U7" i="38"/>
  <c r="AA5" i="38"/>
  <c r="U5" i="38"/>
  <c r="Z5" i="38"/>
  <c r="Z9" i="38"/>
  <c r="AC14" i="38"/>
  <c r="W12" i="38"/>
  <c r="W10" i="38"/>
  <c r="Y7" i="38"/>
  <c r="W6" i="38"/>
  <c r="Y5" i="38"/>
  <c r="AC4" i="38"/>
  <c r="X15" i="38"/>
  <c r="AB14" i="38"/>
  <c r="V14" i="38"/>
  <c r="X13" i="38"/>
  <c r="AB12" i="38"/>
  <c r="V12" i="38"/>
  <c r="X11" i="38"/>
  <c r="AB10" i="38"/>
  <c r="V10" i="38"/>
  <c r="X9" i="38"/>
  <c r="AB8" i="38"/>
  <c r="V8" i="38"/>
  <c r="X7" i="38"/>
  <c r="AB6" i="38"/>
  <c r="V6" i="38"/>
  <c r="X5" i="38"/>
  <c r="AB4" i="38"/>
  <c r="V4" i="38"/>
  <c r="Y15" i="38"/>
  <c r="Y11" i="38"/>
  <c r="AC8" i="38"/>
  <c r="AC6" i="38"/>
  <c r="AA14" i="38"/>
  <c r="AA12" i="38"/>
  <c r="AA10" i="38"/>
  <c r="U10" i="38"/>
  <c r="AA8" i="38"/>
  <c r="U8" i="38"/>
  <c r="AA6" i="38"/>
  <c r="U6" i="38"/>
  <c r="AA4" i="38"/>
  <c r="U4" i="38"/>
  <c r="Z11" i="38"/>
  <c r="Z7" i="38"/>
  <c r="Z12" i="38"/>
  <c r="Z10" i="38"/>
  <c r="Z8" i="38"/>
  <c r="Z6" i="38"/>
  <c r="Z4" i="38"/>
  <c r="AC3" i="38"/>
  <c r="W3" i="38"/>
  <c r="AB3" i="38"/>
  <c r="V3" i="38"/>
  <c r="AA3" i="38"/>
  <c r="U3" i="38"/>
  <c r="Z3" i="38"/>
  <c r="X3" i="38"/>
  <c r="G75" i="71" l="1"/>
  <c r="G76" i="75"/>
  <c r="G76" i="78"/>
  <c r="G75" i="80"/>
  <c r="G76" i="81"/>
  <c r="G75" i="74"/>
  <c r="G76" i="72"/>
  <c r="G75" i="83"/>
  <c r="G76" i="84"/>
  <c r="G75" i="77"/>
  <c r="D76" i="71"/>
  <c r="D76" i="77"/>
  <c r="D77" i="78"/>
  <c r="D76" i="80"/>
  <c r="D77" i="81"/>
  <c r="D77" i="72"/>
  <c r="D77" i="75"/>
  <c r="D76" i="74"/>
  <c r="D76" i="83"/>
  <c r="D77" i="84"/>
  <c r="F76" i="71"/>
  <c r="F77" i="72"/>
  <c r="F76" i="74"/>
  <c r="F77" i="75"/>
  <c r="K76" i="71"/>
  <c r="K77" i="72"/>
  <c r="K77" i="75"/>
  <c r="K76" i="80"/>
  <c r="F77" i="81"/>
  <c r="K76" i="77"/>
  <c r="F77" i="78"/>
  <c r="F76" i="80"/>
  <c r="K76" i="83"/>
  <c r="K77" i="84"/>
  <c r="F76" i="77"/>
  <c r="K77" i="81"/>
  <c r="K76" i="74"/>
  <c r="K77" i="78"/>
  <c r="F76" i="83"/>
  <c r="F77" i="84"/>
  <c r="H72" i="71"/>
  <c r="H73" i="72"/>
  <c r="H72" i="74"/>
  <c r="H73" i="75"/>
  <c r="H72" i="77"/>
  <c r="H73" i="78"/>
  <c r="H72" i="80"/>
  <c r="H73" i="81"/>
  <c r="H72" i="83"/>
  <c r="H73" i="84"/>
  <c r="G79" i="71"/>
  <c r="G79" i="80"/>
  <c r="G80" i="81"/>
  <c r="G79" i="74"/>
  <c r="G79" i="77"/>
  <c r="G80" i="72"/>
  <c r="G80" i="75"/>
  <c r="G80" i="78"/>
  <c r="G79" i="83"/>
  <c r="G80" i="84"/>
  <c r="I73" i="72"/>
  <c r="I72" i="74"/>
  <c r="I72" i="77"/>
  <c r="I73" i="81"/>
  <c r="I72" i="71"/>
  <c r="I73" i="78"/>
  <c r="I72" i="80"/>
  <c r="I72" i="83"/>
  <c r="I73" i="84"/>
  <c r="I73" i="75"/>
  <c r="E78" i="71"/>
  <c r="E79" i="72"/>
  <c r="E78" i="74"/>
  <c r="E79" i="78"/>
  <c r="E78" i="80"/>
  <c r="E78" i="83"/>
  <c r="E79" i="84"/>
  <c r="E79" i="75"/>
  <c r="E79" i="81"/>
  <c r="E78" i="77"/>
  <c r="J76" i="71"/>
  <c r="J77" i="72"/>
  <c r="J76" i="74"/>
  <c r="J77" i="75"/>
  <c r="J77" i="78"/>
  <c r="J76" i="77"/>
  <c r="J76" i="83"/>
  <c r="J77" i="84"/>
  <c r="J77" i="81"/>
  <c r="J76" i="80"/>
  <c r="D73" i="71"/>
  <c r="D74" i="72"/>
  <c r="D73" i="74"/>
  <c r="D74" i="75"/>
  <c r="D74" i="78"/>
  <c r="D73" i="80"/>
  <c r="D73" i="77"/>
  <c r="D74" i="81"/>
  <c r="D73" i="83"/>
  <c r="D74" i="84"/>
  <c r="E73" i="71"/>
  <c r="E74" i="72"/>
  <c r="E73" i="74"/>
  <c r="E74" i="75"/>
  <c r="E73" i="77"/>
  <c r="E74" i="78"/>
  <c r="E73" i="80"/>
  <c r="E74" i="81"/>
  <c r="E73" i="83"/>
  <c r="E74" i="84"/>
  <c r="E79" i="71"/>
  <c r="E80" i="72"/>
  <c r="E79" i="80"/>
  <c r="E80" i="75"/>
  <c r="E79" i="83"/>
  <c r="E80" i="84"/>
  <c r="E79" i="77"/>
  <c r="E79" i="74"/>
  <c r="E80" i="78"/>
  <c r="E80" i="81"/>
  <c r="G72" i="71"/>
  <c r="G73" i="72"/>
  <c r="G72" i="74"/>
  <c r="G73" i="75"/>
  <c r="G72" i="77"/>
  <c r="G73" i="81"/>
  <c r="G73" i="78"/>
  <c r="G72" i="80"/>
  <c r="G72" i="83"/>
  <c r="G73" i="84"/>
  <c r="L77" i="71"/>
  <c r="L78" i="72"/>
  <c r="L77" i="74"/>
  <c r="L78" i="75"/>
  <c r="L77" i="77"/>
  <c r="L78" i="78"/>
  <c r="L77" i="80"/>
  <c r="L78" i="81"/>
  <c r="L77" i="83"/>
  <c r="L78" i="84"/>
  <c r="L74" i="71"/>
  <c r="L75" i="72"/>
  <c r="L74" i="74"/>
  <c r="L75" i="75"/>
  <c r="L74" i="77"/>
  <c r="L75" i="78"/>
  <c r="L74" i="80"/>
  <c r="L75" i="81"/>
  <c r="L74" i="83"/>
  <c r="L75" i="84"/>
  <c r="G68" i="75"/>
  <c r="G68" i="78"/>
  <c r="G67" i="80"/>
  <c r="G67" i="74"/>
  <c r="G68" i="72"/>
  <c r="G67" i="71"/>
  <c r="G67" i="77"/>
  <c r="G67" i="83"/>
  <c r="G68" i="81"/>
  <c r="G68" i="84"/>
  <c r="C76" i="71"/>
  <c r="C77" i="72"/>
  <c r="C76" i="77"/>
  <c r="C77" i="78"/>
  <c r="C76" i="80"/>
  <c r="C77" i="75"/>
  <c r="C77" i="81"/>
  <c r="C76" i="83"/>
  <c r="C77" i="84"/>
  <c r="C76" i="74"/>
  <c r="H67" i="71"/>
  <c r="H68" i="72"/>
  <c r="H67" i="74"/>
  <c r="H68" i="75"/>
  <c r="H67" i="77"/>
  <c r="H68" i="78"/>
  <c r="H67" i="80"/>
  <c r="H68" i="81"/>
  <c r="H67" i="83"/>
  <c r="H68" i="84"/>
  <c r="H71" i="71"/>
  <c r="H72" i="72"/>
  <c r="H71" i="74"/>
  <c r="H72" i="75"/>
  <c r="H71" i="77"/>
  <c r="H72" i="78"/>
  <c r="H71" i="80"/>
  <c r="H72" i="81"/>
  <c r="H71" i="83"/>
  <c r="H72" i="84"/>
  <c r="G73" i="77"/>
  <c r="G73" i="74"/>
  <c r="G74" i="72"/>
  <c r="G73" i="71"/>
  <c r="G74" i="78"/>
  <c r="G74" i="81"/>
  <c r="G73" i="83"/>
  <c r="G74" i="84"/>
  <c r="G74" i="75"/>
  <c r="G73" i="80"/>
  <c r="E67" i="71"/>
  <c r="E68" i="72"/>
  <c r="E68" i="75"/>
  <c r="E68" i="78"/>
  <c r="E67" i="80"/>
  <c r="E68" i="81"/>
  <c r="E67" i="83"/>
  <c r="E68" i="84"/>
  <c r="E67" i="74"/>
  <c r="E67" i="77"/>
  <c r="I67" i="71"/>
  <c r="I68" i="72"/>
  <c r="I67" i="74"/>
  <c r="I68" i="75"/>
  <c r="I67" i="77"/>
  <c r="I68" i="78"/>
  <c r="I68" i="81"/>
  <c r="I67" i="83"/>
  <c r="I68" i="84"/>
  <c r="I67" i="80"/>
  <c r="F71" i="71"/>
  <c r="K71" i="71"/>
  <c r="F72" i="78"/>
  <c r="F71" i="80"/>
  <c r="K72" i="72"/>
  <c r="K71" i="74"/>
  <c r="F72" i="72"/>
  <c r="F72" i="75"/>
  <c r="F71" i="74"/>
  <c r="K72" i="75"/>
  <c r="F71" i="83"/>
  <c r="F72" i="84"/>
  <c r="K71" i="80"/>
  <c r="K71" i="77"/>
  <c r="F71" i="77"/>
  <c r="F72" i="81"/>
  <c r="K71" i="83"/>
  <c r="K72" i="84"/>
  <c r="K72" i="78"/>
  <c r="K72" i="81"/>
  <c r="D74" i="71"/>
  <c r="D75" i="72"/>
  <c r="D74" i="74"/>
  <c r="D75" i="75"/>
  <c r="D74" i="77"/>
  <c r="D75" i="78"/>
  <c r="D74" i="80"/>
  <c r="D75" i="81"/>
  <c r="D74" i="83"/>
  <c r="D75" i="84"/>
  <c r="E69" i="72"/>
  <c r="E69" i="78"/>
  <c r="E68" i="80"/>
  <c r="E68" i="71"/>
  <c r="E68" i="74"/>
  <c r="E68" i="83"/>
  <c r="E69" i="75"/>
  <c r="E68" i="77"/>
  <c r="E69" i="81"/>
  <c r="E69" i="84"/>
  <c r="I78" i="71"/>
  <c r="I79" i="75"/>
  <c r="I78" i="80"/>
  <c r="I79" i="81"/>
  <c r="I79" i="72"/>
  <c r="I78" i="74"/>
  <c r="I79" i="84"/>
  <c r="I78" i="77"/>
  <c r="I78" i="83"/>
  <c r="I79" i="78"/>
  <c r="L78" i="71"/>
  <c r="L79" i="72"/>
  <c r="L78" i="74"/>
  <c r="L79" i="75"/>
  <c r="L78" i="77"/>
  <c r="L79" i="78"/>
  <c r="L78" i="80"/>
  <c r="L79" i="81"/>
  <c r="L78" i="83"/>
  <c r="L79" i="84"/>
  <c r="H73" i="71"/>
  <c r="H74" i="72"/>
  <c r="H73" i="74"/>
  <c r="H74" i="75"/>
  <c r="H73" i="77"/>
  <c r="H74" i="81"/>
  <c r="H73" i="83"/>
  <c r="H74" i="84"/>
  <c r="H74" i="78"/>
  <c r="H73" i="80"/>
  <c r="I73" i="71"/>
  <c r="I74" i="72"/>
  <c r="I74" i="75"/>
  <c r="I74" i="78"/>
  <c r="I73" i="80"/>
  <c r="I74" i="81"/>
  <c r="I73" i="83"/>
  <c r="I74" i="84"/>
  <c r="I73" i="74"/>
  <c r="I73" i="77"/>
  <c r="I79" i="71"/>
  <c r="I80" i="72"/>
  <c r="I79" i="74"/>
  <c r="I80" i="75"/>
  <c r="I79" i="77"/>
  <c r="I80" i="78"/>
  <c r="I79" i="80"/>
  <c r="I80" i="81"/>
  <c r="I79" i="83"/>
  <c r="I80" i="84"/>
  <c r="J73" i="71"/>
  <c r="J74" i="75"/>
  <c r="J74" i="78"/>
  <c r="J73" i="80"/>
  <c r="J73" i="74"/>
  <c r="J74" i="72"/>
  <c r="J73" i="77"/>
  <c r="J74" i="81"/>
  <c r="J73" i="83"/>
  <c r="J74" i="84"/>
  <c r="G78" i="71"/>
  <c r="G79" i="72"/>
  <c r="G79" i="75"/>
  <c r="G78" i="80"/>
  <c r="G78" i="77"/>
  <c r="G79" i="78"/>
  <c r="G78" i="83"/>
  <c r="G79" i="84"/>
  <c r="G79" i="81"/>
  <c r="G78" i="74"/>
  <c r="J78" i="71"/>
  <c r="J79" i="72"/>
  <c r="J78" i="74"/>
  <c r="J79" i="75"/>
  <c r="J78" i="77"/>
  <c r="J79" i="78"/>
  <c r="J79" i="81"/>
  <c r="J78" i="80"/>
  <c r="J78" i="83"/>
  <c r="J79" i="84"/>
  <c r="C71" i="74"/>
  <c r="C71" i="71"/>
  <c r="C72" i="72"/>
  <c r="C71" i="77"/>
  <c r="C72" i="75"/>
  <c r="C72" i="78"/>
  <c r="C71" i="80"/>
  <c r="C71" i="83"/>
  <c r="C72" i="84"/>
  <c r="C72" i="81"/>
  <c r="C78" i="71"/>
  <c r="C79" i="72"/>
  <c r="C78" i="74"/>
  <c r="C79" i="75"/>
  <c r="C78" i="77"/>
  <c r="C79" i="78"/>
  <c r="C78" i="80"/>
  <c r="C79" i="81"/>
  <c r="C78" i="83"/>
  <c r="C79" i="84"/>
  <c r="C72" i="71"/>
  <c r="C73" i="72"/>
  <c r="C73" i="75"/>
  <c r="C73" i="78"/>
  <c r="C72" i="80"/>
  <c r="C72" i="77"/>
  <c r="C72" i="83"/>
  <c r="C73" i="84"/>
  <c r="C72" i="74"/>
  <c r="C73" i="81"/>
  <c r="C77" i="71"/>
  <c r="C78" i="75"/>
  <c r="C77" i="80"/>
  <c r="C78" i="81"/>
  <c r="C77" i="74"/>
  <c r="C77" i="77"/>
  <c r="C78" i="78"/>
  <c r="C78" i="72"/>
  <c r="C77" i="83"/>
  <c r="C78" i="84"/>
  <c r="J77" i="71"/>
  <c r="J77" i="80"/>
  <c r="J78" i="81"/>
  <c r="J78" i="72"/>
  <c r="J78" i="75"/>
  <c r="J77" i="74"/>
  <c r="J77" i="83"/>
  <c r="J78" i="84"/>
  <c r="J78" i="78"/>
  <c r="J77" i="77"/>
  <c r="H74" i="71"/>
  <c r="H75" i="72"/>
  <c r="H75" i="78"/>
  <c r="H74" i="80"/>
  <c r="H75" i="81"/>
  <c r="H75" i="75"/>
  <c r="H74" i="74"/>
  <c r="H74" i="83"/>
  <c r="H75" i="84"/>
  <c r="H74" i="77"/>
  <c r="D75" i="71"/>
  <c r="D76" i="72"/>
  <c r="D75" i="74"/>
  <c r="D76" i="75"/>
  <c r="D75" i="77"/>
  <c r="D75" i="83"/>
  <c r="D76" i="84"/>
  <c r="D76" i="81"/>
  <c r="D76" i="78"/>
  <c r="D75" i="80"/>
  <c r="L73" i="71"/>
  <c r="L74" i="72"/>
  <c r="L73" i="74"/>
  <c r="L74" i="75"/>
  <c r="L74" i="81"/>
  <c r="L73" i="77"/>
  <c r="L74" i="78"/>
  <c r="L73" i="80"/>
  <c r="L73" i="83"/>
  <c r="L74" i="84"/>
  <c r="F69" i="71"/>
  <c r="F70" i="72"/>
  <c r="F69" i="74"/>
  <c r="F70" i="75"/>
  <c r="F69" i="77"/>
  <c r="K69" i="77"/>
  <c r="K70" i="78"/>
  <c r="K69" i="80"/>
  <c r="K70" i="72"/>
  <c r="K69" i="71"/>
  <c r="K69" i="74"/>
  <c r="F70" i="78"/>
  <c r="F69" i="80"/>
  <c r="F70" i="81"/>
  <c r="K70" i="81"/>
  <c r="K70" i="75"/>
  <c r="F69" i="83"/>
  <c r="F70" i="84"/>
  <c r="K69" i="83"/>
  <c r="K70" i="84"/>
  <c r="I69" i="71"/>
  <c r="I70" i="72"/>
  <c r="I69" i="77"/>
  <c r="I70" i="78"/>
  <c r="I69" i="80"/>
  <c r="I70" i="75"/>
  <c r="I69" i="83"/>
  <c r="I70" i="84"/>
  <c r="I70" i="81"/>
  <c r="I69" i="74"/>
  <c r="E75" i="71"/>
  <c r="E76" i="72"/>
  <c r="E75" i="77"/>
  <c r="E76" i="75"/>
  <c r="E76" i="78"/>
  <c r="E75" i="80"/>
  <c r="E75" i="74"/>
  <c r="E75" i="83"/>
  <c r="E76" i="84"/>
  <c r="E76" i="81"/>
  <c r="J69" i="77"/>
  <c r="J70" i="78"/>
  <c r="J69" i="80"/>
  <c r="J70" i="72"/>
  <c r="J69" i="71"/>
  <c r="J70" i="75"/>
  <c r="J69" i="74"/>
  <c r="J69" i="83"/>
  <c r="J70" i="84"/>
  <c r="J70" i="81"/>
  <c r="G74" i="71"/>
  <c r="G75" i="72"/>
  <c r="G74" i="77"/>
  <c r="G75" i="78"/>
  <c r="G74" i="80"/>
  <c r="G75" i="75"/>
  <c r="G74" i="74"/>
  <c r="G74" i="83"/>
  <c r="G75" i="84"/>
  <c r="G75" i="81"/>
  <c r="L79" i="71"/>
  <c r="L80" i="72"/>
  <c r="L79" i="74"/>
  <c r="L80" i="75"/>
  <c r="L80" i="78"/>
  <c r="L79" i="77"/>
  <c r="L80" i="81"/>
  <c r="L79" i="83"/>
  <c r="L80" i="84"/>
  <c r="L79" i="80"/>
  <c r="F77" i="71"/>
  <c r="F78" i="72"/>
  <c r="F77" i="74"/>
  <c r="F78" i="75"/>
  <c r="F77" i="77"/>
  <c r="F78" i="78"/>
  <c r="K77" i="71"/>
  <c r="K77" i="80"/>
  <c r="K78" i="81"/>
  <c r="K77" i="77"/>
  <c r="K78" i="78"/>
  <c r="K78" i="72"/>
  <c r="K77" i="74"/>
  <c r="F77" i="80"/>
  <c r="F78" i="81"/>
  <c r="K78" i="84"/>
  <c r="K77" i="83"/>
  <c r="F77" i="83"/>
  <c r="F78" i="84"/>
  <c r="K78" i="75"/>
  <c r="C75" i="71"/>
  <c r="C75" i="74"/>
  <c r="C76" i="81"/>
  <c r="C76" i="78"/>
  <c r="C76" i="72"/>
  <c r="C76" i="75"/>
  <c r="C75" i="83"/>
  <c r="C76" i="84"/>
  <c r="C75" i="77"/>
  <c r="C75" i="80"/>
  <c r="C80" i="72"/>
  <c r="C79" i="74"/>
  <c r="C80" i="78"/>
  <c r="C79" i="77"/>
  <c r="C80" i="75"/>
  <c r="C79" i="80"/>
  <c r="C79" i="83"/>
  <c r="C80" i="84"/>
  <c r="C79" i="71"/>
  <c r="C80" i="81"/>
  <c r="E72" i="71"/>
  <c r="E73" i="75"/>
  <c r="E73" i="78"/>
  <c r="E72" i="80"/>
  <c r="E73" i="81"/>
  <c r="E73" i="72"/>
  <c r="E72" i="74"/>
  <c r="E72" i="77"/>
  <c r="E73" i="84"/>
  <c r="E72" i="83"/>
  <c r="L71" i="71"/>
  <c r="L72" i="72"/>
  <c r="L71" i="74"/>
  <c r="L72" i="75"/>
  <c r="L71" i="77"/>
  <c r="L71" i="83"/>
  <c r="L72" i="84"/>
  <c r="L72" i="78"/>
  <c r="L71" i="80"/>
  <c r="L72" i="81"/>
  <c r="I68" i="71"/>
  <c r="I68" i="74"/>
  <c r="I68" i="80"/>
  <c r="I69" i="78"/>
  <c r="I69" i="81"/>
  <c r="I68" i="83"/>
  <c r="I69" i="84"/>
  <c r="I69" i="72"/>
  <c r="I68" i="77"/>
  <c r="I69" i="75"/>
  <c r="E69" i="71"/>
  <c r="E70" i="72"/>
  <c r="E69" i="74"/>
  <c r="E70" i="75"/>
  <c r="E69" i="77"/>
  <c r="E70" i="78"/>
  <c r="E69" i="80"/>
  <c r="E70" i="81"/>
  <c r="E69" i="83"/>
  <c r="E70" i="84"/>
  <c r="J79" i="71"/>
  <c r="J80" i="72"/>
  <c r="J79" i="74"/>
  <c r="J80" i="75"/>
  <c r="J79" i="77"/>
  <c r="J80" i="78"/>
  <c r="J79" i="80"/>
  <c r="J80" i="81"/>
  <c r="J79" i="83"/>
  <c r="J80" i="84"/>
  <c r="H76" i="71"/>
  <c r="H77" i="72"/>
  <c r="H76" i="74"/>
  <c r="H77" i="75"/>
  <c r="H76" i="77"/>
  <c r="H77" i="78"/>
  <c r="H76" i="80"/>
  <c r="H77" i="81"/>
  <c r="H76" i="83"/>
  <c r="H77" i="84"/>
  <c r="H75" i="71"/>
  <c r="H76" i="72"/>
  <c r="H75" i="74"/>
  <c r="H76" i="75"/>
  <c r="H75" i="77"/>
  <c r="H76" i="78"/>
  <c r="H75" i="80"/>
  <c r="H76" i="81"/>
  <c r="H75" i="83"/>
  <c r="H76" i="84"/>
  <c r="H68" i="71"/>
  <c r="H69" i="72"/>
  <c r="H68" i="74"/>
  <c r="H69" i="75"/>
  <c r="H68" i="77"/>
  <c r="H69" i="78"/>
  <c r="H68" i="80"/>
  <c r="H69" i="81"/>
  <c r="H68" i="83"/>
  <c r="H69" i="84"/>
  <c r="H78" i="71"/>
  <c r="H79" i="75"/>
  <c r="H78" i="80"/>
  <c r="H79" i="81"/>
  <c r="H79" i="72"/>
  <c r="H78" i="74"/>
  <c r="H78" i="83"/>
  <c r="H79" i="84"/>
  <c r="H78" i="77"/>
  <c r="H79" i="78"/>
  <c r="E71" i="72"/>
  <c r="E70" i="71"/>
  <c r="E70" i="74"/>
  <c r="E70" i="77"/>
  <c r="E71" i="75"/>
  <c r="E70" i="83"/>
  <c r="E71" i="84"/>
  <c r="E70" i="80"/>
  <c r="E71" i="78"/>
  <c r="E71" i="81"/>
  <c r="G69" i="74"/>
  <c r="G70" i="72"/>
  <c r="G69" i="71"/>
  <c r="G69" i="77"/>
  <c r="G70" i="78"/>
  <c r="G69" i="80"/>
  <c r="G69" i="83"/>
  <c r="G70" i="84"/>
  <c r="G70" i="81"/>
  <c r="G70" i="75"/>
  <c r="D69" i="71"/>
  <c r="D70" i="72"/>
  <c r="D69" i="74"/>
  <c r="D70" i="75"/>
  <c r="D69" i="77"/>
  <c r="D70" i="78"/>
  <c r="D69" i="80"/>
  <c r="D70" i="81"/>
  <c r="D69" i="83"/>
  <c r="D70" i="84"/>
  <c r="D77" i="71"/>
  <c r="D78" i="72"/>
  <c r="D77" i="74"/>
  <c r="D78" i="75"/>
  <c r="D77" i="77"/>
  <c r="D78" i="78"/>
  <c r="D78" i="81"/>
  <c r="D77" i="80"/>
  <c r="D77" i="83"/>
  <c r="D78" i="84"/>
  <c r="I75" i="71"/>
  <c r="I76" i="72"/>
  <c r="I75" i="74"/>
  <c r="I76" i="75"/>
  <c r="I75" i="77"/>
  <c r="I76" i="78"/>
  <c r="I75" i="80"/>
  <c r="I76" i="81"/>
  <c r="I75" i="83"/>
  <c r="I76" i="84"/>
  <c r="L69" i="71"/>
  <c r="L70" i="72"/>
  <c r="L69" i="74"/>
  <c r="L70" i="75"/>
  <c r="L69" i="77"/>
  <c r="L70" i="78"/>
  <c r="L69" i="80"/>
  <c r="L70" i="81"/>
  <c r="L69" i="83"/>
  <c r="L70" i="84"/>
  <c r="J75" i="71"/>
  <c r="J76" i="72"/>
  <c r="J75" i="74"/>
  <c r="J76" i="75"/>
  <c r="J75" i="77"/>
  <c r="J76" i="78"/>
  <c r="J75" i="80"/>
  <c r="J76" i="81"/>
  <c r="J75" i="83"/>
  <c r="J76" i="84"/>
  <c r="K78" i="71"/>
  <c r="K79" i="72"/>
  <c r="K78" i="74"/>
  <c r="K79" i="75"/>
  <c r="K78" i="77"/>
  <c r="F78" i="71"/>
  <c r="F79" i="72"/>
  <c r="F78" i="74"/>
  <c r="F79" i="75"/>
  <c r="K79" i="78"/>
  <c r="F78" i="77"/>
  <c r="F79" i="78"/>
  <c r="K79" i="81"/>
  <c r="F78" i="83"/>
  <c r="F79" i="84"/>
  <c r="F79" i="81"/>
  <c r="K78" i="80"/>
  <c r="K78" i="83"/>
  <c r="K79" i="84"/>
  <c r="F78" i="80"/>
  <c r="F79" i="71"/>
  <c r="K80" i="78"/>
  <c r="F79" i="80"/>
  <c r="F80" i="81"/>
  <c r="K79" i="74"/>
  <c r="K80" i="72"/>
  <c r="F80" i="75"/>
  <c r="F80" i="78"/>
  <c r="K79" i="71"/>
  <c r="F79" i="74"/>
  <c r="F79" i="77"/>
  <c r="K79" i="77"/>
  <c r="F79" i="83"/>
  <c r="F80" i="84"/>
  <c r="K80" i="75"/>
  <c r="K80" i="81"/>
  <c r="F80" i="72"/>
  <c r="K79" i="80"/>
  <c r="K79" i="83"/>
  <c r="K80" i="84"/>
  <c r="C68" i="71"/>
  <c r="C69" i="72"/>
  <c r="C68" i="77"/>
  <c r="C69" i="78"/>
  <c r="C69" i="75"/>
  <c r="C68" i="74"/>
  <c r="C69" i="81"/>
  <c r="C68" i="83"/>
  <c r="C69" i="84"/>
  <c r="C68" i="80"/>
  <c r="C70" i="71"/>
  <c r="C71" i="72"/>
  <c r="C70" i="74"/>
  <c r="C71" i="75"/>
  <c r="C70" i="77"/>
  <c r="C71" i="78"/>
  <c r="C70" i="80"/>
  <c r="C70" i="83"/>
  <c r="C71" i="84"/>
  <c r="C71" i="81"/>
  <c r="K74" i="71"/>
  <c r="K75" i="72"/>
  <c r="K74" i="74"/>
  <c r="K75" i="75"/>
  <c r="F74" i="71"/>
  <c r="F75" i="72"/>
  <c r="F74" i="74"/>
  <c r="F75" i="75"/>
  <c r="F74" i="77"/>
  <c r="K74" i="77"/>
  <c r="K75" i="78"/>
  <c r="K74" i="80"/>
  <c r="K75" i="81"/>
  <c r="F75" i="78"/>
  <c r="F74" i="80"/>
  <c r="F74" i="83"/>
  <c r="F75" i="84"/>
  <c r="F75" i="81"/>
  <c r="K74" i="83"/>
  <c r="K75" i="84"/>
  <c r="H79" i="71"/>
  <c r="H80" i="72"/>
  <c r="H79" i="74"/>
  <c r="H80" i="75"/>
  <c r="H79" i="77"/>
  <c r="H79" i="80"/>
  <c r="H80" i="78"/>
  <c r="H80" i="81"/>
  <c r="H79" i="83"/>
  <c r="H80" i="84"/>
  <c r="J67" i="71"/>
  <c r="J68" i="72"/>
  <c r="J67" i="74"/>
  <c r="J68" i="75"/>
  <c r="J67" i="77"/>
  <c r="J68" i="78"/>
  <c r="J67" i="80"/>
  <c r="J68" i="81"/>
  <c r="J67" i="83"/>
  <c r="J68" i="84"/>
  <c r="L67" i="71"/>
  <c r="L68" i="72"/>
  <c r="L67" i="74"/>
  <c r="L68" i="75"/>
  <c r="L67" i="77"/>
  <c r="L68" i="78"/>
  <c r="L68" i="81"/>
  <c r="L67" i="83"/>
  <c r="L68" i="84"/>
  <c r="L67" i="80"/>
  <c r="I74" i="71"/>
  <c r="I75" i="72"/>
  <c r="I75" i="78"/>
  <c r="I74" i="80"/>
  <c r="I75" i="81"/>
  <c r="I74" i="74"/>
  <c r="I74" i="77"/>
  <c r="I74" i="83"/>
  <c r="I75" i="75"/>
  <c r="I75" i="84"/>
  <c r="F68" i="71"/>
  <c r="F69" i="72"/>
  <c r="F68" i="74"/>
  <c r="F69" i="75"/>
  <c r="K68" i="71"/>
  <c r="K69" i="72"/>
  <c r="K68" i="77"/>
  <c r="K69" i="75"/>
  <c r="K69" i="78"/>
  <c r="F68" i="77"/>
  <c r="K68" i="74"/>
  <c r="F69" i="78"/>
  <c r="K69" i="81"/>
  <c r="K68" i="83"/>
  <c r="K69" i="84"/>
  <c r="F68" i="80"/>
  <c r="K68" i="80"/>
  <c r="F69" i="81"/>
  <c r="F68" i="83"/>
  <c r="F69" i="84"/>
  <c r="D70" i="71"/>
  <c r="D71" i="72"/>
  <c r="D70" i="74"/>
  <c r="D71" i="75"/>
  <c r="D70" i="77"/>
  <c r="D71" i="78"/>
  <c r="D70" i="80"/>
  <c r="D71" i="81"/>
  <c r="D70" i="83"/>
  <c r="D71" i="84"/>
  <c r="I70" i="71"/>
  <c r="I71" i="75"/>
  <c r="I71" i="78"/>
  <c r="I70" i="80"/>
  <c r="I70" i="74"/>
  <c r="I70" i="77"/>
  <c r="I71" i="81"/>
  <c r="I71" i="72"/>
  <c r="I71" i="84"/>
  <c r="I70" i="83"/>
  <c r="E76" i="71"/>
  <c r="E76" i="77"/>
  <c r="E77" i="78"/>
  <c r="E76" i="80"/>
  <c r="E77" i="81"/>
  <c r="E77" i="72"/>
  <c r="E76" i="74"/>
  <c r="E77" i="75"/>
  <c r="E76" i="83"/>
  <c r="E77" i="84"/>
  <c r="J70" i="71"/>
  <c r="J71" i="72"/>
  <c r="J70" i="74"/>
  <c r="J71" i="75"/>
  <c r="J70" i="77"/>
  <c r="J71" i="81"/>
  <c r="J71" i="78"/>
  <c r="J70" i="80"/>
  <c r="J70" i="83"/>
  <c r="J71" i="84"/>
  <c r="H69" i="71"/>
  <c r="H70" i="72"/>
  <c r="H69" i="74"/>
  <c r="H70" i="75"/>
  <c r="H69" i="77"/>
  <c r="H70" i="78"/>
  <c r="H69" i="80"/>
  <c r="H69" i="83"/>
  <c r="H70" i="84"/>
  <c r="H70" i="81"/>
  <c r="H77" i="71"/>
  <c r="H78" i="72"/>
  <c r="H77" i="74"/>
  <c r="H78" i="75"/>
  <c r="H77" i="77"/>
  <c r="H78" i="78"/>
  <c r="H78" i="81"/>
  <c r="H77" i="80"/>
  <c r="H77" i="83"/>
  <c r="H78" i="84"/>
  <c r="E71" i="71"/>
  <c r="E72" i="72"/>
  <c r="E72" i="78"/>
  <c r="E71" i="80"/>
  <c r="E72" i="75"/>
  <c r="E71" i="83"/>
  <c r="E72" i="84"/>
  <c r="E71" i="77"/>
  <c r="E72" i="81"/>
  <c r="E71" i="74"/>
  <c r="G70" i="71"/>
  <c r="G71" i="72"/>
  <c r="G71" i="75"/>
  <c r="G71" i="78"/>
  <c r="G70" i="80"/>
  <c r="G70" i="83"/>
  <c r="G71" i="84"/>
  <c r="G71" i="81"/>
  <c r="G70" i="74"/>
  <c r="G70" i="77"/>
  <c r="L75" i="71"/>
  <c r="L76" i="72"/>
  <c r="L75" i="74"/>
  <c r="L76" i="75"/>
  <c r="L76" i="78"/>
  <c r="L75" i="80"/>
  <c r="L76" i="81"/>
  <c r="L75" i="83"/>
  <c r="L76" i="84"/>
  <c r="L75" i="77"/>
  <c r="D78" i="71"/>
  <c r="D79" i="72"/>
  <c r="D78" i="74"/>
  <c r="D79" i="75"/>
  <c r="D78" i="77"/>
  <c r="D79" i="78"/>
  <c r="D78" i="80"/>
  <c r="D79" i="81"/>
  <c r="D78" i="83"/>
  <c r="D79" i="84"/>
  <c r="G77" i="74"/>
  <c r="G77" i="71"/>
  <c r="G78" i="72"/>
  <c r="G77" i="77"/>
  <c r="G78" i="81"/>
  <c r="G77" i="80"/>
  <c r="G77" i="83"/>
  <c r="G78" i="84"/>
  <c r="G78" i="78"/>
  <c r="G78" i="75"/>
  <c r="C70" i="75"/>
  <c r="C70" i="78"/>
  <c r="C69" i="80"/>
  <c r="C69" i="74"/>
  <c r="C70" i="72"/>
  <c r="C69" i="71"/>
  <c r="C69" i="83"/>
  <c r="C69" i="77"/>
  <c r="C70" i="81"/>
  <c r="C70" i="84"/>
  <c r="D72" i="71"/>
  <c r="D73" i="75"/>
  <c r="D73" i="78"/>
  <c r="D72" i="80"/>
  <c r="D73" i="72"/>
  <c r="D72" i="74"/>
  <c r="D72" i="83"/>
  <c r="D73" i="84"/>
  <c r="D72" i="77"/>
  <c r="D73" i="81"/>
  <c r="J74" i="71"/>
  <c r="J75" i="72"/>
  <c r="J74" i="74"/>
  <c r="J75" i="75"/>
  <c r="J74" i="77"/>
  <c r="J75" i="78"/>
  <c r="J74" i="80"/>
  <c r="J75" i="81"/>
  <c r="J74" i="83"/>
  <c r="J75" i="84"/>
  <c r="I77" i="71"/>
  <c r="I78" i="72"/>
  <c r="I77" i="80"/>
  <c r="I78" i="75"/>
  <c r="I77" i="77"/>
  <c r="I78" i="81"/>
  <c r="I77" i="83"/>
  <c r="I78" i="84"/>
  <c r="I78" i="78"/>
  <c r="I77" i="74"/>
  <c r="F75" i="71"/>
  <c r="K75" i="74"/>
  <c r="F75" i="77"/>
  <c r="F76" i="75"/>
  <c r="F76" i="78"/>
  <c r="F75" i="80"/>
  <c r="F76" i="81"/>
  <c r="F75" i="74"/>
  <c r="K75" i="71"/>
  <c r="K76" i="72"/>
  <c r="F76" i="72"/>
  <c r="F75" i="83"/>
  <c r="F76" i="84"/>
  <c r="K76" i="75"/>
  <c r="K76" i="78"/>
  <c r="K75" i="80"/>
  <c r="K76" i="81"/>
  <c r="K75" i="83"/>
  <c r="K76" i="84"/>
  <c r="K75" i="77"/>
  <c r="E74" i="74"/>
  <c r="E75" i="72"/>
  <c r="E74" i="77"/>
  <c r="E74" i="71"/>
  <c r="E75" i="78"/>
  <c r="E74" i="80"/>
  <c r="E74" i="83"/>
  <c r="E75" i="84"/>
  <c r="E75" i="75"/>
  <c r="E75" i="81"/>
  <c r="F73" i="71"/>
  <c r="F74" i="72"/>
  <c r="F73" i="74"/>
  <c r="F74" i="75"/>
  <c r="F73" i="77"/>
  <c r="K73" i="71"/>
  <c r="K74" i="75"/>
  <c r="K74" i="78"/>
  <c r="K73" i="80"/>
  <c r="K74" i="81"/>
  <c r="K73" i="74"/>
  <c r="K74" i="72"/>
  <c r="K73" i="77"/>
  <c r="F74" i="78"/>
  <c r="F73" i="80"/>
  <c r="F74" i="81"/>
  <c r="F73" i="83"/>
  <c r="F74" i="84"/>
  <c r="K73" i="83"/>
  <c r="K74" i="84"/>
  <c r="G68" i="71"/>
  <c r="G69" i="72"/>
  <c r="G68" i="74"/>
  <c r="G69" i="75"/>
  <c r="G69" i="78"/>
  <c r="G68" i="80"/>
  <c r="G68" i="77"/>
  <c r="G69" i="81"/>
  <c r="G68" i="83"/>
  <c r="G69" i="84"/>
  <c r="J68" i="71"/>
  <c r="J69" i="72"/>
  <c r="J68" i="74"/>
  <c r="J69" i="75"/>
  <c r="J68" i="77"/>
  <c r="J69" i="81"/>
  <c r="J68" i="83"/>
  <c r="J69" i="84"/>
  <c r="J69" i="78"/>
  <c r="J68" i="80"/>
  <c r="D69" i="72"/>
  <c r="D69" i="78"/>
  <c r="D68" i="80"/>
  <c r="D68" i="71"/>
  <c r="D69" i="75"/>
  <c r="D68" i="74"/>
  <c r="D69" i="81"/>
  <c r="D68" i="83"/>
  <c r="D69" i="84"/>
  <c r="D68" i="77"/>
  <c r="L68" i="77"/>
  <c r="L69" i="75"/>
  <c r="L69" i="78"/>
  <c r="L68" i="80"/>
  <c r="L68" i="74"/>
  <c r="L69" i="72"/>
  <c r="L68" i="71"/>
  <c r="L69" i="81"/>
  <c r="L68" i="83"/>
  <c r="L69" i="84"/>
  <c r="K67" i="74"/>
  <c r="F68" i="75"/>
  <c r="F68" i="78"/>
  <c r="F67" i="80"/>
  <c r="K68" i="72"/>
  <c r="F67" i="74"/>
  <c r="K67" i="77"/>
  <c r="K67" i="71"/>
  <c r="F68" i="72"/>
  <c r="F67" i="71"/>
  <c r="K68" i="75"/>
  <c r="F68" i="81"/>
  <c r="F67" i="83"/>
  <c r="F68" i="84"/>
  <c r="F67" i="77"/>
  <c r="K68" i="78"/>
  <c r="K68" i="81"/>
  <c r="K67" i="83"/>
  <c r="K68" i="84"/>
  <c r="K67" i="80"/>
  <c r="K70" i="71"/>
  <c r="K71" i="72"/>
  <c r="K70" i="74"/>
  <c r="K71" i="75"/>
  <c r="F70" i="71"/>
  <c r="F71" i="72"/>
  <c r="F70" i="74"/>
  <c r="F71" i="75"/>
  <c r="K71" i="81"/>
  <c r="F70" i="83"/>
  <c r="F71" i="84"/>
  <c r="K71" i="78"/>
  <c r="K70" i="80"/>
  <c r="F71" i="81"/>
  <c r="K70" i="77"/>
  <c r="K70" i="83"/>
  <c r="K71" i="84"/>
  <c r="F71" i="78"/>
  <c r="F70" i="80"/>
  <c r="F70" i="77"/>
  <c r="L70" i="71"/>
  <c r="L71" i="72"/>
  <c r="L70" i="74"/>
  <c r="L71" i="75"/>
  <c r="L70" i="77"/>
  <c r="L71" i="78"/>
  <c r="L70" i="80"/>
  <c r="L71" i="81"/>
  <c r="L70" i="83"/>
  <c r="L71" i="84"/>
  <c r="D67" i="71"/>
  <c r="D68" i="72"/>
  <c r="D67" i="74"/>
  <c r="D68" i="75"/>
  <c r="D67" i="77"/>
  <c r="D67" i="80"/>
  <c r="D68" i="81"/>
  <c r="D67" i="83"/>
  <c r="D68" i="84"/>
  <c r="D68" i="78"/>
  <c r="F72" i="71"/>
  <c r="F73" i="72"/>
  <c r="F72" i="74"/>
  <c r="F73" i="75"/>
  <c r="K72" i="71"/>
  <c r="K73" i="72"/>
  <c r="F72" i="77"/>
  <c r="K73" i="78"/>
  <c r="K72" i="80"/>
  <c r="K73" i="75"/>
  <c r="K72" i="77"/>
  <c r="K73" i="81"/>
  <c r="K72" i="83"/>
  <c r="K73" i="84"/>
  <c r="K72" i="74"/>
  <c r="F73" i="81"/>
  <c r="F73" i="78"/>
  <c r="F72" i="80"/>
  <c r="F72" i="83"/>
  <c r="F73" i="84"/>
  <c r="H70" i="71"/>
  <c r="H71" i="72"/>
  <c r="H71" i="75"/>
  <c r="H71" i="78"/>
  <c r="H70" i="80"/>
  <c r="H70" i="74"/>
  <c r="H70" i="77"/>
  <c r="H70" i="83"/>
  <c r="H71" i="84"/>
  <c r="H71" i="81"/>
  <c r="L72" i="71"/>
  <c r="L73" i="78"/>
  <c r="L72" i="80"/>
  <c r="L73" i="75"/>
  <c r="L72" i="77"/>
  <c r="L72" i="74"/>
  <c r="L72" i="83"/>
  <c r="L73" i="84"/>
  <c r="L73" i="72"/>
  <c r="L73" i="81"/>
  <c r="I77" i="72"/>
  <c r="I76" i="71"/>
  <c r="I76" i="74"/>
  <c r="I76" i="77"/>
  <c r="I77" i="78"/>
  <c r="I76" i="80"/>
  <c r="I76" i="83"/>
  <c r="I77" i="84"/>
  <c r="I77" i="75"/>
  <c r="I77" i="81"/>
  <c r="G71" i="71"/>
  <c r="G72" i="78"/>
  <c r="G71" i="80"/>
  <c r="G71" i="77"/>
  <c r="G72" i="72"/>
  <c r="G71" i="74"/>
  <c r="G72" i="75"/>
  <c r="G72" i="81"/>
  <c r="G71" i="83"/>
  <c r="G72" i="84"/>
  <c r="D71" i="71"/>
  <c r="D72" i="72"/>
  <c r="D71" i="74"/>
  <c r="D72" i="75"/>
  <c r="D71" i="77"/>
  <c r="D72" i="78"/>
  <c r="D71" i="80"/>
  <c r="D71" i="83"/>
  <c r="D72" i="84"/>
  <c r="D72" i="81"/>
  <c r="D79" i="71"/>
  <c r="D80" i="72"/>
  <c r="D79" i="74"/>
  <c r="D80" i="75"/>
  <c r="D79" i="77"/>
  <c r="D79" i="80"/>
  <c r="D79" i="83"/>
  <c r="D80" i="84"/>
  <c r="D80" i="78"/>
  <c r="D80" i="81"/>
  <c r="I71" i="71"/>
  <c r="I72" i="72"/>
  <c r="I71" i="74"/>
  <c r="I72" i="75"/>
  <c r="I71" i="77"/>
  <c r="I72" i="78"/>
  <c r="I71" i="80"/>
  <c r="I72" i="81"/>
  <c r="I71" i="83"/>
  <c r="I72" i="84"/>
  <c r="E77" i="71"/>
  <c r="E78" i="72"/>
  <c r="E77" i="74"/>
  <c r="E78" i="75"/>
  <c r="E77" i="77"/>
  <c r="E78" i="81"/>
  <c r="E77" i="80"/>
  <c r="E78" i="78"/>
  <c r="E77" i="83"/>
  <c r="E78" i="84"/>
  <c r="J71" i="71"/>
  <c r="J72" i="72"/>
  <c r="J71" i="74"/>
  <c r="J72" i="75"/>
  <c r="J71" i="77"/>
  <c r="J72" i="78"/>
  <c r="J71" i="80"/>
  <c r="J72" i="81"/>
  <c r="J71" i="83"/>
  <c r="J72" i="84"/>
  <c r="G76" i="71"/>
  <c r="G77" i="72"/>
  <c r="G76" i="74"/>
  <c r="G77" i="75"/>
  <c r="G76" i="77"/>
  <c r="G77" i="78"/>
  <c r="G76" i="80"/>
  <c r="G77" i="81"/>
  <c r="G76" i="83"/>
  <c r="G77" i="84"/>
  <c r="J72" i="71"/>
  <c r="J73" i="72"/>
  <c r="J72" i="74"/>
  <c r="J73" i="75"/>
  <c r="J73" i="81"/>
  <c r="J73" i="78"/>
  <c r="J72" i="80"/>
  <c r="J72" i="83"/>
  <c r="J73" i="84"/>
  <c r="J72" i="77"/>
  <c r="L76" i="71"/>
  <c r="L77" i="72"/>
  <c r="L77" i="75"/>
  <c r="L76" i="80"/>
  <c r="L77" i="81"/>
  <c r="L76" i="74"/>
  <c r="L76" i="77"/>
  <c r="L77" i="78"/>
  <c r="L76" i="83"/>
  <c r="L77" i="84"/>
  <c r="C67" i="77"/>
  <c r="C67" i="74"/>
  <c r="C68" i="72"/>
  <c r="C67" i="71"/>
  <c r="C68" i="75"/>
  <c r="C67" i="80"/>
  <c r="C68" i="78"/>
  <c r="C68" i="81"/>
  <c r="C67" i="83"/>
  <c r="C68" i="84"/>
  <c r="D69" i="64"/>
  <c r="D68" i="63"/>
  <c r="I74" i="63"/>
  <c r="I75" i="64"/>
  <c r="H75" i="63"/>
  <c r="H76" i="64"/>
  <c r="C76" i="64"/>
  <c r="C75" i="63"/>
  <c r="H78" i="63"/>
  <c r="H79" i="64"/>
  <c r="D78" i="64"/>
  <c r="D77" i="63"/>
  <c r="C70" i="63"/>
  <c r="C71" i="64"/>
  <c r="I70" i="63"/>
  <c r="I71" i="64"/>
  <c r="E72" i="64"/>
  <c r="E71" i="63"/>
  <c r="G70" i="63"/>
  <c r="G71" i="64"/>
  <c r="D78" i="63"/>
  <c r="D79" i="64"/>
  <c r="K73" i="64"/>
  <c r="K72" i="63"/>
  <c r="F72" i="63"/>
  <c r="F73" i="64"/>
  <c r="H70" i="63"/>
  <c r="H71" i="64"/>
  <c r="L73" i="64"/>
  <c r="L72" i="63"/>
  <c r="I77" i="64"/>
  <c r="I76" i="63"/>
  <c r="G72" i="64"/>
  <c r="G71" i="63"/>
  <c r="D71" i="63"/>
  <c r="D72" i="64"/>
  <c r="D79" i="63"/>
  <c r="D80" i="64"/>
  <c r="I71" i="63"/>
  <c r="I72" i="64"/>
  <c r="E78" i="64"/>
  <c r="E77" i="63"/>
  <c r="J72" i="64"/>
  <c r="J71" i="63"/>
  <c r="G77" i="64"/>
  <c r="G76" i="63"/>
  <c r="J72" i="63"/>
  <c r="J73" i="64"/>
  <c r="L77" i="64"/>
  <c r="L76" i="63"/>
  <c r="C68" i="64"/>
  <c r="C67" i="63"/>
  <c r="C80" i="64"/>
  <c r="C79" i="63"/>
  <c r="G69" i="63"/>
  <c r="G70" i="64"/>
  <c r="L70" i="64"/>
  <c r="L69" i="63"/>
  <c r="K78" i="63"/>
  <c r="F79" i="64"/>
  <c r="F78" i="63"/>
  <c r="K79" i="64"/>
  <c r="F68" i="64"/>
  <c r="K68" i="64"/>
  <c r="F67" i="63"/>
  <c r="K67" i="63"/>
  <c r="E77" i="64"/>
  <c r="E76" i="63"/>
  <c r="C70" i="64"/>
  <c r="C69" i="63"/>
  <c r="H67" i="63"/>
  <c r="H68" i="64"/>
  <c r="K74" i="63"/>
  <c r="F75" i="64"/>
  <c r="F74" i="63"/>
  <c r="K75" i="64"/>
  <c r="D73" i="64"/>
  <c r="D72" i="63"/>
  <c r="G76" i="64"/>
  <c r="G75" i="63"/>
  <c r="E72" i="63"/>
  <c r="E73" i="64"/>
  <c r="J74" i="63"/>
  <c r="J75" i="64"/>
  <c r="H71" i="63"/>
  <c r="H72" i="64"/>
  <c r="H79" i="63"/>
  <c r="H80" i="64"/>
  <c r="I78" i="64"/>
  <c r="I77" i="63"/>
  <c r="L71" i="63"/>
  <c r="L72" i="64"/>
  <c r="J77" i="63"/>
  <c r="J78" i="64"/>
  <c r="G74" i="64"/>
  <c r="G73" i="63"/>
  <c r="D77" i="64"/>
  <c r="D76" i="63"/>
  <c r="H77" i="64"/>
  <c r="H76" i="63"/>
  <c r="F70" i="64"/>
  <c r="K70" i="64"/>
  <c r="F69" i="63"/>
  <c r="K69" i="63"/>
  <c r="E75" i="63"/>
  <c r="E76" i="64"/>
  <c r="L79" i="63"/>
  <c r="L80" i="64"/>
  <c r="F69" i="64"/>
  <c r="K69" i="64"/>
  <c r="F68" i="63"/>
  <c r="K68" i="63"/>
  <c r="E70" i="63"/>
  <c r="E71" i="64"/>
  <c r="J75" i="63"/>
  <c r="J76" i="64"/>
  <c r="L70" i="63"/>
  <c r="L71" i="64"/>
  <c r="H70" i="64"/>
  <c r="H69" i="63"/>
  <c r="G78" i="64"/>
  <c r="G77" i="63"/>
  <c r="D68" i="64"/>
  <c r="D67" i="63"/>
  <c r="E67" i="63"/>
  <c r="E68" i="64"/>
  <c r="K77" i="64"/>
  <c r="F77" i="64"/>
  <c r="K76" i="63"/>
  <c r="F76" i="63"/>
  <c r="H73" i="64"/>
  <c r="H72" i="63"/>
  <c r="G80" i="64"/>
  <c r="G79" i="63"/>
  <c r="I72" i="63"/>
  <c r="I73" i="64"/>
  <c r="E79" i="64"/>
  <c r="E78" i="63"/>
  <c r="J76" i="63"/>
  <c r="J77" i="64"/>
  <c r="D74" i="64"/>
  <c r="D73" i="63"/>
  <c r="E74" i="64"/>
  <c r="E73" i="63"/>
  <c r="E79" i="63"/>
  <c r="E80" i="64"/>
  <c r="G73" i="64"/>
  <c r="G72" i="63"/>
  <c r="L78" i="64"/>
  <c r="L77" i="63"/>
  <c r="L75" i="64"/>
  <c r="L74" i="63"/>
  <c r="G68" i="64"/>
  <c r="G67" i="63"/>
  <c r="C77" i="64"/>
  <c r="C76" i="63"/>
  <c r="I70" i="64"/>
  <c r="I69" i="63"/>
  <c r="G74" i="63"/>
  <c r="G75" i="64"/>
  <c r="I75" i="63"/>
  <c r="I76" i="64"/>
  <c r="K80" i="64"/>
  <c r="F79" i="63"/>
  <c r="F80" i="64"/>
  <c r="K79" i="63"/>
  <c r="K70" i="63"/>
  <c r="K71" i="64"/>
  <c r="F70" i="63"/>
  <c r="F71" i="64"/>
  <c r="J70" i="63"/>
  <c r="J71" i="64"/>
  <c r="L75" i="63"/>
  <c r="L76" i="64"/>
  <c r="F72" i="64"/>
  <c r="K72" i="64"/>
  <c r="K71" i="63"/>
  <c r="F71" i="63"/>
  <c r="E69" i="64"/>
  <c r="E68" i="63"/>
  <c r="I78" i="63"/>
  <c r="I79" i="64"/>
  <c r="L78" i="63"/>
  <c r="L79" i="64"/>
  <c r="H74" i="64"/>
  <c r="H73" i="63"/>
  <c r="I74" i="64"/>
  <c r="I73" i="63"/>
  <c r="I79" i="63"/>
  <c r="I80" i="64"/>
  <c r="J74" i="64"/>
  <c r="J73" i="63"/>
  <c r="G78" i="63"/>
  <c r="G79" i="64"/>
  <c r="J78" i="63"/>
  <c r="J79" i="64"/>
  <c r="C72" i="64"/>
  <c r="C71" i="63"/>
  <c r="C78" i="63"/>
  <c r="C79" i="64"/>
  <c r="L67" i="63"/>
  <c r="L68" i="64"/>
  <c r="L69" i="64"/>
  <c r="L68" i="63"/>
  <c r="J69" i="63"/>
  <c r="J70" i="64"/>
  <c r="F78" i="64"/>
  <c r="K78" i="64"/>
  <c r="K77" i="63"/>
  <c r="F77" i="63"/>
  <c r="H69" i="64"/>
  <c r="H68" i="63"/>
  <c r="D70" i="64"/>
  <c r="D69" i="63"/>
  <c r="C69" i="64"/>
  <c r="C68" i="63"/>
  <c r="D70" i="63"/>
  <c r="D71" i="64"/>
  <c r="H78" i="64"/>
  <c r="H77" i="63"/>
  <c r="I68" i="64"/>
  <c r="I67" i="63"/>
  <c r="D74" i="63"/>
  <c r="D75" i="64"/>
  <c r="J68" i="64"/>
  <c r="J67" i="63"/>
  <c r="F76" i="64"/>
  <c r="K76" i="64"/>
  <c r="F75" i="63"/>
  <c r="K75" i="63"/>
  <c r="H74" i="63"/>
  <c r="H75" i="64"/>
  <c r="I69" i="64"/>
  <c r="I68" i="63"/>
  <c r="E74" i="63"/>
  <c r="E75" i="64"/>
  <c r="K73" i="63"/>
  <c r="F73" i="63"/>
  <c r="F74" i="64"/>
  <c r="K74" i="64"/>
  <c r="D75" i="63"/>
  <c r="D76" i="64"/>
  <c r="E70" i="64"/>
  <c r="E69" i="63"/>
  <c r="G69" i="64"/>
  <c r="G68" i="63"/>
  <c r="L74" i="64"/>
  <c r="L73" i="63"/>
  <c r="J80" i="64"/>
  <c r="J79" i="63"/>
  <c r="J68" i="63"/>
  <c r="J69" i="64"/>
  <c r="C72" i="63"/>
  <c r="C73" i="64"/>
  <c r="C78" i="64"/>
  <c r="C77" i="63"/>
  <c r="C79" i="60"/>
  <c r="C80" i="61"/>
  <c r="K72" i="60"/>
  <c r="K73" i="61"/>
  <c r="F73" i="61"/>
  <c r="F72" i="60"/>
  <c r="L73" i="61"/>
  <c r="L72" i="60"/>
  <c r="I76" i="60"/>
  <c r="I77" i="61"/>
  <c r="G71" i="60"/>
  <c r="G72" i="61"/>
  <c r="D72" i="61"/>
  <c r="D71" i="60"/>
  <c r="D79" i="60"/>
  <c r="D80" i="61"/>
  <c r="I71" i="60"/>
  <c r="I72" i="61"/>
  <c r="E77" i="60"/>
  <c r="E78" i="61"/>
  <c r="J72" i="61"/>
  <c r="J71" i="60"/>
  <c r="G76" i="60"/>
  <c r="G77" i="61"/>
  <c r="J72" i="60"/>
  <c r="J73" i="61"/>
  <c r="L76" i="60"/>
  <c r="L77" i="61"/>
  <c r="C70" i="61"/>
  <c r="C69" i="60"/>
  <c r="C71" i="61"/>
  <c r="C70" i="60"/>
  <c r="L70" i="60"/>
  <c r="L71" i="61"/>
  <c r="H77" i="60"/>
  <c r="H78" i="61"/>
  <c r="G70" i="60"/>
  <c r="G71" i="61"/>
  <c r="D79" i="61"/>
  <c r="D78" i="60"/>
  <c r="H68" i="61"/>
  <c r="H67" i="60"/>
  <c r="D73" i="61"/>
  <c r="D72" i="60"/>
  <c r="G76" i="61"/>
  <c r="G75" i="60"/>
  <c r="E73" i="61"/>
  <c r="E72" i="60"/>
  <c r="J75" i="61"/>
  <c r="J74" i="60"/>
  <c r="H71" i="60"/>
  <c r="H72" i="61"/>
  <c r="H79" i="60"/>
  <c r="H80" i="61"/>
  <c r="I77" i="60"/>
  <c r="I78" i="61"/>
  <c r="L72" i="61"/>
  <c r="L71" i="60"/>
  <c r="J77" i="60"/>
  <c r="J78" i="61"/>
  <c r="G73" i="60"/>
  <c r="G74" i="61"/>
  <c r="D76" i="60"/>
  <c r="D77" i="61"/>
  <c r="C68" i="61"/>
  <c r="C67" i="60"/>
  <c r="I71" i="61"/>
  <c r="I70" i="60"/>
  <c r="E71" i="60"/>
  <c r="E72" i="61"/>
  <c r="L75" i="60"/>
  <c r="L76" i="61"/>
  <c r="G78" i="61"/>
  <c r="G77" i="60"/>
  <c r="H70" i="60"/>
  <c r="H71" i="61"/>
  <c r="E68" i="61"/>
  <c r="E67" i="60"/>
  <c r="K76" i="60"/>
  <c r="F76" i="60"/>
  <c r="F77" i="61"/>
  <c r="K77" i="61"/>
  <c r="H72" i="60"/>
  <c r="H73" i="61"/>
  <c r="G79" i="60"/>
  <c r="G80" i="61"/>
  <c r="I73" i="61"/>
  <c r="I72" i="60"/>
  <c r="E78" i="60"/>
  <c r="E79" i="61"/>
  <c r="J76" i="60"/>
  <c r="J77" i="61"/>
  <c r="D74" i="61"/>
  <c r="D73" i="60"/>
  <c r="E74" i="61"/>
  <c r="E73" i="60"/>
  <c r="E79" i="60"/>
  <c r="E80" i="61"/>
  <c r="G72" i="60"/>
  <c r="G73" i="61"/>
  <c r="L77" i="60"/>
  <c r="L78" i="61"/>
  <c r="L75" i="61"/>
  <c r="L74" i="60"/>
  <c r="G67" i="60"/>
  <c r="G68" i="61"/>
  <c r="F71" i="61"/>
  <c r="F70" i="60"/>
  <c r="K70" i="60"/>
  <c r="K71" i="61"/>
  <c r="J70" i="60"/>
  <c r="J71" i="61"/>
  <c r="C68" i="60"/>
  <c r="C69" i="61"/>
  <c r="D68" i="61"/>
  <c r="D67" i="60"/>
  <c r="F74" i="60"/>
  <c r="F75" i="61"/>
  <c r="K75" i="61"/>
  <c r="K74" i="60"/>
  <c r="I67" i="60"/>
  <c r="I68" i="61"/>
  <c r="K72" i="61"/>
  <c r="F71" i="60"/>
  <c r="F72" i="61"/>
  <c r="K71" i="60"/>
  <c r="D75" i="61"/>
  <c r="D74" i="60"/>
  <c r="E68" i="60"/>
  <c r="E69" i="61"/>
  <c r="I78" i="60"/>
  <c r="I79" i="61"/>
  <c r="L79" i="61"/>
  <c r="L78" i="60"/>
  <c r="H73" i="60"/>
  <c r="H74" i="61"/>
  <c r="I73" i="60"/>
  <c r="I74" i="61"/>
  <c r="I79" i="60"/>
  <c r="I80" i="61"/>
  <c r="J73" i="60"/>
  <c r="J74" i="61"/>
  <c r="G79" i="61"/>
  <c r="G78" i="60"/>
  <c r="J79" i="61"/>
  <c r="J78" i="60"/>
  <c r="D71" i="61"/>
  <c r="D70" i="60"/>
  <c r="H70" i="61"/>
  <c r="H69" i="60"/>
  <c r="J67" i="60"/>
  <c r="J68" i="61"/>
  <c r="F76" i="61"/>
  <c r="K75" i="60"/>
  <c r="F75" i="60"/>
  <c r="K76" i="61"/>
  <c r="H74" i="60"/>
  <c r="H75" i="61"/>
  <c r="I68" i="60"/>
  <c r="I69" i="61"/>
  <c r="E74" i="60"/>
  <c r="E75" i="61"/>
  <c r="F73" i="60"/>
  <c r="K73" i="60"/>
  <c r="K74" i="61"/>
  <c r="F74" i="61"/>
  <c r="D75" i="60"/>
  <c r="D76" i="61"/>
  <c r="E70" i="61"/>
  <c r="E69" i="60"/>
  <c r="G68" i="60"/>
  <c r="G69" i="61"/>
  <c r="L74" i="61"/>
  <c r="L73" i="60"/>
  <c r="J79" i="60"/>
  <c r="J80" i="61"/>
  <c r="J68" i="60"/>
  <c r="J69" i="61"/>
  <c r="C72" i="61"/>
  <c r="C71" i="60"/>
  <c r="C76" i="60"/>
  <c r="C77" i="61"/>
  <c r="E76" i="60"/>
  <c r="E77" i="61"/>
  <c r="L67" i="60"/>
  <c r="L68" i="61"/>
  <c r="D68" i="60"/>
  <c r="D69" i="61"/>
  <c r="H76" i="60"/>
  <c r="H77" i="61"/>
  <c r="I75" i="61"/>
  <c r="I74" i="60"/>
  <c r="L68" i="60"/>
  <c r="L69" i="61"/>
  <c r="F70" i="61"/>
  <c r="K69" i="60"/>
  <c r="K70" i="61"/>
  <c r="F69" i="60"/>
  <c r="H76" i="61"/>
  <c r="H75" i="60"/>
  <c r="I70" i="61"/>
  <c r="I69" i="60"/>
  <c r="E76" i="61"/>
  <c r="E75" i="60"/>
  <c r="J69" i="60"/>
  <c r="J70" i="61"/>
  <c r="G74" i="60"/>
  <c r="G75" i="61"/>
  <c r="L79" i="60"/>
  <c r="L80" i="61"/>
  <c r="K78" i="61"/>
  <c r="F77" i="60"/>
  <c r="F78" i="61"/>
  <c r="K77" i="60"/>
  <c r="C72" i="60"/>
  <c r="C73" i="61"/>
  <c r="C79" i="61"/>
  <c r="C78" i="60"/>
  <c r="K68" i="61"/>
  <c r="F68" i="61"/>
  <c r="K67" i="60"/>
  <c r="F67" i="60"/>
  <c r="K68" i="60"/>
  <c r="F68" i="60"/>
  <c r="K69" i="61"/>
  <c r="F69" i="61"/>
  <c r="H68" i="60"/>
  <c r="H69" i="61"/>
  <c r="H79" i="61"/>
  <c r="H78" i="60"/>
  <c r="E71" i="61"/>
  <c r="E70" i="60"/>
  <c r="G69" i="60"/>
  <c r="G70" i="61"/>
  <c r="D69" i="60"/>
  <c r="D70" i="61"/>
  <c r="D78" i="61"/>
  <c r="D77" i="60"/>
  <c r="I75" i="60"/>
  <c r="I76" i="61"/>
  <c r="L69" i="60"/>
  <c r="L70" i="61"/>
  <c r="J76" i="61"/>
  <c r="J75" i="60"/>
  <c r="F78" i="60"/>
  <c r="K78" i="60"/>
  <c r="F79" i="61"/>
  <c r="K79" i="61"/>
  <c r="K79" i="60"/>
  <c r="F79" i="60"/>
  <c r="F80" i="61"/>
  <c r="K80" i="61"/>
  <c r="C76" i="61"/>
  <c r="C75" i="60"/>
  <c r="C78" i="61"/>
  <c r="C77" i="60"/>
  <c r="C6" i="59"/>
  <c r="E6" i="59" s="1"/>
  <c r="H67" i="57"/>
  <c r="H68" i="58"/>
  <c r="H72" i="58"/>
  <c r="H71" i="57"/>
  <c r="L71" i="57"/>
  <c r="L72" i="58"/>
  <c r="G74" i="58"/>
  <c r="G73" i="57"/>
  <c r="D77" i="53"/>
  <c r="D76" i="57"/>
  <c r="D77" i="58"/>
  <c r="K76" i="57"/>
  <c r="F77" i="58"/>
  <c r="K77" i="58"/>
  <c r="F76" i="57"/>
  <c r="G79" i="57"/>
  <c r="G80" i="58"/>
  <c r="I72" i="57"/>
  <c r="I73" i="58"/>
  <c r="E79" i="53"/>
  <c r="E79" i="58"/>
  <c r="E78" i="57"/>
  <c r="J77" i="53"/>
  <c r="J77" i="58"/>
  <c r="J76" i="57"/>
  <c r="D74" i="53"/>
  <c r="D74" i="58"/>
  <c r="D73" i="57"/>
  <c r="E74" i="53"/>
  <c r="E74" i="58"/>
  <c r="E73" i="57"/>
  <c r="E80" i="53"/>
  <c r="E79" i="57"/>
  <c r="E80" i="58"/>
  <c r="G72" i="57"/>
  <c r="G73" i="58"/>
  <c r="L77" i="57"/>
  <c r="L78" i="58"/>
  <c r="L75" i="58"/>
  <c r="L74" i="57"/>
  <c r="G68" i="58"/>
  <c r="G67" i="57"/>
  <c r="D73" i="53"/>
  <c r="D73" i="58"/>
  <c r="D72" i="57"/>
  <c r="J75" i="53"/>
  <c r="J74" i="57"/>
  <c r="J75" i="58"/>
  <c r="H79" i="57"/>
  <c r="H80" i="58"/>
  <c r="I77" i="57"/>
  <c r="I78" i="58"/>
  <c r="J78" i="53"/>
  <c r="J78" i="58"/>
  <c r="J77" i="57"/>
  <c r="C68" i="53"/>
  <c r="C67" i="57"/>
  <c r="C68" i="58"/>
  <c r="E68" i="53"/>
  <c r="E68" i="58"/>
  <c r="E67" i="57"/>
  <c r="H73" i="58"/>
  <c r="H72" i="57"/>
  <c r="I67" i="57"/>
  <c r="I68" i="58"/>
  <c r="F71" i="57"/>
  <c r="K71" i="57"/>
  <c r="F72" i="58"/>
  <c r="K72" i="58"/>
  <c r="D75" i="53"/>
  <c r="D75" i="58"/>
  <c r="D74" i="57"/>
  <c r="E69" i="53"/>
  <c r="E68" i="57"/>
  <c r="E69" i="58"/>
  <c r="I79" i="58"/>
  <c r="I78" i="57"/>
  <c r="L79" i="58"/>
  <c r="L78" i="57"/>
  <c r="H74" i="58"/>
  <c r="H73" i="57"/>
  <c r="I74" i="58"/>
  <c r="I73" i="57"/>
  <c r="I79" i="57"/>
  <c r="I80" i="58"/>
  <c r="J74" i="53"/>
  <c r="J74" i="58"/>
  <c r="J73" i="57"/>
  <c r="G79" i="58"/>
  <c r="G78" i="57"/>
  <c r="J79" i="53"/>
  <c r="J79" i="58"/>
  <c r="J78" i="57"/>
  <c r="C72" i="53"/>
  <c r="C72" i="58"/>
  <c r="C71" i="57"/>
  <c r="C77" i="53"/>
  <c r="C76" i="57"/>
  <c r="C77" i="58"/>
  <c r="L68" i="58"/>
  <c r="L67" i="57"/>
  <c r="D69" i="53"/>
  <c r="D68" i="57"/>
  <c r="D69" i="58"/>
  <c r="H77" i="58"/>
  <c r="H76" i="57"/>
  <c r="I74" i="57"/>
  <c r="I75" i="58"/>
  <c r="L68" i="57"/>
  <c r="L69" i="58"/>
  <c r="K69" i="57"/>
  <c r="F69" i="57"/>
  <c r="K70" i="58"/>
  <c r="F70" i="58"/>
  <c r="H76" i="58"/>
  <c r="H75" i="57"/>
  <c r="I69" i="57"/>
  <c r="I70" i="58"/>
  <c r="E76" i="53"/>
  <c r="E76" i="58"/>
  <c r="E75" i="57"/>
  <c r="J70" i="53"/>
  <c r="J70" i="58"/>
  <c r="J69" i="57"/>
  <c r="G75" i="58"/>
  <c r="G74" i="57"/>
  <c r="L79" i="57"/>
  <c r="L80" i="58"/>
  <c r="F77" i="57"/>
  <c r="K77" i="57"/>
  <c r="K78" i="58"/>
  <c r="F78" i="58"/>
  <c r="C73" i="53"/>
  <c r="C72" i="57"/>
  <c r="C73" i="58"/>
  <c r="C79" i="53"/>
  <c r="C79" i="58"/>
  <c r="C78" i="57"/>
  <c r="G76" i="58"/>
  <c r="G75" i="57"/>
  <c r="K76" i="58"/>
  <c r="F76" i="58"/>
  <c r="K75" i="57"/>
  <c r="F75" i="57"/>
  <c r="E75" i="53"/>
  <c r="E74" i="57"/>
  <c r="E75" i="58"/>
  <c r="E70" i="53"/>
  <c r="E69" i="57"/>
  <c r="E70" i="58"/>
  <c r="L74" i="58"/>
  <c r="L73" i="57"/>
  <c r="F68" i="57"/>
  <c r="K68" i="57"/>
  <c r="F69" i="58"/>
  <c r="K69" i="58"/>
  <c r="H69" i="58"/>
  <c r="H68" i="57"/>
  <c r="H79" i="58"/>
  <c r="H78" i="57"/>
  <c r="E71" i="53"/>
  <c r="E70" i="57"/>
  <c r="E71" i="58"/>
  <c r="G69" i="57"/>
  <c r="G70" i="58"/>
  <c r="D70" i="53"/>
  <c r="D69" i="57"/>
  <c r="D70" i="58"/>
  <c r="D78" i="53"/>
  <c r="D77" i="57"/>
  <c r="D78" i="58"/>
  <c r="I76" i="58"/>
  <c r="I75" i="57"/>
  <c r="L69" i="57"/>
  <c r="L70" i="58"/>
  <c r="J76" i="53"/>
  <c r="J76" i="58"/>
  <c r="J75" i="57"/>
  <c r="K79" i="58"/>
  <c r="F79" i="58"/>
  <c r="F78" i="57"/>
  <c r="K78" i="57"/>
  <c r="K79" i="57"/>
  <c r="F79" i="57"/>
  <c r="F80" i="58"/>
  <c r="K80" i="58"/>
  <c r="C76" i="53"/>
  <c r="C76" i="58"/>
  <c r="C75" i="57"/>
  <c r="C78" i="58"/>
  <c r="C77" i="57"/>
  <c r="K74" i="57"/>
  <c r="K75" i="58"/>
  <c r="F75" i="58"/>
  <c r="F74" i="57"/>
  <c r="J68" i="53"/>
  <c r="J67" i="57"/>
  <c r="J68" i="58"/>
  <c r="I69" i="58"/>
  <c r="I68" i="57"/>
  <c r="K74" i="58"/>
  <c r="F74" i="58"/>
  <c r="F73" i="57"/>
  <c r="K73" i="57"/>
  <c r="J80" i="53"/>
  <c r="J79" i="57"/>
  <c r="J80" i="58"/>
  <c r="K68" i="58"/>
  <c r="F68" i="58"/>
  <c r="F67" i="57"/>
  <c r="K67" i="57"/>
  <c r="D71" i="53"/>
  <c r="D71" i="58"/>
  <c r="D70" i="57"/>
  <c r="L70" i="57"/>
  <c r="L71" i="58"/>
  <c r="I70" i="57"/>
  <c r="I71" i="58"/>
  <c r="E77" i="53"/>
  <c r="E77" i="58"/>
  <c r="E76" i="57"/>
  <c r="J71" i="53"/>
  <c r="J70" i="57"/>
  <c r="J71" i="58"/>
  <c r="H70" i="58"/>
  <c r="H69" i="57"/>
  <c r="H78" i="58"/>
  <c r="H77" i="57"/>
  <c r="E72" i="53"/>
  <c r="E72" i="58"/>
  <c r="E71" i="57"/>
  <c r="G70" i="57"/>
  <c r="G71" i="58"/>
  <c r="L76" i="58"/>
  <c r="L75" i="57"/>
  <c r="D79" i="53"/>
  <c r="D79" i="58"/>
  <c r="D78" i="57"/>
  <c r="G78" i="58"/>
  <c r="G77" i="57"/>
  <c r="C69" i="53"/>
  <c r="C68" i="57"/>
  <c r="C69" i="58"/>
  <c r="C79" i="57"/>
  <c r="C80" i="58"/>
  <c r="E73" i="53"/>
  <c r="E73" i="58"/>
  <c r="E72" i="57"/>
  <c r="H74" i="57"/>
  <c r="H75" i="58"/>
  <c r="D76" i="53"/>
  <c r="D76" i="58"/>
  <c r="D75" i="57"/>
  <c r="G68" i="57"/>
  <c r="G69" i="58"/>
  <c r="J69" i="53"/>
  <c r="J69" i="58"/>
  <c r="J68" i="57"/>
  <c r="K70" i="57"/>
  <c r="F71" i="58"/>
  <c r="F70" i="57"/>
  <c r="K71" i="58"/>
  <c r="D68" i="53"/>
  <c r="D68" i="58"/>
  <c r="D67" i="57"/>
  <c r="F73" i="58"/>
  <c r="F72" i="57"/>
  <c r="K72" i="57"/>
  <c r="K73" i="58"/>
  <c r="H71" i="58"/>
  <c r="H70" i="57"/>
  <c r="L73" i="58"/>
  <c r="L72" i="57"/>
  <c r="I76" i="57"/>
  <c r="I77" i="58"/>
  <c r="G72" i="58"/>
  <c r="G71" i="57"/>
  <c r="D72" i="53"/>
  <c r="D71" i="57"/>
  <c r="D72" i="58"/>
  <c r="D80" i="53"/>
  <c r="D79" i="57"/>
  <c r="D80" i="58"/>
  <c r="I71" i="57"/>
  <c r="I72" i="58"/>
  <c r="E78" i="53"/>
  <c r="E77" i="57"/>
  <c r="E78" i="58"/>
  <c r="J72" i="53"/>
  <c r="J72" i="58"/>
  <c r="J71" i="57"/>
  <c r="G76" i="57"/>
  <c r="G77" i="58"/>
  <c r="J73" i="53"/>
  <c r="J73" i="58"/>
  <c r="J72" i="57"/>
  <c r="L76" i="57"/>
  <c r="L77" i="58"/>
  <c r="C70" i="53"/>
  <c r="C69" i="57"/>
  <c r="C70" i="58"/>
  <c r="C70" i="57"/>
  <c r="C71" i="58"/>
  <c r="E103" i="53"/>
  <c r="C6" i="51"/>
  <c r="C6" i="54"/>
  <c r="C7" i="51"/>
  <c r="C9" i="54"/>
  <c r="C9" i="51"/>
  <c r="C7" i="54"/>
  <c r="F58" i="50"/>
  <c r="E100" i="50" s="1"/>
  <c r="E100" i="53"/>
  <c r="F10" i="53"/>
  <c r="E114" i="53"/>
  <c r="E115" i="53"/>
  <c r="E113" i="53"/>
  <c r="E111" i="53"/>
  <c r="E104" i="53"/>
  <c r="E102" i="53"/>
  <c r="E107" i="53"/>
  <c r="E112" i="53"/>
  <c r="E108" i="53"/>
  <c r="E105" i="53"/>
  <c r="E109" i="53"/>
  <c r="E101" i="53"/>
  <c r="E106" i="53"/>
  <c r="C2" i="54"/>
  <c r="C2" i="51"/>
  <c r="F35" i="50"/>
  <c r="H100" i="50" s="1"/>
  <c r="F35" i="53"/>
  <c r="H100" i="53" s="1"/>
  <c r="H71" i="52"/>
  <c r="H72" i="53"/>
  <c r="G73" i="52"/>
  <c r="G74" i="53"/>
  <c r="I72" i="52"/>
  <c r="I73" i="53"/>
  <c r="F68" i="53"/>
  <c r="K68" i="53"/>
  <c r="F71" i="53"/>
  <c r="K71" i="53"/>
  <c r="L70" i="52"/>
  <c r="L71" i="53"/>
  <c r="I70" i="52"/>
  <c r="I71" i="53"/>
  <c r="H69" i="52"/>
  <c r="H70" i="53"/>
  <c r="H77" i="52"/>
  <c r="H78" i="53"/>
  <c r="G70" i="52"/>
  <c r="G71" i="53"/>
  <c r="L75" i="52"/>
  <c r="L76" i="53"/>
  <c r="G77" i="52"/>
  <c r="G78" i="53"/>
  <c r="H67" i="52"/>
  <c r="H68" i="53"/>
  <c r="I77" i="52"/>
  <c r="I78" i="53"/>
  <c r="H72" i="52"/>
  <c r="H73" i="53"/>
  <c r="L74" i="52"/>
  <c r="L75" i="53"/>
  <c r="F73" i="53"/>
  <c r="K73" i="53"/>
  <c r="H70" i="52"/>
  <c r="H71" i="53"/>
  <c r="L72" i="52"/>
  <c r="L73" i="53"/>
  <c r="I76" i="52"/>
  <c r="I77" i="53"/>
  <c r="G71" i="52"/>
  <c r="G72" i="53"/>
  <c r="I71" i="52"/>
  <c r="I72" i="53"/>
  <c r="G76" i="52"/>
  <c r="G77" i="53"/>
  <c r="L76" i="52"/>
  <c r="L77" i="53"/>
  <c r="I67" i="52"/>
  <c r="I68" i="53"/>
  <c r="F72" i="53"/>
  <c r="K72" i="53"/>
  <c r="I78" i="52"/>
  <c r="I79" i="53"/>
  <c r="L78" i="52"/>
  <c r="L79" i="53"/>
  <c r="H73" i="52"/>
  <c r="H74" i="53"/>
  <c r="I73" i="52"/>
  <c r="I74" i="53"/>
  <c r="I79" i="52"/>
  <c r="I80" i="53"/>
  <c r="G78" i="52"/>
  <c r="G79" i="53"/>
  <c r="C77" i="52"/>
  <c r="C78" i="53"/>
  <c r="K75" i="53"/>
  <c r="F75" i="53"/>
  <c r="G79" i="52"/>
  <c r="G80" i="53"/>
  <c r="G67" i="52"/>
  <c r="G68" i="53"/>
  <c r="F76" i="53"/>
  <c r="K76" i="53"/>
  <c r="H74" i="52"/>
  <c r="H75" i="53"/>
  <c r="I68" i="52"/>
  <c r="I69" i="53"/>
  <c r="F74" i="53"/>
  <c r="K74" i="53"/>
  <c r="G68" i="52"/>
  <c r="G69" i="53"/>
  <c r="L73" i="52"/>
  <c r="L74" i="53"/>
  <c r="C79" i="52"/>
  <c r="C80" i="53"/>
  <c r="G75" i="52"/>
  <c r="G76" i="53"/>
  <c r="K77" i="53"/>
  <c r="F77" i="53"/>
  <c r="G72" i="52"/>
  <c r="G73" i="53"/>
  <c r="L67" i="52"/>
  <c r="L68" i="53"/>
  <c r="H76" i="52"/>
  <c r="H77" i="53"/>
  <c r="I74" i="52"/>
  <c r="I75" i="53"/>
  <c r="L68" i="52"/>
  <c r="L69" i="53"/>
  <c r="F70" i="53"/>
  <c r="K70" i="53"/>
  <c r="H75" i="52"/>
  <c r="H76" i="53"/>
  <c r="I69" i="52"/>
  <c r="I70" i="53"/>
  <c r="G74" i="52"/>
  <c r="G75" i="53"/>
  <c r="L79" i="52"/>
  <c r="L80" i="53"/>
  <c r="F78" i="53"/>
  <c r="K78" i="53"/>
  <c r="C70" i="52"/>
  <c r="C71" i="53"/>
  <c r="H79" i="52"/>
  <c r="H80" i="53"/>
  <c r="L71" i="52"/>
  <c r="L72" i="53"/>
  <c r="L77" i="52"/>
  <c r="L78" i="53"/>
  <c r="K69" i="53"/>
  <c r="F69" i="53"/>
  <c r="H68" i="52"/>
  <c r="H69" i="53"/>
  <c r="H78" i="52"/>
  <c r="H79" i="53"/>
  <c r="G69" i="52"/>
  <c r="G70" i="53"/>
  <c r="I75" i="52"/>
  <c r="I76" i="53"/>
  <c r="L69" i="52"/>
  <c r="L70" i="53"/>
  <c r="F79" i="53"/>
  <c r="K79" i="53"/>
  <c r="K80" i="53"/>
  <c r="F80" i="53"/>
  <c r="D71" i="50"/>
  <c r="D70" i="52"/>
  <c r="D73" i="50"/>
  <c r="D72" i="52"/>
  <c r="J75" i="50"/>
  <c r="J74" i="52"/>
  <c r="J78" i="50"/>
  <c r="J77" i="52"/>
  <c r="D77" i="50"/>
  <c r="D76" i="52"/>
  <c r="C68" i="50"/>
  <c r="C67" i="52"/>
  <c r="E68" i="50"/>
  <c r="E67" i="52"/>
  <c r="F76" i="52"/>
  <c r="K76" i="52"/>
  <c r="E79" i="50"/>
  <c r="E78" i="52"/>
  <c r="J77" i="50"/>
  <c r="J76" i="52"/>
  <c r="D74" i="50"/>
  <c r="D73" i="52"/>
  <c r="E74" i="50"/>
  <c r="E73" i="52"/>
  <c r="E80" i="50"/>
  <c r="E79" i="52"/>
  <c r="E73" i="50"/>
  <c r="E72" i="52"/>
  <c r="K71" i="52"/>
  <c r="F71" i="52"/>
  <c r="J74" i="50"/>
  <c r="J73" i="52"/>
  <c r="K75" i="52"/>
  <c r="F75" i="52"/>
  <c r="E75" i="50"/>
  <c r="E74" i="52"/>
  <c r="F73" i="52"/>
  <c r="K73" i="52"/>
  <c r="D76" i="50"/>
  <c r="D75" i="52"/>
  <c r="E70" i="50"/>
  <c r="E69" i="52"/>
  <c r="J80" i="50"/>
  <c r="J79" i="52"/>
  <c r="J69" i="50"/>
  <c r="J68" i="52"/>
  <c r="C72" i="50"/>
  <c r="C71" i="52"/>
  <c r="C79" i="50"/>
  <c r="C78" i="52"/>
  <c r="F70" i="52"/>
  <c r="K70" i="52"/>
  <c r="J71" i="50"/>
  <c r="J70" i="52"/>
  <c r="F74" i="52"/>
  <c r="K74" i="52"/>
  <c r="E69" i="50"/>
  <c r="E68" i="52"/>
  <c r="D69" i="50"/>
  <c r="D68" i="52"/>
  <c r="K69" i="52"/>
  <c r="F69" i="52"/>
  <c r="E76" i="50"/>
  <c r="E75" i="52"/>
  <c r="J70" i="50"/>
  <c r="J69" i="52"/>
  <c r="K77" i="52"/>
  <c r="F77" i="52"/>
  <c r="C73" i="50"/>
  <c r="C72" i="52"/>
  <c r="K67" i="52"/>
  <c r="F67" i="52"/>
  <c r="E77" i="50"/>
  <c r="E76" i="52"/>
  <c r="D75" i="50"/>
  <c r="D74" i="52"/>
  <c r="J79" i="50"/>
  <c r="J78" i="52"/>
  <c r="J68" i="50"/>
  <c r="J67" i="52"/>
  <c r="F68" i="52"/>
  <c r="K68" i="52"/>
  <c r="E71" i="50"/>
  <c r="E70" i="52"/>
  <c r="D70" i="50"/>
  <c r="D69" i="52"/>
  <c r="D78" i="50"/>
  <c r="D77" i="52"/>
  <c r="J76" i="50"/>
  <c r="J75" i="52"/>
  <c r="K78" i="52"/>
  <c r="F78" i="52"/>
  <c r="K79" i="52"/>
  <c r="F79" i="52"/>
  <c r="C76" i="50"/>
  <c r="C75" i="52"/>
  <c r="C69" i="50"/>
  <c r="C68" i="52"/>
  <c r="E72" i="50"/>
  <c r="E71" i="52"/>
  <c r="D79" i="50"/>
  <c r="D78" i="52"/>
  <c r="D68" i="50"/>
  <c r="D67" i="52"/>
  <c r="K72" i="52"/>
  <c r="F72" i="52"/>
  <c r="D72" i="50"/>
  <c r="D71" i="52"/>
  <c r="D80" i="50"/>
  <c r="D79" i="52"/>
  <c r="E78" i="50"/>
  <c r="E77" i="52"/>
  <c r="J72" i="50"/>
  <c r="J71" i="52"/>
  <c r="J73" i="50"/>
  <c r="J72" i="52"/>
  <c r="C70" i="50"/>
  <c r="C69" i="52"/>
  <c r="C77" i="50"/>
  <c r="C76" i="52"/>
  <c r="I70" i="49"/>
  <c r="I71" i="50"/>
  <c r="H77" i="49"/>
  <c r="H78" i="50"/>
  <c r="G70" i="49"/>
  <c r="G71" i="50"/>
  <c r="F73" i="50"/>
  <c r="K73" i="50"/>
  <c r="I76" i="49"/>
  <c r="I77" i="50"/>
  <c r="G71" i="49"/>
  <c r="G72" i="50"/>
  <c r="I71" i="49"/>
  <c r="I72" i="50"/>
  <c r="G76" i="49"/>
  <c r="G77" i="50"/>
  <c r="L76" i="49"/>
  <c r="L77" i="50"/>
  <c r="C79" i="49"/>
  <c r="C80" i="50"/>
  <c r="C77" i="49"/>
  <c r="C78" i="50"/>
  <c r="F75" i="50"/>
  <c r="K75" i="50"/>
  <c r="G75" i="49"/>
  <c r="G76" i="50"/>
  <c r="H71" i="49"/>
  <c r="H72" i="50"/>
  <c r="H79" i="49"/>
  <c r="H80" i="50"/>
  <c r="I77" i="49"/>
  <c r="I78" i="50"/>
  <c r="L71" i="49"/>
  <c r="L72" i="50"/>
  <c r="G73" i="49"/>
  <c r="G74" i="50"/>
  <c r="C70" i="49"/>
  <c r="C71" i="50"/>
  <c r="H67" i="49"/>
  <c r="H68" i="50"/>
  <c r="H72" i="49"/>
  <c r="H73" i="50"/>
  <c r="I72" i="49"/>
  <c r="I73" i="50"/>
  <c r="G72" i="49"/>
  <c r="G73" i="50"/>
  <c r="L77" i="49"/>
  <c r="L78" i="50"/>
  <c r="L74" i="49"/>
  <c r="L75" i="50"/>
  <c r="G67" i="49"/>
  <c r="G68" i="50"/>
  <c r="L70" i="49"/>
  <c r="L71" i="50"/>
  <c r="K77" i="50"/>
  <c r="F77" i="50"/>
  <c r="G79" i="49"/>
  <c r="G80" i="50"/>
  <c r="I67" i="49"/>
  <c r="I68" i="50"/>
  <c r="K72" i="50"/>
  <c r="F72" i="50"/>
  <c r="I78" i="49"/>
  <c r="I79" i="50"/>
  <c r="L78" i="49"/>
  <c r="L79" i="50"/>
  <c r="H73" i="49"/>
  <c r="H74" i="50"/>
  <c r="I73" i="49"/>
  <c r="I74" i="50"/>
  <c r="I79" i="49"/>
  <c r="I80" i="50"/>
  <c r="G78" i="49"/>
  <c r="G79" i="50"/>
  <c r="F68" i="50"/>
  <c r="K68" i="50"/>
  <c r="L72" i="49"/>
  <c r="L73" i="50"/>
  <c r="F76" i="50"/>
  <c r="K76" i="50"/>
  <c r="H74" i="49"/>
  <c r="H75" i="50"/>
  <c r="I68" i="49"/>
  <c r="I69" i="50"/>
  <c r="K74" i="50"/>
  <c r="F74" i="50"/>
  <c r="G68" i="49"/>
  <c r="G69" i="50"/>
  <c r="L73" i="49"/>
  <c r="L74" i="50"/>
  <c r="F71" i="50"/>
  <c r="K71" i="50"/>
  <c r="G77" i="49"/>
  <c r="G78" i="50"/>
  <c r="H70" i="49"/>
  <c r="H71" i="50"/>
  <c r="L67" i="49"/>
  <c r="L68" i="50"/>
  <c r="H76" i="49"/>
  <c r="H77" i="50"/>
  <c r="I74" i="49"/>
  <c r="I75" i="50"/>
  <c r="L68" i="49"/>
  <c r="L69" i="50"/>
  <c r="K70" i="50"/>
  <c r="F70" i="50"/>
  <c r="H75" i="49"/>
  <c r="H76" i="50"/>
  <c r="I69" i="49"/>
  <c r="I70" i="50"/>
  <c r="G74" i="49"/>
  <c r="G75" i="50"/>
  <c r="L79" i="49"/>
  <c r="L80" i="50"/>
  <c r="K78" i="50"/>
  <c r="F78" i="50"/>
  <c r="H69" i="49"/>
  <c r="H70" i="50"/>
  <c r="L75" i="49"/>
  <c r="L76" i="50"/>
  <c r="K69" i="50"/>
  <c r="F69" i="50"/>
  <c r="H68" i="49"/>
  <c r="H69" i="50"/>
  <c r="H78" i="49"/>
  <c r="H79" i="50"/>
  <c r="G69" i="49"/>
  <c r="G70" i="50"/>
  <c r="I75" i="49"/>
  <c r="I76" i="50"/>
  <c r="L69" i="49"/>
  <c r="L70" i="50"/>
  <c r="F79" i="50"/>
  <c r="K79" i="50"/>
  <c r="K80" i="50"/>
  <c r="F80" i="50"/>
  <c r="E72" i="49"/>
  <c r="J77" i="49"/>
  <c r="E67" i="49"/>
  <c r="F76" i="49"/>
  <c r="K76" i="49"/>
  <c r="E78" i="49"/>
  <c r="J76" i="49"/>
  <c r="D73" i="49"/>
  <c r="E73" i="49"/>
  <c r="E79" i="49"/>
  <c r="K74" i="49"/>
  <c r="F74" i="49"/>
  <c r="J74" i="49"/>
  <c r="D76" i="49"/>
  <c r="K71" i="49"/>
  <c r="F71" i="49"/>
  <c r="J67" i="49"/>
  <c r="F75" i="49"/>
  <c r="K75" i="49"/>
  <c r="E74" i="49"/>
  <c r="F73" i="49"/>
  <c r="K73" i="49"/>
  <c r="D75" i="49"/>
  <c r="E69" i="49"/>
  <c r="J79" i="49"/>
  <c r="J68" i="49"/>
  <c r="C71" i="49"/>
  <c r="C76" i="49"/>
  <c r="J78" i="49"/>
  <c r="D68" i="49"/>
  <c r="K69" i="49"/>
  <c r="F69" i="49"/>
  <c r="E75" i="49"/>
  <c r="J69" i="49"/>
  <c r="K77" i="49"/>
  <c r="F77" i="49"/>
  <c r="C72" i="49"/>
  <c r="D72" i="49"/>
  <c r="E68" i="49"/>
  <c r="J73" i="49"/>
  <c r="F68" i="49"/>
  <c r="K68" i="49"/>
  <c r="E70" i="49"/>
  <c r="D69" i="49"/>
  <c r="D77" i="49"/>
  <c r="J75" i="49"/>
  <c r="F78" i="49"/>
  <c r="K78" i="49"/>
  <c r="K79" i="49"/>
  <c r="F79" i="49"/>
  <c r="C75" i="49"/>
  <c r="F67" i="49"/>
  <c r="K67" i="49"/>
  <c r="K70" i="49"/>
  <c r="F70" i="49"/>
  <c r="D70" i="49"/>
  <c r="E76" i="49"/>
  <c r="J70" i="49"/>
  <c r="E71" i="49"/>
  <c r="D78" i="49"/>
  <c r="C68" i="49"/>
  <c r="C67" i="49"/>
  <c r="D74" i="49"/>
  <c r="D67" i="49"/>
  <c r="F72" i="49"/>
  <c r="K72" i="49"/>
  <c r="D71" i="49"/>
  <c r="D79" i="49"/>
  <c r="E77" i="49"/>
  <c r="J71" i="49"/>
  <c r="J72" i="49"/>
  <c r="C69" i="49"/>
  <c r="C78" i="49"/>
  <c r="E138" i="84" l="1"/>
  <c r="E132" i="74"/>
  <c r="E138" i="80"/>
  <c r="E138" i="74"/>
  <c r="E137" i="84"/>
  <c r="E138" i="78"/>
  <c r="E137" i="72"/>
  <c r="E138" i="81"/>
  <c r="B135" i="75"/>
  <c r="B139" i="81"/>
  <c r="E137" i="80"/>
  <c r="E140" i="81"/>
  <c r="E131" i="77"/>
  <c r="B135" i="74"/>
  <c r="E138" i="72"/>
  <c r="B134" i="72"/>
  <c r="B134" i="84"/>
  <c r="E137" i="71"/>
  <c r="E142" i="78"/>
  <c r="E137" i="75"/>
  <c r="E138" i="75"/>
  <c r="B136" i="80"/>
  <c r="E143" i="84"/>
  <c r="E136" i="77"/>
  <c r="E137" i="78"/>
  <c r="E136" i="83"/>
  <c r="E136" i="71"/>
  <c r="E137" i="77"/>
  <c r="B132" i="81"/>
  <c r="E137" i="81"/>
  <c r="E132" i="71"/>
  <c r="B138" i="78"/>
  <c r="E136" i="72"/>
  <c r="E136" i="74"/>
  <c r="E136" i="80"/>
  <c r="E137" i="74"/>
  <c r="E137" i="83"/>
  <c r="B130" i="77"/>
  <c r="E130" i="77"/>
  <c r="B140" i="75"/>
  <c r="B137" i="72"/>
  <c r="B135" i="81"/>
  <c r="B131" i="81"/>
  <c r="E131" i="81"/>
  <c r="B131" i="80"/>
  <c r="B139" i="78"/>
  <c r="B138" i="71"/>
  <c r="E133" i="72"/>
  <c r="B139" i="74"/>
  <c r="B137" i="77"/>
  <c r="E133" i="83"/>
  <c r="E131" i="80"/>
  <c r="E132" i="72"/>
  <c r="E142" i="83"/>
  <c r="E138" i="77"/>
  <c r="E138" i="71"/>
  <c r="E141" i="78"/>
  <c r="E135" i="74"/>
  <c r="E135" i="71"/>
  <c r="E141" i="77"/>
  <c r="E134" i="80"/>
  <c r="B137" i="84"/>
  <c r="B136" i="71"/>
  <c r="B133" i="75"/>
  <c r="B136" i="84"/>
  <c r="B136" i="72"/>
  <c r="E140" i="75"/>
  <c r="B134" i="83"/>
  <c r="B130" i="83"/>
  <c r="E130" i="83"/>
  <c r="E133" i="71"/>
  <c r="E136" i="81"/>
  <c r="B131" i="78"/>
  <c r="E131" i="78"/>
  <c r="B131" i="77"/>
  <c r="B133" i="77"/>
  <c r="B138" i="77"/>
  <c r="B139" i="80"/>
  <c r="B140" i="72"/>
  <c r="B138" i="75"/>
  <c r="E133" i="80"/>
  <c r="E132" i="84"/>
  <c r="E131" i="71"/>
  <c r="E142" i="80"/>
  <c r="E139" i="84"/>
  <c r="E140" i="77"/>
  <c r="E136" i="84"/>
  <c r="E142" i="75"/>
  <c r="E135" i="78"/>
  <c r="B136" i="83"/>
  <c r="B132" i="77"/>
  <c r="B133" i="72"/>
  <c r="B135" i="83"/>
  <c r="B135" i="71"/>
  <c r="E139" i="80"/>
  <c r="B134" i="77"/>
  <c r="B133" i="78"/>
  <c r="B130" i="80"/>
  <c r="E130" i="80"/>
  <c r="B132" i="75"/>
  <c r="B133" i="74"/>
  <c r="E132" i="80"/>
  <c r="B140" i="84"/>
  <c r="B139" i="71"/>
  <c r="B137" i="74"/>
  <c r="E134" i="78"/>
  <c r="E131" i="83"/>
  <c r="E143" i="75"/>
  <c r="E138" i="83"/>
  <c r="E140" i="74"/>
  <c r="E135" i="83"/>
  <c r="E141" i="74"/>
  <c r="E135" i="75"/>
  <c r="B137" i="81"/>
  <c r="B132" i="74"/>
  <c r="B132" i="71"/>
  <c r="B136" i="81"/>
  <c r="E140" i="78"/>
  <c r="B134" i="71"/>
  <c r="E141" i="72"/>
  <c r="E134" i="83"/>
  <c r="B131" i="75"/>
  <c r="E131" i="75"/>
  <c r="B131" i="74"/>
  <c r="B133" i="83"/>
  <c r="B139" i="72"/>
  <c r="E133" i="84"/>
  <c r="E133" i="78"/>
  <c r="B139" i="83"/>
  <c r="B138" i="84"/>
  <c r="B138" i="72"/>
  <c r="E133" i="77"/>
  <c r="E132" i="81"/>
  <c r="E142" i="77"/>
  <c r="E139" i="75"/>
  <c r="E141" i="81"/>
  <c r="E135" i="77"/>
  <c r="E142" i="84"/>
  <c r="E142" i="72"/>
  <c r="E134" i="77"/>
  <c r="B137" i="78"/>
  <c r="B133" i="84"/>
  <c r="B135" i="80"/>
  <c r="E139" i="77"/>
  <c r="B135" i="72"/>
  <c r="E134" i="84"/>
  <c r="E130" i="71"/>
  <c r="B130" i="71"/>
  <c r="B132" i="78"/>
  <c r="B132" i="72"/>
  <c r="B138" i="80"/>
  <c r="B134" i="81"/>
  <c r="B133" i="80"/>
  <c r="E133" i="81"/>
  <c r="E133" i="75"/>
  <c r="B140" i="81"/>
  <c r="B137" i="83"/>
  <c r="B137" i="71"/>
  <c r="E134" i="75"/>
  <c r="E131" i="74"/>
  <c r="E143" i="78"/>
  <c r="E139" i="72"/>
  <c r="E140" i="80"/>
  <c r="E135" i="80"/>
  <c r="E141" i="83"/>
  <c r="E141" i="71"/>
  <c r="E135" i="72"/>
  <c r="B136" i="77"/>
  <c r="B132" i="83"/>
  <c r="B136" i="78"/>
  <c r="E139" i="74"/>
  <c r="E140" i="72"/>
  <c r="B134" i="74"/>
  <c r="B138" i="74"/>
  <c r="E131" i="72"/>
  <c r="B131" i="72"/>
  <c r="B132" i="84"/>
  <c r="B131" i="71"/>
  <c r="B139" i="84"/>
  <c r="B139" i="75"/>
  <c r="B134" i="78"/>
  <c r="E132" i="77"/>
  <c r="B140" i="78"/>
  <c r="B138" i="81"/>
  <c r="E133" i="74"/>
  <c r="E132" i="75"/>
  <c r="E143" i="81"/>
  <c r="E142" i="74"/>
  <c r="E139" i="78"/>
  <c r="E141" i="84"/>
  <c r="E141" i="75"/>
  <c r="E136" i="78"/>
  <c r="E142" i="81"/>
  <c r="E135" i="81"/>
  <c r="E134" i="71"/>
  <c r="B137" i="75"/>
  <c r="B133" i="81"/>
  <c r="B135" i="77"/>
  <c r="E140" i="84"/>
  <c r="E139" i="71"/>
  <c r="B134" i="80"/>
  <c r="B131" i="84"/>
  <c r="E131" i="84"/>
  <c r="E130" i="74"/>
  <c r="B130" i="74"/>
  <c r="B131" i="83"/>
  <c r="B138" i="83"/>
  <c r="B133" i="71"/>
  <c r="B134" i="75"/>
  <c r="E132" i="83"/>
  <c r="B139" i="77"/>
  <c r="B137" i="80"/>
  <c r="E134" i="81"/>
  <c r="E134" i="72"/>
  <c r="E132" i="78"/>
  <c r="E142" i="71"/>
  <c r="E143" i="72"/>
  <c r="E139" i="81"/>
  <c r="E140" i="83"/>
  <c r="E140" i="71"/>
  <c r="E136" i="75"/>
  <c r="E141" i="80"/>
  <c r="E135" i="84"/>
  <c r="E134" i="74"/>
  <c r="B136" i="74"/>
  <c r="B132" i="80"/>
  <c r="B136" i="75"/>
  <c r="E139" i="83"/>
  <c r="B135" i="84"/>
  <c r="B135" i="78"/>
  <c r="B100" i="53"/>
  <c r="E138" i="64"/>
  <c r="E134" i="63"/>
  <c r="E135" i="63"/>
  <c r="B137" i="64"/>
  <c r="E137" i="64"/>
  <c r="E137" i="63"/>
  <c r="E136" i="63"/>
  <c r="B139" i="64"/>
  <c r="B134" i="64"/>
  <c r="B135" i="63"/>
  <c r="B132" i="63"/>
  <c r="E132" i="63"/>
  <c r="B137" i="63"/>
  <c r="B140" i="64"/>
  <c r="E139" i="63"/>
  <c r="B131" i="63"/>
  <c r="E133" i="64"/>
  <c r="E143" i="64"/>
  <c r="E133" i="63"/>
  <c r="E138" i="63"/>
  <c r="E134" i="64"/>
  <c r="B138" i="64"/>
  <c r="B139" i="63"/>
  <c r="E140" i="64"/>
  <c r="B132" i="64"/>
  <c r="B130" i="63"/>
  <c r="E130" i="63"/>
  <c r="E135" i="64"/>
  <c r="B133" i="64"/>
  <c r="E139" i="64"/>
  <c r="E142" i="63"/>
  <c r="E140" i="63"/>
  <c r="E131" i="63"/>
  <c r="B134" i="63"/>
  <c r="E131" i="64"/>
  <c r="B131" i="64"/>
  <c r="B136" i="64"/>
  <c r="E141" i="64"/>
  <c r="E132" i="64"/>
  <c r="E142" i="64"/>
  <c r="B135" i="64"/>
  <c r="B138" i="63"/>
  <c r="E136" i="64"/>
  <c r="B136" i="63"/>
  <c r="E141" i="63"/>
  <c r="B133" i="63"/>
  <c r="E136" i="61"/>
  <c r="E137" i="61"/>
  <c r="E137" i="60"/>
  <c r="E136" i="60"/>
  <c r="E133" i="60"/>
  <c r="E139" i="61"/>
  <c r="B138" i="60"/>
  <c r="B139" i="61"/>
  <c r="E138" i="61"/>
  <c r="B134" i="61"/>
  <c r="E140" i="61"/>
  <c r="E134" i="61"/>
  <c r="E139" i="60"/>
  <c r="B132" i="60"/>
  <c r="E132" i="60"/>
  <c r="E134" i="60"/>
  <c r="B133" i="61"/>
  <c r="E133" i="61"/>
  <c r="B137" i="60"/>
  <c r="E141" i="60"/>
  <c r="B140" i="61"/>
  <c r="E135" i="61"/>
  <c r="B131" i="60"/>
  <c r="E140" i="60"/>
  <c r="E142" i="61"/>
  <c r="B139" i="60"/>
  <c r="B132" i="61"/>
  <c r="E141" i="61"/>
  <c r="B137" i="61"/>
  <c r="E132" i="61"/>
  <c r="B135" i="61"/>
  <c r="E130" i="60"/>
  <c r="B130" i="60"/>
  <c r="B135" i="60"/>
  <c r="E143" i="61"/>
  <c r="E138" i="60"/>
  <c r="B133" i="60"/>
  <c r="E135" i="60"/>
  <c r="B138" i="61"/>
  <c r="B136" i="60"/>
  <c r="E131" i="60"/>
  <c r="B134" i="60"/>
  <c r="B131" i="61"/>
  <c r="E131" i="61"/>
  <c r="B136" i="61"/>
  <c r="E142" i="60"/>
  <c r="E141" i="58"/>
  <c r="E143" i="58"/>
  <c r="E138" i="58"/>
  <c r="E137" i="58"/>
  <c r="E132" i="58"/>
  <c r="E139" i="58"/>
  <c r="B140" i="58"/>
  <c r="E140" i="58"/>
  <c r="B132" i="58"/>
  <c r="B134" i="58"/>
  <c r="B133" i="58"/>
  <c r="E134" i="58"/>
  <c r="B139" i="58"/>
  <c r="E142" i="58"/>
  <c r="E131" i="58"/>
  <c r="B131" i="58"/>
  <c r="B136" i="58"/>
  <c r="E133" i="58"/>
  <c r="B138" i="58"/>
  <c r="E136" i="58"/>
  <c r="E135" i="58"/>
  <c r="B137" i="58"/>
  <c r="B135" i="58"/>
  <c r="E116" i="53"/>
  <c r="E106" i="50"/>
  <c r="E113" i="50"/>
  <c r="E115" i="50"/>
  <c r="E114" i="50"/>
  <c r="F10" i="50"/>
  <c r="E103" i="50"/>
  <c r="E104" i="50"/>
  <c r="E111" i="50"/>
  <c r="E102" i="50"/>
  <c r="E110" i="50"/>
  <c r="E101" i="50"/>
  <c r="E109" i="50"/>
  <c r="E107" i="50"/>
  <c r="E108" i="50"/>
  <c r="E112" i="50"/>
  <c r="E105" i="50"/>
  <c r="M100" i="53"/>
  <c r="B109" i="53"/>
  <c r="L100" i="53"/>
  <c r="Q100" i="53"/>
  <c r="B108" i="53"/>
  <c r="P100" i="53"/>
  <c r="B103" i="53"/>
  <c r="B102" i="53"/>
  <c r="O100" i="53"/>
  <c r="B107" i="53"/>
  <c r="F7" i="53"/>
  <c r="B106" i="53"/>
  <c r="B101" i="53"/>
  <c r="I100" i="53"/>
  <c r="B105" i="53"/>
  <c r="K100" i="53"/>
  <c r="B104" i="53"/>
  <c r="J100" i="53"/>
  <c r="N100" i="53"/>
  <c r="B100" i="50"/>
  <c r="Q100" i="50"/>
  <c r="J100" i="50"/>
  <c r="M100" i="50"/>
  <c r="B105" i="50"/>
  <c r="B103" i="50"/>
  <c r="K100" i="50"/>
  <c r="B109" i="50"/>
  <c r="B107" i="50"/>
  <c r="L100" i="50"/>
  <c r="B106" i="50"/>
  <c r="P100" i="50"/>
  <c r="B108" i="50"/>
  <c r="B102" i="50"/>
  <c r="F7" i="50"/>
  <c r="I100" i="50"/>
  <c r="O100" i="50"/>
  <c r="B101" i="50"/>
  <c r="B104" i="50"/>
  <c r="N100" i="50"/>
  <c r="B136" i="53"/>
  <c r="B133" i="53"/>
  <c r="B139" i="53"/>
  <c r="B135" i="53"/>
  <c r="B137" i="53"/>
  <c r="B134" i="53"/>
  <c r="B131" i="53"/>
  <c r="B132" i="53"/>
  <c r="B140" i="53"/>
  <c r="B138" i="53"/>
  <c r="B166" i="72" l="1"/>
  <c r="B168" i="80"/>
  <c r="B167" i="84"/>
  <c r="B164" i="81"/>
  <c r="B169" i="83"/>
  <c r="B170" i="78"/>
  <c r="B169" i="80"/>
  <c r="E168" i="74"/>
  <c r="E175" i="84"/>
  <c r="B170" i="77"/>
  <c r="B165" i="72"/>
  <c r="E174" i="80"/>
  <c r="E170" i="81"/>
  <c r="E167" i="81"/>
  <c r="E164" i="75"/>
  <c r="B167" i="75"/>
  <c r="E168" i="83"/>
  <c r="E169" i="80"/>
  <c r="E169" i="77"/>
  <c r="E173" i="83"/>
  <c r="E166" i="74"/>
  <c r="E174" i="71"/>
  <c r="B165" i="71"/>
  <c r="B169" i="81"/>
  <c r="E169" i="78"/>
  <c r="B166" i="74"/>
  <c r="E171" i="77"/>
  <c r="E165" i="78"/>
  <c r="B167" i="78"/>
  <c r="E172" i="84"/>
  <c r="B165" i="75"/>
  <c r="E165" i="72"/>
  <c r="E170" i="71"/>
  <c r="E168" i="72"/>
  <c r="E169" i="71"/>
  <c r="E170" i="78"/>
  <c r="E167" i="84"/>
  <c r="E164" i="78"/>
  <c r="B170" i="83"/>
  <c r="B166" i="80"/>
  <c r="E174" i="81"/>
  <c r="E165" i="74"/>
  <c r="B164" i="84"/>
  <c r="E172" i="72"/>
  <c r="E167" i="80"/>
  <c r="B172" i="81"/>
  <c r="B162" i="71"/>
  <c r="B167" i="80"/>
  <c r="E171" i="75"/>
  <c r="E165" i="84"/>
  <c r="E166" i="83"/>
  <c r="E167" i="75"/>
  <c r="B169" i="74"/>
  <c r="B162" i="80"/>
  <c r="B164" i="77"/>
  <c r="E163" i="71"/>
  <c r="B165" i="77"/>
  <c r="B168" i="71"/>
  <c r="E170" i="77"/>
  <c r="B170" i="71"/>
  <c r="E169" i="81"/>
  <c r="E173" i="80"/>
  <c r="E166" i="72"/>
  <c r="B163" i="83"/>
  <c r="E171" i="71"/>
  <c r="E168" i="78"/>
  <c r="B170" i="81"/>
  <c r="B163" i="72"/>
  <c r="E171" i="74"/>
  <c r="E172" i="80"/>
  <c r="E165" i="75"/>
  <c r="E177" i="71"/>
  <c r="E175" i="71"/>
  <c r="E176" i="71"/>
  <c r="E162" i="71"/>
  <c r="B165" i="84"/>
  <c r="E174" i="77"/>
  <c r="B171" i="72"/>
  <c r="E173" i="72"/>
  <c r="E173" i="74"/>
  <c r="B171" i="71"/>
  <c r="B168" i="83"/>
  <c r="E164" i="84"/>
  <c r="B163" i="77"/>
  <c r="E176" i="83"/>
  <c r="E162" i="83"/>
  <c r="E175" i="83"/>
  <c r="E177" i="83"/>
  <c r="B169" i="84"/>
  <c r="E174" i="83"/>
  <c r="B171" i="78"/>
  <c r="B172" i="75"/>
  <c r="B163" i="71"/>
  <c r="E168" i="75"/>
  <c r="E166" i="81"/>
  <c r="B162" i="74"/>
  <c r="E173" i="75"/>
  <c r="B172" i="78"/>
  <c r="E178" i="72"/>
  <c r="E176" i="72"/>
  <c r="E177" i="72"/>
  <c r="E163" i="72"/>
  <c r="B168" i="78"/>
  <c r="E171" i="72"/>
  <c r="E165" i="81"/>
  <c r="B167" i="74"/>
  <c r="B169" i="78"/>
  <c r="E164" i="81"/>
  <c r="B165" i="83"/>
  <c r="B166" i="71"/>
  <c r="E167" i="83"/>
  <c r="B172" i="84"/>
  <c r="B165" i="78"/>
  <c r="E167" i="78"/>
  <c r="E165" i="80"/>
  <c r="E177" i="78"/>
  <c r="E176" i="78"/>
  <c r="E163" i="78"/>
  <c r="E178" i="78"/>
  <c r="B162" i="83"/>
  <c r="E166" i="80"/>
  <c r="E164" i="72"/>
  <c r="B163" i="80"/>
  <c r="E162" i="77"/>
  <c r="E177" i="77"/>
  <c r="E175" i="77"/>
  <c r="E176" i="77"/>
  <c r="E168" i="71"/>
  <c r="E173" i="81"/>
  <c r="E171" i="83"/>
  <c r="E176" i="74"/>
  <c r="E162" i="74"/>
  <c r="E175" i="74"/>
  <c r="E177" i="74"/>
  <c r="B167" i="77"/>
  <c r="E173" i="84"/>
  <c r="E164" i="77"/>
  <c r="E169" i="84"/>
  <c r="B164" i="83"/>
  <c r="E175" i="78"/>
  <c r="B165" i="80"/>
  <c r="E174" i="78"/>
  <c r="E166" i="77"/>
  <c r="E165" i="77"/>
  <c r="B163" i="74"/>
  <c r="E172" i="78"/>
  <c r="E172" i="74"/>
  <c r="E164" i="80"/>
  <c r="B166" i="77"/>
  <c r="E174" i="75"/>
  <c r="B170" i="75"/>
  <c r="B163" i="78"/>
  <c r="B166" i="83"/>
  <c r="E173" i="77"/>
  <c r="E163" i="80"/>
  <c r="E177" i="81"/>
  <c r="E163" i="81"/>
  <c r="E176" i="81"/>
  <c r="E178" i="81"/>
  <c r="B162" i="77"/>
  <c r="E162" i="80"/>
  <c r="E175" i="80"/>
  <c r="E177" i="80"/>
  <c r="E176" i="80"/>
  <c r="E172" i="71"/>
  <c r="B168" i="75"/>
  <c r="E172" i="83"/>
  <c r="B171" i="77"/>
  <c r="E178" i="84"/>
  <c r="E176" i="84"/>
  <c r="E177" i="84"/>
  <c r="E163" i="84"/>
  <c r="B165" i="81"/>
  <c r="E171" i="78"/>
  <c r="B166" i="78"/>
  <c r="E163" i="77"/>
  <c r="B168" i="77"/>
  <c r="E163" i="74"/>
  <c r="B166" i="81"/>
  <c r="E166" i="84"/>
  <c r="E174" i="72"/>
  <c r="B170" i="72"/>
  <c r="E177" i="75"/>
  <c r="E176" i="75"/>
  <c r="E163" i="75"/>
  <c r="E178" i="75"/>
  <c r="B168" i="81"/>
  <c r="E170" i="83"/>
  <c r="B165" i="74"/>
  <c r="E171" i="80"/>
  <c r="E168" i="84"/>
  <c r="B172" i="72"/>
  <c r="E168" i="81"/>
  <c r="E172" i="75"/>
  <c r="E167" i="71"/>
  <c r="E165" i="83"/>
  <c r="B163" i="81"/>
  <c r="E169" i="83"/>
  <c r="E169" i="75"/>
  <c r="E168" i="77"/>
  <c r="B164" i="78"/>
  <c r="E166" i="78"/>
  <c r="B164" i="80"/>
  <c r="E171" i="81"/>
  <c r="E164" i="83"/>
  <c r="B163" i="84"/>
  <c r="B169" i="75"/>
  <c r="E174" i="74"/>
  <c r="B171" i="75"/>
  <c r="E164" i="71"/>
  <c r="E167" i="72"/>
  <c r="E166" i="75"/>
  <c r="B170" i="80"/>
  <c r="B171" i="81"/>
  <c r="E174" i="84"/>
  <c r="B170" i="84"/>
  <c r="B163" i="75"/>
  <c r="B164" i="71"/>
  <c r="E175" i="75"/>
  <c r="B166" i="84"/>
  <c r="B167" i="71"/>
  <c r="E172" i="77"/>
  <c r="B171" i="80"/>
  <c r="E170" i="74"/>
  <c r="B168" i="72"/>
  <c r="E167" i="74"/>
  <c r="B169" i="77"/>
  <c r="B167" i="81"/>
  <c r="E169" i="74"/>
  <c r="E170" i="75"/>
  <c r="E170" i="72"/>
  <c r="B168" i="74"/>
  <c r="E175" i="72"/>
  <c r="B166" i="75"/>
  <c r="E170" i="80"/>
  <c r="E166" i="71"/>
  <c r="E175" i="81"/>
  <c r="B171" i="84"/>
  <c r="B170" i="74"/>
  <c r="E173" i="71"/>
  <c r="B169" i="71"/>
  <c r="B164" i="72"/>
  <c r="B167" i="72"/>
  <c r="E167" i="77"/>
  <c r="B171" i="83"/>
  <c r="E172" i="81"/>
  <c r="B164" i="74"/>
  <c r="E163" i="83"/>
  <c r="B164" i="75"/>
  <c r="B167" i="83"/>
  <c r="E171" i="84"/>
  <c r="E164" i="74"/>
  <c r="E165" i="71"/>
  <c r="B168" i="84"/>
  <c r="E173" i="78"/>
  <c r="B171" i="74"/>
  <c r="B169" i="72"/>
  <c r="E168" i="80"/>
  <c r="E169" i="72"/>
  <c r="E170" i="84"/>
  <c r="B164" i="64"/>
  <c r="B166" i="64"/>
  <c r="E173" i="64"/>
  <c r="B169" i="64"/>
  <c r="E174" i="63"/>
  <c r="E168" i="63"/>
  <c r="B165" i="63"/>
  <c r="B167" i="63"/>
  <c r="E174" i="64"/>
  <c r="E163" i="63"/>
  <c r="E175" i="64"/>
  <c r="E164" i="64"/>
  <c r="E172" i="63"/>
  <c r="E172" i="64"/>
  <c r="E165" i="64"/>
  <c r="E166" i="63"/>
  <c r="E173" i="63"/>
  <c r="B170" i="64"/>
  <c r="B168" i="63"/>
  <c r="B165" i="64"/>
  <c r="E166" i="64"/>
  <c r="B172" i="64"/>
  <c r="E169" i="63"/>
  <c r="B168" i="64"/>
  <c r="B171" i="64"/>
  <c r="E168" i="64"/>
  <c r="B163" i="64"/>
  <c r="E167" i="64"/>
  <c r="E170" i="63"/>
  <c r="B169" i="63"/>
  <c r="B163" i="63"/>
  <c r="E171" i="63"/>
  <c r="B170" i="63"/>
  <c r="E163" i="64"/>
  <c r="E176" i="64"/>
  <c r="E177" i="64"/>
  <c r="E178" i="64"/>
  <c r="E162" i="63"/>
  <c r="E177" i="63"/>
  <c r="E176" i="63"/>
  <c r="E175" i="63"/>
  <c r="E167" i="63"/>
  <c r="E164" i="63"/>
  <c r="E169" i="64"/>
  <c r="B171" i="63"/>
  <c r="E171" i="64"/>
  <c r="B167" i="64"/>
  <c r="B166" i="63"/>
  <c r="B162" i="63"/>
  <c r="E165" i="63"/>
  <c r="B164" i="63"/>
  <c r="E170" i="64"/>
  <c r="E166" i="61"/>
  <c r="E165" i="61"/>
  <c r="E174" i="61"/>
  <c r="B168" i="60"/>
  <c r="E169" i="60"/>
  <c r="B170" i="61"/>
  <c r="B171" i="60"/>
  <c r="B162" i="60"/>
  <c r="B170" i="60"/>
  <c r="E174" i="60"/>
  <c r="E167" i="60"/>
  <c r="B167" i="61"/>
  <c r="E172" i="60"/>
  <c r="B165" i="61"/>
  <c r="E172" i="61"/>
  <c r="B168" i="61"/>
  <c r="B165" i="60"/>
  <c r="E164" i="61"/>
  <c r="E165" i="60"/>
  <c r="E166" i="60"/>
  <c r="B166" i="61"/>
  <c r="E163" i="61"/>
  <c r="E176" i="61"/>
  <c r="E178" i="61"/>
  <c r="E177" i="61"/>
  <c r="E170" i="60"/>
  <c r="B169" i="61"/>
  <c r="B163" i="60"/>
  <c r="E164" i="60"/>
  <c r="B169" i="60"/>
  <c r="B163" i="61"/>
  <c r="E171" i="61"/>
  <c r="E168" i="61"/>
  <c r="E167" i="61"/>
  <c r="B164" i="60"/>
  <c r="E170" i="61"/>
  <c r="B166" i="60"/>
  <c r="E175" i="61"/>
  <c r="E173" i="61"/>
  <c r="B172" i="61"/>
  <c r="E171" i="60"/>
  <c r="E169" i="61"/>
  <c r="E162" i="60"/>
  <c r="E175" i="60"/>
  <c r="E177" i="60"/>
  <c r="E176" i="60"/>
  <c r="E163" i="60"/>
  <c r="B167" i="60"/>
  <c r="B164" i="61"/>
  <c r="E173" i="60"/>
  <c r="B171" i="61"/>
  <c r="E168" i="60"/>
  <c r="E140" i="53"/>
  <c r="E133" i="50"/>
  <c r="E168" i="58"/>
  <c r="B169" i="58"/>
  <c r="E170" i="58"/>
  <c r="B168" i="58"/>
  <c r="B166" i="58"/>
  <c r="E175" i="58"/>
  <c r="B170" i="58"/>
  <c r="E173" i="58"/>
  <c r="B164" i="58"/>
  <c r="B172" i="58"/>
  <c r="B167" i="58"/>
  <c r="E165" i="58"/>
  <c r="E174" i="58"/>
  <c r="E171" i="58"/>
  <c r="B171" i="58"/>
  <c r="E169" i="58"/>
  <c r="E166" i="58"/>
  <c r="E172" i="58"/>
  <c r="E164" i="58"/>
  <c r="B163" i="58"/>
  <c r="B165" i="58"/>
  <c r="E167" i="58"/>
  <c r="E163" i="58"/>
  <c r="E178" i="58"/>
  <c r="E177" i="58"/>
  <c r="E176" i="58"/>
  <c r="B134" i="50"/>
  <c r="E132" i="50"/>
  <c r="C3" i="54"/>
  <c r="E132" i="53"/>
  <c r="E133" i="53"/>
  <c r="C3" i="51"/>
  <c r="E135" i="53"/>
  <c r="E143" i="53"/>
  <c r="B139" i="50"/>
  <c r="B138" i="50"/>
  <c r="E116" i="50"/>
  <c r="B132" i="50"/>
  <c r="B131" i="50"/>
  <c r="B136" i="50"/>
  <c r="B140" i="50"/>
  <c r="B133" i="50"/>
  <c r="B135" i="50"/>
  <c r="B137" i="50"/>
  <c r="B110" i="53"/>
  <c r="E142" i="50"/>
  <c r="R100" i="50"/>
  <c r="E141" i="50"/>
  <c r="E145" i="53"/>
  <c r="E136" i="50"/>
  <c r="E135" i="50"/>
  <c r="E137" i="50"/>
  <c r="E140" i="50"/>
  <c r="E131" i="53"/>
  <c r="E141" i="53"/>
  <c r="E146" i="53"/>
  <c r="E131" i="50"/>
  <c r="E137" i="53"/>
  <c r="R100" i="53"/>
  <c r="E144" i="53"/>
  <c r="E143" i="50"/>
  <c r="E136" i="53"/>
  <c r="E134" i="53"/>
  <c r="E145" i="50"/>
  <c r="E139" i="50"/>
  <c r="E138" i="50"/>
  <c r="E139" i="53"/>
  <c r="E138" i="53"/>
  <c r="E144" i="50"/>
  <c r="E134" i="50"/>
  <c r="E142" i="53"/>
  <c r="B110" i="50"/>
  <c r="E146" i="50"/>
  <c r="B167" i="53"/>
  <c r="B165" i="53"/>
  <c r="B163" i="53"/>
  <c r="B166" i="53"/>
  <c r="B168" i="53"/>
  <c r="B172" i="53"/>
  <c r="B169" i="53"/>
  <c r="B171" i="53"/>
  <c r="B170" i="53"/>
  <c r="B164" i="53"/>
  <c r="B173" i="84" l="1"/>
  <c r="B172" i="83"/>
  <c r="E178" i="80"/>
  <c r="B173" i="72"/>
  <c r="B172" i="77"/>
  <c r="B173" i="78"/>
  <c r="B172" i="74"/>
  <c r="B173" i="81"/>
  <c r="E179" i="78"/>
  <c r="E179" i="72"/>
  <c r="E178" i="71"/>
  <c r="E179" i="84"/>
  <c r="E179" i="75"/>
  <c r="E179" i="81"/>
  <c r="E178" i="77"/>
  <c r="E178" i="83"/>
  <c r="B172" i="71"/>
  <c r="B173" i="75"/>
  <c r="E178" i="74"/>
  <c r="B172" i="80"/>
  <c r="E179" i="64"/>
  <c r="B173" i="64"/>
  <c r="E178" i="63"/>
  <c r="B172" i="63"/>
  <c r="B173" i="61"/>
  <c r="B172" i="60"/>
  <c r="E179" i="61"/>
  <c r="E178" i="60"/>
  <c r="C57" i="57"/>
  <c r="D9" i="57" s="1"/>
  <c r="C34" i="57"/>
  <c r="D6" i="57" s="1"/>
  <c r="B173" i="58"/>
  <c r="E179" i="58"/>
  <c r="C30" i="54"/>
  <c r="D30" i="54" s="1"/>
  <c r="C30" i="51"/>
  <c r="D30" i="51" s="1"/>
  <c r="E173" i="53"/>
  <c r="B169" i="50"/>
  <c r="B172" i="50"/>
  <c r="B171" i="50"/>
  <c r="B165" i="50"/>
  <c r="B170" i="50"/>
  <c r="E176" i="50"/>
  <c r="B164" i="50"/>
  <c r="B168" i="50"/>
  <c r="C16" i="54"/>
  <c r="C16" i="51"/>
  <c r="B163" i="50"/>
  <c r="B166" i="50"/>
  <c r="E175" i="53"/>
  <c r="B167" i="50"/>
  <c r="E164" i="53"/>
  <c r="E176" i="53"/>
  <c r="E174" i="53"/>
  <c r="E178" i="50"/>
  <c r="E166" i="50"/>
  <c r="E166" i="53"/>
  <c r="E177" i="50"/>
  <c r="E171" i="50"/>
  <c r="E173" i="50"/>
  <c r="E163" i="50"/>
  <c r="E172" i="50"/>
  <c r="E171" i="53"/>
  <c r="E165" i="53"/>
  <c r="E178" i="53"/>
  <c r="E170" i="50"/>
  <c r="E169" i="50"/>
  <c r="E167" i="53"/>
  <c r="E177" i="53"/>
  <c r="E168" i="50"/>
  <c r="E165" i="50"/>
  <c r="E175" i="50"/>
  <c r="E174" i="50"/>
  <c r="E164" i="50"/>
  <c r="E168" i="53"/>
  <c r="E163" i="53"/>
  <c r="E167" i="50"/>
  <c r="E170" i="53"/>
  <c r="E172" i="53"/>
  <c r="E169" i="53"/>
  <c r="B173" i="53"/>
  <c r="C30" i="59" l="1"/>
  <c r="F57" i="57"/>
  <c r="E114" i="57" s="1"/>
  <c r="C11" i="59"/>
  <c r="F34" i="57"/>
  <c r="B108" i="57" s="1"/>
  <c r="C28" i="51"/>
  <c r="J258" i="49"/>
  <c r="C28" i="54"/>
  <c r="J258" i="52"/>
  <c r="C34" i="49"/>
  <c r="D6" i="49" s="1"/>
  <c r="C34" i="52"/>
  <c r="D6" i="52" s="1"/>
  <c r="B173" i="50"/>
  <c r="C29" i="54"/>
  <c r="D29" i="54" s="1"/>
  <c r="C29" i="51"/>
  <c r="D29" i="51" s="1"/>
  <c r="C22" i="54"/>
  <c r="C20" i="51"/>
  <c r="C18" i="54"/>
  <c r="C17" i="51"/>
  <c r="C26" i="51"/>
  <c r="C19" i="54"/>
  <c r="C27" i="51"/>
  <c r="C25" i="54"/>
  <c r="C18" i="51"/>
  <c r="C23" i="51"/>
  <c r="C21" i="51"/>
  <c r="C17" i="54"/>
  <c r="C20" i="54"/>
  <c r="C19" i="51"/>
  <c r="C26" i="54"/>
  <c r="C23" i="54"/>
  <c r="C21" i="54"/>
  <c r="C27" i="54"/>
  <c r="C25" i="51"/>
  <c r="C22" i="51"/>
  <c r="E179" i="50"/>
  <c r="E179" i="53"/>
  <c r="Q99" i="57" l="1"/>
  <c r="E112" i="57"/>
  <c r="E109" i="57"/>
  <c r="F9" i="57"/>
  <c r="E105" i="57"/>
  <c r="E99" i="57"/>
  <c r="E102" i="57"/>
  <c r="E104" i="57"/>
  <c r="E108" i="57"/>
  <c r="E113" i="57"/>
  <c r="E110" i="57"/>
  <c r="E111" i="57"/>
  <c r="E107" i="57"/>
  <c r="E103" i="57"/>
  <c r="E106" i="57"/>
  <c r="E101" i="57"/>
  <c r="E100" i="57"/>
  <c r="C31" i="59"/>
  <c r="D30" i="59"/>
  <c r="D31" i="59" s="1"/>
  <c r="L99" i="57"/>
  <c r="B103" i="57"/>
  <c r="B101" i="57"/>
  <c r="O99" i="57"/>
  <c r="N99" i="57"/>
  <c r="B107" i="57"/>
  <c r="B105" i="57"/>
  <c r="I99" i="57"/>
  <c r="B106" i="57"/>
  <c r="J99" i="57"/>
  <c r="B104" i="57"/>
  <c r="B100" i="57"/>
  <c r="H99" i="57"/>
  <c r="M99" i="57"/>
  <c r="P99" i="57"/>
  <c r="B99" i="57"/>
  <c r="B102" i="57"/>
  <c r="K99" i="57"/>
  <c r="F6" i="57"/>
  <c r="F28" i="54"/>
  <c r="G28" i="54" s="1"/>
  <c r="D28" i="54"/>
  <c r="F28" i="51"/>
  <c r="G28" i="51" s="1"/>
  <c r="D28" i="51"/>
  <c r="C11" i="54"/>
  <c r="F34" i="52"/>
  <c r="B108" i="52" s="1"/>
  <c r="C11" i="51"/>
  <c r="G34" i="49"/>
  <c r="D23" i="51"/>
  <c r="C57" i="52"/>
  <c r="D9" i="52" s="1"/>
  <c r="D23" i="54"/>
  <c r="C24" i="54"/>
  <c r="D27" i="54" s="1"/>
  <c r="C24" i="51"/>
  <c r="D27" i="51" s="1"/>
  <c r="C57" i="49"/>
  <c r="D9" i="49" s="1"/>
  <c r="H28" i="54" l="1"/>
  <c r="C37" i="54" s="1"/>
  <c r="H28" i="51"/>
  <c r="C37" i="51" s="1"/>
  <c r="E115" i="57"/>
  <c r="B138" i="57"/>
  <c r="B135" i="57"/>
  <c r="B134" i="57"/>
  <c r="B137" i="57"/>
  <c r="B131" i="57"/>
  <c r="B133" i="57"/>
  <c r="B139" i="57"/>
  <c r="B136" i="57"/>
  <c r="B132" i="57"/>
  <c r="B130" i="57"/>
  <c r="E139" i="57"/>
  <c r="E138" i="57"/>
  <c r="E137" i="57"/>
  <c r="E134" i="57"/>
  <c r="E141" i="57"/>
  <c r="R99" i="57"/>
  <c r="E142" i="57"/>
  <c r="E136" i="57"/>
  <c r="E140" i="57"/>
  <c r="E132" i="57"/>
  <c r="E135" i="57"/>
  <c r="E133" i="57"/>
  <c r="E130" i="57"/>
  <c r="E145" i="57"/>
  <c r="E144" i="57"/>
  <c r="E143" i="57"/>
  <c r="E131" i="57"/>
  <c r="B109" i="57"/>
  <c r="H99" i="52"/>
  <c r="K99" i="52"/>
  <c r="B102" i="52"/>
  <c r="F6" i="52"/>
  <c r="B104" i="52"/>
  <c r="O99" i="52"/>
  <c r="P99" i="52"/>
  <c r="B100" i="52"/>
  <c r="B106" i="52"/>
  <c r="N99" i="52"/>
  <c r="M99" i="52"/>
  <c r="B101" i="52"/>
  <c r="I99" i="52"/>
  <c r="B103" i="52"/>
  <c r="B99" i="52"/>
  <c r="J99" i="52"/>
  <c r="B105" i="52"/>
  <c r="L99" i="52"/>
  <c r="B107" i="52"/>
  <c r="Q99" i="52"/>
  <c r="J99" i="49"/>
  <c r="F6" i="49"/>
  <c r="B99" i="49"/>
  <c r="B103" i="49"/>
  <c r="M99" i="49"/>
  <c r="B102" i="49"/>
  <c r="N99" i="49"/>
  <c r="B101" i="49"/>
  <c r="B100" i="49"/>
  <c r="B104" i="49"/>
  <c r="B107" i="49"/>
  <c r="B105" i="49"/>
  <c r="P99" i="49"/>
  <c r="L99" i="49"/>
  <c r="I99" i="49"/>
  <c r="B106" i="49"/>
  <c r="O99" i="49"/>
  <c r="K99" i="49"/>
  <c r="H99" i="49"/>
  <c r="Q99" i="49"/>
  <c r="B108" i="49"/>
  <c r="C15" i="54"/>
  <c r="F57" i="52"/>
  <c r="C15" i="51"/>
  <c r="G57" i="49"/>
  <c r="E99" i="49" s="1"/>
  <c r="E163" i="57" l="1"/>
  <c r="B162" i="57"/>
  <c r="B164" i="57"/>
  <c r="B171" i="57"/>
  <c r="B165" i="57"/>
  <c r="B163" i="57"/>
  <c r="B169" i="57"/>
  <c r="B166" i="57"/>
  <c r="B167" i="57"/>
  <c r="B170" i="57"/>
  <c r="E162" i="57"/>
  <c r="B168" i="57"/>
  <c r="E177" i="57"/>
  <c r="E173" i="57"/>
  <c r="E165" i="57"/>
  <c r="E166" i="57"/>
  <c r="E167" i="57"/>
  <c r="E169" i="57"/>
  <c r="E164" i="57"/>
  <c r="E170" i="57"/>
  <c r="E172" i="57"/>
  <c r="E171" i="57"/>
  <c r="E174" i="57"/>
  <c r="E175" i="57"/>
  <c r="E168" i="57"/>
  <c r="E176" i="57"/>
  <c r="E143" i="49"/>
  <c r="E135" i="49"/>
  <c r="E138" i="49"/>
  <c r="R99" i="49"/>
  <c r="E144" i="49"/>
  <c r="E137" i="49"/>
  <c r="E131" i="49"/>
  <c r="E130" i="49"/>
  <c r="E145" i="49"/>
  <c r="E141" i="49"/>
  <c r="E132" i="49"/>
  <c r="E136" i="49"/>
  <c r="E133" i="49"/>
  <c r="E142" i="49"/>
  <c r="E140" i="49"/>
  <c r="E139" i="49"/>
  <c r="E134" i="49"/>
  <c r="E131" i="52"/>
  <c r="E138" i="52"/>
  <c r="E137" i="52"/>
  <c r="E142" i="52"/>
  <c r="E135" i="52"/>
  <c r="E140" i="52"/>
  <c r="E143" i="52"/>
  <c r="E145" i="52"/>
  <c r="E139" i="52"/>
  <c r="E132" i="52"/>
  <c r="E141" i="52"/>
  <c r="E130" i="52"/>
  <c r="E136" i="52"/>
  <c r="E134" i="52"/>
  <c r="E133" i="52"/>
  <c r="E144" i="52"/>
  <c r="R99" i="52"/>
  <c r="B109" i="49"/>
  <c r="B109" i="52"/>
  <c r="D18" i="51"/>
  <c r="D31" i="51" s="1"/>
  <c r="C31" i="51"/>
  <c r="E100" i="52"/>
  <c r="E114" i="52"/>
  <c r="E112" i="52"/>
  <c r="E113" i="52"/>
  <c r="F9" i="52"/>
  <c r="E107" i="52"/>
  <c r="E105" i="52"/>
  <c r="E109" i="52"/>
  <c r="E101" i="52"/>
  <c r="E110" i="52"/>
  <c r="E106" i="52"/>
  <c r="E104" i="52"/>
  <c r="E103" i="52"/>
  <c r="E102" i="52"/>
  <c r="E111" i="52"/>
  <c r="E108" i="52"/>
  <c r="E99" i="52"/>
  <c r="E100" i="49"/>
  <c r="F9" i="49"/>
  <c r="E112" i="49"/>
  <c r="E114" i="49"/>
  <c r="E113" i="49"/>
  <c r="E104" i="49"/>
  <c r="E101" i="49"/>
  <c r="E109" i="49"/>
  <c r="E110" i="49"/>
  <c r="E103" i="49"/>
  <c r="E102" i="49"/>
  <c r="E107" i="49"/>
  <c r="E111" i="49"/>
  <c r="E105" i="49"/>
  <c r="E106" i="49"/>
  <c r="E108" i="49"/>
  <c r="C31" i="54"/>
  <c r="D18" i="54"/>
  <c r="D31" i="54" s="1"/>
  <c r="B172" i="57" l="1"/>
  <c r="E178" i="57"/>
  <c r="E175" i="52"/>
  <c r="E163" i="49"/>
  <c r="E168" i="52"/>
  <c r="E167" i="52"/>
  <c r="E174" i="49"/>
  <c r="E169" i="49"/>
  <c r="E172" i="49"/>
  <c r="E162" i="52"/>
  <c r="E174" i="52"/>
  <c r="E165" i="49"/>
  <c r="E176" i="49"/>
  <c r="E166" i="52"/>
  <c r="E173" i="52"/>
  <c r="E169" i="52"/>
  <c r="E168" i="49"/>
  <c r="E172" i="52"/>
  <c r="E164" i="52"/>
  <c r="E170" i="52"/>
  <c r="E164" i="49"/>
  <c r="E170" i="49"/>
  <c r="E162" i="49"/>
  <c r="E171" i="52"/>
  <c r="E163" i="52"/>
  <c r="E173" i="49"/>
  <c r="E167" i="49"/>
  <c r="E165" i="52"/>
  <c r="E171" i="49"/>
  <c r="E176" i="52"/>
  <c r="E177" i="52"/>
  <c r="E166" i="49"/>
  <c r="E177" i="49"/>
  <c r="E175" i="49"/>
  <c r="E115" i="49"/>
  <c r="B138" i="49"/>
  <c r="B139" i="49"/>
  <c r="B136" i="49"/>
  <c r="B133" i="49"/>
  <c r="B137" i="49"/>
  <c r="E115" i="52"/>
  <c r="B136" i="52"/>
  <c r="B130" i="52"/>
  <c r="B138" i="52"/>
  <c r="B135" i="52"/>
  <c r="B132" i="52"/>
  <c r="B131" i="52"/>
  <c r="B133" i="52"/>
  <c r="B139" i="52"/>
  <c r="B134" i="52"/>
  <c r="B137" i="52"/>
  <c r="B135" i="49"/>
  <c r="B130" i="49"/>
  <c r="B132" i="49"/>
  <c r="B134" i="49"/>
  <c r="B131" i="49"/>
  <c r="B229" i="53"/>
  <c r="B248" i="53" s="1"/>
  <c r="B4" i="54" s="1"/>
  <c r="B228" i="52"/>
  <c r="B247" i="52" s="1"/>
  <c r="B229" i="50"/>
  <c r="B248" i="50" s="1"/>
  <c r="B4" i="51" s="1"/>
  <c r="B228" i="49"/>
  <c r="B247" i="49" s="1"/>
  <c r="E178" i="52" l="1"/>
  <c r="E178" i="49"/>
  <c r="B166" i="49"/>
  <c r="B171" i="52"/>
  <c r="B169" i="52"/>
  <c r="B162" i="52"/>
  <c r="B163" i="49"/>
  <c r="B166" i="52"/>
  <c r="B168" i="52"/>
  <c r="B164" i="49"/>
  <c r="B165" i="52"/>
  <c r="B169" i="49"/>
  <c r="B165" i="49"/>
  <c r="B167" i="49"/>
  <c r="B164" i="52"/>
  <c r="B168" i="49"/>
  <c r="B162" i="49"/>
  <c r="B167" i="52"/>
  <c r="B171" i="49"/>
  <c r="B163" i="52"/>
  <c r="B170" i="52"/>
  <c r="B170" i="49"/>
  <c r="B172" i="49" l="1"/>
  <c r="B172" i="52"/>
  <c r="C18" i="33"/>
  <c r="D18" i="33" s="1"/>
  <c r="E18" i="33" s="1"/>
  <c r="F18" i="33" s="1"/>
  <c r="I18" i="33" s="1"/>
  <c r="F14" i="33"/>
  <c r="E14" i="33"/>
  <c r="D14" i="33"/>
  <c r="C14" i="33"/>
  <c r="B14" i="33"/>
  <c r="D9" i="33"/>
  <c r="B9" i="33"/>
  <c r="C5" i="33"/>
  <c r="E33" i="33" l="1"/>
  <c r="E32" i="33"/>
  <c r="E34" i="33"/>
  <c r="E31" i="33"/>
  <c r="B226" i="52"/>
  <c r="B245" i="52" s="1"/>
  <c r="B227" i="53"/>
  <c r="B246" i="53" s="1"/>
  <c r="B2" i="54" s="1"/>
  <c r="B226" i="49"/>
  <c r="B245" i="49" s="1"/>
  <c r="B227" i="50"/>
  <c r="B246" i="50" s="1"/>
  <c r="B2" i="51" s="1"/>
  <c r="D5" i="33"/>
  <c r="J18" i="33"/>
  <c r="I19" i="33"/>
  <c r="F31" i="33" l="1"/>
  <c r="F33" i="33"/>
  <c r="F34" i="33"/>
  <c r="F32" i="33"/>
  <c r="E35" i="33"/>
  <c r="E37" i="33" s="1"/>
  <c r="E5" i="33"/>
  <c r="K18" i="33"/>
  <c r="J19" i="33"/>
  <c r="D4" i="52" l="1"/>
  <c r="D4" i="53"/>
  <c r="G34" i="33"/>
  <c r="G31" i="33"/>
  <c r="G33" i="33"/>
  <c r="G32" i="33"/>
  <c r="F35" i="33"/>
  <c r="F37" i="33" s="1"/>
  <c r="F5" i="33"/>
  <c r="K19" i="33"/>
  <c r="L18" i="33"/>
  <c r="D4" i="57" l="1"/>
  <c r="D4" i="58"/>
  <c r="A5" i="60"/>
  <c r="A8" i="60" s="1"/>
  <c r="H34" i="33"/>
  <c r="H31" i="33"/>
  <c r="H32" i="33"/>
  <c r="H33" i="33"/>
  <c r="G35" i="33"/>
  <c r="G37" i="33" s="1"/>
  <c r="A6" i="53"/>
  <c r="A9" i="53" s="1"/>
  <c r="C12" i="64"/>
  <c r="C11" i="49"/>
  <c r="C12" i="50"/>
  <c r="A5" i="57"/>
  <c r="A8" i="57" s="1"/>
  <c r="C12" i="53"/>
  <c r="A6" i="58"/>
  <c r="A6" i="61"/>
  <c r="A5" i="52"/>
  <c r="A8" i="52" s="1"/>
  <c r="C12" i="61"/>
  <c r="C11" i="63"/>
  <c r="C11" i="57"/>
  <c r="C11" i="60"/>
  <c r="A5" i="63"/>
  <c r="C11" i="52"/>
  <c r="C12" i="58"/>
  <c r="A6" i="64"/>
  <c r="A6" i="50"/>
  <c r="A5" i="49"/>
  <c r="L19" i="33"/>
  <c r="M18" i="33"/>
  <c r="D8" i="57" l="1"/>
  <c r="E206" i="57" s="1"/>
  <c r="J239" i="57" s="1"/>
  <c r="H35" i="33"/>
  <c r="H37" i="33" s="1"/>
  <c r="D4" i="63" s="1"/>
  <c r="D4" i="61"/>
  <c r="D4" i="60"/>
  <c r="D8" i="60" s="1"/>
  <c r="D5" i="57"/>
  <c r="B199" i="57" s="1"/>
  <c r="C232" i="57" s="1"/>
  <c r="C251" i="57" s="1"/>
  <c r="A9" i="64"/>
  <c r="A9" i="61"/>
  <c r="A9" i="58"/>
  <c r="A8" i="63"/>
  <c r="A8" i="49"/>
  <c r="A9" i="50"/>
  <c r="M19" i="33"/>
  <c r="N18" i="33"/>
  <c r="E198" i="57" l="1"/>
  <c r="J231" i="57" s="1"/>
  <c r="J250" i="57" s="1"/>
  <c r="E194" i="57"/>
  <c r="J227" i="57" s="1"/>
  <c r="J246" i="57" s="1"/>
  <c r="E196" i="57"/>
  <c r="J229" i="57" s="1"/>
  <c r="J248" i="57" s="1"/>
  <c r="E203" i="57"/>
  <c r="J236" i="57" s="1"/>
  <c r="J255" i="57" s="1"/>
  <c r="E199" i="57"/>
  <c r="J232" i="57" s="1"/>
  <c r="J251" i="57" s="1"/>
  <c r="F10" i="57"/>
  <c r="K257" i="57" s="1"/>
  <c r="E193" i="57"/>
  <c r="J226" i="57" s="1"/>
  <c r="J245" i="57" s="1"/>
  <c r="D10" i="57"/>
  <c r="E205" i="57"/>
  <c r="J238" i="57" s="1"/>
  <c r="J257" i="57" s="1"/>
  <c r="E195" i="57"/>
  <c r="J228" i="57" s="1"/>
  <c r="J247" i="57" s="1"/>
  <c r="E208" i="57"/>
  <c r="J241" i="57" s="1"/>
  <c r="J260" i="57" s="1"/>
  <c r="E202" i="57"/>
  <c r="J235" i="57" s="1"/>
  <c r="J254" i="57" s="1"/>
  <c r="E197" i="57"/>
  <c r="J230" i="57" s="1"/>
  <c r="J249" i="57" s="1"/>
  <c r="E207" i="57"/>
  <c r="J240" i="57" s="1"/>
  <c r="J259" i="57" s="1"/>
  <c r="E204" i="57"/>
  <c r="J237" i="57" s="1"/>
  <c r="J256" i="57" s="1"/>
  <c r="E200" i="57"/>
  <c r="J233" i="57" s="1"/>
  <c r="J252" i="57" s="1"/>
  <c r="E201" i="57"/>
  <c r="J234" i="57" s="1"/>
  <c r="J253" i="57" s="1"/>
  <c r="E207" i="60"/>
  <c r="J240" i="60" s="1"/>
  <c r="J259" i="60" s="1"/>
  <c r="E197" i="60"/>
  <c r="J230" i="60" s="1"/>
  <c r="J249" i="60" s="1"/>
  <c r="E200" i="60"/>
  <c r="J233" i="60" s="1"/>
  <c r="J252" i="60" s="1"/>
  <c r="E195" i="60"/>
  <c r="J228" i="60" s="1"/>
  <c r="J247" i="60" s="1"/>
  <c r="E206" i="60"/>
  <c r="J239" i="60" s="1"/>
  <c r="E193" i="60"/>
  <c r="E196" i="60"/>
  <c r="J229" i="60" s="1"/>
  <c r="J248" i="60" s="1"/>
  <c r="E201" i="60"/>
  <c r="J234" i="60" s="1"/>
  <c r="J253" i="60" s="1"/>
  <c r="E198" i="60"/>
  <c r="J231" i="60" s="1"/>
  <c r="J250" i="60" s="1"/>
  <c r="E199" i="60"/>
  <c r="J232" i="60" s="1"/>
  <c r="J251" i="60" s="1"/>
  <c r="E205" i="60"/>
  <c r="J238" i="60" s="1"/>
  <c r="J257" i="60" s="1"/>
  <c r="E202" i="60"/>
  <c r="J235" i="60" s="1"/>
  <c r="J254" i="60" s="1"/>
  <c r="E194" i="60"/>
  <c r="J227" i="60" s="1"/>
  <c r="J246" i="60" s="1"/>
  <c r="D10" i="60"/>
  <c r="F10" i="60"/>
  <c r="K253" i="60" s="1"/>
  <c r="E203" i="60"/>
  <c r="J236" i="60" s="1"/>
  <c r="J255" i="60" s="1"/>
  <c r="E208" i="60"/>
  <c r="J241" i="60" s="1"/>
  <c r="J260" i="60" s="1"/>
  <c r="E204" i="60"/>
  <c r="J237" i="60" s="1"/>
  <c r="J256" i="60" s="1"/>
  <c r="D5" i="60"/>
  <c r="D4" i="64"/>
  <c r="D5" i="63"/>
  <c r="F7" i="63" s="1"/>
  <c r="D7" i="57"/>
  <c r="B198" i="57"/>
  <c r="C231" i="57" s="1"/>
  <c r="C250" i="57" s="1"/>
  <c r="E250" i="57" s="1"/>
  <c r="B195" i="57"/>
  <c r="C228" i="57" s="1"/>
  <c r="C247" i="57" s="1"/>
  <c r="B197" i="57"/>
  <c r="C230" i="57" s="1"/>
  <c r="C249" i="57" s="1"/>
  <c r="E249" i="57" s="1"/>
  <c r="F7" i="57"/>
  <c r="D246" i="57" s="1"/>
  <c r="B193" i="57"/>
  <c r="C226" i="57" s="1"/>
  <c r="C245" i="57" s="1"/>
  <c r="B201" i="57"/>
  <c r="C234" i="57" s="1"/>
  <c r="C253" i="57" s="1"/>
  <c r="B194" i="57"/>
  <c r="C227" i="57" s="1"/>
  <c r="C246" i="57" s="1"/>
  <c r="B202" i="57"/>
  <c r="C235" i="57" s="1"/>
  <c r="C254" i="57" s="1"/>
  <c r="B196" i="57"/>
  <c r="C229" i="57" s="1"/>
  <c r="C248" i="57" s="1"/>
  <c r="B200" i="57"/>
  <c r="C233" i="57" s="1"/>
  <c r="C252" i="57" s="1"/>
  <c r="O18" i="33"/>
  <c r="N19" i="33"/>
  <c r="K247" i="57" l="1"/>
  <c r="L247" i="57" s="1"/>
  <c r="K246" i="57"/>
  <c r="L246" i="57" s="1"/>
  <c r="K250" i="57"/>
  <c r="L250" i="57" s="1"/>
  <c r="K251" i="57"/>
  <c r="L251" i="57" s="1"/>
  <c r="K256" i="57"/>
  <c r="L256" i="57" s="1"/>
  <c r="K255" i="57"/>
  <c r="L255" i="57" s="1"/>
  <c r="K248" i="57"/>
  <c r="L248" i="57" s="1"/>
  <c r="K259" i="57"/>
  <c r="L259" i="57" s="1"/>
  <c r="D271" i="57" s="1"/>
  <c r="K252" i="57"/>
  <c r="L252" i="57" s="1"/>
  <c r="K249" i="57"/>
  <c r="L249" i="57" s="1"/>
  <c r="K260" i="57"/>
  <c r="L260" i="57" s="1"/>
  <c r="D272" i="57" s="1"/>
  <c r="E272" i="57" s="1"/>
  <c r="F272" i="57" s="1"/>
  <c r="K245" i="57"/>
  <c r="L245" i="57" s="1"/>
  <c r="K254" i="57"/>
  <c r="L254" i="57" s="1"/>
  <c r="L257" i="57"/>
  <c r="E209" i="57"/>
  <c r="K253" i="57"/>
  <c r="L253" i="57" s="1"/>
  <c r="K260" i="60"/>
  <c r="L260" i="60" s="1"/>
  <c r="D272" i="60" s="1"/>
  <c r="E272" i="60" s="1"/>
  <c r="F272" i="60" s="1"/>
  <c r="K246" i="60"/>
  <c r="L246" i="60" s="1"/>
  <c r="K259" i="60"/>
  <c r="L259" i="60" s="1"/>
  <c r="D271" i="60" s="1"/>
  <c r="D272" i="61" s="1"/>
  <c r="E272" i="61" s="1"/>
  <c r="K251" i="60"/>
  <c r="L251" i="60" s="1"/>
  <c r="B193" i="63"/>
  <c r="C226" i="63" s="1"/>
  <c r="C245" i="63" s="1"/>
  <c r="K252" i="60"/>
  <c r="L252" i="60" s="1"/>
  <c r="K250" i="60"/>
  <c r="L250" i="60" s="1"/>
  <c r="K247" i="60"/>
  <c r="L247" i="60" s="1"/>
  <c r="K254" i="60"/>
  <c r="L254" i="60" s="1"/>
  <c r="K248" i="60"/>
  <c r="L248" i="60" s="1"/>
  <c r="K245" i="60"/>
  <c r="K249" i="60"/>
  <c r="L249" i="60" s="1"/>
  <c r="K255" i="60"/>
  <c r="L255" i="60" s="1"/>
  <c r="K256" i="60"/>
  <c r="L256" i="60" s="1"/>
  <c r="K257" i="60"/>
  <c r="L257" i="60" s="1"/>
  <c r="E209" i="60"/>
  <c r="L253" i="60"/>
  <c r="B194" i="63"/>
  <c r="C227" i="63" s="1"/>
  <c r="C246" i="63" s="1"/>
  <c r="B200" i="63"/>
  <c r="C233" i="63" s="1"/>
  <c r="C252" i="63" s="1"/>
  <c r="B198" i="63"/>
  <c r="C231" i="63" s="1"/>
  <c r="B202" i="63"/>
  <c r="C235" i="63" s="1"/>
  <c r="C254" i="63" s="1"/>
  <c r="B201" i="63"/>
  <c r="C234" i="63" s="1"/>
  <c r="C253" i="63" s="1"/>
  <c r="B197" i="63"/>
  <c r="C230" i="63" s="1"/>
  <c r="D8" i="63"/>
  <c r="E205" i="63" s="1"/>
  <c r="J238" i="63" s="1"/>
  <c r="J257" i="63" s="1"/>
  <c r="J226" i="60"/>
  <c r="J245" i="60" s="1"/>
  <c r="B195" i="63"/>
  <c r="C228" i="63" s="1"/>
  <c r="C247" i="63" s="1"/>
  <c r="B199" i="63"/>
  <c r="C232" i="63" s="1"/>
  <c r="C251" i="63" s="1"/>
  <c r="B196" i="63"/>
  <c r="C229" i="63" s="1"/>
  <c r="C248" i="63" s="1"/>
  <c r="D7" i="63"/>
  <c r="F7" i="60"/>
  <c r="B194" i="60"/>
  <c r="C227" i="60" s="1"/>
  <c r="C246" i="60" s="1"/>
  <c r="B199" i="60"/>
  <c r="C232" i="60" s="1"/>
  <c r="C251" i="60" s="1"/>
  <c r="B200" i="60"/>
  <c r="C233" i="60" s="1"/>
  <c r="C252" i="60" s="1"/>
  <c r="B197" i="60"/>
  <c r="C230" i="60" s="1"/>
  <c r="B195" i="60"/>
  <c r="C228" i="60" s="1"/>
  <c r="C247" i="60" s="1"/>
  <c r="B202" i="60"/>
  <c r="C235" i="60" s="1"/>
  <c r="C254" i="60" s="1"/>
  <c r="B196" i="60"/>
  <c r="C229" i="60" s="1"/>
  <c r="C248" i="60" s="1"/>
  <c r="B198" i="60"/>
  <c r="C231" i="60" s="1"/>
  <c r="B193" i="60"/>
  <c r="B201" i="60"/>
  <c r="C234" i="60" s="1"/>
  <c r="C253" i="60" s="1"/>
  <c r="D7" i="60"/>
  <c r="D245" i="57"/>
  <c r="E245" i="57" s="1"/>
  <c r="D253" i="57"/>
  <c r="E253" i="57" s="1"/>
  <c r="D267" i="57" s="1"/>
  <c r="D268" i="58" s="1"/>
  <c r="E268" i="58" s="1"/>
  <c r="D251" i="57"/>
  <c r="E251" i="57" s="1"/>
  <c r="D252" i="57"/>
  <c r="E252" i="57" s="1"/>
  <c r="D268" i="57" s="1"/>
  <c r="D269" i="58" s="1"/>
  <c r="E269" i="58" s="1"/>
  <c r="D248" i="57"/>
  <c r="E248" i="57" s="1"/>
  <c r="D270" i="57" s="1"/>
  <c r="D271" i="58" s="1"/>
  <c r="E271" i="58" s="1"/>
  <c r="D254" i="57"/>
  <c r="E254" i="57" s="1"/>
  <c r="D269" i="57" s="1"/>
  <c r="D270" i="58" s="1"/>
  <c r="E270" i="58" s="1"/>
  <c r="D247" i="57"/>
  <c r="E247" i="57" s="1"/>
  <c r="B203" i="57"/>
  <c r="E246" i="57"/>
  <c r="D248" i="63"/>
  <c r="D247" i="63"/>
  <c r="D253" i="63"/>
  <c r="D246" i="63"/>
  <c r="D245" i="63"/>
  <c r="D254" i="63"/>
  <c r="D252" i="63"/>
  <c r="D251" i="63"/>
  <c r="P18" i="33"/>
  <c r="O19" i="33"/>
  <c r="E271" i="57" l="1"/>
  <c r="F271" i="57" s="1"/>
  <c r="D272" i="58"/>
  <c r="E272" i="58" s="1"/>
  <c r="L260" i="58" s="1"/>
  <c r="E29" i="59" s="1"/>
  <c r="F29" i="59" s="1"/>
  <c r="G29" i="59" s="1"/>
  <c r="H29" i="59" s="1"/>
  <c r="D273" i="58"/>
  <c r="E273" i="58" s="1"/>
  <c r="L261" i="58" s="1"/>
  <c r="E30" i="59" s="1"/>
  <c r="F30" i="59" s="1"/>
  <c r="G30" i="59" s="1"/>
  <c r="H30" i="59" s="1"/>
  <c r="E207" i="63"/>
  <c r="J240" i="63" s="1"/>
  <c r="J259" i="63" s="1"/>
  <c r="E197" i="63"/>
  <c r="J230" i="63" s="1"/>
  <c r="J249" i="63" s="1"/>
  <c r="E206" i="63"/>
  <c r="J239" i="63" s="1"/>
  <c r="E208" i="63"/>
  <c r="J241" i="63" s="1"/>
  <c r="J260" i="63" s="1"/>
  <c r="E196" i="63"/>
  <c r="J229" i="63" s="1"/>
  <c r="J248" i="63" s="1"/>
  <c r="E204" i="63"/>
  <c r="J237" i="63" s="1"/>
  <c r="J256" i="63" s="1"/>
  <c r="E194" i="63"/>
  <c r="J227" i="63" s="1"/>
  <c r="J246" i="63" s="1"/>
  <c r="E198" i="63"/>
  <c r="J231" i="63" s="1"/>
  <c r="J250" i="63" s="1"/>
  <c r="L245" i="60"/>
  <c r="E271" i="60"/>
  <c r="F271" i="60" s="1"/>
  <c r="D273" i="61"/>
  <c r="E273" i="61" s="1"/>
  <c r="L261" i="61" s="1"/>
  <c r="E30" i="62" s="1"/>
  <c r="F30" i="62" s="1"/>
  <c r="G30" i="62" s="1"/>
  <c r="H30" i="62" s="1"/>
  <c r="E253" i="63"/>
  <c r="D267" i="63" s="1"/>
  <c r="E267" i="63" s="1"/>
  <c r="F267" i="63" s="1"/>
  <c r="E246" i="63"/>
  <c r="E247" i="63"/>
  <c r="E252" i="63"/>
  <c r="D268" i="63" s="1"/>
  <c r="E268" i="63" s="1"/>
  <c r="F268" i="63" s="1"/>
  <c r="E248" i="63"/>
  <c r="D270" i="63" s="1"/>
  <c r="E270" i="63" s="1"/>
  <c r="F270" i="63" s="1"/>
  <c r="E251" i="63"/>
  <c r="E195" i="63"/>
  <c r="J228" i="63" s="1"/>
  <c r="J247" i="63" s="1"/>
  <c r="F10" i="63"/>
  <c r="E199" i="63"/>
  <c r="J232" i="63" s="1"/>
  <c r="J251" i="63" s="1"/>
  <c r="E203" i="63"/>
  <c r="J236" i="63" s="1"/>
  <c r="J255" i="63" s="1"/>
  <c r="E201" i="63"/>
  <c r="J234" i="63" s="1"/>
  <c r="J253" i="63" s="1"/>
  <c r="E200" i="63"/>
  <c r="J233" i="63" s="1"/>
  <c r="J252" i="63" s="1"/>
  <c r="E193" i="63"/>
  <c r="B203" i="63"/>
  <c r="D10" i="63"/>
  <c r="E202" i="63"/>
  <c r="J235" i="63" s="1"/>
  <c r="J254" i="63" s="1"/>
  <c r="E254" i="63"/>
  <c r="D269" i="63" s="1"/>
  <c r="D270" i="64" s="1"/>
  <c r="E270" i="64" s="1"/>
  <c r="B203" i="60"/>
  <c r="C226" i="60"/>
  <c r="C245" i="60" s="1"/>
  <c r="D252" i="60"/>
  <c r="E252" i="60" s="1"/>
  <c r="D268" i="60" s="1"/>
  <c r="D248" i="60"/>
  <c r="E248" i="60" s="1"/>
  <c r="D270" i="60" s="1"/>
  <c r="D246" i="60"/>
  <c r="E246" i="60" s="1"/>
  <c r="D247" i="60"/>
  <c r="E247" i="60" s="1"/>
  <c r="D251" i="60"/>
  <c r="E251" i="60" s="1"/>
  <c r="D254" i="60"/>
  <c r="E254" i="60" s="1"/>
  <c r="D269" i="60" s="1"/>
  <c r="D245" i="60"/>
  <c r="D253" i="60"/>
  <c r="E253" i="60" s="1"/>
  <c r="D267" i="60" s="1"/>
  <c r="E267" i="57"/>
  <c r="F267" i="57" s="1"/>
  <c r="E270" i="57"/>
  <c r="F270" i="57" s="1"/>
  <c r="E268" i="57"/>
  <c r="F268" i="57" s="1"/>
  <c r="E269" i="57"/>
  <c r="F269" i="57" s="1"/>
  <c r="L260" i="61"/>
  <c r="E29" i="62" s="1"/>
  <c r="F29" i="62" s="1"/>
  <c r="G29" i="62" s="1"/>
  <c r="H29" i="62" s="1"/>
  <c r="F272" i="61"/>
  <c r="E254" i="58"/>
  <c r="D10" i="59" s="1"/>
  <c r="F268" i="58"/>
  <c r="E245" i="63"/>
  <c r="E253" i="58"/>
  <c r="D9" i="59" s="1"/>
  <c r="F269" i="58"/>
  <c r="E249" i="58"/>
  <c r="F271" i="58"/>
  <c r="E255" i="58"/>
  <c r="D11" i="59" s="1"/>
  <c r="F270" i="58"/>
  <c r="Q18" i="33"/>
  <c r="P19" i="33"/>
  <c r="F273" i="58" l="1"/>
  <c r="F272" i="58"/>
  <c r="F273" i="61"/>
  <c r="D9" i="61" s="1"/>
  <c r="E203" i="61" s="1"/>
  <c r="J236" i="61" s="1"/>
  <c r="J255" i="61" s="1"/>
  <c r="D268" i="64"/>
  <c r="E268" i="64" s="1"/>
  <c r="F268" i="64" s="1"/>
  <c r="D271" i="64"/>
  <c r="E271" i="64" s="1"/>
  <c r="E249" i="64" s="1"/>
  <c r="D269" i="64"/>
  <c r="E269" i="64" s="1"/>
  <c r="E253" i="64" s="1"/>
  <c r="D9" i="65" s="1"/>
  <c r="E269" i="63"/>
  <c r="F269" i="63" s="1"/>
  <c r="J226" i="63"/>
  <c r="J245" i="63" s="1"/>
  <c r="E209" i="63"/>
  <c r="K253" i="63"/>
  <c r="L253" i="63" s="1"/>
  <c r="K256" i="63"/>
  <c r="L256" i="63" s="1"/>
  <c r="K255" i="63"/>
  <c r="L255" i="63" s="1"/>
  <c r="K245" i="63"/>
  <c r="K246" i="63"/>
  <c r="L246" i="63" s="1"/>
  <c r="K254" i="63"/>
  <c r="L254" i="63" s="1"/>
  <c r="K259" i="63"/>
  <c r="L259" i="63" s="1"/>
  <c r="D271" i="63" s="1"/>
  <c r="K252" i="63"/>
  <c r="L252" i="63" s="1"/>
  <c r="K260" i="63"/>
  <c r="L260" i="63" s="1"/>
  <c r="D272" i="63" s="1"/>
  <c r="K248" i="63"/>
  <c r="L248" i="63" s="1"/>
  <c r="K251" i="63"/>
  <c r="L251" i="63" s="1"/>
  <c r="K250" i="63"/>
  <c r="L250" i="63" s="1"/>
  <c r="K249" i="63"/>
  <c r="L249" i="63" s="1"/>
  <c r="K247" i="63"/>
  <c r="L247" i="63" s="1"/>
  <c r="K257" i="63"/>
  <c r="L257" i="63" s="1"/>
  <c r="D271" i="61"/>
  <c r="E271" i="61" s="1"/>
  <c r="E270" i="60"/>
  <c r="F270" i="60" s="1"/>
  <c r="E268" i="60"/>
  <c r="F268" i="60" s="1"/>
  <c r="D269" i="61"/>
  <c r="E269" i="61" s="1"/>
  <c r="D268" i="61"/>
  <c r="E268" i="61" s="1"/>
  <c r="E267" i="60"/>
  <c r="F267" i="60" s="1"/>
  <c r="E269" i="60"/>
  <c r="F269" i="60" s="1"/>
  <c r="D270" i="61"/>
  <c r="E270" i="61" s="1"/>
  <c r="E245" i="60"/>
  <c r="F273" i="57"/>
  <c r="E10" i="59"/>
  <c r="U5" i="59"/>
  <c r="V5" i="59"/>
  <c r="E11" i="59"/>
  <c r="C39" i="62"/>
  <c r="C38" i="59"/>
  <c r="F270" i="64"/>
  <c r="E255" i="64"/>
  <c r="D11" i="65" s="1"/>
  <c r="T5" i="59"/>
  <c r="E9" i="59"/>
  <c r="F249" i="58"/>
  <c r="D5" i="59"/>
  <c r="C38" i="62"/>
  <c r="C39" i="59"/>
  <c r="D6" i="58"/>
  <c r="R18" i="33"/>
  <c r="Q19" i="33"/>
  <c r="D9" i="58" l="1"/>
  <c r="E199" i="58" s="1"/>
  <c r="J232" i="58" s="1"/>
  <c r="J251" i="58" s="1"/>
  <c r="F274" i="58"/>
  <c r="F269" i="64"/>
  <c r="E254" i="64"/>
  <c r="D10" i="65" s="1"/>
  <c r="E10" i="65" s="1"/>
  <c r="F271" i="64"/>
  <c r="F273" i="60"/>
  <c r="D273" i="64"/>
  <c r="E273" i="64" s="1"/>
  <c r="E272" i="63"/>
  <c r="F272" i="63" s="1"/>
  <c r="D272" i="64"/>
  <c r="E272" i="64" s="1"/>
  <c r="E271" i="63"/>
  <c r="F271" i="63" s="1"/>
  <c r="L245" i="63"/>
  <c r="E254" i="61"/>
  <c r="D10" i="62" s="1"/>
  <c r="F268" i="61"/>
  <c r="E253" i="61"/>
  <c r="D9" i="62" s="1"/>
  <c r="F269" i="61"/>
  <c r="E255" i="61"/>
  <c r="D11" i="62" s="1"/>
  <c r="F270" i="61"/>
  <c r="E249" i="61"/>
  <c r="F271" i="61"/>
  <c r="E194" i="61"/>
  <c r="J227" i="61" s="1"/>
  <c r="J246" i="61" s="1"/>
  <c r="E202" i="61"/>
  <c r="J235" i="61" s="1"/>
  <c r="J254" i="61" s="1"/>
  <c r="E195" i="61"/>
  <c r="J228" i="61" s="1"/>
  <c r="J247" i="61" s="1"/>
  <c r="E200" i="61"/>
  <c r="J233" i="61" s="1"/>
  <c r="J252" i="61" s="1"/>
  <c r="E205" i="61"/>
  <c r="J238" i="61" s="1"/>
  <c r="J257" i="61" s="1"/>
  <c r="E201" i="61"/>
  <c r="J234" i="61" s="1"/>
  <c r="J253" i="61" s="1"/>
  <c r="D11" i="61"/>
  <c r="F11" i="61"/>
  <c r="K254" i="61" s="1"/>
  <c r="E197" i="61"/>
  <c r="J230" i="61" s="1"/>
  <c r="J249" i="61" s="1"/>
  <c r="E198" i="61"/>
  <c r="J231" i="61" s="1"/>
  <c r="J250" i="61" s="1"/>
  <c r="E204" i="61"/>
  <c r="J237" i="61" s="1"/>
  <c r="J256" i="61" s="1"/>
  <c r="E206" i="61"/>
  <c r="J239" i="61" s="1"/>
  <c r="J258" i="61" s="1"/>
  <c r="E209" i="61"/>
  <c r="J242" i="61" s="1"/>
  <c r="E199" i="61"/>
  <c r="J232" i="61" s="1"/>
  <c r="J251" i="61" s="1"/>
  <c r="E196" i="61"/>
  <c r="J229" i="61" s="1"/>
  <c r="J248" i="61" s="1"/>
  <c r="E207" i="61"/>
  <c r="J240" i="61" s="1"/>
  <c r="E208" i="61"/>
  <c r="J241" i="61" s="1"/>
  <c r="D5" i="65"/>
  <c r="F249" i="64"/>
  <c r="E5" i="59"/>
  <c r="P5" i="59"/>
  <c r="P7" i="59"/>
  <c r="P6" i="59"/>
  <c r="V5" i="65"/>
  <c r="E11" i="65"/>
  <c r="T6" i="59"/>
  <c r="R6" i="59"/>
  <c r="Q6" i="59"/>
  <c r="U7" i="59"/>
  <c r="Q7" i="59"/>
  <c r="R7" i="59"/>
  <c r="R7" i="62"/>
  <c r="Q7" i="62"/>
  <c r="V7" i="59"/>
  <c r="U6" i="59"/>
  <c r="Q6" i="62"/>
  <c r="R6" i="62"/>
  <c r="V6" i="59"/>
  <c r="T5" i="65"/>
  <c r="E9" i="65"/>
  <c r="B199" i="58"/>
  <c r="C232" i="58" s="1"/>
  <c r="B201" i="58"/>
  <c r="C234" i="58" s="1"/>
  <c r="B196" i="58"/>
  <c r="C229" i="58" s="1"/>
  <c r="C248" i="58" s="1"/>
  <c r="D8" i="58"/>
  <c r="B195" i="58"/>
  <c r="C228" i="58" s="1"/>
  <c r="C247" i="58" s="1"/>
  <c r="B198" i="58"/>
  <c r="C231" i="58" s="1"/>
  <c r="B200" i="58"/>
  <c r="C233" i="58" s="1"/>
  <c r="C252" i="58" s="1"/>
  <c r="B202" i="58"/>
  <c r="C235" i="58" s="1"/>
  <c r="B203" i="58"/>
  <c r="C236" i="58" s="1"/>
  <c r="B197" i="58"/>
  <c r="C230" i="58" s="1"/>
  <c r="F8" i="58"/>
  <c r="B194" i="58"/>
  <c r="T7" i="59"/>
  <c r="R19" i="33"/>
  <c r="S18" i="33"/>
  <c r="E206" i="58" l="1"/>
  <c r="J239" i="58" s="1"/>
  <c r="J258" i="58" s="1"/>
  <c r="E194" i="58"/>
  <c r="J227" i="58" s="1"/>
  <c r="J246" i="58" s="1"/>
  <c r="E209" i="58"/>
  <c r="J242" i="58" s="1"/>
  <c r="E203" i="58"/>
  <c r="J236" i="58" s="1"/>
  <c r="J255" i="58" s="1"/>
  <c r="E198" i="58"/>
  <c r="J231" i="58" s="1"/>
  <c r="J250" i="58" s="1"/>
  <c r="E207" i="58"/>
  <c r="J240" i="58" s="1"/>
  <c r="E200" i="58"/>
  <c r="J233" i="58" s="1"/>
  <c r="J252" i="58" s="1"/>
  <c r="E197" i="58"/>
  <c r="J230" i="58" s="1"/>
  <c r="J249" i="58" s="1"/>
  <c r="E204" i="58"/>
  <c r="J237" i="58" s="1"/>
  <c r="J256" i="58" s="1"/>
  <c r="E208" i="58"/>
  <c r="J241" i="58" s="1"/>
  <c r="F11" i="58"/>
  <c r="K256" i="58" s="1"/>
  <c r="E205" i="58"/>
  <c r="J238" i="58" s="1"/>
  <c r="J257" i="58" s="1"/>
  <c r="D11" i="58"/>
  <c r="E196" i="58"/>
  <c r="J229" i="58" s="1"/>
  <c r="J248" i="58" s="1"/>
  <c r="D5" i="58"/>
  <c r="E202" i="58"/>
  <c r="J235" i="58" s="1"/>
  <c r="J254" i="58" s="1"/>
  <c r="E195" i="58"/>
  <c r="J228" i="58" s="1"/>
  <c r="J247" i="58" s="1"/>
  <c r="E201" i="58"/>
  <c r="J234" i="58" s="1"/>
  <c r="J253" i="58" s="1"/>
  <c r="U5" i="65"/>
  <c r="V6" i="62"/>
  <c r="T6" i="62"/>
  <c r="U6" i="62"/>
  <c r="D6" i="64"/>
  <c r="B203" i="64" s="1"/>
  <c r="C236" i="64" s="1"/>
  <c r="T7" i="62"/>
  <c r="U7" i="62"/>
  <c r="F273" i="63"/>
  <c r="L260" i="64"/>
  <c r="E29" i="65" s="1"/>
  <c r="F29" i="65" s="1"/>
  <c r="G29" i="65" s="1"/>
  <c r="H29" i="65" s="1"/>
  <c r="F272" i="64"/>
  <c r="L261" i="64"/>
  <c r="E30" i="65" s="1"/>
  <c r="F30" i="65" s="1"/>
  <c r="G30" i="65" s="1"/>
  <c r="H30" i="65" s="1"/>
  <c r="F273" i="64"/>
  <c r="V7" i="62"/>
  <c r="E9" i="62"/>
  <c r="T5" i="62"/>
  <c r="D6" i="61"/>
  <c r="F274" i="61"/>
  <c r="D5" i="62"/>
  <c r="F249" i="61"/>
  <c r="U5" i="62"/>
  <c r="E10" i="62"/>
  <c r="V5" i="62"/>
  <c r="E11" i="62"/>
  <c r="K248" i="61"/>
  <c r="L248" i="61" s="1"/>
  <c r="M248" i="61" s="1"/>
  <c r="L254" i="61"/>
  <c r="E23" i="62" s="1"/>
  <c r="F23" i="62" s="1"/>
  <c r="K257" i="61"/>
  <c r="L257" i="61" s="1"/>
  <c r="E26" i="62" s="1"/>
  <c r="F26" i="62" s="1"/>
  <c r="K253" i="61"/>
  <c r="L253" i="61" s="1"/>
  <c r="E22" i="62" s="1"/>
  <c r="F22" i="62" s="1"/>
  <c r="K251" i="61"/>
  <c r="L251" i="61" s="1"/>
  <c r="E20" i="62" s="1"/>
  <c r="F20" i="62" s="1"/>
  <c r="K249" i="61"/>
  <c r="L249" i="61" s="1"/>
  <c r="E18" i="62" s="1"/>
  <c r="F18" i="62" s="1"/>
  <c r="K256" i="61"/>
  <c r="L256" i="61" s="1"/>
  <c r="E25" i="62" s="1"/>
  <c r="F25" i="62" s="1"/>
  <c r="K250" i="61"/>
  <c r="L250" i="61" s="1"/>
  <c r="M250" i="61" s="1"/>
  <c r="K247" i="61"/>
  <c r="L247" i="61" s="1"/>
  <c r="E16" i="62" s="1"/>
  <c r="F16" i="62" s="1"/>
  <c r="K258" i="61"/>
  <c r="L258" i="61" s="1"/>
  <c r="K255" i="61"/>
  <c r="L255" i="61" s="1"/>
  <c r="E24" i="62" s="1"/>
  <c r="F24" i="62" s="1"/>
  <c r="K246" i="61"/>
  <c r="L246" i="61" s="1"/>
  <c r="K252" i="61"/>
  <c r="L252" i="61" s="1"/>
  <c r="E21" i="62" s="1"/>
  <c r="F21" i="62" s="1"/>
  <c r="E210" i="61"/>
  <c r="P5" i="65"/>
  <c r="E5" i="65"/>
  <c r="C227" i="58"/>
  <c r="C246" i="58" s="1"/>
  <c r="B204" i="58"/>
  <c r="D248" i="58"/>
  <c r="E248" i="58" s="1"/>
  <c r="D252" i="58"/>
  <c r="E252" i="58" s="1"/>
  <c r="D247" i="58"/>
  <c r="E247" i="58" s="1"/>
  <c r="D249" i="58"/>
  <c r="D246" i="58"/>
  <c r="S19" i="33"/>
  <c r="T18" i="33"/>
  <c r="L256" i="58" l="1"/>
  <c r="M256" i="58" s="1"/>
  <c r="K258" i="58"/>
  <c r="L258" i="58" s="1"/>
  <c r="E27" i="59" s="1"/>
  <c r="F27" i="59" s="1"/>
  <c r="K252" i="58"/>
  <c r="L252" i="58" s="1"/>
  <c r="E21" i="59" s="1"/>
  <c r="F21" i="59" s="1"/>
  <c r="K253" i="58"/>
  <c r="L253" i="58" s="1"/>
  <c r="M253" i="58" s="1"/>
  <c r="K254" i="58"/>
  <c r="L254" i="58" s="1"/>
  <c r="E23" i="59" s="1"/>
  <c r="F23" i="59" s="1"/>
  <c r="K249" i="58"/>
  <c r="L249" i="58" s="1"/>
  <c r="M249" i="58" s="1"/>
  <c r="K257" i="58"/>
  <c r="L257" i="58" s="1"/>
  <c r="E26" i="59" s="1"/>
  <c r="F26" i="59" s="1"/>
  <c r="K247" i="58"/>
  <c r="L247" i="58" s="1"/>
  <c r="M247" i="58" s="1"/>
  <c r="E210" i="58"/>
  <c r="K250" i="58"/>
  <c r="L250" i="58" s="1"/>
  <c r="M250" i="58" s="1"/>
  <c r="K251" i="58"/>
  <c r="L251" i="58" s="1"/>
  <c r="E20" i="59" s="1"/>
  <c r="F20" i="59" s="1"/>
  <c r="K255" i="58"/>
  <c r="L255" i="58" s="1"/>
  <c r="E24" i="59" s="1"/>
  <c r="F24" i="59" s="1"/>
  <c r="K248" i="58"/>
  <c r="L248" i="58" s="1"/>
  <c r="E17" i="59" s="1"/>
  <c r="F17" i="59" s="1"/>
  <c r="K246" i="58"/>
  <c r="L246" i="58" s="1"/>
  <c r="M246" i="58" s="1"/>
  <c r="B196" i="64"/>
  <c r="C229" i="64" s="1"/>
  <c r="C248" i="64" s="1"/>
  <c r="D8" i="64"/>
  <c r="B201" i="64"/>
  <c r="C234" i="64" s="1"/>
  <c r="B200" i="64"/>
  <c r="C233" i="64" s="1"/>
  <c r="C252" i="64" s="1"/>
  <c r="B197" i="64"/>
  <c r="C230" i="64" s="1"/>
  <c r="B198" i="64"/>
  <c r="C231" i="64" s="1"/>
  <c r="B195" i="64"/>
  <c r="C228" i="64" s="1"/>
  <c r="C247" i="64" s="1"/>
  <c r="B199" i="64"/>
  <c r="C232" i="64" s="1"/>
  <c r="B202" i="64"/>
  <c r="C235" i="64" s="1"/>
  <c r="B194" i="64"/>
  <c r="C227" i="64" s="1"/>
  <c r="C246" i="64" s="1"/>
  <c r="F8" i="64"/>
  <c r="D246" i="64" s="1"/>
  <c r="C39" i="65"/>
  <c r="D9" i="64"/>
  <c r="F274" i="64"/>
  <c r="C38" i="65"/>
  <c r="P7" i="62"/>
  <c r="P5" i="62"/>
  <c r="E5" i="62"/>
  <c r="P6" i="62"/>
  <c r="B203" i="61"/>
  <c r="C236" i="61" s="1"/>
  <c r="B201" i="61"/>
  <c r="C234" i="61" s="1"/>
  <c r="B197" i="61"/>
  <c r="C230" i="61" s="1"/>
  <c r="B198" i="61"/>
  <c r="C231" i="61" s="1"/>
  <c r="B196" i="61"/>
  <c r="C229" i="61" s="1"/>
  <c r="C248" i="61" s="1"/>
  <c r="D5" i="61"/>
  <c r="B195" i="61"/>
  <c r="C228" i="61" s="1"/>
  <c r="C247" i="61" s="1"/>
  <c r="B200" i="61"/>
  <c r="C233" i="61" s="1"/>
  <c r="C252" i="61" s="1"/>
  <c r="B199" i="61"/>
  <c r="C232" i="61" s="1"/>
  <c r="B194" i="61"/>
  <c r="D8" i="61"/>
  <c r="B202" i="61"/>
  <c r="C235" i="61" s="1"/>
  <c r="F8" i="61"/>
  <c r="M257" i="61"/>
  <c r="E17" i="62"/>
  <c r="F17" i="62" s="1"/>
  <c r="M249" i="61"/>
  <c r="M254" i="61"/>
  <c r="M251" i="61"/>
  <c r="M253" i="61"/>
  <c r="M256" i="61"/>
  <c r="M247" i="61"/>
  <c r="M252" i="61"/>
  <c r="M258" i="61"/>
  <c r="E27" i="62"/>
  <c r="F27" i="62" s="1"/>
  <c r="G27" i="62" s="1"/>
  <c r="H27" i="62" s="1"/>
  <c r="M255" i="61"/>
  <c r="E19" i="62"/>
  <c r="F19" i="62" s="1"/>
  <c r="G23" i="62" s="1"/>
  <c r="H23" i="62" s="1"/>
  <c r="E246" i="58"/>
  <c r="D2" i="59" s="1"/>
  <c r="D4" i="59"/>
  <c r="F248" i="58"/>
  <c r="F247" i="58"/>
  <c r="D3" i="59"/>
  <c r="D8" i="59"/>
  <c r="F252" i="58"/>
  <c r="E15" i="62"/>
  <c r="F15" i="62" s="1"/>
  <c r="M246" i="61"/>
  <c r="T19" i="33"/>
  <c r="U18" i="33"/>
  <c r="E16" i="59" l="1"/>
  <c r="F16" i="59" s="1"/>
  <c r="E18" i="59"/>
  <c r="F18" i="59" s="1"/>
  <c r="M258" i="58"/>
  <c r="E25" i="59"/>
  <c r="F25" i="59" s="1"/>
  <c r="G27" i="59" s="1"/>
  <c r="H27" i="59" s="1"/>
  <c r="M252" i="58"/>
  <c r="E19" i="59"/>
  <c r="F19" i="59" s="1"/>
  <c r="M251" i="58"/>
  <c r="E22" i="59"/>
  <c r="F22" i="59" s="1"/>
  <c r="M254" i="58"/>
  <c r="E15" i="59"/>
  <c r="F15" i="59" s="1"/>
  <c r="M257" i="58"/>
  <c r="M248" i="58"/>
  <c r="M255" i="58"/>
  <c r="D247" i="64"/>
  <c r="E247" i="64" s="1"/>
  <c r="F247" i="64" s="1"/>
  <c r="D252" i="64"/>
  <c r="E252" i="64" s="1"/>
  <c r="D8" i="65" s="1"/>
  <c r="D248" i="64"/>
  <c r="E248" i="64" s="1"/>
  <c r="D249" i="64"/>
  <c r="B204" i="64"/>
  <c r="T6" i="65"/>
  <c r="Q6" i="65"/>
  <c r="P6" i="65"/>
  <c r="U6" i="65"/>
  <c r="V6" i="65"/>
  <c r="R6" i="65"/>
  <c r="E199" i="64"/>
  <c r="J232" i="64" s="1"/>
  <c r="J251" i="64" s="1"/>
  <c r="E204" i="64"/>
  <c r="J237" i="64" s="1"/>
  <c r="J256" i="64" s="1"/>
  <c r="E206" i="64"/>
  <c r="J239" i="64" s="1"/>
  <c r="J258" i="64" s="1"/>
  <c r="E196" i="64"/>
  <c r="J229" i="64" s="1"/>
  <c r="J248" i="64" s="1"/>
  <c r="E200" i="64"/>
  <c r="J233" i="64" s="1"/>
  <c r="J252" i="64" s="1"/>
  <c r="E198" i="64"/>
  <c r="J231" i="64" s="1"/>
  <c r="J250" i="64" s="1"/>
  <c r="E209" i="64"/>
  <c r="J242" i="64" s="1"/>
  <c r="E205" i="64"/>
  <c r="J238" i="64" s="1"/>
  <c r="J257" i="64" s="1"/>
  <c r="E194" i="64"/>
  <c r="D11" i="64"/>
  <c r="E202" i="64"/>
  <c r="J235" i="64" s="1"/>
  <c r="J254" i="64" s="1"/>
  <c r="F11" i="64"/>
  <c r="E195" i="64"/>
  <c r="J228" i="64" s="1"/>
  <c r="J247" i="64" s="1"/>
  <c r="E208" i="64"/>
  <c r="J241" i="64" s="1"/>
  <c r="D5" i="64"/>
  <c r="E201" i="64"/>
  <c r="J234" i="64" s="1"/>
  <c r="J253" i="64" s="1"/>
  <c r="E197" i="64"/>
  <c r="J230" i="64" s="1"/>
  <c r="J249" i="64" s="1"/>
  <c r="E203" i="64"/>
  <c r="J236" i="64" s="1"/>
  <c r="J255" i="64" s="1"/>
  <c r="E207" i="64"/>
  <c r="J240" i="64" s="1"/>
  <c r="U7" i="65"/>
  <c r="T7" i="65"/>
  <c r="V7" i="65"/>
  <c r="Q7" i="65"/>
  <c r="R7" i="65"/>
  <c r="P7" i="65"/>
  <c r="C227" i="61"/>
  <c r="C246" i="61" s="1"/>
  <c r="B204" i="61"/>
  <c r="D248" i="61"/>
  <c r="E248" i="61" s="1"/>
  <c r="D246" i="61"/>
  <c r="D252" i="61"/>
  <c r="E252" i="61" s="1"/>
  <c r="D249" i="61"/>
  <c r="D247" i="61"/>
  <c r="E247" i="61" s="1"/>
  <c r="M260" i="61"/>
  <c r="E246" i="64"/>
  <c r="F246" i="64" s="1"/>
  <c r="F246" i="58"/>
  <c r="F254" i="58" s="1"/>
  <c r="C35" i="62"/>
  <c r="C36" i="62"/>
  <c r="P4" i="62" s="1"/>
  <c r="E8" i="59"/>
  <c r="S5" i="59"/>
  <c r="S6" i="59"/>
  <c r="S7" i="59"/>
  <c r="G18" i="62"/>
  <c r="F31" i="62"/>
  <c r="N5" i="59"/>
  <c r="E3" i="59"/>
  <c r="N7" i="59"/>
  <c r="N6" i="59"/>
  <c r="E2" i="59"/>
  <c r="M6" i="59"/>
  <c r="M7" i="59"/>
  <c r="M5" i="59"/>
  <c r="O5" i="59"/>
  <c r="O6" i="59"/>
  <c r="E4" i="59"/>
  <c r="O7" i="59"/>
  <c r="V18" i="33"/>
  <c r="U19" i="33"/>
  <c r="G23" i="59" l="1"/>
  <c r="H23" i="59" s="1"/>
  <c r="C35" i="59" s="1"/>
  <c r="O3" i="59" s="1"/>
  <c r="G18" i="59"/>
  <c r="H18" i="59" s="1"/>
  <c r="C36" i="59"/>
  <c r="N4" i="59" s="1"/>
  <c r="F31" i="59"/>
  <c r="M260" i="58"/>
  <c r="F276" i="58" s="1"/>
  <c r="F277" i="58" s="1"/>
  <c r="D3" i="65"/>
  <c r="N6" i="65" s="1"/>
  <c r="F252" i="64"/>
  <c r="F248" i="64"/>
  <c r="D4" i="65"/>
  <c r="O6" i="65" s="1"/>
  <c r="K254" i="64"/>
  <c r="L254" i="64" s="1"/>
  <c r="K257" i="64"/>
  <c r="L257" i="64" s="1"/>
  <c r="K246" i="64"/>
  <c r="K247" i="64"/>
  <c r="L247" i="64" s="1"/>
  <c r="K251" i="64"/>
  <c r="L251" i="64" s="1"/>
  <c r="K250" i="64"/>
  <c r="L250" i="64" s="1"/>
  <c r="K258" i="64"/>
  <c r="L258" i="64" s="1"/>
  <c r="K252" i="64"/>
  <c r="L252" i="64" s="1"/>
  <c r="K256" i="64"/>
  <c r="L256" i="64" s="1"/>
  <c r="K255" i="64"/>
  <c r="L255" i="64" s="1"/>
  <c r="K248" i="64"/>
  <c r="L248" i="64" s="1"/>
  <c r="K249" i="64"/>
  <c r="L249" i="64" s="1"/>
  <c r="K253" i="64"/>
  <c r="L253" i="64" s="1"/>
  <c r="J227" i="64"/>
  <c r="J246" i="64" s="1"/>
  <c r="E210" i="64"/>
  <c r="D8" i="62"/>
  <c r="F252" i="61"/>
  <c r="D4" i="62"/>
  <c r="F248" i="61"/>
  <c r="E246" i="61"/>
  <c r="F247" i="61"/>
  <c r="D3" i="62"/>
  <c r="T4" i="62"/>
  <c r="D2" i="65"/>
  <c r="R3" i="62"/>
  <c r="U4" i="62"/>
  <c r="Q3" i="62"/>
  <c r="R4" i="62"/>
  <c r="P3" i="62"/>
  <c r="Q4" i="62"/>
  <c r="V3" i="62"/>
  <c r="T3" i="62"/>
  <c r="U3" i="62"/>
  <c r="V4" i="62"/>
  <c r="E12" i="59"/>
  <c r="S7" i="65"/>
  <c r="S6" i="65"/>
  <c r="S5" i="65"/>
  <c r="E8" i="65"/>
  <c r="H18" i="62"/>
  <c r="G31" i="62"/>
  <c r="W18" i="33"/>
  <c r="V19" i="33"/>
  <c r="G31" i="59" l="1"/>
  <c r="U4" i="59"/>
  <c r="V4" i="59"/>
  <c r="T4" i="59"/>
  <c r="M4" i="59"/>
  <c r="P4" i="59"/>
  <c r="Q4" i="59"/>
  <c r="O4" i="59"/>
  <c r="R4" i="59"/>
  <c r="S4" i="59"/>
  <c r="N5" i="65"/>
  <c r="E3" i="65"/>
  <c r="N7" i="65"/>
  <c r="E4" i="65"/>
  <c r="O4" i="62"/>
  <c r="S3" i="62"/>
  <c r="N4" i="62"/>
  <c r="O5" i="65"/>
  <c r="F254" i="64"/>
  <c r="O7" i="65"/>
  <c r="O3" i="62"/>
  <c r="S4" i="62"/>
  <c r="N3" i="62"/>
  <c r="M252" i="64"/>
  <c r="E21" i="65"/>
  <c r="F21" i="65" s="1"/>
  <c r="M258" i="64"/>
  <c r="E27" i="65"/>
  <c r="F27" i="65" s="1"/>
  <c r="E22" i="65"/>
  <c r="F22" i="65" s="1"/>
  <c r="M253" i="64"/>
  <c r="E20" i="65"/>
  <c r="F20" i="65" s="1"/>
  <c r="M251" i="64"/>
  <c r="E18" i="65"/>
  <c r="F18" i="65" s="1"/>
  <c r="M249" i="64"/>
  <c r="M247" i="64"/>
  <c r="E16" i="65"/>
  <c r="F16" i="65" s="1"/>
  <c r="M250" i="64"/>
  <c r="E19" i="65"/>
  <c r="F19" i="65" s="1"/>
  <c r="E17" i="65"/>
  <c r="F17" i="65" s="1"/>
  <c r="M248" i="64"/>
  <c r="L246" i="64"/>
  <c r="E23" i="65"/>
  <c r="F23" i="65" s="1"/>
  <c r="M254" i="64"/>
  <c r="M255" i="64"/>
  <c r="E24" i="65"/>
  <c r="F24" i="65" s="1"/>
  <c r="M257" i="64"/>
  <c r="E26" i="65"/>
  <c r="F26" i="65" s="1"/>
  <c r="M256" i="64"/>
  <c r="E25" i="65"/>
  <c r="F25" i="65" s="1"/>
  <c r="F246" i="61"/>
  <c r="F254" i="61" s="1"/>
  <c r="F276" i="61" s="1"/>
  <c r="F277" i="61" s="1"/>
  <c r="D2" i="62"/>
  <c r="O7" i="62"/>
  <c r="O6" i="62"/>
  <c r="E4" i="62"/>
  <c r="O5" i="62"/>
  <c r="E3" i="62"/>
  <c r="N7" i="62"/>
  <c r="N6" i="62"/>
  <c r="N5" i="62"/>
  <c r="S7" i="62"/>
  <c r="S5" i="62"/>
  <c r="S6" i="62"/>
  <c r="E8" i="62"/>
  <c r="P3" i="59"/>
  <c r="V3" i="59"/>
  <c r="Q3" i="59"/>
  <c r="T3" i="59"/>
  <c r="N3" i="59"/>
  <c r="S3" i="59"/>
  <c r="M3" i="59"/>
  <c r="R3" i="59"/>
  <c r="U3" i="59"/>
  <c r="C34" i="59"/>
  <c r="O2" i="59" s="1"/>
  <c r="M5" i="65"/>
  <c r="M6" i="65"/>
  <c r="M7" i="65"/>
  <c r="E2" i="65"/>
  <c r="C34" i="62"/>
  <c r="X18" i="33"/>
  <c r="W19" i="33"/>
  <c r="E12" i="65" l="1"/>
  <c r="G23" i="65"/>
  <c r="H23" i="65" s="1"/>
  <c r="G27" i="65"/>
  <c r="H27" i="65" s="1"/>
  <c r="E15" i="65"/>
  <c r="F15" i="65" s="1"/>
  <c r="M246" i="64"/>
  <c r="M260" i="64" s="1"/>
  <c r="F276" i="64" s="1"/>
  <c r="F277" i="64" s="1"/>
  <c r="M5" i="62"/>
  <c r="M4" i="62"/>
  <c r="E2" i="62"/>
  <c r="E12" i="62" s="1"/>
  <c r="M3" i="62"/>
  <c r="M7" i="62"/>
  <c r="M6" i="62"/>
  <c r="N2" i="59"/>
  <c r="R2" i="59"/>
  <c r="V2" i="59"/>
  <c r="Q2" i="59"/>
  <c r="U2" i="59"/>
  <c r="T2" i="59"/>
  <c r="S2" i="59"/>
  <c r="P2" i="59"/>
  <c r="M2" i="59"/>
  <c r="M2" i="62"/>
  <c r="R2" i="62"/>
  <c r="Q2" i="62"/>
  <c r="V2" i="62"/>
  <c r="U2" i="62"/>
  <c r="T2" i="62"/>
  <c r="P2" i="62"/>
  <c r="S2" i="62"/>
  <c r="N2" i="62"/>
  <c r="O2" i="62"/>
  <c r="Y18" i="33"/>
  <c r="X19" i="33"/>
  <c r="C36" i="65" l="1"/>
  <c r="Q4" i="65" s="1"/>
  <c r="C35" i="65"/>
  <c r="P3" i="65" s="1"/>
  <c r="G18" i="65"/>
  <c r="F31" i="65"/>
  <c r="Z18" i="33"/>
  <c r="Y19" i="33"/>
  <c r="O4" i="65" l="1"/>
  <c r="S4" i="65"/>
  <c r="R4" i="65"/>
  <c r="P4" i="65"/>
  <c r="M4" i="65"/>
  <c r="T4" i="65"/>
  <c r="U4" i="65"/>
  <c r="N4" i="65"/>
  <c r="V4" i="65"/>
  <c r="T3" i="65"/>
  <c r="S3" i="65"/>
  <c r="Q3" i="65"/>
  <c r="O3" i="65"/>
  <c r="N3" i="65"/>
  <c r="M3" i="65"/>
  <c r="R3" i="65"/>
  <c r="U3" i="65"/>
  <c r="V3" i="65"/>
  <c r="H18" i="65"/>
  <c r="G31" i="65"/>
  <c r="Z19" i="33"/>
  <c r="AA18" i="33"/>
  <c r="C34" i="65" l="1"/>
  <c r="AA19" i="33"/>
  <c r="AB18" i="33"/>
  <c r="T2" i="65" l="1"/>
  <c r="M2" i="65"/>
  <c r="U2" i="65"/>
  <c r="V2" i="65"/>
  <c r="P2" i="65"/>
  <c r="O2" i="65"/>
  <c r="S2" i="65"/>
  <c r="R2" i="65"/>
  <c r="Q2" i="65"/>
  <c r="N2" i="65"/>
  <c r="AB19" i="33"/>
  <c r="AC18" i="33"/>
  <c r="AC19" i="33" l="1"/>
  <c r="AD18" i="33"/>
  <c r="AE18" i="33" l="1"/>
  <c r="AD19" i="33"/>
  <c r="AF18" i="33" l="1"/>
  <c r="AE19" i="33"/>
  <c r="AG18" i="33" l="1"/>
  <c r="AF19" i="33"/>
  <c r="AH18" i="33" l="1"/>
  <c r="AH19" i="33" s="1"/>
  <c r="AG19" i="33"/>
  <c r="C255" i="50" l="1"/>
  <c r="C249" i="50"/>
  <c r="C253" i="50"/>
  <c r="C254" i="50"/>
  <c r="D5" i="52" l="1"/>
  <c r="D8" i="52"/>
  <c r="B196" i="52" l="1"/>
  <c r="C229" i="52" s="1"/>
  <c r="C248" i="52" s="1"/>
  <c r="B200" i="52"/>
  <c r="C233" i="52" s="1"/>
  <c r="C252" i="52" s="1"/>
  <c r="B193" i="52"/>
  <c r="B197" i="52"/>
  <c r="C230" i="52" s="1"/>
  <c r="C249" i="52" s="1"/>
  <c r="B201" i="52"/>
  <c r="C234" i="52" s="1"/>
  <c r="C253" i="52" s="1"/>
  <c r="B194" i="52"/>
  <c r="C227" i="52" s="1"/>
  <c r="C246" i="52" s="1"/>
  <c r="B198" i="52"/>
  <c r="C231" i="52" s="1"/>
  <c r="C250" i="52" s="1"/>
  <c r="B202" i="52"/>
  <c r="C235" i="52" s="1"/>
  <c r="C254" i="52" s="1"/>
  <c r="D7" i="52"/>
  <c r="F7" i="52"/>
  <c r="B195" i="52"/>
  <c r="C228" i="52" s="1"/>
  <c r="C247" i="52" s="1"/>
  <c r="B199" i="52"/>
  <c r="C232" i="52" s="1"/>
  <c r="C251" i="52" s="1"/>
  <c r="D10" i="52"/>
  <c r="E204" i="52"/>
  <c r="J237" i="52" s="1"/>
  <c r="J256" i="52" s="1"/>
  <c r="F10" i="52"/>
  <c r="E196" i="52"/>
  <c r="J229" i="52" s="1"/>
  <c r="J248" i="52" s="1"/>
  <c r="E200" i="52"/>
  <c r="J233" i="52" s="1"/>
  <c r="J252" i="52" s="1"/>
  <c r="E205" i="52"/>
  <c r="J238" i="52" s="1"/>
  <c r="J257" i="52" s="1"/>
  <c r="E206" i="52"/>
  <c r="J239" i="52" s="1"/>
  <c r="E193" i="52"/>
  <c r="E197" i="52"/>
  <c r="J230" i="52" s="1"/>
  <c r="J249" i="52" s="1"/>
  <c r="E201" i="52"/>
  <c r="J234" i="52" s="1"/>
  <c r="J253" i="52" s="1"/>
  <c r="E207" i="52"/>
  <c r="J240" i="52" s="1"/>
  <c r="J259" i="52" s="1"/>
  <c r="E208" i="52"/>
  <c r="J241" i="52" s="1"/>
  <c r="J260" i="52" s="1"/>
  <c r="E194" i="52"/>
  <c r="J227" i="52" s="1"/>
  <c r="J246" i="52" s="1"/>
  <c r="E198" i="52"/>
  <c r="J231" i="52" s="1"/>
  <c r="J250" i="52" s="1"/>
  <c r="E202" i="52"/>
  <c r="J235" i="52" s="1"/>
  <c r="J254" i="52" s="1"/>
  <c r="E195" i="52"/>
  <c r="J228" i="52" s="1"/>
  <c r="J247" i="52" s="1"/>
  <c r="E199" i="52"/>
  <c r="J232" i="52" s="1"/>
  <c r="J251" i="52" s="1"/>
  <c r="E203" i="52"/>
  <c r="J236" i="52" s="1"/>
  <c r="J255" i="52" s="1"/>
  <c r="K247" i="52" l="1"/>
  <c r="L247" i="52" s="1"/>
  <c r="K250" i="52"/>
  <c r="L250" i="52" s="1"/>
  <c r="K254" i="52"/>
  <c r="L254" i="52" s="1"/>
  <c r="K257" i="52"/>
  <c r="L257" i="52" s="1"/>
  <c r="K260" i="52"/>
  <c r="L260" i="52" s="1"/>
  <c r="D272" i="52" s="1"/>
  <c r="K246" i="52"/>
  <c r="L246" i="52" s="1"/>
  <c r="K253" i="52"/>
  <c r="L253" i="52" s="1"/>
  <c r="K249" i="52"/>
  <c r="L249" i="52" s="1"/>
  <c r="K255" i="52"/>
  <c r="L255" i="52" s="1"/>
  <c r="L258" i="52"/>
  <c r="K245" i="52"/>
  <c r="K252" i="52"/>
  <c r="L252" i="52" s="1"/>
  <c r="K248" i="52"/>
  <c r="L248" i="52" s="1"/>
  <c r="K251" i="52"/>
  <c r="L251" i="52" s="1"/>
  <c r="K256" i="52"/>
  <c r="L256" i="52" s="1"/>
  <c r="K259" i="52"/>
  <c r="L259" i="52" s="1"/>
  <c r="D271" i="52" s="1"/>
  <c r="E209" i="52"/>
  <c r="J226" i="52"/>
  <c r="J245" i="52" s="1"/>
  <c r="B203" i="52"/>
  <c r="C226" i="52"/>
  <c r="C245" i="52" s="1"/>
  <c r="E249" i="52"/>
  <c r="D245" i="52"/>
  <c r="D252" i="52"/>
  <c r="E252" i="52" s="1"/>
  <c r="D268" i="52" s="1"/>
  <c r="D248" i="52"/>
  <c r="E248" i="52" s="1"/>
  <c r="D270" i="52" s="1"/>
  <c r="D251" i="52"/>
  <c r="E251" i="52" s="1"/>
  <c r="D247" i="52"/>
  <c r="E247" i="52" s="1"/>
  <c r="E250" i="52"/>
  <c r="D254" i="52"/>
  <c r="E254" i="52" s="1"/>
  <c r="D269" i="52" s="1"/>
  <c r="D246" i="52"/>
  <c r="E246" i="52" s="1"/>
  <c r="D253" i="52"/>
  <c r="E253" i="52" s="1"/>
  <c r="D267" i="52" s="1"/>
  <c r="L258" i="49"/>
  <c r="E272" i="52" l="1"/>
  <c r="F272" i="52" s="1"/>
  <c r="D273" i="53"/>
  <c r="E273" i="53" s="1"/>
  <c r="E269" i="52"/>
  <c r="F269" i="52" s="1"/>
  <c r="D270" i="53"/>
  <c r="E270" i="53" s="1"/>
  <c r="E271" i="52"/>
  <c r="F271" i="52" s="1"/>
  <c r="D272" i="53"/>
  <c r="E272" i="53" s="1"/>
  <c r="E267" i="52"/>
  <c r="F267" i="52" s="1"/>
  <c r="D268" i="53"/>
  <c r="E268" i="53" s="1"/>
  <c r="L245" i="52"/>
  <c r="E270" i="52"/>
  <c r="F270" i="52" s="1"/>
  <c r="D271" i="53"/>
  <c r="E271" i="53" s="1"/>
  <c r="D269" i="53"/>
  <c r="E269" i="53" s="1"/>
  <c r="E268" i="52"/>
  <c r="F268" i="52" s="1"/>
  <c r="E245" i="52"/>
  <c r="L260" i="53" l="1"/>
  <c r="E29" i="54" s="1"/>
  <c r="F29" i="54" s="1"/>
  <c r="G29" i="54" s="1"/>
  <c r="H29" i="54" s="1"/>
  <c r="F272" i="53"/>
  <c r="E255" i="53"/>
  <c r="F270" i="53"/>
  <c r="F269" i="53"/>
  <c r="E253" i="53"/>
  <c r="F268" i="53"/>
  <c r="E254" i="53"/>
  <c r="F271" i="53"/>
  <c r="E249" i="53"/>
  <c r="F273" i="52"/>
  <c r="L261" i="53"/>
  <c r="E30" i="54" s="1"/>
  <c r="F30" i="54" s="1"/>
  <c r="G30" i="54" s="1"/>
  <c r="H30" i="54" s="1"/>
  <c r="F273" i="53"/>
  <c r="D11" i="54" l="1"/>
  <c r="D10" i="54"/>
  <c r="F274" i="53"/>
  <c r="D6" i="53"/>
  <c r="D9" i="53"/>
  <c r="C38" i="54"/>
  <c r="D9" i="54"/>
  <c r="C39" i="54"/>
  <c r="F249" i="53"/>
  <c r="D5" i="54"/>
  <c r="P5" i="54" l="1"/>
  <c r="P7" i="54"/>
  <c r="E5" i="54"/>
  <c r="P6" i="54"/>
  <c r="E209" i="53"/>
  <c r="J242" i="53" s="1"/>
  <c r="E195" i="53"/>
  <c r="J228" i="53" s="1"/>
  <c r="J247" i="53" s="1"/>
  <c r="E199" i="53"/>
  <c r="J232" i="53" s="1"/>
  <c r="J251" i="53" s="1"/>
  <c r="E203" i="53"/>
  <c r="J236" i="53" s="1"/>
  <c r="J255" i="53" s="1"/>
  <c r="E196" i="53"/>
  <c r="J229" i="53" s="1"/>
  <c r="J248" i="53" s="1"/>
  <c r="E200" i="53"/>
  <c r="J233" i="53" s="1"/>
  <c r="J252" i="53" s="1"/>
  <c r="E204" i="53"/>
  <c r="J237" i="53" s="1"/>
  <c r="J256" i="53" s="1"/>
  <c r="D11" i="53"/>
  <c r="E205" i="53"/>
  <c r="J238" i="53" s="1"/>
  <c r="J257" i="53" s="1"/>
  <c r="F11" i="53"/>
  <c r="E197" i="53"/>
  <c r="J230" i="53" s="1"/>
  <c r="J249" i="53" s="1"/>
  <c r="E201" i="53"/>
  <c r="J234" i="53" s="1"/>
  <c r="J253" i="53" s="1"/>
  <c r="E206" i="53"/>
  <c r="J239" i="53" s="1"/>
  <c r="J258" i="53" s="1"/>
  <c r="E207" i="53"/>
  <c r="J240" i="53" s="1"/>
  <c r="E194" i="53"/>
  <c r="E198" i="53"/>
  <c r="J231" i="53" s="1"/>
  <c r="J250" i="53" s="1"/>
  <c r="E202" i="53"/>
  <c r="J235" i="53" s="1"/>
  <c r="J254" i="53" s="1"/>
  <c r="E208" i="53"/>
  <c r="J241" i="53" s="1"/>
  <c r="B195" i="53"/>
  <c r="C228" i="53" s="1"/>
  <c r="C247" i="53" s="1"/>
  <c r="B199" i="53"/>
  <c r="C232" i="53" s="1"/>
  <c r="C251" i="53" s="1"/>
  <c r="B203" i="53"/>
  <c r="C236" i="53" s="1"/>
  <c r="D8" i="53"/>
  <c r="F8" i="53"/>
  <c r="B196" i="53"/>
  <c r="C229" i="53" s="1"/>
  <c r="C248" i="53" s="1"/>
  <c r="B200" i="53"/>
  <c r="C233" i="53" s="1"/>
  <c r="C252" i="53" s="1"/>
  <c r="B197" i="53"/>
  <c r="C230" i="53" s="1"/>
  <c r="B201" i="53"/>
  <c r="C234" i="53" s="1"/>
  <c r="B194" i="53"/>
  <c r="B198" i="53"/>
  <c r="C231" i="53" s="1"/>
  <c r="C250" i="53" s="1"/>
  <c r="B202" i="53"/>
  <c r="C235" i="53" s="1"/>
  <c r="D5" i="53"/>
  <c r="U6" i="54"/>
  <c r="E10" i="54"/>
  <c r="U5" i="54"/>
  <c r="U7" i="54"/>
  <c r="T6" i="54"/>
  <c r="E9" i="54"/>
  <c r="T5" i="54"/>
  <c r="T7" i="54"/>
  <c r="V5" i="54"/>
  <c r="V7" i="54"/>
  <c r="E11" i="54"/>
  <c r="V6" i="54"/>
  <c r="K249" i="53" l="1"/>
  <c r="L249" i="53" s="1"/>
  <c r="K256" i="53"/>
  <c r="L256" i="53" s="1"/>
  <c r="K258" i="53"/>
  <c r="L258" i="53" s="1"/>
  <c r="K246" i="53"/>
  <c r="K247" i="53"/>
  <c r="L247" i="53" s="1"/>
  <c r="K248" i="53"/>
  <c r="L248" i="53" s="1"/>
  <c r="K253" i="53"/>
  <c r="L253" i="53" s="1"/>
  <c r="K251" i="53"/>
  <c r="L251" i="53" s="1"/>
  <c r="K252" i="53"/>
  <c r="L252" i="53" s="1"/>
  <c r="K255" i="53"/>
  <c r="L255" i="53" s="1"/>
  <c r="K257" i="53"/>
  <c r="L257" i="53" s="1"/>
  <c r="K250" i="53"/>
  <c r="L250" i="53" s="1"/>
  <c r="K254" i="53"/>
  <c r="L254" i="53" s="1"/>
  <c r="D252" i="53"/>
  <c r="E252" i="53" s="1"/>
  <c r="E251" i="53"/>
  <c r="E250" i="53"/>
  <c r="D249" i="53"/>
  <c r="D246" i="53"/>
  <c r="D247" i="53"/>
  <c r="E247" i="53" s="1"/>
  <c r="D248" i="53"/>
  <c r="E248" i="53" s="1"/>
  <c r="E210" i="53"/>
  <c r="J227" i="53"/>
  <c r="J246" i="53" s="1"/>
  <c r="B204" i="53"/>
  <c r="C227" i="53"/>
  <c r="C246" i="53" s="1"/>
  <c r="L246" i="53" l="1"/>
  <c r="E246" i="53"/>
  <c r="M254" i="53"/>
  <c r="E23" i="54"/>
  <c r="F23" i="54" s="1"/>
  <c r="F252" i="53"/>
  <c r="D8" i="54"/>
  <c r="F248" i="53"/>
  <c r="D4" i="54"/>
  <c r="M252" i="53"/>
  <c r="E21" i="54"/>
  <c r="F21" i="54" s="1"/>
  <c r="M250" i="53"/>
  <c r="E19" i="54"/>
  <c r="F19" i="54" s="1"/>
  <c r="M247" i="53"/>
  <c r="E16" i="54"/>
  <c r="F16" i="54" s="1"/>
  <c r="F247" i="53"/>
  <c r="D3" i="54"/>
  <c r="M248" i="53"/>
  <c r="E17" i="54"/>
  <c r="F17" i="54" s="1"/>
  <c r="M251" i="53"/>
  <c r="E20" i="54"/>
  <c r="F20" i="54" s="1"/>
  <c r="M256" i="53"/>
  <c r="E25" i="54"/>
  <c r="F25" i="54" s="1"/>
  <c r="M257" i="53"/>
  <c r="E26" i="54"/>
  <c r="F26" i="54" s="1"/>
  <c r="D6" i="54"/>
  <c r="M249" i="53"/>
  <c r="E18" i="54"/>
  <c r="F18" i="54" s="1"/>
  <c r="M255" i="53"/>
  <c r="E24" i="54"/>
  <c r="F24" i="54" s="1"/>
  <c r="D7" i="54"/>
  <c r="M253" i="53"/>
  <c r="E22" i="54"/>
  <c r="F22" i="54" s="1"/>
  <c r="M258" i="53"/>
  <c r="E27" i="54"/>
  <c r="F27" i="54" s="1"/>
  <c r="E15" i="54" l="1"/>
  <c r="F15" i="54" s="1"/>
  <c r="G18" i="54" s="1"/>
  <c r="M246" i="53"/>
  <c r="M260" i="53" s="1"/>
  <c r="D2" i="54"/>
  <c r="F246" i="53"/>
  <c r="F254" i="53" s="1"/>
  <c r="G27" i="54"/>
  <c r="H27" i="54" s="1"/>
  <c r="S6" i="54"/>
  <c r="E8" i="54"/>
  <c r="S5" i="54"/>
  <c r="S7" i="54"/>
  <c r="E6" i="54"/>
  <c r="Q5" i="54"/>
  <c r="Q7" i="54"/>
  <c r="Q6" i="54"/>
  <c r="R6" i="54"/>
  <c r="R5" i="54"/>
  <c r="R7" i="54"/>
  <c r="E7" i="54"/>
  <c r="N5" i="54"/>
  <c r="N7" i="54"/>
  <c r="N6" i="54"/>
  <c r="E3" i="54"/>
  <c r="O5" i="54"/>
  <c r="O7" i="54"/>
  <c r="E4" i="54"/>
  <c r="O6" i="54"/>
  <c r="G23" i="54"/>
  <c r="H23" i="54" s="1"/>
  <c r="M7" i="54" l="1"/>
  <c r="F31" i="54"/>
  <c r="M5" i="54"/>
  <c r="E2" i="54"/>
  <c r="M6" i="54"/>
  <c r="C35" i="54"/>
  <c r="F276" i="53"/>
  <c r="F277" i="53" s="1"/>
  <c r="H18" i="54"/>
  <c r="G31" i="54"/>
  <c r="C36" i="54"/>
  <c r="E12" i="54" l="1"/>
  <c r="P3" i="54"/>
  <c r="T3" i="54"/>
  <c r="U3" i="54"/>
  <c r="V3" i="54"/>
  <c r="M3" i="54"/>
  <c r="Q3" i="54"/>
  <c r="R3" i="54"/>
  <c r="S3" i="54"/>
  <c r="N3" i="54"/>
  <c r="O3" i="54"/>
  <c r="T4" i="54"/>
  <c r="V4" i="54"/>
  <c r="U4" i="54"/>
  <c r="P4" i="54"/>
  <c r="R4" i="54"/>
  <c r="S4" i="54"/>
  <c r="N4" i="54"/>
  <c r="O4" i="54"/>
  <c r="Q4" i="54"/>
  <c r="M4" i="54"/>
  <c r="C34" i="54"/>
  <c r="U2" i="54" l="1"/>
  <c r="V2" i="54"/>
  <c r="T2" i="54"/>
  <c r="P2" i="54"/>
  <c r="R2" i="54"/>
  <c r="S2" i="54"/>
  <c r="N2" i="54"/>
  <c r="O2" i="54"/>
  <c r="Q2" i="54"/>
  <c r="M2" i="54"/>
  <c r="C250" i="50" l="1"/>
  <c r="E250" i="50" s="1"/>
  <c r="D6" i="51" s="1"/>
  <c r="C251" i="50"/>
  <c r="E251" i="50" s="1"/>
  <c r="D7" i="51" s="1"/>
  <c r="C251" i="72"/>
  <c r="E251" i="72" s="1"/>
  <c r="D7" i="73" s="1"/>
  <c r="C250" i="72"/>
  <c r="E250" i="72" s="1"/>
  <c r="D6" i="73" s="1"/>
  <c r="J258" i="71"/>
  <c r="L258" i="71" s="1"/>
  <c r="C250" i="71"/>
  <c r="E250" i="71" s="1"/>
  <c r="C249" i="71"/>
  <c r="E249" i="71" s="1"/>
  <c r="D36" i="33"/>
  <c r="D37" i="33" s="1"/>
  <c r="B32" i="66"/>
  <c r="B33" i="66" s="1"/>
  <c r="R5" i="51" l="1"/>
  <c r="E7" i="51"/>
  <c r="Q5" i="51"/>
  <c r="E6" i="51"/>
  <c r="E7" i="73"/>
  <c r="R5" i="73"/>
  <c r="Q5" i="73"/>
  <c r="E6" i="73"/>
  <c r="D4" i="49"/>
  <c r="B29" i="88"/>
  <c r="D4" i="50"/>
  <c r="D8" i="49" l="1"/>
  <c r="D5" i="49"/>
  <c r="B194" i="49" l="1"/>
  <c r="C227" i="49" s="1"/>
  <c r="C246" i="49" s="1"/>
  <c r="B201" i="49"/>
  <c r="C234" i="49" s="1"/>
  <c r="C253" i="49" s="1"/>
  <c r="B196" i="49"/>
  <c r="C229" i="49" s="1"/>
  <c r="C248" i="49" s="1"/>
  <c r="B200" i="49"/>
  <c r="C233" i="49" s="1"/>
  <c r="C252" i="49" s="1"/>
  <c r="B195" i="49"/>
  <c r="C228" i="49" s="1"/>
  <c r="C247" i="49" s="1"/>
  <c r="B199" i="49"/>
  <c r="C232" i="49" s="1"/>
  <c r="C251" i="49" s="1"/>
  <c r="D7" i="49"/>
  <c r="B193" i="49"/>
  <c r="B198" i="49"/>
  <c r="C231" i="49" s="1"/>
  <c r="C250" i="49" s="1"/>
  <c r="E250" i="49" s="1"/>
  <c r="B197" i="49"/>
  <c r="C230" i="49" s="1"/>
  <c r="C249" i="49" s="1"/>
  <c r="E249" i="49" s="1"/>
  <c r="F7" i="49"/>
  <c r="B202" i="49"/>
  <c r="C235" i="49" s="1"/>
  <c r="C254" i="49" s="1"/>
  <c r="E208" i="49"/>
  <c r="J241" i="49" s="1"/>
  <c r="J260" i="49" s="1"/>
  <c r="E205" i="49"/>
  <c r="J238" i="49" s="1"/>
  <c r="J257" i="49" s="1"/>
  <c r="E203" i="49"/>
  <c r="J236" i="49" s="1"/>
  <c r="J255" i="49" s="1"/>
  <c r="E207" i="49"/>
  <c r="J240" i="49" s="1"/>
  <c r="J259" i="49" s="1"/>
  <c r="E199" i="49"/>
  <c r="J232" i="49" s="1"/>
  <c r="J251" i="49" s="1"/>
  <c r="E198" i="49"/>
  <c r="J231" i="49" s="1"/>
  <c r="J250" i="49" s="1"/>
  <c r="F10" i="49"/>
  <c r="D10" i="49"/>
  <c r="E201" i="49"/>
  <c r="J234" i="49" s="1"/>
  <c r="J253" i="49" s="1"/>
  <c r="E200" i="49"/>
  <c r="J233" i="49" s="1"/>
  <c r="J252" i="49" s="1"/>
  <c r="E193" i="49"/>
  <c r="E194" i="49"/>
  <c r="J227" i="49" s="1"/>
  <c r="J246" i="49" s="1"/>
  <c r="E202" i="49"/>
  <c r="J235" i="49" s="1"/>
  <c r="J254" i="49" s="1"/>
  <c r="E206" i="49"/>
  <c r="J239" i="49" s="1"/>
  <c r="E197" i="49"/>
  <c r="J230" i="49" s="1"/>
  <c r="J249" i="49" s="1"/>
  <c r="E195" i="49"/>
  <c r="J228" i="49" s="1"/>
  <c r="J247" i="49" s="1"/>
  <c r="E196" i="49"/>
  <c r="J229" i="49" s="1"/>
  <c r="J248" i="49" s="1"/>
  <c r="E204" i="49"/>
  <c r="J237" i="49" s="1"/>
  <c r="J256" i="49" s="1"/>
  <c r="E209" i="49" l="1"/>
  <c r="J226" i="49"/>
  <c r="J245" i="49" s="1"/>
  <c r="D253" i="49"/>
  <c r="E253" i="49" s="1"/>
  <c r="D267" i="49" s="1"/>
  <c r="D248" i="49"/>
  <c r="E248" i="49" s="1"/>
  <c r="D270" i="49" s="1"/>
  <c r="D252" i="49"/>
  <c r="E252" i="49" s="1"/>
  <c r="D268" i="49" s="1"/>
  <c r="D251" i="49"/>
  <c r="E251" i="49" s="1"/>
  <c r="D245" i="49"/>
  <c r="D254" i="49"/>
  <c r="E254" i="49" s="1"/>
  <c r="D269" i="49" s="1"/>
  <c r="D246" i="49"/>
  <c r="E246" i="49" s="1"/>
  <c r="D247" i="49"/>
  <c r="E247" i="49" s="1"/>
  <c r="C226" i="49"/>
  <c r="C245" i="49" s="1"/>
  <c r="E245" i="49" s="1"/>
  <c r="B203" i="49"/>
  <c r="K256" i="49"/>
  <c r="L256" i="49" s="1"/>
  <c r="K245" i="49"/>
  <c r="K248" i="49"/>
  <c r="L248" i="49" s="1"/>
  <c r="K247" i="49"/>
  <c r="L247" i="49" s="1"/>
  <c r="K251" i="49"/>
  <c r="L251" i="49" s="1"/>
  <c r="K254" i="49"/>
  <c r="L254" i="49" s="1"/>
  <c r="K250" i="49"/>
  <c r="L250" i="49" s="1"/>
  <c r="K253" i="49"/>
  <c r="L253" i="49" s="1"/>
  <c r="K259" i="49"/>
  <c r="L259" i="49" s="1"/>
  <c r="D271" i="49" s="1"/>
  <c r="K252" i="49"/>
  <c r="L252" i="49" s="1"/>
  <c r="K260" i="49"/>
  <c r="L260" i="49" s="1"/>
  <c r="D272" i="49" s="1"/>
  <c r="K257" i="49"/>
  <c r="L257" i="49" s="1"/>
  <c r="K255" i="49"/>
  <c r="L255" i="49" s="1"/>
  <c r="K249" i="49"/>
  <c r="L249" i="49" s="1"/>
  <c r="K246" i="49"/>
  <c r="L246" i="49" s="1"/>
  <c r="L245" i="49" l="1"/>
  <c r="D272" i="50"/>
  <c r="E272" i="50" s="1"/>
  <c r="E271" i="49"/>
  <c r="F271" i="49" s="1"/>
  <c r="E269" i="49"/>
  <c r="F269" i="49" s="1"/>
  <c r="D270" i="50"/>
  <c r="E270" i="50" s="1"/>
  <c r="D271" i="50"/>
  <c r="E271" i="50" s="1"/>
  <c r="E270" i="49"/>
  <c r="F270" i="49" s="1"/>
  <c r="E272" i="49"/>
  <c r="F272" i="49" s="1"/>
  <c r="D273" i="50"/>
  <c r="E273" i="50" s="1"/>
  <c r="D268" i="50"/>
  <c r="E268" i="50" s="1"/>
  <c r="E267" i="49"/>
  <c r="F267" i="49" s="1"/>
  <c r="D269" i="50"/>
  <c r="E269" i="50" s="1"/>
  <c r="E268" i="49"/>
  <c r="F268" i="49" s="1"/>
  <c r="E254" i="50" l="1"/>
  <c r="D10" i="51" s="1"/>
  <c r="F268" i="50"/>
  <c r="F269" i="50"/>
  <c r="E253" i="50"/>
  <c r="D9" i="51" s="1"/>
  <c r="L261" i="50"/>
  <c r="E30" i="51" s="1"/>
  <c r="F30" i="51" s="1"/>
  <c r="G30" i="51" s="1"/>
  <c r="H30" i="51" s="1"/>
  <c r="F273" i="50"/>
  <c r="F273" i="49"/>
  <c r="E249" i="50"/>
  <c r="F271" i="50"/>
  <c r="E255" i="50"/>
  <c r="D11" i="51" s="1"/>
  <c r="F270" i="50"/>
  <c r="L260" i="50"/>
  <c r="E29" i="51" s="1"/>
  <c r="F29" i="51" s="1"/>
  <c r="G29" i="51" s="1"/>
  <c r="H29" i="51" s="1"/>
  <c r="F272" i="50"/>
  <c r="D9" i="50" l="1"/>
  <c r="E203" i="50" s="1"/>
  <c r="J236" i="50" s="1"/>
  <c r="J255" i="50" s="1"/>
  <c r="E9" i="51"/>
  <c r="T5" i="51"/>
  <c r="B17" i="88"/>
  <c r="B19" i="88"/>
  <c r="E11" i="51"/>
  <c r="V5" i="51"/>
  <c r="F249" i="50"/>
  <c r="D5" i="51"/>
  <c r="F274" i="50"/>
  <c r="D6" i="50"/>
  <c r="B26" i="88"/>
  <c r="C38" i="51"/>
  <c r="T6" i="51" s="1"/>
  <c r="B18" i="88"/>
  <c r="E10" i="51"/>
  <c r="U5" i="51"/>
  <c r="C39" i="51"/>
  <c r="V7" i="51" s="1"/>
  <c r="B27" i="88"/>
  <c r="E206" i="50" l="1"/>
  <c r="J239" i="50" s="1"/>
  <c r="J258" i="50" s="1"/>
  <c r="E201" i="50"/>
  <c r="J234" i="50" s="1"/>
  <c r="J253" i="50" s="1"/>
  <c r="E197" i="50"/>
  <c r="J230" i="50" s="1"/>
  <c r="J249" i="50" s="1"/>
  <c r="E208" i="50"/>
  <c r="J241" i="50" s="1"/>
  <c r="D11" i="50"/>
  <c r="E202" i="50"/>
  <c r="J235" i="50" s="1"/>
  <c r="J254" i="50" s="1"/>
  <c r="E195" i="50"/>
  <c r="J228" i="50" s="1"/>
  <c r="J247" i="50" s="1"/>
  <c r="E204" i="50"/>
  <c r="J237" i="50" s="1"/>
  <c r="J256" i="50" s="1"/>
  <c r="E207" i="50"/>
  <c r="J240" i="50" s="1"/>
  <c r="E194" i="50"/>
  <c r="J227" i="50" s="1"/>
  <c r="J246" i="50" s="1"/>
  <c r="E200" i="50"/>
  <c r="J233" i="50" s="1"/>
  <c r="J252" i="50" s="1"/>
  <c r="F11" i="50"/>
  <c r="K247" i="50" s="1"/>
  <c r="E209" i="50"/>
  <c r="J242" i="50" s="1"/>
  <c r="E198" i="50"/>
  <c r="J231" i="50" s="1"/>
  <c r="J250" i="50" s="1"/>
  <c r="E196" i="50"/>
  <c r="J229" i="50" s="1"/>
  <c r="J248" i="50" s="1"/>
  <c r="E199" i="50"/>
  <c r="J232" i="50" s="1"/>
  <c r="J251" i="50" s="1"/>
  <c r="E205" i="50"/>
  <c r="J238" i="50" s="1"/>
  <c r="J257" i="50" s="1"/>
  <c r="V6" i="51"/>
  <c r="U7" i="51"/>
  <c r="B195" i="50"/>
  <c r="C228" i="50" s="1"/>
  <c r="C247" i="50" s="1"/>
  <c r="B198" i="50"/>
  <c r="C231" i="50" s="1"/>
  <c r="B196" i="50"/>
  <c r="C229" i="50" s="1"/>
  <c r="C248" i="50" s="1"/>
  <c r="B201" i="50"/>
  <c r="C234" i="50" s="1"/>
  <c r="F8" i="50"/>
  <c r="B199" i="50"/>
  <c r="C232" i="50" s="1"/>
  <c r="B203" i="50"/>
  <c r="C236" i="50" s="1"/>
  <c r="B202" i="50"/>
  <c r="C235" i="50" s="1"/>
  <c r="D5" i="50"/>
  <c r="B200" i="50"/>
  <c r="C233" i="50" s="1"/>
  <c r="C252" i="50" s="1"/>
  <c r="B197" i="50"/>
  <c r="C230" i="50" s="1"/>
  <c r="D8" i="50"/>
  <c r="B194" i="50"/>
  <c r="Q7" i="51"/>
  <c r="R7" i="51"/>
  <c r="P5" i="51"/>
  <c r="P6" i="51"/>
  <c r="P7" i="51"/>
  <c r="E5" i="51"/>
  <c r="B15" i="88"/>
  <c r="T7" i="51"/>
  <c r="R6" i="51"/>
  <c r="Q6" i="51"/>
  <c r="U6" i="51"/>
  <c r="K254" i="50" l="1"/>
  <c r="L254" i="50" s="1"/>
  <c r="K246" i="50"/>
  <c r="L246" i="50" s="1"/>
  <c r="M246" i="50" s="1"/>
  <c r="K250" i="50"/>
  <c r="L250" i="50" s="1"/>
  <c r="E19" i="51" s="1"/>
  <c r="F19" i="51" s="1"/>
  <c r="K253" i="50"/>
  <c r="L253" i="50" s="1"/>
  <c r="M253" i="50" s="1"/>
  <c r="K249" i="50"/>
  <c r="L249" i="50" s="1"/>
  <c r="E18" i="51" s="1"/>
  <c r="F18" i="51" s="1"/>
  <c r="L247" i="50"/>
  <c r="M247" i="50" s="1"/>
  <c r="K255" i="50"/>
  <c r="L255" i="50" s="1"/>
  <c r="M255" i="50" s="1"/>
  <c r="K258" i="50"/>
  <c r="L258" i="50" s="1"/>
  <c r="E27" i="51" s="1"/>
  <c r="F27" i="51" s="1"/>
  <c r="K248" i="50"/>
  <c r="L248" i="50" s="1"/>
  <c r="E17" i="51" s="1"/>
  <c r="F17" i="51" s="1"/>
  <c r="K251" i="50"/>
  <c r="L251" i="50" s="1"/>
  <c r="M251" i="50" s="1"/>
  <c r="K252" i="50"/>
  <c r="L252" i="50" s="1"/>
  <c r="E21" i="51" s="1"/>
  <c r="F21" i="51" s="1"/>
  <c r="K257" i="50"/>
  <c r="L257" i="50" s="1"/>
  <c r="M257" i="50" s="1"/>
  <c r="K256" i="50"/>
  <c r="L256" i="50" s="1"/>
  <c r="E25" i="51" s="1"/>
  <c r="F25" i="51" s="1"/>
  <c r="E210" i="50"/>
  <c r="D248" i="50"/>
  <c r="E248" i="50" s="1"/>
  <c r="D252" i="50"/>
  <c r="E252" i="50" s="1"/>
  <c r="D246" i="50"/>
  <c r="D249" i="50"/>
  <c r="D247" i="50"/>
  <c r="E247" i="50" s="1"/>
  <c r="C227" i="50"/>
  <c r="C246" i="50" s="1"/>
  <c r="B204" i="50"/>
  <c r="E24" i="51" l="1"/>
  <c r="F24" i="51" s="1"/>
  <c r="M252" i="50"/>
  <c r="M249" i="50"/>
  <c r="M250" i="50"/>
  <c r="E16" i="51"/>
  <c r="F16" i="51" s="1"/>
  <c r="E23" i="51"/>
  <c r="F23" i="51" s="1"/>
  <c r="M254" i="50"/>
  <c r="E22" i="51"/>
  <c r="F22" i="51" s="1"/>
  <c r="M258" i="50"/>
  <c r="M248" i="50"/>
  <c r="E20" i="51"/>
  <c r="F20" i="51" s="1"/>
  <c r="E26" i="51"/>
  <c r="F26" i="51" s="1"/>
  <c r="M256" i="50"/>
  <c r="E15" i="51"/>
  <c r="F15" i="51" s="1"/>
  <c r="E246" i="50"/>
  <c r="F246" i="50" s="1"/>
  <c r="D3" i="51"/>
  <c r="F247" i="50"/>
  <c r="F252" i="50"/>
  <c r="D8" i="51"/>
  <c r="F248" i="50"/>
  <c r="D4" i="51"/>
  <c r="G27" i="51" l="1"/>
  <c r="H27" i="51" s="1"/>
  <c r="G23" i="51"/>
  <c r="H23" i="51" s="1"/>
  <c r="B24" i="88" s="1"/>
  <c r="F254" i="50"/>
  <c r="G18" i="51"/>
  <c r="H18" i="51" s="1"/>
  <c r="D2" i="51"/>
  <c r="E2" i="51" s="1"/>
  <c r="M260" i="50"/>
  <c r="F31" i="51"/>
  <c r="O7" i="51"/>
  <c r="O6" i="51"/>
  <c r="O5" i="51"/>
  <c r="E4" i="51"/>
  <c r="B14" i="88"/>
  <c r="S7" i="51"/>
  <c r="B16" i="88"/>
  <c r="S5" i="51"/>
  <c r="S6" i="51"/>
  <c r="E8" i="51"/>
  <c r="B13" i="88"/>
  <c r="N7" i="51"/>
  <c r="N5" i="51"/>
  <c r="E3" i="51"/>
  <c r="N6" i="51"/>
  <c r="C36" i="51" l="1"/>
  <c r="O4" i="51" s="1"/>
  <c r="B25" i="88"/>
  <c r="C35" i="51"/>
  <c r="P3" i="51" s="1"/>
  <c r="G31" i="51"/>
  <c r="F276" i="50"/>
  <c r="F277" i="50" s="1"/>
  <c r="M7" i="51"/>
  <c r="M6" i="51"/>
  <c r="M5" i="51"/>
  <c r="B12" i="88"/>
  <c r="C34" i="51"/>
  <c r="B23" i="88"/>
  <c r="E12" i="51"/>
  <c r="S4" i="51" l="1"/>
  <c r="P4" i="51"/>
  <c r="V4" i="51"/>
  <c r="Q4" i="51"/>
  <c r="N4" i="51"/>
  <c r="V3" i="51"/>
  <c r="R3" i="51"/>
  <c r="O3" i="51"/>
  <c r="U3" i="51"/>
  <c r="N3" i="51"/>
  <c r="Q3" i="51"/>
  <c r="S3" i="51"/>
  <c r="T3" i="51"/>
  <c r="M3" i="51"/>
  <c r="U4" i="51"/>
  <c r="M4" i="51"/>
  <c r="T4" i="51"/>
  <c r="R4" i="51"/>
  <c r="Q2" i="51"/>
  <c r="R2" i="51"/>
  <c r="T2" i="51"/>
  <c r="V2" i="51"/>
  <c r="U2" i="51"/>
  <c r="P2" i="51"/>
  <c r="O2" i="51"/>
  <c r="M2" i="51"/>
  <c r="N2" i="51"/>
  <c r="S2" i="51"/>
  <c r="C250" i="81" l="1"/>
  <c r="E250" i="81" s="1"/>
  <c r="D6" i="82" s="1"/>
  <c r="C251" i="84"/>
  <c r="E251" i="84" s="1"/>
  <c r="D7" i="85" s="1"/>
  <c r="C250" i="84"/>
  <c r="E250" i="84" s="1"/>
  <c r="D6" i="85" s="1"/>
  <c r="C251" i="75"/>
  <c r="E251" i="75" s="1"/>
  <c r="D7" i="76" s="1"/>
  <c r="R5" i="76" s="1"/>
  <c r="C250" i="75"/>
  <c r="E250" i="75" s="1"/>
  <c r="D6" i="76" s="1"/>
  <c r="C250" i="78"/>
  <c r="E250" i="78" s="1"/>
  <c r="D6" i="79" s="1"/>
  <c r="Q5" i="79" s="1"/>
  <c r="C251" i="78"/>
  <c r="E251" i="78" s="1"/>
  <c r="D7" i="79" s="1"/>
  <c r="C251" i="81"/>
  <c r="E251" i="81" s="1"/>
  <c r="D7" i="82" s="1"/>
  <c r="C250" i="83"/>
  <c r="E250" i="83" s="1"/>
  <c r="C249" i="83"/>
  <c r="E249" i="83" s="1"/>
  <c r="J258" i="83"/>
  <c r="L258" i="83" s="1"/>
  <c r="C249" i="77"/>
  <c r="E249" i="77" s="1"/>
  <c r="C250" i="77"/>
  <c r="E250" i="77" s="1"/>
  <c r="J258" i="77"/>
  <c r="L258" i="77" s="1"/>
  <c r="C249" i="80"/>
  <c r="E249" i="80" s="1"/>
  <c r="C250" i="80"/>
  <c r="E250" i="80" s="1"/>
  <c r="J258" i="80"/>
  <c r="L258" i="80" s="1"/>
  <c r="J258" i="74"/>
  <c r="L258" i="74" s="1"/>
  <c r="C249" i="74"/>
  <c r="E249" i="74" s="1"/>
  <c r="C250" i="74"/>
  <c r="E250" i="74" s="1"/>
  <c r="D29" i="88"/>
  <c r="F29" i="88" s="1"/>
  <c r="D4" i="72"/>
  <c r="D4" i="71"/>
  <c r="D8" i="71" s="1"/>
  <c r="E200" i="71" s="1"/>
  <c r="J233" i="71" s="1"/>
  <c r="J252" i="71" s="1"/>
  <c r="R5" i="82" l="1"/>
  <c r="E7" i="82"/>
  <c r="E193" i="71"/>
  <c r="J226" i="71" s="1"/>
  <c r="J245" i="71" s="1"/>
  <c r="F10" i="71"/>
  <c r="K251" i="71" s="1"/>
  <c r="E195" i="71"/>
  <c r="J228" i="71" s="1"/>
  <c r="J247" i="71" s="1"/>
  <c r="E6" i="76"/>
  <c r="Q5" i="76"/>
  <c r="Q5" i="85"/>
  <c r="E6" i="85"/>
  <c r="E6" i="82"/>
  <c r="Q5" i="82"/>
  <c r="R5" i="85"/>
  <c r="E7" i="85"/>
  <c r="E7" i="79"/>
  <c r="R5" i="79"/>
  <c r="E7" i="76"/>
  <c r="E6" i="79"/>
  <c r="E205" i="71"/>
  <c r="J238" i="71" s="1"/>
  <c r="J257" i="71" s="1"/>
  <c r="D5" i="71"/>
  <c r="E204" i="71"/>
  <c r="J237" i="71" s="1"/>
  <c r="J256" i="71" s="1"/>
  <c r="E196" i="71"/>
  <c r="J229" i="71" s="1"/>
  <c r="J248" i="71" s="1"/>
  <c r="E194" i="71"/>
  <c r="J227" i="71" s="1"/>
  <c r="J246" i="71" s="1"/>
  <c r="E198" i="71"/>
  <c r="J231" i="71" s="1"/>
  <c r="J250" i="71" s="1"/>
  <c r="E201" i="71"/>
  <c r="J234" i="71" s="1"/>
  <c r="J253" i="71" s="1"/>
  <c r="D10" i="71"/>
  <c r="E208" i="71"/>
  <c r="J241" i="71" s="1"/>
  <c r="J260" i="71" s="1"/>
  <c r="E206" i="71"/>
  <c r="J239" i="71" s="1"/>
  <c r="E199" i="71"/>
  <c r="J232" i="71" s="1"/>
  <c r="J251" i="71" s="1"/>
  <c r="E202" i="71"/>
  <c r="J235" i="71" s="1"/>
  <c r="J254" i="71" s="1"/>
  <c r="E197" i="71"/>
  <c r="J230" i="71" s="1"/>
  <c r="J249" i="71" s="1"/>
  <c r="E203" i="71"/>
  <c r="J236" i="71" s="1"/>
  <c r="J255" i="71" s="1"/>
  <c r="E207" i="71"/>
  <c r="J240" i="71" s="1"/>
  <c r="J259" i="71" s="1"/>
  <c r="K253" i="71" l="1"/>
  <c r="L253" i="71" s="1"/>
  <c r="K256" i="71"/>
  <c r="L256" i="71" s="1"/>
  <c r="K247" i="71"/>
  <c r="L247" i="71" s="1"/>
  <c r="K246" i="71"/>
  <c r="L246" i="71" s="1"/>
  <c r="K248" i="71"/>
  <c r="L248" i="71" s="1"/>
  <c r="K252" i="71"/>
  <c r="L252" i="71" s="1"/>
  <c r="K250" i="71"/>
  <c r="L250" i="71" s="1"/>
  <c r="K257" i="71"/>
  <c r="L257" i="71" s="1"/>
  <c r="K259" i="71"/>
  <c r="L259" i="71" s="1"/>
  <c r="D271" i="71" s="1"/>
  <c r="K245" i="71"/>
  <c r="L245" i="71" s="1"/>
  <c r="K255" i="71"/>
  <c r="L255" i="71" s="1"/>
  <c r="K249" i="71"/>
  <c r="L249" i="71" s="1"/>
  <c r="K254" i="71"/>
  <c r="L254" i="71" s="1"/>
  <c r="K260" i="71"/>
  <c r="L260" i="71" s="1"/>
  <c r="D272" i="71" s="1"/>
  <c r="E272" i="71" s="1"/>
  <c r="F272" i="71" s="1"/>
  <c r="L251" i="71"/>
  <c r="B194" i="71"/>
  <c r="C227" i="71" s="1"/>
  <c r="C246" i="71" s="1"/>
  <c r="B199" i="71"/>
  <c r="C232" i="71" s="1"/>
  <c r="C251" i="71" s="1"/>
  <c r="B193" i="71"/>
  <c r="B198" i="71"/>
  <c r="C231" i="71" s="1"/>
  <c r="B200" i="71"/>
  <c r="C233" i="71" s="1"/>
  <c r="C252" i="71" s="1"/>
  <c r="D7" i="71"/>
  <c r="B195" i="71"/>
  <c r="C228" i="71" s="1"/>
  <c r="C247" i="71" s="1"/>
  <c r="B201" i="71"/>
  <c r="C234" i="71" s="1"/>
  <c r="C253" i="71" s="1"/>
  <c r="B196" i="71"/>
  <c r="C229" i="71" s="1"/>
  <c r="C248" i="71" s="1"/>
  <c r="B197" i="71"/>
  <c r="C230" i="71" s="1"/>
  <c r="B202" i="71"/>
  <c r="C235" i="71" s="1"/>
  <c r="C254" i="71" s="1"/>
  <c r="F7" i="71"/>
  <c r="E209" i="71"/>
  <c r="D272" i="72" l="1"/>
  <c r="E272" i="72" s="1"/>
  <c r="L260" i="72" s="1"/>
  <c r="E29" i="73" s="1"/>
  <c r="F29" i="73" s="1"/>
  <c r="G29" i="73" s="1"/>
  <c r="H29" i="73" s="1"/>
  <c r="E271" i="71"/>
  <c r="F271" i="71" s="1"/>
  <c r="D273" i="72"/>
  <c r="E273" i="72" s="1"/>
  <c r="L261" i="72" s="1"/>
  <c r="E30" i="73" s="1"/>
  <c r="F30" i="73" s="1"/>
  <c r="G30" i="73" s="1"/>
  <c r="H30" i="73" s="1"/>
  <c r="D245" i="71"/>
  <c r="D254" i="71"/>
  <c r="E254" i="71" s="1"/>
  <c r="D269" i="71" s="1"/>
  <c r="D252" i="71"/>
  <c r="E252" i="71" s="1"/>
  <c r="D268" i="71" s="1"/>
  <c r="D247" i="71"/>
  <c r="E247" i="71" s="1"/>
  <c r="D251" i="71"/>
  <c r="E251" i="71" s="1"/>
  <c r="D246" i="71"/>
  <c r="E246" i="71" s="1"/>
  <c r="D253" i="71"/>
  <c r="E253" i="71" s="1"/>
  <c r="D267" i="71" s="1"/>
  <c r="D248" i="71"/>
  <c r="E248" i="71" s="1"/>
  <c r="D270" i="71" s="1"/>
  <c r="B203" i="71"/>
  <c r="C226" i="71"/>
  <c r="C245" i="71" s="1"/>
  <c r="E245" i="71" l="1"/>
  <c r="F272" i="72"/>
  <c r="F273" i="72"/>
  <c r="E269" i="71"/>
  <c r="F269" i="71" s="1"/>
  <c r="D270" i="72"/>
  <c r="E270" i="72" s="1"/>
  <c r="E267" i="71"/>
  <c r="F267" i="71" s="1"/>
  <c r="D268" i="72"/>
  <c r="E268" i="72" s="1"/>
  <c r="E270" i="71"/>
  <c r="F270" i="71" s="1"/>
  <c r="D271" i="72"/>
  <c r="E271" i="72" s="1"/>
  <c r="C38" i="73"/>
  <c r="D26" i="88"/>
  <c r="F26" i="88" s="1"/>
  <c r="C15" i="46"/>
  <c r="D15" i="46" s="1"/>
  <c r="E15" i="46" s="1"/>
  <c r="G15" i="46" s="1"/>
  <c r="H15" i="46" s="1"/>
  <c r="I15" i="46" s="1"/>
  <c r="J15" i="46" s="1"/>
  <c r="C18" i="46"/>
  <c r="D18" i="46" s="1"/>
  <c r="E18" i="46" s="1"/>
  <c r="G18" i="46" s="1"/>
  <c r="H18" i="46" s="1"/>
  <c r="I18" i="46" s="1"/>
  <c r="J18" i="46" s="1"/>
  <c r="C39" i="73"/>
  <c r="D27" i="88"/>
  <c r="F27" i="88" s="1"/>
  <c r="E268" i="71"/>
  <c r="F268" i="71" s="1"/>
  <c r="D269" i="72"/>
  <c r="E269" i="72" s="1"/>
  <c r="D9" i="72" l="1"/>
  <c r="E206" i="72" s="1"/>
  <c r="J239" i="72" s="1"/>
  <c r="J258" i="72" s="1"/>
  <c r="F271" i="72"/>
  <c r="E249" i="72"/>
  <c r="Q7" i="73"/>
  <c r="R7" i="73"/>
  <c r="E254" i="72"/>
  <c r="D10" i="73" s="1"/>
  <c r="F268" i="72"/>
  <c r="F273" i="71"/>
  <c r="F270" i="72"/>
  <c r="E255" i="72"/>
  <c r="D11" i="73" s="1"/>
  <c r="F269" i="72"/>
  <c r="E253" i="72"/>
  <c r="D9" i="73" s="1"/>
  <c r="R6" i="73"/>
  <c r="Q6" i="73"/>
  <c r="E209" i="72" l="1"/>
  <c r="J242" i="72" s="1"/>
  <c r="E199" i="72"/>
  <c r="J232" i="72" s="1"/>
  <c r="J251" i="72" s="1"/>
  <c r="E196" i="72"/>
  <c r="J229" i="72" s="1"/>
  <c r="J248" i="72" s="1"/>
  <c r="E208" i="72"/>
  <c r="J241" i="72" s="1"/>
  <c r="E195" i="72"/>
  <c r="J228" i="72" s="1"/>
  <c r="J247" i="72" s="1"/>
  <c r="E204" i="72"/>
  <c r="J237" i="72" s="1"/>
  <c r="J256" i="72" s="1"/>
  <c r="E197" i="72"/>
  <c r="J230" i="72" s="1"/>
  <c r="J249" i="72" s="1"/>
  <c r="E201" i="72"/>
  <c r="J234" i="72" s="1"/>
  <c r="J253" i="72" s="1"/>
  <c r="E200" i="72"/>
  <c r="J233" i="72" s="1"/>
  <c r="J252" i="72" s="1"/>
  <c r="E207" i="72"/>
  <c r="J240" i="72" s="1"/>
  <c r="E202" i="72"/>
  <c r="J235" i="72" s="1"/>
  <c r="J254" i="72" s="1"/>
  <c r="E203" i="72"/>
  <c r="J236" i="72" s="1"/>
  <c r="J255" i="72" s="1"/>
  <c r="E205" i="72"/>
  <c r="J238" i="72" s="1"/>
  <c r="J257" i="72" s="1"/>
  <c r="E194" i="72"/>
  <c r="J227" i="72" s="1"/>
  <c r="J246" i="72" s="1"/>
  <c r="F11" i="72"/>
  <c r="K257" i="72" s="1"/>
  <c r="D11" i="72"/>
  <c r="E198" i="72"/>
  <c r="J231" i="72" s="1"/>
  <c r="J250" i="72" s="1"/>
  <c r="D19" i="88"/>
  <c r="F19" i="88" s="1"/>
  <c r="V5" i="73"/>
  <c r="E11" i="73"/>
  <c r="V7" i="73"/>
  <c r="J4" i="46"/>
  <c r="V6" i="73"/>
  <c r="F274" i="72"/>
  <c r="D6" i="72"/>
  <c r="F249" i="72"/>
  <c r="D5" i="73"/>
  <c r="E9" i="73"/>
  <c r="T5" i="73"/>
  <c r="T6" i="73"/>
  <c r="D17" i="88"/>
  <c r="F17" i="88" s="1"/>
  <c r="T7" i="73"/>
  <c r="H4" i="46"/>
  <c r="U5" i="73"/>
  <c r="E10" i="73"/>
  <c r="U6" i="73"/>
  <c r="U7" i="73"/>
  <c r="D18" i="88"/>
  <c r="F18" i="88" s="1"/>
  <c r="I4" i="46"/>
  <c r="K246" i="72" l="1"/>
  <c r="L246" i="72" s="1"/>
  <c r="M246" i="72" s="1"/>
  <c r="K252" i="72"/>
  <c r="L252" i="72" s="1"/>
  <c r="M252" i="72" s="1"/>
  <c r="K248" i="72"/>
  <c r="L248" i="72" s="1"/>
  <c r="M248" i="72" s="1"/>
  <c r="K256" i="72"/>
  <c r="L256" i="72" s="1"/>
  <c r="M256" i="72" s="1"/>
  <c r="K250" i="72"/>
  <c r="L250" i="72" s="1"/>
  <c r="M250" i="72" s="1"/>
  <c r="K255" i="72"/>
  <c r="L255" i="72" s="1"/>
  <c r="M255" i="72" s="1"/>
  <c r="K249" i="72"/>
  <c r="L249" i="72" s="1"/>
  <c r="E18" i="73" s="1"/>
  <c r="F18" i="73" s="1"/>
  <c r="K251" i="72"/>
  <c r="L251" i="72" s="1"/>
  <c r="M251" i="72" s="1"/>
  <c r="L257" i="72"/>
  <c r="E26" i="73" s="1"/>
  <c r="F26" i="73" s="1"/>
  <c r="E210" i="72"/>
  <c r="K247" i="72"/>
  <c r="L247" i="72" s="1"/>
  <c r="M247" i="72" s="1"/>
  <c r="K254" i="72"/>
  <c r="L254" i="72" s="1"/>
  <c r="E23" i="73" s="1"/>
  <c r="F23" i="73" s="1"/>
  <c r="K258" i="72"/>
  <c r="L258" i="72" s="1"/>
  <c r="E27" i="73" s="1"/>
  <c r="F27" i="73" s="1"/>
  <c r="K253" i="72"/>
  <c r="L253" i="72" s="1"/>
  <c r="M253" i="72" s="1"/>
  <c r="P6" i="73"/>
  <c r="P5" i="73"/>
  <c r="P7" i="73"/>
  <c r="E5" i="73"/>
  <c r="D15" i="88"/>
  <c r="F15" i="88" s="1"/>
  <c r="F4" i="46"/>
  <c r="H16" i="46"/>
  <c r="H19" i="46"/>
  <c r="J19" i="46"/>
  <c r="J16" i="46"/>
  <c r="B197" i="72"/>
  <c r="C230" i="72" s="1"/>
  <c r="B202" i="72"/>
  <c r="C235" i="72" s="1"/>
  <c r="B199" i="72"/>
  <c r="C232" i="72" s="1"/>
  <c r="D8" i="72"/>
  <c r="B200" i="72"/>
  <c r="C233" i="72" s="1"/>
  <c r="C252" i="72" s="1"/>
  <c r="B201" i="72"/>
  <c r="C234" i="72" s="1"/>
  <c r="B196" i="72"/>
  <c r="C229" i="72" s="1"/>
  <c r="C248" i="72" s="1"/>
  <c r="B198" i="72"/>
  <c r="C231" i="72" s="1"/>
  <c r="F8" i="72"/>
  <c r="D5" i="72"/>
  <c r="B195" i="72"/>
  <c r="C228" i="72" s="1"/>
  <c r="C247" i="72" s="1"/>
  <c r="B194" i="72"/>
  <c r="B203" i="72"/>
  <c r="C236" i="72" s="1"/>
  <c r="I19" i="46"/>
  <c r="I16" i="46"/>
  <c r="E21" i="73" l="1"/>
  <c r="F21" i="73" s="1"/>
  <c r="E25" i="73"/>
  <c r="F25" i="73" s="1"/>
  <c r="E17" i="73"/>
  <c r="F17" i="73" s="1"/>
  <c r="M257" i="72"/>
  <c r="E20" i="73"/>
  <c r="F20" i="73" s="1"/>
  <c r="E15" i="73"/>
  <c r="F15" i="73" s="1"/>
  <c r="E24" i="73"/>
  <c r="F24" i="73" s="1"/>
  <c r="E19" i="73"/>
  <c r="F19" i="73" s="1"/>
  <c r="E16" i="73"/>
  <c r="F16" i="73" s="1"/>
  <c r="M249" i="72"/>
  <c r="E22" i="73"/>
  <c r="F22" i="73" s="1"/>
  <c r="M254" i="72"/>
  <c r="M258" i="72"/>
  <c r="C227" i="72"/>
  <c r="C246" i="72" s="1"/>
  <c r="B204" i="72"/>
  <c r="D246" i="72"/>
  <c r="D247" i="72"/>
  <c r="E247" i="72" s="1"/>
  <c r="D252" i="72"/>
  <c r="E252" i="72" s="1"/>
  <c r="D248" i="72"/>
  <c r="E248" i="72" s="1"/>
  <c r="D249" i="72"/>
  <c r="G27" i="73" l="1"/>
  <c r="H27" i="73" s="1"/>
  <c r="C9" i="46" s="1"/>
  <c r="D9" i="46" s="1"/>
  <c r="E9" i="46" s="1"/>
  <c r="G9" i="46" s="1"/>
  <c r="H9" i="46" s="1"/>
  <c r="I9" i="46" s="1"/>
  <c r="G23" i="73"/>
  <c r="H23" i="73" s="1"/>
  <c r="C35" i="73" s="1"/>
  <c r="R3" i="73" s="1"/>
  <c r="G18" i="73"/>
  <c r="H18" i="73" s="1"/>
  <c r="D6" i="46" s="1"/>
  <c r="F31" i="73"/>
  <c r="M260" i="72"/>
  <c r="F248" i="72"/>
  <c r="D4" i="73"/>
  <c r="F252" i="72"/>
  <c r="D8" i="73"/>
  <c r="D3" i="73"/>
  <c r="F247" i="72"/>
  <c r="E246" i="72"/>
  <c r="H10" i="46" l="1"/>
  <c r="D25" i="88"/>
  <c r="F25" i="88" s="1"/>
  <c r="C36" i="73"/>
  <c r="R4" i="73" s="1"/>
  <c r="P3" i="73"/>
  <c r="U3" i="73"/>
  <c r="G31" i="73"/>
  <c r="D24" i="88"/>
  <c r="F24" i="88" s="1"/>
  <c r="V3" i="73"/>
  <c r="T3" i="73"/>
  <c r="Q3" i="73"/>
  <c r="C12" i="46"/>
  <c r="D12" i="46" s="1"/>
  <c r="E12" i="46" s="1"/>
  <c r="G12" i="46" s="1"/>
  <c r="H12" i="46" s="1"/>
  <c r="H13" i="46" s="1"/>
  <c r="G6" i="46"/>
  <c r="F6" i="46"/>
  <c r="F7" i="46" s="1"/>
  <c r="J6" i="46"/>
  <c r="J7" i="46" s="1"/>
  <c r="C34" i="73"/>
  <c r="R2" i="73" s="1"/>
  <c r="I6" i="46"/>
  <c r="I7" i="46" s="1"/>
  <c r="E6" i="46"/>
  <c r="D23" i="88"/>
  <c r="F23" i="88" s="1"/>
  <c r="C6" i="46"/>
  <c r="H6" i="46"/>
  <c r="H7" i="46" s="1"/>
  <c r="S6" i="73"/>
  <c r="S5" i="73"/>
  <c r="E8" i="73"/>
  <c r="S3" i="73"/>
  <c r="D16" i="88"/>
  <c r="F16" i="88" s="1"/>
  <c r="S7" i="73"/>
  <c r="G4" i="46"/>
  <c r="J9" i="46"/>
  <c r="J10" i="46" s="1"/>
  <c r="I10" i="46"/>
  <c r="N5" i="73"/>
  <c r="E3" i="73"/>
  <c r="D4" i="46"/>
  <c r="N3" i="73"/>
  <c r="N7" i="73"/>
  <c r="D13" i="88"/>
  <c r="F13" i="88" s="1"/>
  <c r="N6" i="73"/>
  <c r="O3" i="73"/>
  <c r="O7" i="73"/>
  <c r="O5" i="73"/>
  <c r="E4" i="46"/>
  <c r="O6" i="73"/>
  <c r="D14" i="88"/>
  <c r="F14" i="88" s="1"/>
  <c r="E4" i="73"/>
  <c r="F246" i="72"/>
  <c r="F254" i="72" s="1"/>
  <c r="F276" i="72" s="1"/>
  <c r="F277" i="72" s="1"/>
  <c r="D2" i="73"/>
  <c r="Q4" i="73" l="1"/>
  <c r="T4" i="73"/>
  <c r="U4" i="73"/>
  <c r="V4" i="73"/>
  <c r="P4" i="73"/>
  <c r="S4" i="73"/>
  <c r="O4" i="73"/>
  <c r="N4" i="73"/>
  <c r="I12" i="46"/>
  <c r="J12" i="46" s="1"/>
  <c r="J13" i="46" s="1"/>
  <c r="S2" i="73"/>
  <c r="P2" i="73"/>
  <c r="N2" i="73"/>
  <c r="U2" i="73"/>
  <c r="Q2" i="73"/>
  <c r="V2" i="73"/>
  <c r="O2" i="73"/>
  <c r="T2" i="73"/>
  <c r="M6" i="73"/>
  <c r="M4" i="73"/>
  <c r="M2" i="73"/>
  <c r="M7" i="73"/>
  <c r="C4" i="46"/>
  <c r="M5" i="73"/>
  <c r="D12" i="88"/>
  <c r="F12" i="88" s="1"/>
  <c r="E2" i="73"/>
  <c r="E12" i="73" s="1"/>
  <c r="M3" i="73"/>
  <c r="D13" i="46"/>
  <c r="D16" i="46"/>
  <c r="D10" i="46"/>
  <c r="D7" i="46"/>
  <c r="D19" i="46"/>
  <c r="G16" i="46"/>
  <c r="G10" i="46"/>
  <c r="G13" i="46"/>
  <c r="G7" i="46"/>
  <c r="G19" i="46"/>
  <c r="E16" i="46"/>
  <c r="E7" i="46"/>
  <c r="E19" i="46"/>
  <c r="E13" i="46"/>
  <c r="E10" i="46"/>
  <c r="I13" i="46" l="1"/>
  <c r="C16" i="46"/>
  <c r="C19" i="46"/>
  <c r="C13" i="46"/>
  <c r="C10" i="46"/>
  <c r="C7" i="46"/>
  <c r="L29" i="88"/>
  <c r="H29" i="88"/>
  <c r="N29" i="88"/>
  <c r="J29" i="88"/>
  <c r="D4" i="78"/>
  <c r="D4" i="75"/>
  <c r="D4" i="81"/>
  <c r="D4" i="83"/>
  <c r="D5" i="83" s="1"/>
  <c r="D4" i="84"/>
  <c r="D4" i="77"/>
  <c r="D5" i="77" s="1"/>
  <c r="D4" i="80"/>
  <c r="D8" i="80" s="1"/>
  <c r="D4" i="74"/>
  <c r="D5" i="74" s="1"/>
  <c r="D5" i="80" l="1"/>
  <c r="B200" i="80" s="1"/>
  <c r="C233" i="80" s="1"/>
  <c r="C252" i="80" s="1"/>
  <c r="B201" i="77"/>
  <c r="C234" i="77" s="1"/>
  <c r="C253" i="77" s="1"/>
  <c r="D7" i="77"/>
  <c r="B202" i="77"/>
  <c r="C235" i="77" s="1"/>
  <c r="C254" i="77" s="1"/>
  <c r="B199" i="77"/>
  <c r="C232" i="77" s="1"/>
  <c r="C251" i="77" s="1"/>
  <c r="D8" i="77"/>
  <c r="F10" i="77" s="1"/>
  <c r="K249" i="77" s="1"/>
  <c r="B194" i="80"/>
  <c r="C227" i="80" s="1"/>
  <c r="C246" i="80" s="1"/>
  <c r="B195" i="80"/>
  <c r="C228" i="80" s="1"/>
  <c r="C247" i="80" s="1"/>
  <c r="B193" i="80"/>
  <c r="D7" i="80"/>
  <c r="B198" i="80"/>
  <c r="C231" i="80" s="1"/>
  <c r="B196" i="80"/>
  <c r="C229" i="80" s="1"/>
  <c r="C248" i="80" s="1"/>
  <c r="F7" i="80"/>
  <c r="E194" i="80"/>
  <c r="J227" i="80" s="1"/>
  <c r="J246" i="80" s="1"/>
  <c r="E201" i="80"/>
  <c r="J234" i="80" s="1"/>
  <c r="J253" i="80" s="1"/>
  <c r="E199" i="80"/>
  <c r="J232" i="80" s="1"/>
  <c r="J251" i="80" s="1"/>
  <c r="E205" i="80"/>
  <c r="J238" i="80" s="1"/>
  <c r="J257" i="80" s="1"/>
  <c r="E196" i="80"/>
  <c r="J229" i="80" s="1"/>
  <c r="J248" i="80" s="1"/>
  <c r="E206" i="80"/>
  <c r="J239" i="80" s="1"/>
  <c r="E197" i="80"/>
  <c r="J230" i="80" s="1"/>
  <c r="J249" i="80" s="1"/>
  <c r="E204" i="80"/>
  <c r="J237" i="80" s="1"/>
  <c r="J256" i="80" s="1"/>
  <c r="E193" i="80"/>
  <c r="E195" i="80"/>
  <c r="J228" i="80" s="1"/>
  <c r="J247" i="80" s="1"/>
  <c r="E202" i="80"/>
  <c r="J235" i="80" s="1"/>
  <c r="J254" i="80" s="1"/>
  <c r="E200" i="80"/>
  <c r="J233" i="80" s="1"/>
  <c r="J252" i="80" s="1"/>
  <c r="E198" i="80"/>
  <c r="J231" i="80" s="1"/>
  <c r="J250" i="80" s="1"/>
  <c r="D10" i="80"/>
  <c r="E203" i="80"/>
  <c r="J236" i="80" s="1"/>
  <c r="J255" i="80" s="1"/>
  <c r="E207" i="80"/>
  <c r="J240" i="80" s="1"/>
  <c r="J259" i="80" s="1"/>
  <c r="F10" i="80"/>
  <c r="E208" i="80"/>
  <c r="J241" i="80" s="1"/>
  <c r="J260" i="80" s="1"/>
  <c r="B196" i="83"/>
  <c r="C229" i="83" s="1"/>
  <c r="C248" i="83" s="1"/>
  <c r="B194" i="83"/>
  <c r="C227" i="83" s="1"/>
  <c r="C246" i="83" s="1"/>
  <c r="B201" i="83"/>
  <c r="C234" i="83" s="1"/>
  <c r="C253" i="83" s="1"/>
  <c r="B193" i="83"/>
  <c r="B197" i="83"/>
  <c r="C230" i="83" s="1"/>
  <c r="B200" i="83"/>
  <c r="C233" i="83" s="1"/>
  <c r="C252" i="83" s="1"/>
  <c r="B202" i="83"/>
  <c r="C235" i="83" s="1"/>
  <c r="C254" i="83" s="1"/>
  <c r="B195" i="83"/>
  <c r="C228" i="83" s="1"/>
  <c r="C247" i="83" s="1"/>
  <c r="B198" i="83"/>
  <c r="C231" i="83" s="1"/>
  <c r="B199" i="83"/>
  <c r="C232" i="83" s="1"/>
  <c r="C251" i="83" s="1"/>
  <c r="D7" i="83"/>
  <c r="F7" i="83"/>
  <c r="B196" i="74"/>
  <c r="C229" i="74" s="1"/>
  <c r="C248" i="74" s="1"/>
  <c r="B200" i="74"/>
  <c r="C233" i="74" s="1"/>
  <c r="C252" i="74" s="1"/>
  <c r="B199" i="74"/>
  <c r="C232" i="74" s="1"/>
  <c r="C251" i="74" s="1"/>
  <c r="B201" i="74"/>
  <c r="C234" i="74" s="1"/>
  <c r="C253" i="74" s="1"/>
  <c r="B195" i="74"/>
  <c r="C228" i="74" s="1"/>
  <c r="C247" i="74" s="1"/>
  <c r="B193" i="74"/>
  <c r="D7" i="74"/>
  <c r="B197" i="74"/>
  <c r="C230" i="74" s="1"/>
  <c r="B194" i="74"/>
  <c r="C227" i="74" s="1"/>
  <c r="C246" i="74" s="1"/>
  <c r="F7" i="74"/>
  <c r="B202" i="74"/>
  <c r="C235" i="74" s="1"/>
  <c r="C254" i="74" s="1"/>
  <c r="B198" i="74"/>
  <c r="C231" i="74" s="1"/>
  <c r="E206" i="77"/>
  <c r="J239" i="77" s="1"/>
  <c r="D8" i="83"/>
  <c r="D8" i="74"/>
  <c r="B194" i="77"/>
  <c r="C227" i="77" s="1"/>
  <c r="C246" i="77" s="1"/>
  <c r="E195" i="77"/>
  <c r="J228" i="77" s="1"/>
  <c r="J247" i="77" s="1"/>
  <c r="B198" i="77"/>
  <c r="C231" i="77" s="1"/>
  <c r="B200" i="77"/>
  <c r="C233" i="77" s="1"/>
  <c r="C252" i="77" s="1"/>
  <c r="F7" i="77"/>
  <c r="B196" i="77"/>
  <c r="C229" i="77" s="1"/>
  <c r="C248" i="77" s="1"/>
  <c r="B195" i="77"/>
  <c r="C228" i="77" s="1"/>
  <c r="C247" i="77" s="1"/>
  <c r="B197" i="77"/>
  <c r="C230" i="77" s="1"/>
  <c r="B193" i="77"/>
  <c r="E200" i="77" l="1"/>
  <c r="J233" i="77" s="1"/>
  <c r="J252" i="77" s="1"/>
  <c r="E203" i="77"/>
  <c r="J236" i="77" s="1"/>
  <c r="J255" i="77" s="1"/>
  <c r="B197" i="80"/>
  <c r="C230" i="80" s="1"/>
  <c r="E196" i="77"/>
  <c r="J229" i="77" s="1"/>
  <c r="J248" i="77" s="1"/>
  <c r="B201" i="80"/>
  <c r="C234" i="80" s="1"/>
  <c r="C253" i="80" s="1"/>
  <c r="E207" i="77"/>
  <c r="J240" i="77" s="1"/>
  <c r="J259" i="77" s="1"/>
  <c r="B202" i="80"/>
  <c r="C235" i="80" s="1"/>
  <c r="C254" i="80" s="1"/>
  <c r="E199" i="77"/>
  <c r="J232" i="77" s="1"/>
  <c r="J251" i="77" s="1"/>
  <c r="B199" i="80"/>
  <c r="C232" i="80" s="1"/>
  <c r="C251" i="80" s="1"/>
  <c r="E198" i="77"/>
  <c r="J231" i="77" s="1"/>
  <c r="J250" i="77" s="1"/>
  <c r="E205" i="77"/>
  <c r="J238" i="77" s="1"/>
  <c r="J257" i="77" s="1"/>
  <c r="K251" i="77"/>
  <c r="E204" i="77"/>
  <c r="J237" i="77" s="1"/>
  <c r="J256" i="77" s="1"/>
  <c r="K254" i="77"/>
  <c r="K260" i="77"/>
  <c r="K253" i="77"/>
  <c r="E208" i="77"/>
  <c r="J241" i="77" s="1"/>
  <c r="J260" i="77" s="1"/>
  <c r="K256" i="77"/>
  <c r="K250" i="77"/>
  <c r="K252" i="77"/>
  <c r="L252" i="77" s="1"/>
  <c r="K245" i="77"/>
  <c r="K246" i="77"/>
  <c r="E194" i="77"/>
  <c r="J227" i="77" s="1"/>
  <c r="J246" i="77" s="1"/>
  <c r="K255" i="77"/>
  <c r="L255" i="77" s="1"/>
  <c r="E197" i="77"/>
  <c r="J230" i="77" s="1"/>
  <c r="J249" i="77" s="1"/>
  <c r="L249" i="77" s="1"/>
  <c r="E201" i="77"/>
  <c r="J234" i="77" s="1"/>
  <c r="J253" i="77" s="1"/>
  <c r="K248" i="77"/>
  <c r="K247" i="77"/>
  <c r="L247" i="77" s="1"/>
  <c r="K257" i="77"/>
  <c r="D10" i="77"/>
  <c r="E202" i="77"/>
  <c r="J235" i="77" s="1"/>
  <c r="J254" i="77" s="1"/>
  <c r="E193" i="77"/>
  <c r="J226" i="77" s="1"/>
  <c r="J245" i="77" s="1"/>
  <c r="K259" i="77"/>
  <c r="D251" i="77"/>
  <c r="E251" i="77" s="1"/>
  <c r="D247" i="77"/>
  <c r="E247" i="77" s="1"/>
  <c r="D245" i="77"/>
  <c r="D248" i="77"/>
  <c r="E248" i="77" s="1"/>
  <c r="D270" i="77" s="1"/>
  <c r="D246" i="77"/>
  <c r="E246" i="77" s="1"/>
  <c r="D254" i="77"/>
  <c r="E254" i="77" s="1"/>
  <c r="D269" i="77" s="1"/>
  <c r="D252" i="77"/>
  <c r="E252" i="77" s="1"/>
  <c r="D268" i="77" s="1"/>
  <c r="D253" i="77"/>
  <c r="E253" i="77" s="1"/>
  <c r="D267" i="77" s="1"/>
  <c r="K257" i="80"/>
  <c r="L257" i="80" s="1"/>
  <c r="K246" i="80"/>
  <c r="L246" i="80" s="1"/>
  <c r="K259" i="80"/>
  <c r="L259" i="80" s="1"/>
  <c r="D271" i="80" s="1"/>
  <c r="K245" i="80"/>
  <c r="K251" i="80"/>
  <c r="L251" i="80" s="1"/>
  <c r="K254" i="80"/>
  <c r="L254" i="80" s="1"/>
  <c r="K247" i="80"/>
  <c r="L247" i="80" s="1"/>
  <c r="K249" i="80"/>
  <c r="L249" i="80" s="1"/>
  <c r="K255" i="80"/>
  <c r="L255" i="80" s="1"/>
  <c r="K253" i="80"/>
  <c r="L253" i="80" s="1"/>
  <c r="K250" i="80"/>
  <c r="L250" i="80" s="1"/>
  <c r="K248" i="80"/>
  <c r="L248" i="80" s="1"/>
  <c r="K256" i="80"/>
  <c r="L256" i="80" s="1"/>
  <c r="K252" i="80"/>
  <c r="L252" i="80" s="1"/>
  <c r="K260" i="80"/>
  <c r="L260" i="80" s="1"/>
  <c r="D272" i="80" s="1"/>
  <c r="J226" i="80"/>
  <c r="J245" i="80" s="1"/>
  <c r="E209" i="80"/>
  <c r="D248" i="80"/>
  <c r="E248" i="80" s="1"/>
  <c r="D270" i="80" s="1"/>
  <c r="D254" i="80"/>
  <c r="D245" i="80"/>
  <c r="D252" i="80"/>
  <c r="E252" i="80" s="1"/>
  <c r="D268" i="80" s="1"/>
  <c r="D251" i="80"/>
  <c r="D253" i="80"/>
  <c r="D247" i="80"/>
  <c r="E247" i="80" s="1"/>
  <c r="D246" i="80"/>
  <c r="E246" i="80" s="1"/>
  <c r="C226" i="74"/>
  <c r="C245" i="74" s="1"/>
  <c r="B203" i="74"/>
  <c r="D245" i="83"/>
  <c r="D253" i="83"/>
  <c r="E253" i="83" s="1"/>
  <c r="D267" i="83" s="1"/>
  <c r="D251" i="83"/>
  <c r="E251" i="83" s="1"/>
  <c r="D252" i="83"/>
  <c r="E252" i="83" s="1"/>
  <c r="D268" i="83" s="1"/>
  <c r="D246" i="83"/>
  <c r="E246" i="83" s="1"/>
  <c r="D254" i="83"/>
  <c r="E254" i="83" s="1"/>
  <c r="D269" i="83" s="1"/>
  <c r="D248" i="83"/>
  <c r="E248" i="83" s="1"/>
  <c r="D270" i="83" s="1"/>
  <c r="D247" i="83"/>
  <c r="E247" i="83" s="1"/>
  <c r="E200" i="74"/>
  <c r="J233" i="74" s="1"/>
  <c r="J252" i="74" s="1"/>
  <c r="E206" i="74"/>
  <c r="J239" i="74" s="1"/>
  <c r="E203" i="74"/>
  <c r="J236" i="74" s="1"/>
  <c r="J255" i="74" s="1"/>
  <c r="E197" i="74"/>
  <c r="J230" i="74" s="1"/>
  <c r="J249" i="74" s="1"/>
  <c r="E195" i="74"/>
  <c r="J228" i="74" s="1"/>
  <c r="J247" i="74" s="1"/>
  <c r="E205" i="74"/>
  <c r="J238" i="74" s="1"/>
  <c r="J257" i="74" s="1"/>
  <c r="E199" i="74"/>
  <c r="J232" i="74" s="1"/>
  <c r="J251" i="74" s="1"/>
  <c r="E202" i="74"/>
  <c r="J235" i="74" s="1"/>
  <c r="J254" i="74" s="1"/>
  <c r="E204" i="74"/>
  <c r="J237" i="74" s="1"/>
  <c r="J256" i="74" s="1"/>
  <c r="E196" i="74"/>
  <c r="J229" i="74" s="1"/>
  <c r="J248" i="74" s="1"/>
  <c r="E198" i="74"/>
  <c r="J231" i="74" s="1"/>
  <c r="J250" i="74" s="1"/>
  <c r="E201" i="74"/>
  <c r="J234" i="74" s="1"/>
  <c r="J253" i="74" s="1"/>
  <c r="E207" i="74"/>
  <c r="J240" i="74" s="1"/>
  <c r="J259" i="74" s="1"/>
  <c r="E208" i="74"/>
  <c r="J241" i="74" s="1"/>
  <c r="J260" i="74" s="1"/>
  <c r="D10" i="74"/>
  <c r="E193" i="74"/>
  <c r="E194" i="74"/>
  <c r="J227" i="74" s="1"/>
  <c r="J246" i="74" s="1"/>
  <c r="F10" i="74"/>
  <c r="B203" i="77"/>
  <c r="C226" i="77"/>
  <c r="C245" i="77" s="1"/>
  <c r="D253" i="74"/>
  <c r="E253" i="74" s="1"/>
  <c r="D267" i="74" s="1"/>
  <c r="D247" i="74"/>
  <c r="E247" i="74" s="1"/>
  <c r="D252" i="74"/>
  <c r="E252" i="74" s="1"/>
  <c r="D268" i="74" s="1"/>
  <c r="D251" i="74"/>
  <c r="E251" i="74" s="1"/>
  <c r="D245" i="74"/>
  <c r="D248" i="74"/>
  <c r="E248" i="74" s="1"/>
  <c r="D270" i="74" s="1"/>
  <c r="D246" i="74"/>
  <c r="E246" i="74" s="1"/>
  <c r="D254" i="74"/>
  <c r="E254" i="74" s="1"/>
  <c r="D269" i="74" s="1"/>
  <c r="C226" i="83"/>
  <c r="C245" i="83" s="1"/>
  <c r="B203" i="83"/>
  <c r="E201" i="83"/>
  <c r="J234" i="83" s="1"/>
  <c r="J253" i="83" s="1"/>
  <c r="E200" i="83"/>
  <c r="J233" i="83" s="1"/>
  <c r="J252" i="83" s="1"/>
  <c r="E197" i="83"/>
  <c r="J230" i="83" s="1"/>
  <c r="J249" i="83" s="1"/>
  <c r="E203" i="83"/>
  <c r="J236" i="83" s="1"/>
  <c r="J255" i="83" s="1"/>
  <c r="E206" i="83"/>
  <c r="J239" i="83" s="1"/>
  <c r="E198" i="83"/>
  <c r="J231" i="83" s="1"/>
  <c r="J250" i="83" s="1"/>
  <c r="E202" i="83"/>
  <c r="J235" i="83" s="1"/>
  <c r="J254" i="83" s="1"/>
  <c r="E193" i="83"/>
  <c r="E207" i="83"/>
  <c r="J240" i="83" s="1"/>
  <c r="J259" i="83" s="1"/>
  <c r="E205" i="83"/>
  <c r="J238" i="83" s="1"/>
  <c r="J257" i="83" s="1"/>
  <c r="E208" i="83"/>
  <c r="J241" i="83" s="1"/>
  <c r="J260" i="83" s="1"/>
  <c r="E196" i="83"/>
  <c r="J229" i="83" s="1"/>
  <c r="J248" i="83" s="1"/>
  <c r="E195" i="83"/>
  <c r="J228" i="83" s="1"/>
  <c r="J247" i="83" s="1"/>
  <c r="E199" i="83"/>
  <c r="J232" i="83" s="1"/>
  <c r="J251" i="83" s="1"/>
  <c r="F10" i="83"/>
  <c r="E194" i="83"/>
  <c r="J227" i="83" s="1"/>
  <c r="J246" i="83" s="1"/>
  <c r="D10" i="83"/>
  <c r="E204" i="83"/>
  <c r="J237" i="83" s="1"/>
  <c r="J256" i="83" s="1"/>
  <c r="C226" i="80"/>
  <c r="C245" i="80" s="1"/>
  <c r="L248" i="77" l="1"/>
  <c r="L251" i="77"/>
  <c r="B203" i="80"/>
  <c r="L259" i="77"/>
  <c r="D271" i="77" s="1"/>
  <c r="D272" i="78" s="1"/>
  <c r="E272" i="78" s="1"/>
  <c r="L260" i="78" s="1"/>
  <c r="E29" i="79" s="1"/>
  <c r="F29" i="79" s="1"/>
  <c r="G29" i="79" s="1"/>
  <c r="H29" i="79" s="1"/>
  <c r="L250" i="77"/>
  <c r="E254" i="80"/>
  <c r="D269" i="80" s="1"/>
  <c r="E269" i="80" s="1"/>
  <c r="F269" i="80" s="1"/>
  <c r="E253" i="80"/>
  <c r="D267" i="80" s="1"/>
  <c r="D268" i="81" s="1"/>
  <c r="E268" i="81" s="1"/>
  <c r="E251" i="80"/>
  <c r="L260" i="77"/>
  <c r="D272" i="77" s="1"/>
  <c r="E272" i="77" s="1"/>
  <c r="F272" i="77" s="1"/>
  <c r="L256" i="77"/>
  <c r="L246" i="77"/>
  <c r="L257" i="77"/>
  <c r="L254" i="77"/>
  <c r="L253" i="77"/>
  <c r="L245" i="77"/>
  <c r="E245" i="77"/>
  <c r="E209" i="77"/>
  <c r="E245" i="83"/>
  <c r="L245" i="80"/>
  <c r="E245" i="80"/>
  <c r="D268" i="84"/>
  <c r="E268" i="84" s="1"/>
  <c r="E267" i="83"/>
  <c r="F267" i="83" s="1"/>
  <c r="D271" i="75"/>
  <c r="E271" i="75" s="1"/>
  <c r="E270" i="74"/>
  <c r="F270" i="74" s="1"/>
  <c r="D270" i="84"/>
  <c r="E270" i="84" s="1"/>
  <c r="E269" i="83"/>
  <c r="F269" i="83" s="1"/>
  <c r="E268" i="74"/>
  <c r="F268" i="74" s="1"/>
  <c r="D269" i="75"/>
  <c r="E269" i="75" s="1"/>
  <c r="E268" i="83"/>
  <c r="F268" i="83" s="1"/>
  <c r="D269" i="84"/>
  <c r="E269" i="84" s="1"/>
  <c r="D270" i="75"/>
  <c r="E270" i="75" s="1"/>
  <c r="E269" i="74"/>
  <c r="F269" i="74" s="1"/>
  <c r="E268" i="77"/>
  <c r="F268" i="77" s="1"/>
  <c r="D269" i="78"/>
  <c r="E269" i="78" s="1"/>
  <c r="D270" i="78"/>
  <c r="E270" i="78" s="1"/>
  <c r="E269" i="77"/>
  <c r="F269" i="77" s="1"/>
  <c r="D271" i="84"/>
  <c r="E271" i="84" s="1"/>
  <c r="E270" i="83"/>
  <c r="F270" i="83" s="1"/>
  <c r="D268" i="75"/>
  <c r="E268" i="75" s="1"/>
  <c r="E267" i="74"/>
  <c r="F267" i="74" s="1"/>
  <c r="J226" i="83"/>
  <c r="J245" i="83" s="1"/>
  <c r="E209" i="83"/>
  <c r="D271" i="78"/>
  <c r="E271" i="78" s="1"/>
  <c r="E270" i="77"/>
  <c r="F270" i="77" s="1"/>
  <c r="K245" i="74"/>
  <c r="K253" i="74"/>
  <c r="L253" i="74" s="1"/>
  <c r="K260" i="74"/>
  <c r="L260" i="74" s="1"/>
  <c r="D272" i="74" s="1"/>
  <c r="K247" i="74"/>
  <c r="L247" i="74" s="1"/>
  <c r="K246" i="74"/>
  <c r="L246" i="74" s="1"/>
  <c r="K252" i="74"/>
  <c r="L252" i="74" s="1"/>
  <c r="K251" i="74"/>
  <c r="L251" i="74" s="1"/>
  <c r="K250" i="74"/>
  <c r="L250" i="74" s="1"/>
  <c r="K255" i="74"/>
  <c r="L255" i="74" s="1"/>
  <c r="K248" i="74"/>
  <c r="L248" i="74" s="1"/>
  <c r="K257" i="74"/>
  <c r="L257" i="74" s="1"/>
  <c r="K256" i="74"/>
  <c r="L256" i="74" s="1"/>
  <c r="K254" i="74"/>
  <c r="L254" i="74" s="1"/>
  <c r="K259" i="74"/>
  <c r="L259" i="74" s="1"/>
  <c r="D271" i="74" s="1"/>
  <c r="K249" i="74"/>
  <c r="L249" i="74" s="1"/>
  <c r="E271" i="80"/>
  <c r="F271" i="80" s="1"/>
  <c r="D272" i="81"/>
  <c r="E272" i="81" s="1"/>
  <c r="K251" i="83"/>
  <c r="L251" i="83" s="1"/>
  <c r="K260" i="83"/>
  <c r="L260" i="83" s="1"/>
  <c r="D272" i="83" s="1"/>
  <c r="K248" i="83"/>
  <c r="L248" i="83" s="1"/>
  <c r="K259" i="83"/>
  <c r="L259" i="83" s="1"/>
  <c r="D271" i="83" s="1"/>
  <c r="K253" i="83"/>
  <c r="L253" i="83" s="1"/>
  <c r="K250" i="83"/>
  <c r="L250" i="83" s="1"/>
  <c r="K246" i="83"/>
  <c r="L246" i="83" s="1"/>
  <c r="K245" i="83"/>
  <c r="K247" i="83"/>
  <c r="L247" i="83" s="1"/>
  <c r="K256" i="83"/>
  <c r="L256" i="83" s="1"/>
  <c r="K252" i="83"/>
  <c r="L252" i="83" s="1"/>
  <c r="K255" i="83"/>
  <c r="L255" i="83" s="1"/>
  <c r="K254" i="83"/>
  <c r="L254" i="83" s="1"/>
  <c r="K249" i="83"/>
  <c r="L249" i="83" s="1"/>
  <c r="K257" i="83"/>
  <c r="L257" i="83" s="1"/>
  <c r="D269" i="81"/>
  <c r="E269" i="81" s="1"/>
  <c r="E268" i="80"/>
  <c r="F268" i="80" s="1"/>
  <c r="J226" i="74"/>
  <c r="J245" i="74" s="1"/>
  <c r="E209" i="74"/>
  <c r="E272" i="80"/>
  <c r="F272" i="80" s="1"/>
  <c r="D273" i="81"/>
  <c r="E273" i="81" s="1"/>
  <c r="E270" i="80"/>
  <c r="F270" i="80" s="1"/>
  <c r="D271" i="81"/>
  <c r="E271" i="81" s="1"/>
  <c r="E245" i="74"/>
  <c r="E267" i="77"/>
  <c r="F267" i="77" s="1"/>
  <c r="D268" i="78"/>
  <c r="E268" i="78" s="1"/>
  <c r="D270" i="81" l="1"/>
  <c r="E270" i="81" s="1"/>
  <c r="E271" i="77"/>
  <c r="F271" i="77" s="1"/>
  <c r="F272" i="78"/>
  <c r="E267" i="80"/>
  <c r="F267" i="80" s="1"/>
  <c r="F273" i="80" s="1"/>
  <c r="D273" i="78"/>
  <c r="E273" i="78" s="1"/>
  <c r="F273" i="78" s="1"/>
  <c r="L245" i="74"/>
  <c r="E271" i="83"/>
  <c r="F271" i="83" s="1"/>
  <c r="D272" i="84"/>
  <c r="E272" i="84" s="1"/>
  <c r="F273" i="81"/>
  <c r="L261" i="81"/>
  <c r="E30" i="82" s="1"/>
  <c r="F30" i="82" s="1"/>
  <c r="G30" i="82" s="1"/>
  <c r="H30" i="82" s="1"/>
  <c r="E254" i="78"/>
  <c r="D10" i="79" s="1"/>
  <c r="F268" i="78"/>
  <c r="F273" i="77"/>
  <c r="E255" i="81"/>
  <c r="D11" i="82" s="1"/>
  <c r="F270" i="81"/>
  <c r="E271" i="74"/>
  <c r="F271" i="74" s="1"/>
  <c r="D272" i="75"/>
  <c r="E272" i="75" s="1"/>
  <c r="E249" i="81"/>
  <c r="F271" i="81"/>
  <c r="L245" i="83"/>
  <c r="E254" i="81"/>
  <c r="D10" i="82" s="1"/>
  <c r="F268" i="81"/>
  <c r="E255" i="84"/>
  <c r="D11" i="85" s="1"/>
  <c r="F270" i="84"/>
  <c r="D9" i="78"/>
  <c r="E249" i="84"/>
  <c r="F271" i="84"/>
  <c r="E254" i="75"/>
  <c r="D10" i="76" s="1"/>
  <c r="F268" i="75"/>
  <c r="F271" i="78"/>
  <c r="E249" i="78"/>
  <c r="C53" i="46"/>
  <c r="C38" i="79"/>
  <c r="J26" i="88"/>
  <c r="E255" i="75"/>
  <c r="D11" i="76" s="1"/>
  <c r="F270" i="75"/>
  <c r="F271" i="75"/>
  <c r="E249" i="75"/>
  <c r="E253" i="81"/>
  <c r="D9" i="82" s="1"/>
  <c r="F269" i="81"/>
  <c r="F270" i="78"/>
  <c r="E255" i="78"/>
  <c r="D11" i="79" s="1"/>
  <c r="E253" i="75"/>
  <c r="D9" i="76" s="1"/>
  <c r="F269" i="75"/>
  <c r="L260" i="81"/>
  <c r="E29" i="82" s="1"/>
  <c r="F29" i="82" s="1"/>
  <c r="G29" i="82" s="1"/>
  <c r="H29" i="82" s="1"/>
  <c r="F272" i="81"/>
  <c r="E253" i="78"/>
  <c r="D9" i="79" s="1"/>
  <c r="F269" i="78"/>
  <c r="F269" i="84"/>
  <c r="E253" i="84"/>
  <c r="D9" i="85" s="1"/>
  <c r="D273" i="84"/>
  <c r="E273" i="84" s="1"/>
  <c r="E272" i="83"/>
  <c r="F272" i="83" s="1"/>
  <c r="E272" i="74"/>
  <c r="F272" i="74" s="1"/>
  <c r="D273" i="75"/>
  <c r="E273" i="75" s="1"/>
  <c r="F268" i="84"/>
  <c r="E254" i="84"/>
  <c r="D10" i="85" s="1"/>
  <c r="L261" i="78" l="1"/>
  <c r="E30" i="79" s="1"/>
  <c r="F30" i="79" s="1"/>
  <c r="G30" i="79" s="1"/>
  <c r="H30" i="79" s="1"/>
  <c r="J27" i="88" s="1"/>
  <c r="F273" i="83"/>
  <c r="F273" i="74"/>
  <c r="D9" i="81"/>
  <c r="E204" i="81" s="1"/>
  <c r="J237" i="81" s="1"/>
  <c r="J256" i="81" s="1"/>
  <c r="H80" i="46"/>
  <c r="T5" i="85"/>
  <c r="E9" i="85"/>
  <c r="N17" i="88"/>
  <c r="V5" i="79"/>
  <c r="J19" i="88"/>
  <c r="J42" i="46"/>
  <c r="E11" i="79"/>
  <c r="V6" i="79"/>
  <c r="F249" i="84"/>
  <c r="D5" i="85"/>
  <c r="D5" i="82"/>
  <c r="F249" i="81"/>
  <c r="I42" i="46"/>
  <c r="U5" i="79"/>
  <c r="E10" i="79"/>
  <c r="U6" i="79"/>
  <c r="J18" i="88"/>
  <c r="Q6" i="79"/>
  <c r="R6" i="79"/>
  <c r="E196" i="78"/>
  <c r="J229" i="78" s="1"/>
  <c r="J248" i="78" s="1"/>
  <c r="E206" i="78"/>
  <c r="J239" i="78" s="1"/>
  <c r="J258" i="78" s="1"/>
  <c r="E198" i="78"/>
  <c r="J231" i="78" s="1"/>
  <c r="J250" i="78" s="1"/>
  <c r="E205" i="78"/>
  <c r="J238" i="78" s="1"/>
  <c r="J257" i="78" s="1"/>
  <c r="D11" i="78"/>
  <c r="E200" i="78"/>
  <c r="J233" i="78" s="1"/>
  <c r="J252" i="78" s="1"/>
  <c r="E209" i="78"/>
  <c r="J242" i="78" s="1"/>
  <c r="E202" i="78"/>
  <c r="J235" i="78" s="1"/>
  <c r="J254" i="78" s="1"/>
  <c r="E207" i="78"/>
  <c r="J240" i="78" s="1"/>
  <c r="E203" i="78"/>
  <c r="J236" i="78" s="1"/>
  <c r="J255" i="78" s="1"/>
  <c r="F11" i="78"/>
  <c r="E195" i="78"/>
  <c r="J228" i="78" s="1"/>
  <c r="J247" i="78" s="1"/>
  <c r="E208" i="78"/>
  <c r="J241" i="78" s="1"/>
  <c r="E197" i="78"/>
  <c r="J230" i="78" s="1"/>
  <c r="J249" i="78" s="1"/>
  <c r="E194" i="78"/>
  <c r="E204" i="78"/>
  <c r="J237" i="78" s="1"/>
  <c r="J256" i="78" s="1"/>
  <c r="E201" i="78"/>
  <c r="J234" i="78" s="1"/>
  <c r="J253" i="78" s="1"/>
  <c r="E199" i="78"/>
  <c r="J232" i="78" s="1"/>
  <c r="J251" i="78" s="1"/>
  <c r="F272" i="75"/>
  <c r="L260" i="75"/>
  <c r="E29" i="76" s="1"/>
  <c r="F29" i="76" s="1"/>
  <c r="G29" i="76" s="1"/>
  <c r="H29" i="76" s="1"/>
  <c r="C39" i="82"/>
  <c r="T7" i="82" s="1"/>
  <c r="L27" i="88"/>
  <c r="C75" i="46"/>
  <c r="H53" i="46"/>
  <c r="I53" i="46"/>
  <c r="G53" i="46"/>
  <c r="E53" i="46"/>
  <c r="D53" i="46"/>
  <c r="J53" i="46"/>
  <c r="I80" i="46"/>
  <c r="N18" i="88"/>
  <c r="E10" i="85"/>
  <c r="U5" i="85"/>
  <c r="D6" i="84"/>
  <c r="E9" i="79"/>
  <c r="H42" i="46"/>
  <c r="T6" i="79"/>
  <c r="T5" i="79"/>
  <c r="J17" i="88"/>
  <c r="E9" i="82"/>
  <c r="T5" i="82"/>
  <c r="H61" i="46"/>
  <c r="L17" i="88"/>
  <c r="F249" i="78"/>
  <c r="D5" i="79"/>
  <c r="J80" i="46"/>
  <c r="N19" i="88"/>
  <c r="V5" i="85"/>
  <c r="E11" i="85"/>
  <c r="F273" i="84"/>
  <c r="L261" i="84"/>
  <c r="E30" i="85" s="1"/>
  <c r="F30" i="85" s="1"/>
  <c r="G30" i="85" s="1"/>
  <c r="H30" i="85" s="1"/>
  <c r="H18" i="88"/>
  <c r="I23" i="46"/>
  <c r="U5" i="76"/>
  <c r="E10" i="76"/>
  <c r="L261" i="75"/>
  <c r="E30" i="76" s="1"/>
  <c r="F30" i="76" s="1"/>
  <c r="G30" i="76" s="1"/>
  <c r="H30" i="76" s="1"/>
  <c r="F273" i="75"/>
  <c r="D5" i="76"/>
  <c r="F249" i="75"/>
  <c r="F274" i="81"/>
  <c r="D6" i="81"/>
  <c r="C38" i="82"/>
  <c r="T6" i="82" s="1"/>
  <c r="L26" i="88"/>
  <c r="C72" i="46"/>
  <c r="D6" i="75"/>
  <c r="I61" i="46"/>
  <c r="L18" i="88"/>
  <c r="E10" i="82"/>
  <c r="U5" i="82"/>
  <c r="J61" i="46"/>
  <c r="V5" i="82"/>
  <c r="E11" i="82"/>
  <c r="L19" i="88"/>
  <c r="F272" i="84"/>
  <c r="L260" i="84"/>
  <c r="E29" i="85" s="1"/>
  <c r="F29" i="85" s="1"/>
  <c r="G29" i="85" s="1"/>
  <c r="H29" i="85" s="1"/>
  <c r="H23" i="46"/>
  <c r="E9" i="76"/>
  <c r="H17" i="88"/>
  <c r="T5" i="76"/>
  <c r="E11" i="76"/>
  <c r="H19" i="88"/>
  <c r="J23" i="46"/>
  <c r="V5" i="76"/>
  <c r="F274" i="78"/>
  <c r="D6" i="78"/>
  <c r="C56" i="46" l="1"/>
  <c r="J56" i="46" s="1"/>
  <c r="C39" i="79"/>
  <c r="R7" i="79" s="1"/>
  <c r="U7" i="82"/>
  <c r="E205" i="81"/>
  <c r="J238" i="81" s="1"/>
  <c r="J257" i="81" s="1"/>
  <c r="E208" i="81"/>
  <c r="J241" i="81" s="1"/>
  <c r="E197" i="81"/>
  <c r="J230" i="81" s="1"/>
  <c r="J249" i="81" s="1"/>
  <c r="E206" i="81"/>
  <c r="J239" i="81" s="1"/>
  <c r="J258" i="81" s="1"/>
  <c r="E203" i="81"/>
  <c r="J236" i="81" s="1"/>
  <c r="J255" i="81" s="1"/>
  <c r="E201" i="81"/>
  <c r="J234" i="81" s="1"/>
  <c r="J253" i="81" s="1"/>
  <c r="F11" i="81"/>
  <c r="K257" i="81" s="1"/>
  <c r="E199" i="81"/>
  <c r="J232" i="81" s="1"/>
  <c r="J251" i="81" s="1"/>
  <c r="E209" i="81"/>
  <c r="J242" i="81" s="1"/>
  <c r="V7" i="82"/>
  <c r="E200" i="81"/>
  <c r="J233" i="81" s="1"/>
  <c r="J252" i="81" s="1"/>
  <c r="E194" i="81"/>
  <c r="J227" i="81" s="1"/>
  <c r="J246" i="81" s="1"/>
  <c r="E195" i="81"/>
  <c r="J228" i="81" s="1"/>
  <c r="J247" i="81" s="1"/>
  <c r="E198" i="81"/>
  <c r="J231" i="81" s="1"/>
  <c r="J250" i="81" s="1"/>
  <c r="E202" i="81"/>
  <c r="J235" i="81" s="1"/>
  <c r="J254" i="81" s="1"/>
  <c r="D11" i="81"/>
  <c r="E196" i="81"/>
  <c r="J229" i="81" s="1"/>
  <c r="J248" i="81" s="1"/>
  <c r="E207" i="81"/>
  <c r="J240" i="81" s="1"/>
  <c r="D9" i="84"/>
  <c r="E209" i="84" s="1"/>
  <c r="J242" i="84" s="1"/>
  <c r="F274" i="75"/>
  <c r="U6" i="82"/>
  <c r="V6" i="82"/>
  <c r="I54" i="46"/>
  <c r="G75" i="46"/>
  <c r="E75" i="46"/>
  <c r="D75" i="46"/>
  <c r="I75" i="46"/>
  <c r="I76" i="46" s="1"/>
  <c r="J75" i="46"/>
  <c r="J76" i="46" s="1"/>
  <c r="H75" i="46"/>
  <c r="H76" i="46" s="1"/>
  <c r="B200" i="78"/>
  <c r="C233" i="78" s="1"/>
  <c r="C252" i="78" s="1"/>
  <c r="B203" i="78"/>
  <c r="C236" i="78" s="1"/>
  <c r="B202" i="78"/>
  <c r="C235" i="78" s="1"/>
  <c r="F8" i="78"/>
  <c r="B196" i="78"/>
  <c r="C229" i="78" s="1"/>
  <c r="C248" i="78" s="1"/>
  <c r="B195" i="78"/>
  <c r="C228" i="78" s="1"/>
  <c r="C247" i="78" s="1"/>
  <c r="B194" i="78"/>
  <c r="B201" i="78"/>
  <c r="C234" i="78" s="1"/>
  <c r="B198" i="78"/>
  <c r="C231" i="78" s="1"/>
  <c r="B199" i="78"/>
  <c r="C232" i="78" s="1"/>
  <c r="D8" i="78"/>
  <c r="B197" i="78"/>
  <c r="C230" i="78" s="1"/>
  <c r="D5" i="78"/>
  <c r="R7" i="82"/>
  <c r="Q7" i="82"/>
  <c r="B200" i="75"/>
  <c r="C233" i="75" s="1"/>
  <c r="C252" i="75" s="1"/>
  <c r="B198" i="75"/>
  <c r="C231" i="75" s="1"/>
  <c r="B196" i="75"/>
  <c r="C229" i="75" s="1"/>
  <c r="C248" i="75" s="1"/>
  <c r="B194" i="75"/>
  <c r="B195" i="75"/>
  <c r="C228" i="75" s="1"/>
  <c r="C247" i="75" s="1"/>
  <c r="B203" i="75"/>
  <c r="C236" i="75" s="1"/>
  <c r="F8" i="75"/>
  <c r="B201" i="75"/>
  <c r="C234" i="75" s="1"/>
  <c r="B197" i="75"/>
  <c r="C230" i="75" s="1"/>
  <c r="B199" i="75"/>
  <c r="C232" i="75" s="1"/>
  <c r="B202" i="75"/>
  <c r="C235" i="75" s="1"/>
  <c r="D8" i="75"/>
  <c r="F42" i="46"/>
  <c r="P6" i="79"/>
  <c r="J15" i="88"/>
  <c r="P7" i="79"/>
  <c r="E5" i="79"/>
  <c r="P5" i="79"/>
  <c r="C34" i="46"/>
  <c r="D34" i="46" s="1"/>
  <c r="E34" i="46" s="1"/>
  <c r="G34" i="46" s="1"/>
  <c r="H34" i="46" s="1"/>
  <c r="I34" i="46" s="1"/>
  <c r="J34" i="46" s="1"/>
  <c r="J35" i="46" s="1"/>
  <c r="C38" i="76"/>
  <c r="P6" i="76" s="1"/>
  <c r="H26" i="88"/>
  <c r="P7" i="82"/>
  <c r="P5" i="82"/>
  <c r="F61" i="46"/>
  <c r="E5" i="82"/>
  <c r="P6" i="82"/>
  <c r="L15" i="88"/>
  <c r="J54" i="46"/>
  <c r="J57" i="46"/>
  <c r="J72" i="46"/>
  <c r="J73" i="46" s="1"/>
  <c r="I72" i="46"/>
  <c r="I73" i="46" s="1"/>
  <c r="D72" i="46"/>
  <c r="E72" i="46"/>
  <c r="G72" i="46"/>
  <c r="H72" i="46"/>
  <c r="H73" i="46" s="1"/>
  <c r="C37" i="46"/>
  <c r="D37" i="46" s="1"/>
  <c r="E37" i="46" s="1"/>
  <c r="G37" i="46" s="1"/>
  <c r="H37" i="46" s="1"/>
  <c r="I37" i="46" s="1"/>
  <c r="J37" i="46" s="1"/>
  <c r="J38" i="46" s="1"/>
  <c r="C39" i="76"/>
  <c r="H27" i="88"/>
  <c r="D9" i="75"/>
  <c r="D5" i="75" s="1"/>
  <c r="K256" i="78"/>
  <c r="L256" i="78" s="1"/>
  <c r="K247" i="78"/>
  <c r="L247" i="78" s="1"/>
  <c r="K248" i="78"/>
  <c r="L248" i="78" s="1"/>
  <c r="K249" i="78"/>
  <c r="L249" i="78" s="1"/>
  <c r="K252" i="78"/>
  <c r="L252" i="78" s="1"/>
  <c r="K251" i="78"/>
  <c r="L251" i="78" s="1"/>
  <c r="K255" i="78"/>
  <c r="L255" i="78" s="1"/>
  <c r="K250" i="78"/>
  <c r="L250" i="78" s="1"/>
  <c r="K253" i="78"/>
  <c r="L253" i="78" s="1"/>
  <c r="K258" i="78"/>
  <c r="L258" i="78" s="1"/>
  <c r="K257" i="78"/>
  <c r="L257" i="78" s="1"/>
  <c r="K246" i="78"/>
  <c r="K254" i="78"/>
  <c r="L254" i="78" s="1"/>
  <c r="E5" i="85"/>
  <c r="F80" i="46"/>
  <c r="N15" i="88"/>
  <c r="P5" i="85"/>
  <c r="F274" i="84"/>
  <c r="E210" i="78"/>
  <c r="J227" i="78"/>
  <c r="J246" i="78" s="1"/>
  <c r="H54" i="46"/>
  <c r="F23" i="46"/>
  <c r="P5" i="76"/>
  <c r="H15" i="88"/>
  <c r="E5" i="76"/>
  <c r="B201" i="81"/>
  <c r="C234" i="81" s="1"/>
  <c r="B196" i="81"/>
  <c r="C229" i="81" s="1"/>
  <c r="C248" i="81" s="1"/>
  <c r="B195" i="81"/>
  <c r="C228" i="81" s="1"/>
  <c r="C247" i="81" s="1"/>
  <c r="B198" i="81"/>
  <c r="C231" i="81" s="1"/>
  <c r="B200" i="81"/>
  <c r="C233" i="81" s="1"/>
  <c r="C252" i="81" s="1"/>
  <c r="B203" i="81"/>
  <c r="C236" i="81" s="1"/>
  <c r="F8" i="81"/>
  <c r="B194" i="81"/>
  <c r="B202" i="81"/>
  <c r="C235" i="81" s="1"/>
  <c r="B197" i="81"/>
  <c r="C230" i="81" s="1"/>
  <c r="B199" i="81"/>
  <c r="C232" i="81" s="1"/>
  <c r="D5" i="81"/>
  <c r="D8" i="81"/>
  <c r="N26" i="88"/>
  <c r="C38" i="85"/>
  <c r="C91" i="46"/>
  <c r="R6" i="82"/>
  <c r="Q6" i="82"/>
  <c r="C94" i="46"/>
  <c r="C39" i="85"/>
  <c r="N27" i="88"/>
  <c r="B194" i="84"/>
  <c r="B198" i="84"/>
  <c r="C231" i="84" s="1"/>
  <c r="F8" i="84"/>
  <c r="B195" i="84"/>
  <c r="C228" i="84" s="1"/>
  <c r="C247" i="84" s="1"/>
  <c r="B200" i="84"/>
  <c r="C233" i="84" s="1"/>
  <c r="C252" i="84" s="1"/>
  <c r="B202" i="84"/>
  <c r="C235" i="84" s="1"/>
  <c r="B196" i="84"/>
  <c r="C229" i="84" s="1"/>
  <c r="C248" i="84" s="1"/>
  <c r="B203" i="84"/>
  <c r="C236" i="84" s="1"/>
  <c r="B201" i="84"/>
  <c r="C234" i="84" s="1"/>
  <c r="B199" i="84"/>
  <c r="C232" i="84" s="1"/>
  <c r="B197" i="84"/>
  <c r="C230" i="84" s="1"/>
  <c r="D8" i="84"/>
  <c r="U7" i="79" l="1"/>
  <c r="G56" i="46"/>
  <c r="I56" i="46"/>
  <c r="I57" i="46" s="1"/>
  <c r="Q7" i="79"/>
  <c r="D56" i="46"/>
  <c r="T7" i="79"/>
  <c r="H56" i="46"/>
  <c r="H57" i="46" s="1"/>
  <c r="E56" i="46"/>
  <c r="V7" i="79"/>
  <c r="F11" i="84"/>
  <c r="K250" i="84" s="1"/>
  <c r="E195" i="84"/>
  <c r="J228" i="84" s="1"/>
  <c r="J247" i="84" s="1"/>
  <c r="L257" i="81"/>
  <c r="E26" i="82" s="1"/>
  <c r="F26" i="82" s="1"/>
  <c r="K247" i="81"/>
  <c r="L247" i="81" s="1"/>
  <c r="M247" i="81" s="1"/>
  <c r="E198" i="84"/>
  <c r="J231" i="84" s="1"/>
  <c r="J250" i="84" s="1"/>
  <c r="K249" i="81"/>
  <c r="L249" i="81" s="1"/>
  <c r="E18" i="82" s="1"/>
  <c r="F18" i="82" s="1"/>
  <c r="K256" i="81"/>
  <c r="L256" i="81" s="1"/>
  <c r="E25" i="82" s="1"/>
  <c r="F25" i="82" s="1"/>
  <c r="K255" i="81"/>
  <c r="L255" i="81" s="1"/>
  <c r="E24" i="82" s="1"/>
  <c r="F24" i="82" s="1"/>
  <c r="K248" i="81"/>
  <c r="L248" i="81" s="1"/>
  <c r="M248" i="81" s="1"/>
  <c r="K258" i="81"/>
  <c r="L258" i="81" s="1"/>
  <c r="E27" i="82" s="1"/>
  <c r="F27" i="82" s="1"/>
  <c r="K254" i="81"/>
  <c r="L254" i="81" s="1"/>
  <c r="E23" i="82" s="1"/>
  <c r="F23" i="82" s="1"/>
  <c r="K250" i="81"/>
  <c r="L250" i="81" s="1"/>
  <c r="E19" i="82" s="1"/>
  <c r="F19" i="82" s="1"/>
  <c r="K252" i="81"/>
  <c r="L252" i="81" s="1"/>
  <c r="M252" i="81" s="1"/>
  <c r="K253" i="81"/>
  <c r="L253" i="81" s="1"/>
  <c r="M253" i="81" s="1"/>
  <c r="K246" i="81"/>
  <c r="L246" i="81" s="1"/>
  <c r="M246" i="81" s="1"/>
  <c r="K251" i="81"/>
  <c r="L251" i="81" s="1"/>
  <c r="E20" i="82" s="1"/>
  <c r="F20" i="82" s="1"/>
  <c r="E206" i="84"/>
  <c r="J239" i="84" s="1"/>
  <c r="J258" i="84" s="1"/>
  <c r="E202" i="84"/>
  <c r="J235" i="84" s="1"/>
  <c r="J254" i="84" s="1"/>
  <c r="D5" i="84"/>
  <c r="E203" i="84"/>
  <c r="J236" i="84" s="1"/>
  <c r="J255" i="84" s="1"/>
  <c r="E207" i="84"/>
  <c r="J240" i="84" s="1"/>
  <c r="E199" i="84"/>
  <c r="J232" i="84" s="1"/>
  <c r="J251" i="84" s="1"/>
  <c r="E204" i="84"/>
  <c r="J237" i="84" s="1"/>
  <c r="J256" i="84" s="1"/>
  <c r="H35" i="46"/>
  <c r="E205" i="84"/>
  <c r="J238" i="84" s="1"/>
  <c r="J257" i="84" s="1"/>
  <c r="E197" i="84"/>
  <c r="J230" i="84" s="1"/>
  <c r="J249" i="84" s="1"/>
  <c r="E210" i="81"/>
  <c r="E201" i="84"/>
  <c r="J234" i="84" s="1"/>
  <c r="J253" i="84" s="1"/>
  <c r="D11" i="84"/>
  <c r="E200" i="84"/>
  <c r="J233" i="84" s="1"/>
  <c r="J252" i="84" s="1"/>
  <c r="E194" i="84"/>
  <c r="J227" i="84" s="1"/>
  <c r="J246" i="84" s="1"/>
  <c r="E196" i="84"/>
  <c r="J229" i="84" s="1"/>
  <c r="J248" i="84" s="1"/>
  <c r="E208" i="84"/>
  <c r="J241" i="84" s="1"/>
  <c r="H38" i="46"/>
  <c r="I35" i="46"/>
  <c r="E21" i="79"/>
  <c r="F21" i="79" s="1"/>
  <c r="M252" i="78"/>
  <c r="M256" i="78"/>
  <c r="E25" i="79"/>
  <c r="F25" i="79" s="1"/>
  <c r="M249" i="78"/>
  <c r="E18" i="79"/>
  <c r="F18" i="79" s="1"/>
  <c r="E22" i="79"/>
  <c r="F22" i="79" s="1"/>
  <c r="M253" i="78"/>
  <c r="M250" i="78"/>
  <c r="E19" i="79"/>
  <c r="F19" i="79" s="1"/>
  <c r="E20" i="79"/>
  <c r="F20" i="79" s="1"/>
  <c r="M251" i="78"/>
  <c r="Q6" i="85"/>
  <c r="R6" i="85"/>
  <c r="V6" i="85"/>
  <c r="T6" i="85"/>
  <c r="U6" i="85"/>
  <c r="B204" i="81"/>
  <c r="C227" i="81"/>
  <c r="C246" i="81" s="1"/>
  <c r="P6" i="85"/>
  <c r="E16" i="79"/>
  <c r="F16" i="79" s="1"/>
  <c r="M247" i="78"/>
  <c r="I38" i="46"/>
  <c r="G91" i="46"/>
  <c r="H91" i="46"/>
  <c r="H92" i="46" s="1"/>
  <c r="E91" i="46"/>
  <c r="I91" i="46"/>
  <c r="I92" i="46" s="1"/>
  <c r="J91" i="46"/>
  <c r="J92" i="46" s="1"/>
  <c r="D91" i="46"/>
  <c r="B204" i="75"/>
  <c r="C227" i="75"/>
  <c r="C246" i="75" s="1"/>
  <c r="Q7" i="76"/>
  <c r="R7" i="76"/>
  <c r="T7" i="76"/>
  <c r="U7" i="76"/>
  <c r="V7" i="76"/>
  <c r="E17" i="79"/>
  <c r="F17" i="79" s="1"/>
  <c r="M248" i="78"/>
  <c r="D247" i="81"/>
  <c r="E247" i="81" s="1"/>
  <c r="D246" i="81"/>
  <c r="D248" i="81"/>
  <c r="E248" i="81" s="1"/>
  <c r="D252" i="81"/>
  <c r="E252" i="81" s="1"/>
  <c r="D249" i="81"/>
  <c r="Q7" i="85"/>
  <c r="R7" i="85"/>
  <c r="U7" i="85"/>
  <c r="V7" i="85"/>
  <c r="T7" i="85"/>
  <c r="M255" i="78"/>
  <c r="E24" i="79"/>
  <c r="F24" i="79" s="1"/>
  <c r="Q6" i="76"/>
  <c r="R6" i="76"/>
  <c r="V6" i="76"/>
  <c r="T6" i="76"/>
  <c r="U6" i="76"/>
  <c r="P7" i="85"/>
  <c r="M257" i="78"/>
  <c r="E26" i="79"/>
  <c r="F26" i="79" s="1"/>
  <c r="M254" i="78"/>
  <c r="E23" i="79"/>
  <c r="F23" i="79" s="1"/>
  <c r="M258" i="78"/>
  <c r="E27" i="79"/>
  <c r="F27" i="79" s="1"/>
  <c r="I94" i="46"/>
  <c r="I95" i="46" s="1"/>
  <c r="G94" i="46"/>
  <c r="H94" i="46"/>
  <c r="H95" i="46" s="1"/>
  <c r="J94" i="46"/>
  <c r="J95" i="46" s="1"/>
  <c r="D94" i="46"/>
  <c r="E94" i="46"/>
  <c r="L246" i="78"/>
  <c r="D248" i="75"/>
  <c r="E248" i="75" s="1"/>
  <c r="D247" i="75"/>
  <c r="E247" i="75" s="1"/>
  <c r="D249" i="75"/>
  <c r="D246" i="75"/>
  <c r="D252" i="75"/>
  <c r="E252" i="75" s="1"/>
  <c r="B204" i="78"/>
  <c r="C227" i="78"/>
  <c r="C246" i="78" s="1"/>
  <c r="B204" i="84"/>
  <c r="C227" i="84"/>
  <c r="C246" i="84" s="1"/>
  <c r="E196" i="75"/>
  <c r="J229" i="75" s="1"/>
  <c r="J248" i="75" s="1"/>
  <c r="E198" i="75"/>
  <c r="J231" i="75" s="1"/>
  <c r="J250" i="75" s="1"/>
  <c r="E202" i="75"/>
  <c r="J235" i="75" s="1"/>
  <c r="J254" i="75" s="1"/>
  <c r="E195" i="75"/>
  <c r="J228" i="75" s="1"/>
  <c r="J247" i="75" s="1"/>
  <c r="E203" i="75"/>
  <c r="J236" i="75" s="1"/>
  <c r="J255" i="75" s="1"/>
  <c r="E206" i="75"/>
  <c r="J239" i="75" s="1"/>
  <c r="J258" i="75" s="1"/>
  <c r="E201" i="75"/>
  <c r="J234" i="75" s="1"/>
  <c r="J253" i="75" s="1"/>
  <c r="E197" i="75"/>
  <c r="J230" i="75" s="1"/>
  <c r="J249" i="75" s="1"/>
  <c r="D11" i="75"/>
  <c r="E200" i="75"/>
  <c r="J233" i="75" s="1"/>
  <c r="J252" i="75" s="1"/>
  <c r="E209" i="75"/>
  <c r="J242" i="75" s="1"/>
  <c r="E204" i="75"/>
  <c r="J237" i="75" s="1"/>
  <c r="J256" i="75" s="1"/>
  <c r="E194" i="75"/>
  <c r="F11" i="75"/>
  <c r="E205" i="75"/>
  <c r="J238" i="75" s="1"/>
  <c r="J257" i="75" s="1"/>
  <c r="E199" i="75"/>
  <c r="J232" i="75" s="1"/>
  <c r="J251" i="75" s="1"/>
  <c r="E207" i="75"/>
  <c r="J240" i="75" s="1"/>
  <c r="E208" i="75"/>
  <c r="J241" i="75" s="1"/>
  <c r="D247" i="78"/>
  <c r="E247" i="78" s="1"/>
  <c r="D246" i="78"/>
  <c r="D252" i="78"/>
  <c r="E252" i="78" s="1"/>
  <c r="D249" i="78"/>
  <c r="D248" i="78"/>
  <c r="E248" i="78" s="1"/>
  <c r="D248" i="84"/>
  <c r="E248" i="84" s="1"/>
  <c r="D246" i="84"/>
  <c r="D247" i="84"/>
  <c r="E247" i="84" s="1"/>
  <c r="D252" i="84"/>
  <c r="E252" i="84" s="1"/>
  <c r="D249" i="84"/>
  <c r="P7" i="76"/>
  <c r="K258" i="84" l="1"/>
  <c r="L258" i="84" s="1"/>
  <c r="E27" i="85" s="1"/>
  <c r="F27" i="85" s="1"/>
  <c r="K246" i="84"/>
  <c r="L246" i="84" s="1"/>
  <c r="E15" i="85" s="1"/>
  <c r="F15" i="85" s="1"/>
  <c r="K255" i="84"/>
  <c r="L255" i="84" s="1"/>
  <c r="M255" i="84" s="1"/>
  <c r="K252" i="84"/>
  <c r="L252" i="84" s="1"/>
  <c r="E21" i="85" s="1"/>
  <c r="F21" i="85" s="1"/>
  <c r="K256" i="84"/>
  <c r="L256" i="84" s="1"/>
  <c r="E25" i="85" s="1"/>
  <c r="F25" i="85" s="1"/>
  <c r="K257" i="84"/>
  <c r="L257" i="84" s="1"/>
  <c r="E26" i="85" s="1"/>
  <c r="F26" i="85" s="1"/>
  <c r="K249" i="84"/>
  <c r="L249" i="84" s="1"/>
  <c r="E18" i="85" s="1"/>
  <c r="F18" i="85" s="1"/>
  <c r="K253" i="84"/>
  <c r="L253" i="84" s="1"/>
  <c r="E22" i="85" s="1"/>
  <c r="F22" i="85" s="1"/>
  <c r="M256" i="81"/>
  <c r="K251" i="84"/>
  <c r="L251" i="84" s="1"/>
  <c r="M251" i="84" s="1"/>
  <c r="K247" i="84"/>
  <c r="L247" i="84" s="1"/>
  <c r="E16" i="85" s="1"/>
  <c r="F16" i="85" s="1"/>
  <c r="K248" i="84"/>
  <c r="L248" i="84" s="1"/>
  <c r="E17" i="85" s="1"/>
  <c r="F17" i="85" s="1"/>
  <c r="K254" i="84"/>
  <c r="L254" i="84" s="1"/>
  <c r="M254" i="84" s="1"/>
  <c r="M251" i="81"/>
  <c r="M257" i="81"/>
  <c r="L250" i="84"/>
  <c r="M250" i="84" s="1"/>
  <c r="M249" i="81"/>
  <c r="M254" i="81"/>
  <c r="M258" i="81"/>
  <c r="E21" i="82"/>
  <c r="F21" i="82" s="1"/>
  <c r="M250" i="81"/>
  <c r="M255" i="81"/>
  <c r="E22" i="82"/>
  <c r="F22" i="82" s="1"/>
  <c r="E16" i="82"/>
  <c r="F16" i="82" s="1"/>
  <c r="E17" i="82"/>
  <c r="F17" i="82" s="1"/>
  <c r="E15" i="82"/>
  <c r="F15" i="82" s="1"/>
  <c r="E210" i="84"/>
  <c r="G23" i="79"/>
  <c r="H23" i="79" s="1"/>
  <c r="C50" i="46" s="1"/>
  <c r="E246" i="81"/>
  <c r="D2" i="82" s="1"/>
  <c r="D3" i="79"/>
  <c r="F247" i="78"/>
  <c r="D4" i="85"/>
  <c r="F248" i="84"/>
  <c r="F252" i="81"/>
  <c r="D8" i="82"/>
  <c r="D3" i="76"/>
  <c r="F247" i="75"/>
  <c r="F248" i="78"/>
  <c r="D4" i="79"/>
  <c r="F248" i="75"/>
  <c r="D4" i="76"/>
  <c r="F252" i="84"/>
  <c r="D8" i="85"/>
  <c r="F252" i="78"/>
  <c r="D8" i="79"/>
  <c r="E15" i="79"/>
  <c r="F15" i="79" s="1"/>
  <c r="M246" i="78"/>
  <c r="M260" i="78" s="1"/>
  <c r="G27" i="82"/>
  <c r="H27" i="82" s="1"/>
  <c r="D3" i="85"/>
  <c r="F247" i="84"/>
  <c r="D3" i="82"/>
  <c r="F247" i="81"/>
  <c r="E246" i="75"/>
  <c r="E246" i="84"/>
  <c r="F248" i="81"/>
  <c r="D4" i="82"/>
  <c r="K248" i="75"/>
  <c r="L248" i="75" s="1"/>
  <c r="K253" i="75"/>
  <c r="L253" i="75" s="1"/>
  <c r="K249" i="75"/>
  <c r="L249" i="75" s="1"/>
  <c r="K257" i="75"/>
  <c r="L257" i="75" s="1"/>
  <c r="K254" i="75"/>
  <c r="L254" i="75" s="1"/>
  <c r="K252" i="75"/>
  <c r="L252" i="75" s="1"/>
  <c r="K256" i="75"/>
  <c r="L256" i="75" s="1"/>
  <c r="K255" i="75"/>
  <c r="L255" i="75" s="1"/>
  <c r="K251" i="75"/>
  <c r="L251" i="75" s="1"/>
  <c r="K247" i="75"/>
  <c r="L247" i="75" s="1"/>
  <c r="K246" i="75"/>
  <c r="K250" i="75"/>
  <c r="L250" i="75" s="1"/>
  <c r="K258" i="75"/>
  <c r="L258" i="75" s="1"/>
  <c r="E210" i="75"/>
  <c r="J227" i="75"/>
  <c r="J246" i="75" s="1"/>
  <c r="E246" i="78"/>
  <c r="F252" i="75"/>
  <c r="D8" i="76"/>
  <c r="G27" i="79"/>
  <c r="H27" i="79" s="1"/>
  <c r="M247" i="84" l="1"/>
  <c r="E19" i="85"/>
  <c r="F19" i="85" s="1"/>
  <c r="M256" i="84"/>
  <c r="M257" i="84"/>
  <c r="E23" i="85"/>
  <c r="F23" i="85" s="1"/>
  <c r="M260" i="81"/>
  <c r="G23" i="82"/>
  <c r="H23" i="82" s="1"/>
  <c r="C35" i="82" s="1"/>
  <c r="M3" i="82" s="1"/>
  <c r="C35" i="79"/>
  <c r="N3" i="79" s="1"/>
  <c r="J24" i="88"/>
  <c r="M258" i="84"/>
  <c r="E20" i="85"/>
  <c r="F20" i="85" s="1"/>
  <c r="M248" i="84"/>
  <c r="M252" i="84"/>
  <c r="M253" i="84"/>
  <c r="M249" i="84"/>
  <c r="E24" i="85"/>
  <c r="F24" i="85" s="1"/>
  <c r="G27" i="85" s="1"/>
  <c r="H27" i="85" s="1"/>
  <c r="F31" i="82"/>
  <c r="G18" i="82"/>
  <c r="H18" i="82" s="1"/>
  <c r="M246" i="84"/>
  <c r="F246" i="81"/>
  <c r="F254" i="81" s="1"/>
  <c r="M252" i="75"/>
  <c r="E21" i="76"/>
  <c r="F21" i="76" s="1"/>
  <c r="E27" i="76"/>
  <c r="F27" i="76" s="1"/>
  <c r="M258" i="75"/>
  <c r="M249" i="75"/>
  <c r="E18" i="76"/>
  <c r="F18" i="76" s="1"/>
  <c r="E22" i="76"/>
  <c r="F22" i="76" s="1"/>
  <c r="M253" i="75"/>
  <c r="M257" i="75"/>
  <c r="E26" i="76"/>
  <c r="F26" i="76" s="1"/>
  <c r="M247" i="75"/>
  <c r="E16" i="76"/>
  <c r="F16" i="76" s="1"/>
  <c r="E17" i="76"/>
  <c r="F17" i="76" s="1"/>
  <c r="M248" i="75"/>
  <c r="M250" i="75"/>
  <c r="E19" i="76"/>
  <c r="F19" i="76" s="1"/>
  <c r="M251" i="75"/>
  <c r="E20" i="76"/>
  <c r="F20" i="76" s="1"/>
  <c r="C47" i="46"/>
  <c r="C36" i="79"/>
  <c r="O4" i="79" s="1"/>
  <c r="J25" i="88"/>
  <c r="M256" i="75"/>
  <c r="E25" i="76"/>
  <c r="F25" i="76" s="1"/>
  <c r="O5" i="82"/>
  <c r="O6" i="82"/>
  <c r="L14" i="88"/>
  <c r="E4" i="82"/>
  <c r="O7" i="82"/>
  <c r="E61" i="46"/>
  <c r="D61" i="46"/>
  <c r="N7" i="82"/>
  <c r="N6" i="82"/>
  <c r="L13" i="88"/>
  <c r="E3" i="82"/>
  <c r="N5" i="82"/>
  <c r="C36" i="82"/>
  <c r="O4" i="82" s="1"/>
  <c r="L25" i="88"/>
  <c r="C66" i="46"/>
  <c r="O5" i="76"/>
  <c r="E23" i="46"/>
  <c r="O7" i="76"/>
  <c r="O6" i="76"/>
  <c r="H14" i="88"/>
  <c r="E4" i="76"/>
  <c r="F246" i="75"/>
  <c r="F254" i="75" s="1"/>
  <c r="D2" i="76"/>
  <c r="L16" i="88"/>
  <c r="S7" i="82"/>
  <c r="S5" i="82"/>
  <c r="S6" i="82"/>
  <c r="E8" i="82"/>
  <c r="G61" i="46"/>
  <c r="M254" i="75"/>
  <c r="E23" i="76"/>
  <c r="F23" i="76" s="1"/>
  <c r="F246" i="84"/>
  <c r="F254" i="84" s="1"/>
  <c r="D2" i="85"/>
  <c r="D50" i="46"/>
  <c r="G50" i="46"/>
  <c r="J50" i="46"/>
  <c r="J51" i="46" s="1"/>
  <c r="I50" i="46"/>
  <c r="I51" i="46" s="1"/>
  <c r="E50" i="46"/>
  <c r="H50" i="46"/>
  <c r="H51" i="46" s="1"/>
  <c r="E3" i="76"/>
  <c r="N7" i="76"/>
  <c r="N6" i="76"/>
  <c r="N5" i="76"/>
  <c r="D23" i="46"/>
  <c r="H13" i="88"/>
  <c r="N6" i="79"/>
  <c r="D42" i="46"/>
  <c r="E3" i="79"/>
  <c r="J13" i="88"/>
  <c r="N5" i="79"/>
  <c r="N7" i="79"/>
  <c r="E42" i="46"/>
  <c r="O7" i="79"/>
  <c r="E4" i="79"/>
  <c r="O6" i="79"/>
  <c r="O5" i="79"/>
  <c r="J14" i="88"/>
  <c r="G18" i="85"/>
  <c r="S6" i="79"/>
  <c r="G42" i="46"/>
  <c r="E8" i="79"/>
  <c r="J16" i="88"/>
  <c r="S7" i="79"/>
  <c r="S5" i="79"/>
  <c r="C61" i="46"/>
  <c r="L12" i="88"/>
  <c r="M6" i="82"/>
  <c r="E2" i="82"/>
  <c r="M7" i="82"/>
  <c r="M5" i="82"/>
  <c r="S5" i="76"/>
  <c r="H16" i="88"/>
  <c r="G23" i="46"/>
  <c r="E8" i="76"/>
  <c r="S7" i="76"/>
  <c r="S6" i="76"/>
  <c r="F246" i="78"/>
  <c r="F254" i="78" s="1"/>
  <c r="F276" i="78" s="1"/>
  <c r="F277" i="78" s="1"/>
  <c r="D2" i="79"/>
  <c r="M255" i="75"/>
  <c r="E24" i="76"/>
  <c r="F24" i="76" s="1"/>
  <c r="G80" i="46"/>
  <c r="E8" i="85"/>
  <c r="S6" i="85"/>
  <c r="N16" i="88"/>
  <c r="S5" i="85"/>
  <c r="S7" i="85"/>
  <c r="N6" i="85"/>
  <c r="N7" i="85"/>
  <c r="N5" i="85"/>
  <c r="E3" i="85"/>
  <c r="N13" i="88"/>
  <c r="D80" i="46"/>
  <c r="F31" i="79"/>
  <c r="G18" i="79"/>
  <c r="L246" i="75"/>
  <c r="E4" i="85"/>
  <c r="N14" i="88"/>
  <c r="E80" i="46"/>
  <c r="O7" i="85"/>
  <c r="O6" i="85"/>
  <c r="O5" i="85"/>
  <c r="Q3" i="79" l="1"/>
  <c r="O3" i="79"/>
  <c r="F276" i="81"/>
  <c r="F277" i="81" s="1"/>
  <c r="R3" i="79"/>
  <c r="T3" i="79"/>
  <c r="P3" i="79"/>
  <c r="S3" i="79"/>
  <c r="V3" i="79"/>
  <c r="S4" i="82"/>
  <c r="G23" i="85"/>
  <c r="H23" i="85" s="1"/>
  <c r="C88" i="46" s="1"/>
  <c r="U3" i="79"/>
  <c r="C69" i="46"/>
  <c r="J69" i="46" s="1"/>
  <c r="J70" i="46" s="1"/>
  <c r="L24" i="88"/>
  <c r="M260" i="84"/>
  <c r="F276" i="84" s="1"/>
  <c r="F277" i="84" s="1"/>
  <c r="F31" i="85"/>
  <c r="G31" i="82"/>
  <c r="S4" i="79"/>
  <c r="M4" i="82"/>
  <c r="G27" i="76"/>
  <c r="H27" i="76" s="1"/>
  <c r="C28" i="46" s="1"/>
  <c r="D28" i="46" s="1"/>
  <c r="E28" i="46" s="1"/>
  <c r="G28" i="46" s="1"/>
  <c r="H28" i="46" s="1"/>
  <c r="E12" i="82"/>
  <c r="N4" i="79"/>
  <c r="G95" i="46"/>
  <c r="G92" i="46"/>
  <c r="E57" i="46"/>
  <c r="E51" i="46"/>
  <c r="E54" i="46"/>
  <c r="G76" i="46"/>
  <c r="G73" i="46"/>
  <c r="E76" i="46"/>
  <c r="E73" i="46"/>
  <c r="G23" i="76"/>
  <c r="H23" i="76" s="1"/>
  <c r="G54" i="46"/>
  <c r="G57" i="46"/>
  <c r="G51" i="46"/>
  <c r="E92" i="46"/>
  <c r="E95" i="46"/>
  <c r="C34" i="82"/>
  <c r="C63" i="46"/>
  <c r="C64" i="46" s="1"/>
  <c r="L23" i="88"/>
  <c r="M7" i="76"/>
  <c r="H12" i="88"/>
  <c r="M5" i="76"/>
  <c r="M6" i="76"/>
  <c r="C23" i="46"/>
  <c r="E2" i="76"/>
  <c r="E12" i="76" s="1"/>
  <c r="E38" i="46"/>
  <c r="E35" i="46"/>
  <c r="D38" i="46"/>
  <c r="D35" i="46"/>
  <c r="Q3" i="82"/>
  <c r="R3" i="82"/>
  <c r="T3" i="82"/>
  <c r="U3" i="82"/>
  <c r="V3" i="82"/>
  <c r="P3" i="82"/>
  <c r="O3" i="82"/>
  <c r="G35" i="46"/>
  <c r="G38" i="46"/>
  <c r="H18" i="85"/>
  <c r="C80" i="46"/>
  <c r="M7" i="85"/>
  <c r="M6" i="85"/>
  <c r="E2" i="85"/>
  <c r="E12" i="85" s="1"/>
  <c r="N12" i="88"/>
  <c r="M5" i="85"/>
  <c r="S3" i="82"/>
  <c r="E66" i="46"/>
  <c r="E67" i="46" s="1"/>
  <c r="D66" i="46"/>
  <c r="D67" i="46" s="1"/>
  <c r="H66" i="46"/>
  <c r="H67" i="46" s="1"/>
  <c r="I66" i="46"/>
  <c r="I67" i="46" s="1"/>
  <c r="G66" i="46"/>
  <c r="G67" i="46" s="1"/>
  <c r="J66" i="46"/>
  <c r="J67" i="46" s="1"/>
  <c r="Q4" i="79"/>
  <c r="R4" i="79"/>
  <c r="V4" i="79"/>
  <c r="U4" i="79"/>
  <c r="T4" i="79"/>
  <c r="P4" i="79"/>
  <c r="E15" i="76"/>
  <c r="F15" i="76" s="1"/>
  <c r="M246" i="75"/>
  <c r="M260" i="75" s="1"/>
  <c r="F276" i="75" s="1"/>
  <c r="F277" i="75" s="1"/>
  <c r="G31" i="79"/>
  <c r="H18" i="79"/>
  <c r="D57" i="46"/>
  <c r="D51" i="46"/>
  <c r="D54" i="46"/>
  <c r="G47" i="46"/>
  <c r="G48" i="46" s="1"/>
  <c r="J47" i="46"/>
  <c r="J48" i="46" s="1"/>
  <c r="H47" i="46"/>
  <c r="H48" i="46" s="1"/>
  <c r="D47" i="46"/>
  <c r="D48" i="46" s="1"/>
  <c r="E47" i="46"/>
  <c r="E48" i="46" s="1"/>
  <c r="I47" i="46"/>
  <c r="I48" i="46" s="1"/>
  <c r="R4" i="82"/>
  <c r="Q4" i="82"/>
  <c r="U4" i="82"/>
  <c r="V4" i="82"/>
  <c r="T4" i="82"/>
  <c r="P4" i="82"/>
  <c r="N4" i="82"/>
  <c r="C36" i="85"/>
  <c r="M4" i="85" s="1"/>
  <c r="C85" i="46"/>
  <c r="N25" i="88"/>
  <c r="C42" i="46"/>
  <c r="E2" i="79"/>
  <c r="E12" i="79" s="1"/>
  <c r="M3" i="79"/>
  <c r="M6" i="79"/>
  <c r="M5" i="79"/>
  <c r="J12" i="88"/>
  <c r="M7" i="79"/>
  <c r="M4" i="79"/>
  <c r="D92" i="46"/>
  <c r="D95" i="46"/>
  <c r="C73" i="46"/>
  <c r="C67" i="46"/>
  <c r="C76" i="46"/>
  <c r="N3" i="82"/>
  <c r="D76" i="46"/>
  <c r="D73" i="46"/>
  <c r="H69" i="46" l="1"/>
  <c r="H70" i="46" s="1"/>
  <c r="G69" i="46"/>
  <c r="G70" i="46" s="1"/>
  <c r="E69" i="46"/>
  <c r="E70" i="46" s="1"/>
  <c r="I69" i="46"/>
  <c r="I70" i="46" s="1"/>
  <c r="D69" i="46"/>
  <c r="D70" i="46" s="1"/>
  <c r="C70" i="46"/>
  <c r="C35" i="85"/>
  <c r="M3" i="85" s="1"/>
  <c r="N24" i="88"/>
  <c r="G31" i="85"/>
  <c r="C36" i="76"/>
  <c r="M4" i="76" s="1"/>
  <c r="H25" i="88"/>
  <c r="G29" i="46"/>
  <c r="C38" i="46"/>
  <c r="C29" i="46"/>
  <c r="C35" i="46"/>
  <c r="R2" i="82"/>
  <c r="Q2" i="82"/>
  <c r="U2" i="82"/>
  <c r="T2" i="82"/>
  <c r="V2" i="82"/>
  <c r="P2" i="82"/>
  <c r="S2" i="82"/>
  <c r="O2" i="82"/>
  <c r="N2" i="82"/>
  <c r="M2" i="82"/>
  <c r="I28" i="46"/>
  <c r="H29" i="46"/>
  <c r="C34" i="79"/>
  <c r="C44" i="46"/>
  <c r="C45" i="46" s="1"/>
  <c r="J23" i="88"/>
  <c r="C51" i="46"/>
  <c r="C48" i="46"/>
  <c r="C54" i="46"/>
  <c r="C57" i="46"/>
  <c r="C92" i="46"/>
  <c r="C95" i="46"/>
  <c r="C86" i="46"/>
  <c r="C89" i="46"/>
  <c r="C35" i="76"/>
  <c r="H24" i="88"/>
  <c r="C31" i="46"/>
  <c r="D31" i="46" s="1"/>
  <c r="E29" i="46"/>
  <c r="G85" i="46"/>
  <c r="G86" i="46" s="1"/>
  <c r="H85" i="46"/>
  <c r="H86" i="46" s="1"/>
  <c r="D85" i="46"/>
  <c r="D86" i="46" s="1"/>
  <c r="I85" i="46"/>
  <c r="I86" i="46" s="1"/>
  <c r="E85" i="46"/>
  <c r="E86" i="46" s="1"/>
  <c r="J85" i="46"/>
  <c r="J86" i="46" s="1"/>
  <c r="F31" i="76"/>
  <c r="G18" i="76"/>
  <c r="N23" i="88"/>
  <c r="C82" i="46"/>
  <c r="C83" i="46" s="1"/>
  <c r="C34" i="85"/>
  <c r="Q4" i="85"/>
  <c r="R4" i="85"/>
  <c r="T4" i="85"/>
  <c r="U4" i="85"/>
  <c r="V4" i="85"/>
  <c r="P4" i="85"/>
  <c r="N4" i="85"/>
  <c r="O4" i="85"/>
  <c r="S4" i="85"/>
  <c r="D29" i="46"/>
  <c r="I88" i="46"/>
  <c r="I89" i="46" s="1"/>
  <c r="E88" i="46"/>
  <c r="E89" i="46" s="1"/>
  <c r="G88" i="46"/>
  <c r="G89" i="46" s="1"/>
  <c r="H88" i="46"/>
  <c r="H89" i="46" s="1"/>
  <c r="J88" i="46"/>
  <c r="J89" i="46" s="1"/>
  <c r="D88" i="46"/>
  <c r="D89" i="46" s="1"/>
  <c r="G63" i="46"/>
  <c r="G64" i="46" s="1"/>
  <c r="E63" i="46"/>
  <c r="E64" i="46" s="1"/>
  <c r="D63" i="46"/>
  <c r="D64" i="46" s="1"/>
  <c r="I63" i="46"/>
  <c r="I64" i="46" s="1"/>
  <c r="J63" i="46"/>
  <c r="J64" i="46" s="1"/>
  <c r="F63" i="46"/>
  <c r="F64" i="46" s="1"/>
  <c r="H63" i="46"/>
  <c r="H64" i="46" s="1"/>
  <c r="V3" i="85" l="1"/>
  <c r="T3" i="85"/>
  <c r="U3" i="85"/>
  <c r="R3" i="85"/>
  <c r="Q3" i="85"/>
  <c r="O3" i="85"/>
  <c r="N3" i="85"/>
  <c r="S3" i="85"/>
  <c r="P3" i="85"/>
  <c r="R4" i="76"/>
  <c r="Q4" i="76"/>
  <c r="T4" i="76"/>
  <c r="U4" i="76"/>
  <c r="N4" i="76"/>
  <c r="O4" i="76"/>
  <c r="S4" i="76"/>
  <c r="P4" i="76"/>
  <c r="V4" i="76"/>
  <c r="Q3" i="76"/>
  <c r="R3" i="76"/>
  <c r="V3" i="76"/>
  <c r="T3" i="76"/>
  <c r="U3" i="76"/>
  <c r="P3" i="76"/>
  <c r="O3" i="76"/>
  <c r="N3" i="76"/>
  <c r="S3" i="76"/>
  <c r="M3" i="76"/>
  <c r="E82" i="46"/>
  <c r="E83" i="46" s="1"/>
  <c r="F82" i="46"/>
  <c r="F83" i="46" s="1"/>
  <c r="G82" i="46"/>
  <c r="G83" i="46" s="1"/>
  <c r="D82" i="46"/>
  <c r="D83" i="46" s="1"/>
  <c r="J82" i="46"/>
  <c r="J83" i="46" s="1"/>
  <c r="H82" i="46"/>
  <c r="H83" i="46" s="1"/>
  <c r="I82" i="46"/>
  <c r="I83" i="46" s="1"/>
  <c r="C32" i="46"/>
  <c r="G31" i="76"/>
  <c r="H18" i="76"/>
  <c r="J44" i="46"/>
  <c r="J45" i="46" s="1"/>
  <c r="E44" i="46"/>
  <c r="E45" i="46" s="1"/>
  <c r="F44" i="46"/>
  <c r="F45" i="46" s="1"/>
  <c r="G44" i="46"/>
  <c r="G45" i="46" s="1"/>
  <c r="I44" i="46"/>
  <c r="I45" i="46" s="1"/>
  <c r="H44" i="46"/>
  <c r="H45" i="46" s="1"/>
  <c r="D44" i="46"/>
  <c r="D45" i="46" s="1"/>
  <c r="R2" i="85"/>
  <c r="Q2" i="85"/>
  <c r="V2" i="85"/>
  <c r="T2" i="85"/>
  <c r="U2" i="85"/>
  <c r="P2" i="85"/>
  <c r="O2" i="85"/>
  <c r="S2" i="85"/>
  <c r="N2" i="85"/>
  <c r="M2" i="85"/>
  <c r="Q2" i="79"/>
  <c r="R2" i="79"/>
  <c r="V2" i="79"/>
  <c r="U2" i="79"/>
  <c r="T2" i="79"/>
  <c r="P2" i="79"/>
  <c r="S2" i="79"/>
  <c r="N2" i="79"/>
  <c r="O2" i="79"/>
  <c r="M2" i="79"/>
  <c r="J28" i="46"/>
  <c r="J29" i="46" s="1"/>
  <c r="I29" i="46"/>
  <c r="E31" i="46"/>
  <c r="D32" i="46"/>
  <c r="C25" i="46" l="1"/>
  <c r="H23" i="88"/>
  <c r="C34" i="76"/>
  <c r="G31" i="46"/>
  <c r="E32" i="46"/>
  <c r="H31" i="46" l="1"/>
  <c r="G32" i="46"/>
  <c r="R2" i="76"/>
  <c r="Q2" i="76"/>
  <c r="U2" i="76"/>
  <c r="T2" i="76"/>
  <c r="V2" i="76"/>
  <c r="P2" i="76"/>
  <c r="O2" i="76"/>
  <c r="S2" i="76"/>
  <c r="N2" i="76"/>
  <c r="M2" i="76"/>
  <c r="J25" i="46"/>
  <c r="J26" i="46" s="1"/>
  <c r="E25" i="46"/>
  <c r="E26" i="46" s="1"/>
  <c r="H25" i="46"/>
  <c r="H26" i="46" s="1"/>
  <c r="I25" i="46"/>
  <c r="I26" i="46" s="1"/>
  <c r="G25" i="46"/>
  <c r="G26" i="46" s="1"/>
  <c r="D25" i="46"/>
  <c r="D26" i="46" s="1"/>
  <c r="F25" i="46"/>
  <c r="F26" i="46" s="1"/>
  <c r="C26" i="46"/>
  <c r="I31" i="46" l="1"/>
  <c r="H32" i="46"/>
  <c r="J31" i="46" l="1"/>
  <c r="J32" i="46" s="1"/>
  <c r="I32" i="46"/>
</calcChain>
</file>

<file path=xl/sharedStrings.xml><?xml version="1.0" encoding="utf-8"?>
<sst xmlns="http://schemas.openxmlformats.org/spreadsheetml/2006/main" count="9117" uniqueCount="481">
  <si>
    <t xml:space="preserve"> PREMISSAS</t>
  </si>
  <si>
    <t>1- Inicio (ano)</t>
  </si>
  <si>
    <t>2-  Fatores CWD</t>
  </si>
  <si>
    <t>% Postal</t>
  </si>
  <si>
    <t>% CWD</t>
  </si>
  <si>
    <t>3-  Alocação na entrada e saída</t>
  </si>
  <si>
    <t>Alocação Entrada</t>
  </si>
  <si>
    <t>Alocação saída</t>
  </si>
  <si>
    <t>4. Outros</t>
  </si>
  <si>
    <t>Fator de conversão (mil m³/MMBtu)</t>
  </si>
  <si>
    <t>Dias Operacionais (dias)</t>
  </si>
  <si>
    <t>5. Escolher Cenários</t>
  </si>
  <si>
    <t xml:space="preserve">Capacidade </t>
  </si>
  <si>
    <t>Tarifa</t>
  </si>
  <si>
    <t>Mil m³/dia</t>
  </si>
  <si>
    <t>R$/MMBtu</t>
  </si>
  <si>
    <t>Mil R$/Ano</t>
  </si>
  <si>
    <t>Malhas SE</t>
  </si>
  <si>
    <t>Malhas II</t>
  </si>
  <si>
    <t>Paulínia-Jacutinga</t>
  </si>
  <si>
    <t>GASDUC III</t>
  </si>
  <si>
    <t>GASTAU</t>
  </si>
  <si>
    <t>Poder Calorífico de Referência (MMBtu/m³)</t>
  </si>
  <si>
    <t>Duto / Estação</t>
  </si>
  <si>
    <t>PR-TECAB</t>
  </si>
  <si>
    <t>TECAB</t>
  </si>
  <si>
    <t>PR-GNLBGB</t>
  </si>
  <si>
    <t>PR-REDUC</t>
  </si>
  <si>
    <t>PR-CARAGUATATUBA</t>
  </si>
  <si>
    <t>PR-RPBC</t>
  </si>
  <si>
    <t>Área de Concessão</t>
  </si>
  <si>
    <t>Comgás</t>
  </si>
  <si>
    <t>Gasmig</t>
  </si>
  <si>
    <t>Naturgy-RJ (CEG)</t>
  </si>
  <si>
    <t>UF</t>
  </si>
  <si>
    <t>PONTOS DE ENTREGA</t>
  </si>
  <si>
    <t>ZONA</t>
  </si>
  <si>
    <t>EX1</t>
  </si>
  <si>
    <t>EX2</t>
  </si>
  <si>
    <t>EX3</t>
  </si>
  <si>
    <t>EX4</t>
  </si>
  <si>
    <t>EX5</t>
  </si>
  <si>
    <t>EX6</t>
  </si>
  <si>
    <t>EX7</t>
  </si>
  <si>
    <t>EX8</t>
  </si>
  <si>
    <t>EX9</t>
  </si>
  <si>
    <t>EX10</t>
  </si>
  <si>
    <t>EX11</t>
  </si>
  <si>
    <t>EX12</t>
  </si>
  <si>
    <t>EX13</t>
  </si>
  <si>
    <t>EX14</t>
  </si>
  <si>
    <t>EX15</t>
  </si>
  <si>
    <t>EX16</t>
  </si>
  <si>
    <t>MG</t>
  </si>
  <si>
    <t>PE-UTEJDF</t>
  </si>
  <si>
    <t>PE-JDF</t>
  </si>
  <si>
    <t>PE-BARBACE</t>
  </si>
  <si>
    <t>PE-SAOBRS2</t>
  </si>
  <si>
    <t>PE-BRUMADI</t>
  </si>
  <si>
    <t>PE-BETIM</t>
  </si>
  <si>
    <t>PE-REGAP</t>
  </si>
  <si>
    <t>PE-REGAP2</t>
  </si>
  <si>
    <t>PE-UTEIBIR</t>
  </si>
  <si>
    <t>PE-JACUTIN</t>
  </si>
  <si>
    <t>RJ</t>
  </si>
  <si>
    <t>PE-DCAXIAS</t>
  </si>
  <si>
    <t>PE-TERMOR2</t>
  </si>
  <si>
    <t>PE-TERMORJ</t>
  </si>
  <si>
    <t>PE-GUAPIMI</t>
  </si>
  <si>
    <t>PE-UTEMM</t>
  </si>
  <si>
    <t>PE-UTENF</t>
  </si>
  <si>
    <t>PE-JAPERI</t>
  </si>
  <si>
    <t>PE-JAPERI2</t>
  </si>
  <si>
    <t>PE-UTEBFLU</t>
  </si>
  <si>
    <t>PE-BMANSA2</t>
  </si>
  <si>
    <t>PE-CDACO</t>
  </si>
  <si>
    <t>PE-PARACAM</t>
  </si>
  <si>
    <t>PE-PIRAI</t>
  </si>
  <si>
    <t>PE-VREDOND</t>
  </si>
  <si>
    <t>PE-RESEND2</t>
  </si>
  <si>
    <t>PE-RIOFLOR</t>
  </si>
  <si>
    <t>PE-REDUC-H</t>
  </si>
  <si>
    <t>SP (NTS)</t>
  </si>
  <si>
    <t>PE-BRAGSP</t>
  </si>
  <si>
    <t>PE-CACAPAV</t>
  </si>
  <si>
    <t>PE-PINDA2</t>
  </si>
  <si>
    <t>PE-GUARATI</t>
  </si>
  <si>
    <t>PE-LORENA</t>
  </si>
  <si>
    <t>PE-CRUZEIR</t>
  </si>
  <si>
    <t>PE-TAUBATE</t>
  </si>
  <si>
    <t>PE-REVAP2</t>
  </si>
  <si>
    <t>PE-SJC</t>
  </si>
  <si>
    <t>PE-SUZANO</t>
  </si>
  <si>
    <t>PE-CAPUAVA</t>
  </si>
  <si>
    <t>PE-RECAP2</t>
  </si>
  <si>
    <t>PE-SBC2</t>
  </si>
  <si>
    <t>PE-SBCAMPO</t>
  </si>
  <si>
    <t>PE-CUBATAO</t>
  </si>
  <si>
    <t>PE-UTECUBA</t>
  </si>
  <si>
    <t>PE-RPBC</t>
  </si>
  <si>
    <t>Cálculo da Tarifa de Entrada-Saída (Postal)</t>
  </si>
  <si>
    <t>Ano</t>
  </si>
  <si>
    <t>Receita Total</t>
  </si>
  <si>
    <t>Milhões de Reais</t>
  </si>
  <si>
    <t>Receita Alocada para Entrada</t>
  </si>
  <si>
    <t>Milhões de Reais/ano</t>
  </si>
  <si>
    <t>Total da Reserva de Capacidade de Entrada Anual</t>
  </si>
  <si>
    <r>
      <t>Mil de m</t>
    </r>
    <r>
      <rPr>
        <vertAlign val="superscript"/>
        <sz val="11"/>
        <color theme="1"/>
        <rFont val="Calibri"/>
        <family val="2"/>
        <scheme val="minor"/>
      </rPr>
      <t>3</t>
    </r>
  </si>
  <si>
    <t>MMBTU</t>
  </si>
  <si>
    <t>Tarifa de Entrada Postal</t>
  </si>
  <si>
    <r>
      <t>R$/m</t>
    </r>
    <r>
      <rPr>
        <vertAlign val="superscript"/>
        <sz val="11"/>
        <color theme="1"/>
        <rFont val="Calibri"/>
        <family val="2"/>
        <scheme val="minor"/>
      </rPr>
      <t>3</t>
    </r>
  </si>
  <si>
    <t>Receita Alocada para Saída</t>
  </si>
  <si>
    <t>Total da Reserva de Capacidade de Saída Anual</t>
  </si>
  <si>
    <t>Tarifa de Saída Postal</t>
  </si>
  <si>
    <t>Proporção Postal:</t>
  </si>
  <si>
    <t>Step 1</t>
  </si>
  <si>
    <t>Define technical capacity at each entry and exit point; define forecasted booked capacity at each entry and exit point; [define (ex ante) the share of revenue to be collected from entry points and the share of revenue to be collected from exit points].</t>
  </si>
  <si>
    <t>Variable</t>
  </si>
  <si>
    <t>Description</t>
  </si>
  <si>
    <t>Capacity at entry entry point i</t>
  </si>
  <si>
    <t>Capacity at exit entry point j</t>
  </si>
  <si>
    <t>Forecasted Booked Capacity at entry point i</t>
  </si>
  <si>
    <t>Forecasted Booked Capacity at exit point j</t>
  </si>
  <si>
    <t>Code</t>
  </si>
  <si>
    <t>Entrada</t>
  </si>
  <si>
    <t>EN 02</t>
  </si>
  <si>
    <t>EN 03</t>
  </si>
  <si>
    <t>EN 04</t>
  </si>
  <si>
    <t>EN 05</t>
  </si>
  <si>
    <t>EN 07</t>
  </si>
  <si>
    <t>EN 09</t>
  </si>
  <si>
    <t>EN 10</t>
  </si>
  <si>
    <t>Zonas Saídas</t>
  </si>
  <si>
    <t>Step 2</t>
  </si>
  <si>
    <t>Calculate distance between each entry point and each exit point in the system</t>
  </si>
  <si>
    <t>Matrix of the distances from entrry i to exit j</t>
  </si>
  <si>
    <t>Step 3</t>
  </si>
  <si>
    <t>Proportion factor of entry point i</t>
  </si>
  <si>
    <t>Proportion factor of  exit zone j</t>
  </si>
  <si>
    <t>Formula:</t>
  </si>
  <si>
    <t>Value</t>
  </si>
  <si>
    <t>Step 4</t>
  </si>
  <si>
    <t>Capacity weighted average distance from entry i</t>
  </si>
  <si>
    <t>Capacity weighted average distance from entry j</t>
  </si>
  <si>
    <t>Step 5</t>
  </si>
  <si>
    <t>Is the weight of entry point i</t>
  </si>
  <si>
    <t>Is the weight of exit point j</t>
  </si>
  <si>
    <t>Step 6</t>
  </si>
  <si>
    <t>Allocate entry cost (respectively exit costs) by multiplying the total revenue to be collected from entry points by the weight of each entry point (respectively exit point)</t>
  </si>
  <si>
    <t>Is the revenue to be collected from entry point i</t>
  </si>
  <si>
    <t>Is the revenue to be collected from exit point j</t>
  </si>
  <si>
    <t>Step 7</t>
  </si>
  <si>
    <t>Determine tariffs by dividing revenue to be collected from a point by its forecasted booked capacity</t>
  </si>
  <si>
    <t>Is the tariff at entry point i</t>
  </si>
  <si>
    <t>Is the tariff at exit point j</t>
  </si>
  <si>
    <t>Ponto de Entrada</t>
  </si>
  <si>
    <t>Zona de Saída</t>
  </si>
  <si>
    <t>Desconto na(s) Interconexão(ões)</t>
  </si>
  <si>
    <t>Cenário 1 - Referência</t>
  </si>
  <si>
    <t>GASPAJ</t>
  </si>
  <si>
    <t>NTS MG 1</t>
  </si>
  <si>
    <t>NTS MG 2</t>
  </si>
  <si>
    <t>NTS MG 3</t>
  </si>
  <si>
    <t>NTS MG 4</t>
  </si>
  <si>
    <t>NTS RJ 1</t>
  </si>
  <si>
    <t>NTS RJ 2</t>
  </si>
  <si>
    <t>NTS RJ 3</t>
  </si>
  <si>
    <t>NTS RJ 4</t>
  </si>
  <si>
    <t>NTS RJ 5</t>
  </si>
  <si>
    <t>NTS SP 1</t>
  </si>
  <si>
    <t>NTS SP 2</t>
  </si>
  <si>
    <t>NTS SP 3</t>
  </si>
  <si>
    <t>NTS SP 4</t>
  </si>
  <si>
    <t>REDUC</t>
  </si>
  <si>
    <t>RPBC</t>
  </si>
  <si>
    <t>REPLAN</t>
  </si>
  <si>
    <t>GUARAREMA</t>
  </si>
  <si>
    <t>CAMPOS ELÍSEOS</t>
  </si>
  <si>
    <t>Total</t>
  </si>
  <si>
    <t>RECEITAS - NTS</t>
  </si>
  <si>
    <t>[Base diária]</t>
  </si>
  <si>
    <t>[Base anual]</t>
  </si>
  <si>
    <t>EN 01</t>
  </si>
  <si>
    <t>EN 06</t>
  </si>
  <si>
    <t>EN 08</t>
  </si>
  <si>
    <t>PR-GASPAJ</t>
  </si>
  <si>
    <t>PR-CARAGUA-TATUBA</t>
  </si>
  <si>
    <t>BC
[MMBTU]</t>
  </si>
  <si>
    <t>T</t>
  </si>
  <si>
    <t>BC total UF</t>
  </si>
  <si>
    <t>R</t>
  </si>
  <si>
    <t>R total UF</t>
  </si>
  <si>
    <t>Tponderada</t>
  </si>
  <si>
    <t>SP</t>
  </si>
  <si>
    <t>PR-GUARAREMA (INTERCONEXÃO)</t>
  </si>
  <si>
    <t>PR-TECAB (INTERCONEXÃO)</t>
  </si>
  <si>
    <t>PR-REPLAN (INTERCONEXÃO)</t>
  </si>
  <si>
    <t>PE-TECAB (INTERCONEXÃO)</t>
  </si>
  <si>
    <t>PE-REPLAN (INTERCONEXÃO)</t>
  </si>
  <si>
    <t>PE-GUARAREMA (INTERCONEXÃO)</t>
  </si>
  <si>
    <r>
      <t>R</t>
    </r>
    <r>
      <rPr>
        <i/>
        <vertAlign val="subscript"/>
        <sz val="11"/>
        <color theme="1"/>
        <rFont val="Calibri"/>
        <family val="2"/>
        <scheme val="minor"/>
      </rPr>
      <t>total</t>
    </r>
  </si>
  <si>
    <r>
      <t>R</t>
    </r>
    <r>
      <rPr>
        <i/>
        <vertAlign val="subscript"/>
        <sz val="11"/>
        <color theme="1"/>
        <rFont val="Calibri"/>
        <family val="2"/>
        <scheme val="minor"/>
      </rPr>
      <t>en</t>
    </r>
  </si>
  <si>
    <r>
      <t>BC</t>
    </r>
    <r>
      <rPr>
        <i/>
        <vertAlign val="subscript"/>
        <sz val="11"/>
        <color theme="1"/>
        <rFont val="Calibri"/>
        <family val="2"/>
        <scheme val="minor"/>
      </rPr>
      <t>∑En</t>
    </r>
  </si>
  <si>
    <r>
      <t>T</t>
    </r>
    <r>
      <rPr>
        <i/>
        <vertAlign val="subscript"/>
        <sz val="11"/>
        <color theme="1"/>
        <rFont val="Calibri"/>
        <family val="2"/>
        <scheme val="minor"/>
      </rPr>
      <t>en</t>
    </r>
  </si>
  <si>
    <r>
      <t>R</t>
    </r>
    <r>
      <rPr>
        <i/>
        <vertAlign val="subscript"/>
        <sz val="11"/>
        <color theme="1"/>
        <rFont val="Calibri"/>
        <family val="2"/>
        <scheme val="minor"/>
      </rPr>
      <t>ex</t>
    </r>
  </si>
  <si>
    <r>
      <t>BC</t>
    </r>
    <r>
      <rPr>
        <i/>
        <vertAlign val="subscript"/>
        <sz val="11"/>
        <color theme="1"/>
        <rFont val="Calibri"/>
        <family val="2"/>
        <scheme val="minor"/>
      </rPr>
      <t>∑Ex</t>
    </r>
  </si>
  <si>
    <r>
      <t>T</t>
    </r>
    <r>
      <rPr>
        <i/>
        <vertAlign val="subscript"/>
        <sz val="11"/>
        <color theme="1"/>
        <rFont val="Calibri"/>
        <family val="2"/>
        <scheme val="minor"/>
      </rPr>
      <t>ex</t>
    </r>
  </si>
  <si>
    <r>
      <t>CEN</t>
    </r>
    <r>
      <rPr>
        <vertAlign val="subscript"/>
        <sz val="11"/>
        <color theme="1"/>
        <rFont val="Calibri"/>
        <family val="2"/>
        <scheme val="minor"/>
      </rPr>
      <t>i</t>
    </r>
  </si>
  <si>
    <r>
      <t>CEX</t>
    </r>
    <r>
      <rPr>
        <vertAlign val="subscript"/>
        <sz val="11"/>
        <color theme="1"/>
        <rFont val="Calibri"/>
        <family val="2"/>
        <scheme val="minor"/>
      </rPr>
      <t>j</t>
    </r>
  </si>
  <si>
    <r>
      <t>BCEN</t>
    </r>
    <r>
      <rPr>
        <vertAlign val="subscript"/>
        <sz val="11"/>
        <color theme="1"/>
        <rFont val="Calibri"/>
        <family val="2"/>
        <scheme val="minor"/>
      </rPr>
      <t>i</t>
    </r>
  </si>
  <si>
    <r>
      <t>BCEX</t>
    </r>
    <r>
      <rPr>
        <vertAlign val="subscript"/>
        <sz val="11"/>
        <color theme="1"/>
        <rFont val="Calibri"/>
        <family val="2"/>
        <scheme val="minor"/>
      </rPr>
      <t>j</t>
    </r>
  </si>
  <si>
    <r>
      <t>BCEN</t>
    </r>
    <r>
      <rPr>
        <vertAlign val="subscript"/>
        <sz val="12"/>
        <color theme="0"/>
        <rFont val="Calibri"/>
        <family val="2"/>
        <scheme val="minor"/>
      </rPr>
      <t>i</t>
    </r>
    <r>
      <rPr>
        <sz val="12"/>
        <color theme="0"/>
        <rFont val="Calibri"/>
        <family val="2"/>
        <scheme val="minor"/>
      </rPr>
      <t xml:space="preserve">
[mil m³@9.400]</t>
    </r>
  </si>
  <si>
    <r>
      <t>CEN</t>
    </r>
    <r>
      <rPr>
        <vertAlign val="subscript"/>
        <sz val="12"/>
        <color theme="0"/>
        <rFont val="Calibri"/>
        <family val="2"/>
        <scheme val="minor"/>
      </rPr>
      <t>i</t>
    </r>
    <r>
      <rPr>
        <sz val="12"/>
        <color theme="0"/>
        <rFont val="Calibri"/>
        <family val="2"/>
        <scheme val="minor"/>
      </rPr>
      <t xml:space="preserve">
[MMBTU]</t>
    </r>
  </si>
  <si>
    <r>
      <t>BCEN</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</si>
  <si>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[ml m³@9.400]</t>
    </r>
  </si>
  <si>
    <r>
      <t>CEX</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</si>
  <si>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[MMBTU]</t>
    </r>
  </si>
  <si>
    <r>
      <t>[DEN</t>
    </r>
    <r>
      <rPr>
        <vertAlign val="subscript"/>
        <sz val="11"/>
        <color theme="1"/>
        <rFont val="Calibri"/>
        <family val="2"/>
        <scheme val="minor"/>
      </rPr>
      <t>i</t>
    </r>
    <r>
      <rPr>
        <sz val="11"/>
        <color theme="1"/>
        <rFont val="Calibri"/>
        <family val="2"/>
        <scheme val="minor"/>
      </rPr>
      <t>EX</t>
    </r>
    <r>
      <rPr>
        <vertAlign val="subscript"/>
        <sz val="11"/>
        <color theme="1"/>
        <rFont val="Calibri"/>
        <family val="2"/>
        <scheme val="minor"/>
      </rPr>
      <t>j</t>
    </r>
    <r>
      <rPr>
        <sz val="11"/>
        <color theme="1"/>
        <rFont val="Calibri"/>
        <family val="2"/>
        <scheme val="minor"/>
      </rPr>
      <t>]</t>
    </r>
  </si>
  <si>
    <r>
      <t>PEN</t>
    </r>
    <r>
      <rPr>
        <vertAlign val="subscript"/>
        <sz val="11"/>
        <color theme="1"/>
        <rFont val="Calibri"/>
        <family val="2"/>
        <scheme val="minor"/>
      </rPr>
      <t>i</t>
    </r>
  </si>
  <si>
    <r>
      <t>PEX</t>
    </r>
    <r>
      <rPr>
        <vertAlign val="subscript"/>
        <sz val="11"/>
        <color theme="1"/>
        <rFont val="Calibri"/>
        <family val="2"/>
        <scheme val="minor"/>
      </rPr>
      <t xml:space="preserve"> j</t>
    </r>
  </si>
  <si>
    <r>
      <t>[PEN</t>
    </r>
    <r>
      <rPr>
        <vertAlign val="subscript"/>
        <sz val="11"/>
        <color rgb="FFFFFFFF"/>
        <rFont val="Calibri"/>
        <family val="2"/>
      </rPr>
      <t>i</t>
    </r>
    <r>
      <rPr>
        <sz val="11"/>
        <color rgb="FFFFFFFF"/>
        <rFont val="Calibri"/>
        <family val="2"/>
      </rPr>
      <t>]</t>
    </r>
  </si>
  <si>
    <r>
      <t>[PEX</t>
    </r>
    <r>
      <rPr>
        <vertAlign val="subscript"/>
        <sz val="11"/>
        <color rgb="FFFFFFFF"/>
        <rFont val="Calibri"/>
        <family val="2"/>
      </rPr>
      <t>j</t>
    </r>
    <r>
      <rPr>
        <sz val="11"/>
        <color rgb="FFFFFFFF"/>
        <rFont val="Calibri"/>
        <family val="2"/>
      </rPr>
      <t>]</t>
    </r>
  </si>
  <si>
    <r>
      <t>PEN</t>
    </r>
    <r>
      <rPr>
        <vertAlign val="subscript"/>
        <sz val="11"/>
        <color theme="1"/>
        <rFont val="Calibri"/>
        <family val="2"/>
        <scheme val="minor"/>
      </rPr>
      <t>1</t>
    </r>
  </si>
  <si>
    <r>
      <t>PEN</t>
    </r>
    <r>
      <rPr>
        <vertAlign val="subscript"/>
        <sz val="11"/>
        <color theme="1"/>
        <rFont val="Calibri"/>
        <family val="2"/>
        <scheme val="minor"/>
      </rPr>
      <t>2</t>
    </r>
    <r>
      <rPr>
        <sz val="11"/>
        <color theme="1"/>
        <rFont val="Calibri"/>
        <family val="2"/>
        <scheme val="minor"/>
      </rPr>
      <t/>
    </r>
  </si>
  <si>
    <r>
      <t>PEN</t>
    </r>
    <r>
      <rPr>
        <vertAlign val="subscript"/>
        <sz val="11"/>
        <color theme="1"/>
        <rFont val="Calibri"/>
        <family val="2"/>
        <scheme val="minor"/>
      </rPr>
      <t>3</t>
    </r>
    <r>
      <rPr>
        <sz val="11"/>
        <color theme="1"/>
        <rFont val="Calibri"/>
        <family val="2"/>
        <scheme val="minor"/>
      </rPr>
      <t/>
    </r>
  </si>
  <si>
    <r>
      <t>PEN</t>
    </r>
    <r>
      <rPr>
        <vertAlign val="subscript"/>
        <sz val="11"/>
        <color theme="1"/>
        <rFont val="Calibri"/>
        <family val="2"/>
        <scheme val="minor"/>
      </rPr>
      <t>4</t>
    </r>
    <r>
      <rPr>
        <sz val="11"/>
        <color theme="1"/>
        <rFont val="Calibri"/>
        <family val="2"/>
        <scheme val="minor"/>
      </rPr>
      <t/>
    </r>
  </si>
  <si>
    <r>
      <t>PEN</t>
    </r>
    <r>
      <rPr>
        <vertAlign val="subscript"/>
        <sz val="11"/>
        <color theme="1"/>
        <rFont val="Calibri"/>
        <family val="2"/>
        <scheme val="minor"/>
      </rPr>
      <t>5</t>
    </r>
    <r>
      <rPr>
        <sz val="11"/>
        <color theme="1"/>
        <rFont val="Calibri"/>
        <family val="2"/>
        <scheme val="minor"/>
      </rPr>
      <t/>
    </r>
  </si>
  <si>
    <r>
      <t>PEN</t>
    </r>
    <r>
      <rPr>
        <vertAlign val="subscript"/>
        <sz val="11"/>
        <color theme="1"/>
        <rFont val="Calibri"/>
        <family val="2"/>
        <scheme val="minor"/>
      </rPr>
      <t>6</t>
    </r>
    <r>
      <rPr>
        <sz val="11"/>
        <color theme="1"/>
        <rFont val="Calibri"/>
        <family val="2"/>
        <scheme val="minor"/>
      </rPr>
      <t/>
    </r>
  </si>
  <si>
    <r>
      <t>PEN</t>
    </r>
    <r>
      <rPr>
        <vertAlign val="subscript"/>
        <sz val="11"/>
        <color theme="1"/>
        <rFont val="Calibri"/>
        <family val="2"/>
        <scheme val="minor"/>
      </rPr>
      <t>7</t>
    </r>
    <r>
      <rPr>
        <sz val="11"/>
        <color theme="1"/>
        <rFont val="Calibri"/>
        <family val="2"/>
        <scheme val="minor"/>
      </rPr>
      <t/>
    </r>
  </si>
  <si>
    <r>
      <t>PEN</t>
    </r>
    <r>
      <rPr>
        <vertAlign val="subscript"/>
        <sz val="11"/>
        <color theme="1"/>
        <rFont val="Calibri"/>
        <family val="2"/>
        <scheme val="minor"/>
      </rPr>
      <t>8</t>
    </r>
    <r>
      <rPr>
        <sz val="11"/>
        <color theme="1"/>
        <rFont val="Calibri"/>
        <family val="2"/>
        <scheme val="minor"/>
      </rPr>
      <t/>
    </r>
  </si>
  <si>
    <r>
      <t>PEN</t>
    </r>
    <r>
      <rPr>
        <vertAlign val="subscript"/>
        <sz val="11"/>
        <color theme="1"/>
        <rFont val="Calibri"/>
        <family val="2"/>
        <scheme val="minor"/>
      </rPr>
      <t>9</t>
    </r>
    <r>
      <rPr>
        <sz val="11"/>
        <color theme="1"/>
        <rFont val="Calibri"/>
        <family val="2"/>
        <scheme val="minor"/>
      </rPr>
      <t/>
    </r>
  </si>
  <si>
    <r>
      <t>PEN</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</si>
  <si>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t>
    </r>
  </si>
  <si>
    <r>
      <t>PEX</t>
    </r>
    <r>
      <rPr>
        <vertAlign val="subscript"/>
        <sz val="11"/>
        <color theme="1"/>
        <rFont val="Calibri"/>
        <family val="2"/>
        <scheme val="minor"/>
      </rPr>
      <t>2</t>
    </r>
    <r>
      <rPr>
        <sz val="11"/>
        <color theme="1"/>
        <rFont val="Calibri"/>
        <family val="2"/>
        <scheme val="minor"/>
      </rPr>
      <t/>
    </r>
  </si>
  <si>
    <r>
      <t>PEX</t>
    </r>
    <r>
      <rPr>
        <vertAlign val="subscript"/>
        <sz val="11"/>
        <color theme="1"/>
        <rFont val="Calibri"/>
        <family val="2"/>
        <scheme val="minor"/>
      </rPr>
      <t>3</t>
    </r>
    <r>
      <rPr>
        <sz val="11"/>
        <color theme="1"/>
        <rFont val="Calibri"/>
        <family val="2"/>
        <scheme val="minor"/>
      </rPr>
      <t/>
    </r>
  </si>
  <si>
    <r>
      <t>PEX</t>
    </r>
    <r>
      <rPr>
        <vertAlign val="subscript"/>
        <sz val="11"/>
        <color theme="1"/>
        <rFont val="Calibri"/>
        <family val="2"/>
        <scheme val="minor"/>
      </rPr>
      <t>4</t>
    </r>
    <r>
      <rPr>
        <sz val="11"/>
        <color theme="1"/>
        <rFont val="Calibri"/>
        <family val="2"/>
        <scheme val="minor"/>
      </rPr>
      <t/>
    </r>
  </si>
  <si>
    <r>
      <t>PEX</t>
    </r>
    <r>
      <rPr>
        <vertAlign val="subscript"/>
        <sz val="11"/>
        <color theme="1"/>
        <rFont val="Calibri"/>
        <family val="2"/>
        <scheme val="minor"/>
      </rPr>
      <t>5</t>
    </r>
    <r>
      <rPr>
        <sz val="11"/>
        <color theme="1"/>
        <rFont val="Calibri"/>
        <family val="2"/>
        <scheme val="minor"/>
      </rPr>
      <t/>
    </r>
  </si>
  <si>
    <r>
      <t>PEX</t>
    </r>
    <r>
      <rPr>
        <vertAlign val="subscript"/>
        <sz val="11"/>
        <color theme="1"/>
        <rFont val="Calibri"/>
        <family val="2"/>
        <scheme val="minor"/>
      </rPr>
      <t>6</t>
    </r>
    <r>
      <rPr>
        <sz val="11"/>
        <color theme="1"/>
        <rFont val="Calibri"/>
        <family val="2"/>
        <scheme val="minor"/>
      </rPr>
      <t/>
    </r>
  </si>
  <si>
    <r>
      <t>PEX</t>
    </r>
    <r>
      <rPr>
        <vertAlign val="subscript"/>
        <sz val="11"/>
        <color theme="1"/>
        <rFont val="Calibri"/>
        <family val="2"/>
        <scheme val="minor"/>
      </rPr>
      <t>7</t>
    </r>
    <r>
      <rPr>
        <sz val="11"/>
        <color theme="1"/>
        <rFont val="Calibri"/>
        <family val="2"/>
        <scheme val="minor"/>
      </rPr>
      <t/>
    </r>
  </si>
  <si>
    <r>
      <t>PEX</t>
    </r>
    <r>
      <rPr>
        <vertAlign val="subscript"/>
        <sz val="11"/>
        <color theme="1"/>
        <rFont val="Calibri"/>
        <family val="2"/>
        <scheme val="minor"/>
      </rPr>
      <t>8</t>
    </r>
    <r>
      <rPr>
        <sz val="11"/>
        <color theme="1"/>
        <rFont val="Calibri"/>
        <family val="2"/>
        <scheme val="minor"/>
      </rPr>
      <t/>
    </r>
  </si>
  <si>
    <r>
      <t>PEX</t>
    </r>
    <r>
      <rPr>
        <vertAlign val="subscript"/>
        <sz val="11"/>
        <color theme="1"/>
        <rFont val="Calibri"/>
        <family val="2"/>
        <scheme val="minor"/>
      </rPr>
      <t>9</t>
    </r>
    <r>
      <rPr>
        <sz val="11"/>
        <color theme="1"/>
        <rFont val="Calibri"/>
        <family val="2"/>
        <scheme val="minor"/>
      </rPr>
      <t/>
    </r>
  </si>
  <si>
    <r>
      <t>PEX</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</si>
  <si>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11</t>
    </r>
    <r>
      <rPr>
        <sz val="11"/>
        <color theme="1"/>
        <rFont val="Calibri"/>
        <family val="2"/>
        <scheme val="minor"/>
      </rPr>
      <t/>
    </r>
  </si>
  <si>
    <r>
      <t>PEX</t>
    </r>
    <r>
      <rPr>
        <vertAlign val="subscript"/>
        <sz val="11"/>
        <color theme="1"/>
        <rFont val="Calibri"/>
        <family val="2"/>
        <scheme val="minor"/>
      </rPr>
      <t>12</t>
    </r>
    <r>
      <rPr>
        <sz val="11"/>
        <color theme="1"/>
        <rFont val="Calibri"/>
        <family val="2"/>
        <scheme val="minor"/>
      </rPr>
      <t/>
    </r>
  </si>
  <si>
    <r>
      <t>PEX</t>
    </r>
    <r>
      <rPr>
        <vertAlign val="subscript"/>
        <sz val="11"/>
        <color theme="1"/>
        <rFont val="Calibri"/>
        <family val="2"/>
        <scheme val="minor"/>
      </rPr>
      <t>13</t>
    </r>
    <r>
      <rPr>
        <sz val="11"/>
        <color theme="1"/>
        <rFont val="Calibri"/>
        <family val="2"/>
        <scheme val="minor"/>
      </rPr>
      <t/>
    </r>
  </si>
  <si>
    <r>
      <t>PEX</t>
    </r>
    <r>
      <rPr>
        <vertAlign val="subscript"/>
        <sz val="11"/>
        <color theme="1"/>
        <rFont val="Calibri"/>
        <family val="2"/>
        <scheme val="minor"/>
      </rPr>
      <t>14</t>
    </r>
    <r>
      <rPr>
        <sz val="11"/>
        <color theme="1"/>
        <rFont val="Calibri"/>
        <family val="2"/>
        <scheme val="minor"/>
      </rPr>
      <t/>
    </r>
  </si>
  <si>
    <r>
      <t>PEX</t>
    </r>
    <r>
      <rPr>
        <vertAlign val="subscript"/>
        <sz val="11"/>
        <color theme="1"/>
        <rFont val="Calibri"/>
        <family val="2"/>
        <scheme val="minor"/>
      </rPr>
      <t>15</t>
    </r>
    <r>
      <rPr>
        <sz val="11"/>
        <color theme="1"/>
        <rFont val="Calibri"/>
        <family val="2"/>
        <scheme val="minor"/>
      </rPr>
      <t/>
    </r>
  </si>
  <si>
    <r>
      <t>PEX</t>
    </r>
    <r>
      <rPr>
        <vertAlign val="subscript"/>
        <sz val="11"/>
        <color theme="1"/>
        <rFont val="Calibri"/>
        <family val="2"/>
        <scheme val="minor"/>
      </rPr>
      <t>16</t>
    </r>
    <r>
      <rPr>
        <sz val="11"/>
        <color theme="1"/>
        <rFont val="Calibri"/>
        <family val="2"/>
        <scheme val="minor"/>
      </rPr>
      <t/>
    </r>
  </si>
  <si>
    <r>
      <t>ADEN</t>
    </r>
    <r>
      <rPr>
        <vertAlign val="subscript"/>
        <sz val="11"/>
        <color theme="1"/>
        <rFont val="Calibri"/>
        <family val="2"/>
        <scheme val="minor"/>
      </rPr>
      <t>i</t>
    </r>
  </si>
  <si>
    <r>
      <t>ADEX</t>
    </r>
    <r>
      <rPr>
        <vertAlign val="subscript"/>
        <sz val="11"/>
        <color theme="1"/>
        <rFont val="Calibri"/>
        <family val="2"/>
        <scheme val="minor"/>
      </rPr>
      <t>j</t>
    </r>
  </si>
  <si>
    <r>
      <t>[ADEN</t>
    </r>
    <r>
      <rPr>
        <vertAlign val="subscript"/>
        <sz val="11"/>
        <color rgb="FFFFFFFF"/>
        <rFont val="Calibri"/>
        <family val="2"/>
      </rPr>
      <t>i</t>
    </r>
    <r>
      <rPr>
        <sz val="11"/>
        <color rgb="FFFFFFFF"/>
        <rFont val="Calibri"/>
        <family val="2"/>
      </rPr>
      <t>]</t>
    </r>
  </si>
  <si>
    <r>
      <t>[ADEX</t>
    </r>
    <r>
      <rPr>
        <vertAlign val="subscript"/>
        <sz val="11"/>
        <color rgb="FFFFFFFF"/>
        <rFont val="Calibri"/>
        <family val="2"/>
      </rPr>
      <t>i</t>
    </r>
    <r>
      <rPr>
        <sz val="11"/>
        <color rgb="FFFFFFFF"/>
        <rFont val="Calibri"/>
        <family val="2"/>
      </rPr>
      <t>]</t>
    </r>
  </si>
  <si>
    <r>
      <t>ADEN</t>
    </r>
    <r>
      <rPr>
        <vertAlign val="subscript"/>
        <sz val="11"/>
        <color theme="1"/>
        <rFont val="Calibri"/>
        <family val="2"/>
        <scheme val="minor"/>
      </rPr>
      <t>1</t>
    </r>
  </si>
  <si>
    <r>
      <t>ADEX</t>
    </r>
    <r>
      <rPr>
        <vertAlign val="subscript"/>
        <sz val="11"/>
        <color theme="1"/>
        <rFont val="Calibri"/>
        <family val="2"/>
        <scheme val="minor"/>
      </rPr>
      <t>1</t>
    </r>
  </si>
  <si>
    <r>
      <t>ADEN</t>
    </r>
    <r>
      <rPr>
        <vertAlign val="subscript"/>
        <sz val="11"/>
        <color theme="1"/>
        <rFont val="Calibri"/>
        <family val="2"/>
        <scheme val="minor"/>
      </rPr>
      <t>2</t>
    </r>
    <r>
      <rPr>
        <sz val="11"/>
        <color theme="1"/>
        <rFont val="Calibri"/>
        <family val="2"/>
        <scheme val="minor"/>
      </rPr>
      <t/>
    </r>
  </si>
  <si>
    <r>
      <t>ADEX</t>
    </r>
    <r>
      <rPr>
        <vertAlign val="subscript"/>
        <sz val="11"/>
        <color theme="1"/>
        <rFont val="Calibri"/>
        <family val="2"/>
        <scheme val="minor"/>
      </rPr>
      <t>2</t>
    </r>
    <r>
      <rPr>
        <sz val="11"/>
        <color theme="1"/>
        <rFont val="Calibri"/>
        <family val="2"/>
        <scheme val="minor"/>
      </rPr>
      <t/>
    </r>
  </si>
  <si>
    <r>
      <t>ADEN</t>
    </r>
    <r>
      <rPr>
        <vertAlign val="subscript"/>
        <sz val="11"/>
        <color theme="1"/>
        <rFont val="Calibri"/>
        <family val="2"/>
        <scheme val="minor"/>
      </rPr>
      <t>3</t>
    </r>
    <r>
      <rPr>
        <sz val="11"/>
        <color theme="1"/>
        <rFont val="Calibri"/>
        <family val="2"/>
        <scheme val="minor"/>
      </rPr>
      <t/>
    </r>
  </si>
  <si>
    <r>
      <t>ADEX</t>
    </r>
    <r>
      <rPr>
        <vertAlign val="subscript"/>
        <sz val="11"/>
        <color theme="1"/>
        <rFont val="Calibri"/>
        <family val="2"/>
        <scheme val="minor"/>
      </rPr>
      <t>3</t>
    </r>
    <r>
      <rPr>
        <sz val="11"/>
        <color theme="1"/>
        <rFont val="Calibri"/>
        <family val="2"/>
        <scheme val="minor"/>
      </rPr>
      <t/>
    </r>
  </si>
  <si>
    <r>
      <t>ADEN</t>
    </r>
    <r>
      <rPr>
        <vertAlign val="subscript"/>
        <sz val="11"/>
        <color theme="1"/>
        <rFont val="Calibri"/>
        <family val="2"/>
        <scheme val="minor"/>
      </rPr>
      <t>4</t>
    </r>
    <r>
      <rPr>
        <sz val="11"/>
        <color theme="1"/>
        <rFont val="Calibri"/>
        <family val="2"/>
        <scheme val="minor"/>
      </rPr>
      <t/>
    </r>
  </si>
  <si>
    <r>
      <t>ADEX</t>
    </r>
    <r>
      <rPr>
        <vertAlign val="subscript"/>
        <sz val="11"/>
        <color theme="1"/>
        <rFont val="Calibri"/>
        <family val="2"/>
        <scheme val="minor"/>
      </rPr>
      <t>4</t>
    </r>
    <r>
      <rPr>
        <sz val="11"/>
        <color theme="1"/>
        <rFont val="Calibri"/>
        <family val="2"/>
        <scheme val="minor"/>
      </rPr>
      <t/>
    </r>
  </si>
  <si>
    <r>
      <t>ADEN</t>
    </r>
    <r>
      <rPr>
        <vertAlign val="subscript"/>
        <sz val="11"/>
        <color theme="1"/>
        <rFont val="Calibri"/>
        <family val="2"/>
        <scheme val="minor"/>
      </rPr>
      <t>5</t>
    </r>
    <r>
      <rPr>
        <sz val="11"/>
        <color theme="1"/>
        <rFont val="Calibri"/>
        <family val="2"/>
        <scheme val="minor"/>
      </rPr>
      <t/>
    </r>
  </si>
  <si>
    <r>
      <t>ADEX</t>
    </r>
    <r>
      <rPr>
        <vertAlign val="subscript"/>
        <sz val="11"/>
        <color theme="1"/>
        <rFont val="Calibri"/>
        <family val="2"/>
        <scheme val="minor"/>
      </rPr>
      <t>5</t>
    </r>
    <r>
      <rPr>
        <sz val="11"/>
        <color theme="1"/>
        <rFont val="Calibri"/>
        <family val="2"/>
        <scheme val="minor"/>
      </rPr>
      <t/>
    </r>
  </si>
  <si>
    <r>
      <t>ADEN</t>
    </r>
    <r>
      <rPr>
        <vertAlign val="subscript"/>
        <sz val="11"/>
        <color theme="1"/>
        <rFont val="Calibri"/>
        <family val="2"/>
        <scheme val="minor"/>
      </rPr>
      <t>6</t>
    </r>
    <r>
      <rPr>
        <sz val="11"/>
        <color theme="1"/>
        <rFont val="Calibri"/>
        <family val="2"/>
        <scheme val="minor"/>
      </rPr>
      <t/>
    </r>
  </si>
  <si>
    <r>
      <t>ADEX</t>
    </r>
    <r>
      <rPr>
        <vertAlign val="subscript"/>
        <sz val="11"/>
        <color theme="1"/>
        <rFont val="Calibri"/>
        <family val="2"/>
        <scheme val="minor"/>
      </rPr>
      <t>6</t>
    </r>
    <r>
      <rPr>
        <sz val="11"/>
        <color theme="1"/>
        <rFont val="Calibri"/>
        <family val="2"/>
        <scheme val="minor"/>
      </rPr>
      <t/>
    </r>
  </si>
  <si>
    <r>
      <t>ADEN</t>
    </r>
    <r>
      <rPr>
        <vertAlign val="subscript"/>
        <sz val="11"/>
        <color theme="1"/>
        <rFont val="Calibri"/>
        <family val="2"/>
        <scheme val="minor"/>
      </rPr>
      <t>7</t>
    </r>
    <r>
      <rPr>
        <sz val="11"/>
        <color theme="1"/>
        <rFont val="Calibri"/>
        <family val="2"/>
        <scheme val="minor"/>
      </rPr>
      <t/>
    </r>
  </si>
  <si>
    <r>
      <t>ADEX</t>
    </r>
    <r>
      <rPr>
        <vertAlign val="subscript"/>
        <sz val="11"/>
        <color theme="1"/>
        <rFont val="Calibri"/>
        <family val="2"/>
        <scheme val="minor"/>
      </rPr>
      <t>7</t>
    </r>
    <r>
      <rPr>
        <sz val="11"/>
        <color theme="1"/>
        <rFont val="Calibri"/>
        <family val="2"/>
        <scheme val="minor"/>
      </rPr>
      <t/>
    </r>
  </si>
  <si>
    <r>
      <t>ADEN</t>
    </r>
    <r>
      <rPr>
        <vertAlign val="subscript"/>
        <sz val="11"/>
        <color theme="1"/>
        <rFont val="Calibri"/>
        <family val="2"/>
        <scheme val="minor"/>
      </rPr>
      <t>8</t>
    </r>
    <r>
      <rPr>
        <sz val="11"/>
        <color theme="1"/>
        <rFont val="Calibri"/>
        <family val="2"/>
        <scheme val="minor"/>
      </rPr>
      <t/>
    </r>
  </si>
  <si>
    <r>
      <t>ADEX</t>
    </r>
    <r>
      <rPr>
        <vertAlign val="subscript"/>
        <sz val="11"/>
        <color theme="1"/>
        <rFont val="Calibri"/>
        <family val="2"/>
        <scheme val="minor"/>
      </rPr>
      <t>8</t>
    </r>
    <r>
      <rPr>
        <sz val="11"/>
        <color theme="1"/>
        <rFont val="Calibri"/>
        <family val="2"/>
        <scheme val="minor"/>
      </rPr>
      <t/>
    </r>
  </si>
  <si>
    <r>
      <t>ADEN</t>
    </r>
    <r>
      <rPr>
        <vertAlign val="subscript"/>
        <sz val="11"/>
        <color theme="1"/>
        <rFont val="Calibri"/>
        <family val="2"/>
        <scheme val="minor"/>
      </rPr>
      <t>9</t>
    </r>
    <r>
      <rPr>
        <sz val="11"/>
        <color theme="1"/>
        <rFont val="Calibri"/>
        <family val="2"/>
        <scheme val="minor"/>
      </rPr>
      <t/>
    </r>
  </si>
  <si>
    <r>
      <t>ADEX</t>
    </r>
    <r>
      <rPr>
        <vertAlign val="subscript"/>
        <sz val="11"/>
        <color theme="1"/>
        <rFont val="Calibri"/>
        <family val="2"/>
        <scheme val="minor"/>
      </rPr>
      <t>9</t>
    </r>
    <r>
      <rPr>
        <sz val="11"/>
        <color theme="1"/>
        <rFont val="Calibri"/>
        <family val="2"/>
        <scheme val="minor"/>
      </rPr>
      <t/>
    </r>
  </si>
  <si>
    <r>
      <t>ADEN</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</si>
  <si>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</si>
  <si>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11</t>
    </r>
    <r>
      <rPr>
        <sz val="11"/>
        <color theme="1"/>
        <rFont val="Calibri"/>
        <family val="2"/>
        <scheme val="minor"/>
      </rPr>
      <t/>
    </r>
  </si>
  <si>
    <r>
      <t>ADEX</t>
    </r>
    <r>
      <rPr>
        <vertAlign val="subscript"/>
        <sz val="11"/>
        <color theme="1"/>
        <rFont val="Calibri"/>
        <family val="2"/>
        <scheme val="minor"/>
      </rPr>
      <t>12</t>
    </r>
    <r>
      <rPr>
        <sz val="11"/>
        <color theme="1"/>
        <rFont val="Calibri"/>
        <family val="2"/>
        <scheme val="minor"/>
      </rPr>
      <t/>
    </r>
  </si>
  <si>
    <r>
      <t>ADEX</t>
    </r>
    <r>
      <rPr>
        <vertAlign val="subscript"/>
        <sz val="11"/>
        <color theme="1"/>
        <rFont val="Calibri"/>
        <family val="2"/>
        <scheme val="minor"/>
      </rPr>
      <t>13</t>
    </r>
    <r>
      <rPr>
        <sz val="11"/>
        <color theme="1"/>
        <rFont val="Calibri"/>
        <family val="2"/>
        <scheme val="minor"/>
      </rPr>
      <t/>
    </r>
  </si>
  <si>
    <r>
      <t>ADEX</t>
    </r>
    <r>
      <rPr>
        <vertAlign val="subscript"/>
        <sz val="11"/>
        <color theme="1"/>
        <rFont val="Calibri"/>
        <family val="2"/>
        <scheme val="minor"/>
      </rPr>
      <t>14</t>
    </r>
    <r>
      <rPr>
        <sz val="11"/>
        <color theme="1"/>
        <rFont val="Calibri"/>
        <family val="2"/>
        <scheme val="minor"/>
      </rPr>
      <t/>
    </r>
  </si>
  <si>
    <r>
      <t>ADEX</t>
    </r>
    <r>
      <rPr>
        <vertAlign val="subscript"/>
        <sz val="11"/>
        <color theme="1"/>
        <rFont val="Calibri"/>
        <family val="2"/>
        <scheme val="minor"/>
      </rPr>
      <t>15</t>
    </r>
    <r>
      <rPr>
        <sz val="11"/>
        <color theme="1"/>
        <rFont val="Calibri"/>
        <family val="2"/>
        <scheme val="minor"/>
      </rPr>
      <t/>
    </r>
  </si>
  <si>
    <r>
      <t>ADEX</t>
    </r>
    <r>
      <rPr>
        <vertAlign val="subscript"/>
        <sz val="11"/>
        <color theme="1"/>
        <rFont val="Calibri"/>
        <family val="2"/>
        <scheme val="minor"/>
      </rPr>
      <t>16</t>
    </r>
    <r>
      <rPr>
        <sz val="11"/>
        <color theme="1"/>
        <rFont val="Calibri"/>
        <family val="2"/>
        <scheme val="minor"/>
      </rPr>
      <t/>
    </r>
  </si>
  <si>
    <r>
      <t>WEN</t>
    </r>
    <r>
      <rPr>
        <vertAlign val="subscript"/>
        <sz val="11"/>
        <color theme="1"/>
        <rFont val="Calibri"/>
        <family val="2"/>
        <scheme val="minor"/>
      </rPr>
      <t>i</t>
    </r>
  </si>
  <si>
    <r>
      <t>WEX</t>
    </r>
    <r>
      <rPr>
        <vertAlign val="subscript"/>
        <sz val="11"/>
        <color theme="1"/>
        <rFont val="Calibri"/>
        <family val="2"/>
        <scheme val="minor"/>
      </rPr>
      <t>j</t>
    </r>
  </si>
  <si>
    <r>
      <t>[WEN</t>
    </r>
    <r>
      <rPr>
        <vertAlign val="subscript"/>
        <sz val="11"/>
        <color rgb="FFFFFFFF"/>
        <rFont val="Calibri"/>
        <family val="2"/>
      </rPr>
      <t>i</t>
    </r>
    <r>
      <rPr>
        <sz val="11"/>
        <color rgb="FFFFFFFF"/>
        <rFont val="Calibri"/>
        <family val="2"/>
      </rPr>
      <t>]</t>
    </r>
  </si>
  <si>
    <r>
      <t>[WEX</t>
    </r>
    <r>
      <rPr>
        <vertAlign val="subscript"/>
        <sz val="11"/>
        <color rgb="FFFFFFFF"/>
        <rFont val="Calibri"/>
        <family val="2"/>
      </rPr>
      <t>i</t>
    </r>
    <r>
      <rPr>
        <sz val="11"/>
        <color rgb="FFFFFFFF"/>
        <rFont val="Calibri"/>
        <family val="2"/>
      </rPr>
      <t>]</t>
    </r>
  </si>
  <si>
    <r>
      <t>WEN</t>
    </r>
    <r>
      <rPr>
        <vertAlign val="subscript"/>
        <sz val="11"/>
        <color theme="1"/>
        <rFont val="Calibri"/>
        <family val="2"/>
        <scheme val="minor"/>
      </rPr>
      <t>1</t>
    </r>
  </si>
  <si>
    <r>
      <t>WEX</t>
    </r>
    <r>
      <rPr>
        <vertAlign val="subscript"/>
        <sz val="11"/>
        <color theme="1"/>
        <rFont val="Calibri"/>
        <family val="2"/>
        <scheme val="minor"/>
      </rPr>
      <t>1</t>
    </r>
  </si>
  <si>
    <r>
      <t>WEN</t>
    </r>
    <r>
      <rPr>
        <vertAlign val="subscript"/>
        <sz val="11"/>
        <color theme="1"/>
        <rFont val="Calibri"/>
        <family val="2"/>
        <scheme val="minor"/>
      </rPr>
      <t>2</t>
    </r>
    <r>
      <rPr>
        <sz val="11"/>
        <color theme="1"/>
        <rFont val="Calibri"/>
        <family val="2"/>
        <scheme val="minor"/>
      </rPr>
      <t/>
    </r>
  </si>
  <si>
    <r>
      <t>WEX</t>
    </r>
    <r>
      <rPr>
        <vertAlign val="subscript"/>
        <sz val="11"/>
        <color theme="1"/>
        <rFont val="Calibri"/>
        <family val="2"/>
        <scheme val="minor"/>
      </rPr>
      <t>2</t>
    </r>
    <r>
      <rPr>
        <sz val="11"/>
        <color theme="1"/>
        <rFont val="Calibri"/>
        <family val="2"/>
        <scheme val="minor"/>
      </rPr>
      <t/>
    </r>
  </si>
  <si>
    <r>
      <t>WEN</t>
    </r>
    <r>
      <rPr>
        <vertAlign val="subscript"/>
        <sz val="11"/>
        <color theme="1"/>
        <rFont val="Calibri"/>
        <family val="2"/>
        <scheme val="minor"/>
      </rPr>
      <t>3</t>
    </r>
    <r>
      <rPr>
        <sz val="11"/>
        <color theme="1"/>
        <rFont val="Calibri"/>
        <family val="2"/>
        <scheme val="minor"/>
      </rPr>
      <t/>
    </r>
  </si>
  <si>
    <r>
      <t>WEX</t>
    </r>
    <r>
      <rPr>
        <vertAlign val="subscript"/>
        <sz val="11"/>
        <color theme="1"/>
        <rFont val="Calibri"/>
        <family val="2"/>
        <scheme val="minor"/>
      </rPr>
      <t>3</t>
    </r>
    <r>
      <rPr>
        <sz val="11"/>
        <color theme="1"/>
        <rFont val="Calibri"/>
        <family val="2"/>
        <scheme val="minor"/>
      </rPr>
      <t/>
    </r>
  </si>
  <si>
    <r>
      <t>WEN</t>
    </r>
    <r>
      <rPr>
        <vertAlign val="subscript"/>
        <sz val="11"/>
        <color theme="1"/>
        <rFont val="Calibri"/>
        <family val="2"/>
        <scheme val="minor"/>
      </rPr>
      <t>4</t>
    </r>
    <r>
      <rPr>
        <sz val="11"/>
        <color theme="1"/>
        <rFont val="Calibri"/>
        <family val="2"/>
        <scheme val="minor"/>
      </rPr>
      <t/>
    </r>
  </si>
  <si>
    <r>
      <t>WEX</t>
    </r>
    <r>
      <rPr>
        <vertAlign val="subscript"/>
        <sz val="11"/>
        <color theme="1"/>
        <rFont val="Calibri"/>
        <family val="2"/>
        <scheme val="minor"/>
      </rPr>
      <t>4</t>
    </r>
    <r>
      <rPr>
        <sz val="11"/>
        <color theme="1"/>
        <rFont val="Calibri"/>
        <family val="2"/>
        <scheme val="minor"/>
      </rPr>
      <t/>
    </r>
  </si>
  <si>
    <r>
      <t>WEN</t>
    </r>
    <r>
      <rPr>
        <vertAlign val="subscript"/>
        <sz val="11"/>
        <color theme="1"/>
        <rFont val="Calibri"/>
        <family val="2"/>
        <scheme val="minor"/>
      </rPr>
      <t>5</t>
    </r>
    <r>
      <rPr>
        <sz val="11"/>
        <color theme="1"/>
        <rFont val="Calibri"/>
        <family val="2"/>
        <scheme val="minor"/>
      </rPr>
      <t/>
    </r>
  </si>
  <si>
    <r>
      <t>WEX</t>
    </r>
    <r>
      <rPr>
        <vertAlign val="subscript"/>
        <sz val="11"/>
        <color theme="1"/>
        <rFont val="Calibri"/>
        <family val="2"/>
        <scheme val="minor"/>
      </rPr>
      <t>5</t>
    </r>
    <r>
      <rPr>
        <sz val="11"/>
        <color theme="1"/>
        <rFont val="Calibri"/>
        <family val="2"/>
        <scheme val="minor"/>
      </rPr>
      <t/>
    </r>
  </si>
  <si>
    <r>
      <t>WEN</t>
    </r>
    <r>
      <rPr>
        <vertAlign val="subscript"/>
        <sz val="11"/>
        <color theme="1"/>
        <rFont val="Calibri"/>
        <family val="2"/>
        <scheme val="minor"/>
      </rPr>
      <t>6</t>
    </r>
    <r>
      <rPr>
        <sz val="11"/>
        <color theme="1"/>
        <rFont val="Calibri"/>
        <family val="2"/>
        <scheme val="minor"/>
      </rPr>
      <t/>
    </r>
  </si>
  <si>
    <r>
      <t>WEX</t>
    </r>
    <r>
      <rPr>
        <vertAlign val="subscript"/>
        <sz val="11"/>
        <color theme="1"/>
        <rFont val="Calibri"/>
        <family val="2"/>
        <scheme val="minor"/>
      </rPr>
      <t>6</t>
    </r>
    <r>
      <rPr>
        <sz val="11"/>
        <color theme="1"/>
        <rFont val="Calibri"/>
        <family val="2"/>
        <scheme val="minor"/>
      </rPr>
      <t/>
    </r>
  </si>
  <si>
    <r>
      <t>WEN</t>
    </r>
    <r>
      <rPr>
        <vertAlign val="subscript"/>
        <sz val="11"/>
        <color theme="1"/>
        <rFont val="Calibri"/>
        <family val="2"/>
        <scheme val="minor"/>
      </rPr>
      <t>7</t>
    </r>
    <r>
      <rPr>
        <sz val="11"/>
        <color theme="1"/>
        <rFont val="Calibri"/>
        <family val="2"/>
        <scheme val="minor"/>
      </rPr>
      <t/>
    </r>
  </si>
  <si>
    <r>
      <t>WEX</t>
    </r>
    <r>
      <rPr>
        <vertAlign val="subscript"/>
        <sz val="11"/>
        <color theme="1"/>
        <rFont val="Calibri"/>
        <family val="2"/>
        <scheme val="minor"/>
      </rPr>
      <t>7</t>
    </r>
    <r>
      <rPr>
        <sz val="11"/>
        <color theme="1"/>
        <rFont val="Calibri"/>
        <family val="2"/>
        <scheme val="minor"/>
      </rPr>
      <t/>
    </r>
  </si>
  <si>
    <r>
      <t>WEN</t>
    </r>
    <r>
      <rPr>
        <vertAlign val="subscript"/>
        <sz val="11"/>
        <color theme="1"/>
        <rFont val="Calibri"/>
        <family val="2"/>
        <scheme val="minor"/>
      </rPr>
      <t>8</t>
    </r>
    <r>
      <rPr>
        <sz val="11"/>
        <color theme="1"/>
        <rFont val="Calibri"/>
        <family val="2"/>
        <scheme val="minor"/>
      </rPr>
      <t/>
    </r>
  </si>
  <si>
    <r>
      <t>WEX</t>
    </r>
    <r>
      <rPr>
        <vertAlign val="subscript"/>
        <sz val="11"/>
        <color theme="1"/>
        <rFont val="Calibri"/>
        <family val="2"/>
        <scheme val="minor"/>
      </rPr>
      <t>8</t>
    </r>
    <r>
      <rPr>
        <sz val="11"/>
        <color theme="1"/>
        <rFont val="Calibri"/>
        <family val="2"/>
        <scheme val="minor"/>
      </rPr>
      <t/>
    </r>
  </si>
  <si>
    <r>
      <t>WEN</t>
    </r>
    <r>
      <rPr>
        <vertAlign val="subscript"/>
        <sz val="11"/>
        <color theme="1"/>
        <rFont val="Calibri"/>
        <family val="2"/>
        <scheme val="minor"/>
      </rPr>
      <t>9</t>
    </r>
    <r>
      <rPr>
        <sz val="11"/>
        <color theme="1"/>
        <rFont val="Calibri"/>
        <family val="2"/>
        <scheme val="minor"/>
      </rPr>
      <t/>
    </r>
  </si>
  <si>
    <r>
      <t>WEX</t>
    </r>
    <r>
      <rPr>
        <vertAlign val="subscript"/>
        <sz val="11"/>
        <color theme="1"/>
        <rFont val="Calibri"/>
        <family val="2"/>
        <scheme val="minor"/>
      </rPr>
      <t>9</t>
    </r>
    <r>
      <rPr>
        <sz val="11"/>
        <color theme="1"/>
        <rFont val="Calibri"/>
        <family val="2"/>
        <scheme val="minor"/>
      </rPr>
      <t/>
    </r>
  </si>
  <si>
    <r>
      <t>WEN</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</si>
  <si>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</si>
  <si>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11</t>
    </r>
    <r>
      <rPr>
        <sz val="11"/>
        <color theme="1"/>
        <rFont val="Calibri"/>
        <family val="2"/>
        <scheme val="minor"/>
      </rPr>
      <t/>
    </r>
  </si>
  <si>
    <r>
      <t>WEX</t>
    </r>
    <r>
      <rPr>
        <vertAlign val="subscript"/>
        <sz val="11"/>
        <color theme="1"/>
        <rFont val="Calibri"/>
        <family val="2"/>
        <scheme val="minor"/>
      </rPr>
      <t>12</t>
    </r>
    <r>
      <rPr>
        <sz val="11"/>
        <color theme="1"/>
        <rFont val="Calibri"/>
        <family val="2"/>
        <scheme val="minor"/>
      </rPr>
      <t/>
    </r>
  </si>
  <si>
    <r>
      <t>WEX</t>
    </r>
    <r>
      <rPr>
        <vertAlign val="subscript"/>
        <sz val="11"/>
        <color theme="1"/>
        <rFont val="Calibri"/>
        <family val="2"/>
        <scheme val="minor"/>
      </rPr>
      <t>13</t>
    </r>
    <r>
      <rPr>
        <sz val="11"/>
        <color theme="1"/>
        <rFont val="Calibri"/>
        <family val="2"/>
        <scheme val="minor"/>
      </rPr>
      <t/>
    </r>
  </si>
  <si>
    <r>
      <t>WEX</t>
    </r>
    <r>
      <rPr>
        <vertAlign val="subscript"/>
        <sz val="11"/>
        <color theme="1"/>
        <rFont val="Calibri"/>
        <family val="2"/>
        <scheme val="minor"/>
      </rPr>
      <t>14</t>
    </r>
    <r>
      <rPr>
        <sz val="11"/>
        <color theme="1"/>
        <rFont val="Calibri"/>
        <family val="2"/>
        <scheme val="minor"/>
      </rPr>
      <t/>
    </r>
  </si>
  <si>
    <r>
      <t>WEX</t>
    </r>
    <r>
      <rPr>
        <vertAlign val="subscript"/>
        <sz val="11"/>
        <color theme="1"/>
        <rFont val="Calibri"/>
        <family val="2"/>
        <scheme val="minor"/>
      </rPr>
      <t>15</t>
    </r>
    <r>
      <rPr>
        <sz val="11"/>
        <color theme="1"/>
        <rFont val="Calibri"/>
        <family val="2"/>
        <scheme val="minor"/>
      </rPr>
      <t/>
    </r>
  </si>
  <si>
    <r>
      <t>WEX</t>
    </r>
    <r>
      <rPr>
        <vertAlign val="subscript"/>
        <sz val="11"/>
        <color theme="1"/>
        <rFont val="Calibri"/>
        <family val="2"/>
        <scheme val="minor"/>
      </rPr>
      <t>16</t>
    </r>
    <r>
      <rPr>
        <sz val="11"/>
        <color theme="1"/>
        <rFont val="Calibri"/>
        <family val="2"/>
        <scheme val="minor"/>
      </rPr>
      <t/>
    </r>
  </si>
  <si>
    <r>
      <t>REN</t>
    </r>
    <r>
      <rPr>
        <vertAlign val="subscript"/>
        <sz val="11"/>
        <color theme="1"/>
        <rFont val="Calibri"/>
        <family val="2"/>
        <scheme val="minor"/>
      </rPr>
      <t>i</t>
    </r>
  </si>
  <si>
    <r>
      <t>REX</t>
    </r>
    <r>
      <rPr>
        <vertAlign val="subscript"/>
        <sz val="11"/>
        <color theme="1"/>
        <rFont val="Calibri"/>
        <family val="2"/>
        <scheme val="minor"/>
      </rPr>
      <t>j</t>
    </r>
  </si>
  <si>
    <r>
      <t>REN</t>
    </r>
    <r>
      <rPr>
        <vertAlign val="subscript"/>
        <sz val="11"/>
        <color theme="1"/>
        <rFont val="Calibri"/>
        <family val="2"/>
        <scheme val="minor"/>
      </rPr>
      <t>1</t>
    </r>
  </si>
  <si>
    <r>
      <t>REX</t>
    </r>
    <r>
      <rPr>
        <vertAlign val="subscript"/>
        <sz val="11"/>
        <color theme="1"/>
        <rFont val="Calibri"/>
        <family val="2"/>
        <scheme val="minor"/>
      </rPr>
      <t>1</t>
    </r>
  </si>
  <si>
    <r>
      <t>REN</t>
    </r>
    <r>
      <rPr>
        <vertAlign val="subscript"/>
        <sz val="11"/>
        <color theme="1"/>
        <rFont val="Calibri"/>
        <family val="2"/>
        <scheme val="minor"/>
      </rPr>
      <t>2</t>
    </r>
    <r>
      <rPr>
        <sz val="11"/>
        <color theme="1"/>
        <rFont val="Calibri"/>
        <family val="2"/>
        <scheme val="minor"/>
      </rPr>
      <t/>
    </r>
  </si>
  <si>
    <r>
      <t>REX</t>
    </r>
    <r>
      <rPr>
        <vertAlign val="subscript"/>
        <sz val="11"/>
        <color theme="1"/>
        <rFont val="Calibri"/>
        <family val="2"/>
        <scheme val="minor"/>
      </rPr>
      <t>2</t>
    </r>
    <r>
      <rPr>
        <sz val="11"/>
        <color theme="1"/>
        <rFont val="Calibri"/>
        <family val="2"/>
        <scheme val="minor"/>
      </rPr>
      <t/>
    </r>
  </si>
  <si>
    <r>
      <t>REN</t>
    </r>
    <r>
      <rPr>
        <vertAlign val="subscript"/>
        <sz val="11"/>
        <color theme="1"/>
        <rFont val="Calibri"/>
        <family val="2"/>
        <scheme val="minor"/>
      </rPr>
      <t>3</t>
    </r>
    <r>
      <rPr>
        <sz val="11"/>
        <color theme="1"/>
        <rFont val="Calibri"/>
        <family val="2"/>
        <scheme val="minor"/>
      </rPr>
      <t/>
    </r>
  </si>
  <si>
    <r>
      <t>REX</t>
    </r>
    <r>
      <rPr>
        <vertAlign val="subscript"/>
        <sz val="11"/>
        <color theme="1"/>
        <rFont val="Calibri"/>
        <family val="2"/>
        <scheme val="minor"/>
      </rPr>
      <t>3</t>
    </r>
    <r>
      <rPr>
        <sz val="11"/>
        <color theme="1"/>
        <rFont val="Calibri"/>
        <family val="2"/>
        <scheme val="minor"/>
      </rPr>
      <t/>
    </r>
  </si>
  <si>
    <r>
      <t>REN</t>
    </r>
    <r>
      <rPr>
        <vertAlign val="subscript"/>
        <sz val="11"/>
        <color theme="1"/>
        <rFont val="Calibri"/>
        <family val="2"/>
        <scheme val="minor"/>
      </rPr>
      <t>4</t>
    </r>
    <r>
      <rPr>
        <sz val="11"/>
        <color theme="1"/>
        <rFont val="Calibri"/>
        <family val="2"/>
        <scheme val="minor"/>
      </rPr>
      <t/>
    </r>
  </si>
  <si>
    <r>
      <t>REX</t>
    </r>
    <r>
      <rPr>
        <vertAlign val="subscript"/>
        <sz val="11"/>
        <color theme="1"/>
        <rFont val="Calibri"/>
        <family val="2"/>
        <scheme val="minor"/>
      </rPr>
      <t>4</t>
    </r>
    <r>
      <rPr>
        <sz val="11"/>
        <color theme="1"/>
        <rFont val="Calibri"/>
        <family val="2"/>
        <scheme val="minor"/>
      </rPr>
      <t/>
    </r>
  </si>
  <si>
    <r>
      <t>REN</t>
    </r>
    <r>
      <rPr>
        <vertAlign val="subscript"/>
        <sz val="11"/>
        <color theme="1"/>
        <rFont val="Calibri"/>
        <family val="2"/>
        <scheme val="minor"/>
      </rPr>
      <t>5</t>
    </r>
    <r>
      <rPr>
        <sz val="11"/>
        <color theme="1"/>
        <rFont val="Calibri"/>
        <family val="2"/>
        <scheme val="minor"/>
      </rPr>
      <t/>
    </r>
  </si>
  <si>
    <r>
      <t>REX</t>
    </r>
    <r>
      <rPr>
        <vertAlign val="subscript"/>
        <sz val="11"/>
        <color theme="1"/>
        <rFont val="Calibri"/>
        <family val="2"/>
        <scheme val="minor"/>
      </rPr>
      <t>5</t>
    </r>
    <r>
      <rPr>
        <sz val="11"/>
        <color theme="1"/>
        <rFont val="Calibri"/>
        <family val="2"/>
        <scheme val="minor"/>
      </rPr>
      <t/>
    </r>
  </si>
  <si>
    <r>
      <t>REN</t>
    </r>
    <r>
      <rPr>
        <vertAlign val="subscript"/>
        <sz val="11"/>
        <color theme="1"/>
        <rFont val="Calibri"/>
        <family val="2"/>
        <scheme val="minor"/>
      </rPr>
      <t>6</t>
    </r>
    <r>
      <rPr>
        <sz val="11"/>
        <color theme="1"/>
        <rFont val="Calibri"/>
        <family val="2"/>
        <scheme val="minor"/>
      </rPr>
      <t/>
    </r>
  </si>
  <si>
    <r>
      <t>REX</t>
    </r>
    <r>
      <rPr>
        <vertAlign val="subscript"/>
        <sz val="11"/>
        <color theme="1"/>
        <rFont val="Calibri"/>
        <family val="2"/>
        <scheme val="minor"/>
      </rPr>
      <t>6</t>
    </r>
    <r>
      <rPr>
        <sz val="11"/>
        <color theme="1"/>
        <rFont val="Calibri"/>
        <family val="2"/>
        <scheme val="minor"/>
      </rPr>
      <t/>
    </r>
  </si>
  <si>
    <r>
      <t>REN</t>
    </r>
    <r>
      <rPr>
        <vertAlign val="subscript"/>
        <sz val="11"/>
        <color theme="1"/>
        <rFont val="Calibri"/>
        <family val="2"/>
        <scheme val="minor"/>
      </rPr>
      <t>7</t>
    </r>
    <r>
      <rPr>
        <sz val="11"/>
        <color theme="1"/>
        <rFont val="Calibri"/>
        <family val="2"/>
        <scheme val="minor"/>
      </rPr>
      <t/>
    </r>
  </si>
  <si>
    <r>
      <t>REX</t>
    </r>
    <r>
      <rPr>
        <vertAlign val="subscript"/>
        <sz val="11"/>
        <color theme="1"/>
        <rFont val="Calibri"/>
        <family val="2"/>
        <scheme val="minor"/>
      </rPr>
      <t>7</t>
    </r>
    <r>
      <rPr>
        <sz val="11"/>
        <color theme="1"/>
        <rFont val="Calibri"/>
        <family val="2"/>
        <scheme val="minor"/>
      </rPr>
      <t/>
    </r>
  </si>
  <si>
    <r>
      <t>REN</t>
    </r>
    <r>
      <rPr>
        <vertAlign val="subscript"/>
        <sz val="11"/>
        <color theme="1"/>
        <rFont val="Calibri"/>
        <family val="2"/>
        <scheme val="minor"/>
      </rPr>
      <t>8</t>
    </r>
    <r>
      <rPr>
        <sz val="11"/>
        <color theme="1"/>
        <rFont val="Calibri"/>
        <family val="2"/>
        <scheme val="minor"/>
      </rPr>
      <t/>
    </r>
  </si>
  <si>
    <r>
      <t>REX</t>
    </r>
    <r>
      <rPr>
        <vertAlign val="subscript"/>
        <sz val="11"/>
        <color theme="1"/>
        <rFont val="Calibri"/>
        <family val="2"/>
        <scheme val="minor"/>
      </rPr>
      <t>8</t>
    </r>
    <r>
      <rPr>
        <sz val="11"/>
        <color theme="1"/>
        <rFont val="Calibri"/>
        <family val="2"/>
        <scheme val="minor"/>
      </rPr>
      <t/>
    </r>
  </si>
  <si>
    <r>
      <t>REN</t>
    </r>
    <r>
      <rPr>
        <vertAlign val="subscript"/>
        <sz val="11"/>
        <color theme="1"/>
        <rFont val="Calibri"/>
        <family val="2"/>
        <scheme val="minor"/>
      </rPr>
      <t>9</t>
    </r>
    <r>
      <rPr>
        <sz val="11"/>
        <color theme="1"/>
        <rFont val="Calibri"/>
        <family val="2"/>
        <scheme val="minor"/>
      </rPr>
      <t/>
    </r>
  </si>
  <si>
    <r>
      <t>REX</t>
    </r>
    <r>
      <rPr>
        <vertAlign val="subscript"/>
        <sz val="11"/>
        <color theme="1"/>
        <rFont val="Calibri"/>
        <family val="2"/>
        <scheme val="minor"/>
      </rPr>
      <t>9</t>
    </r>
    <r>
      <rPr>
        <sz val="11"/>
        <color theme="1"/>
        <rFont val="Calibri"/>
        <family val="2"/>
        <scheme val="minor"/>
      </rPr>
      <t/>
    </r>
  </si>
  <si>
    <r>
      <t>REN</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</si>
  <si>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</si>
  <si>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11</t>
    </r>
    <r>
      <rPr>
        <sz val="11"/>
        <color theme="1"/>
        <rFont val="Calibri"/>
        <family val="2"/>
        <scheme val="minor"/>
      </rPr>
      <t/>
    </r>
  </si>
  <si>
    <r>
      <t>REX</t>
    </r>
    <r>
      <rPr>
        <vertAlign val="subscript"/>
        <sz val="11"/>
        <color theme="1"/>
        <rFont val="Calibri"/>
        <family val="2"/>
        <scheme val="minor"/>
      </rPr>
      <t>12</t>
    </r>
    <r>
      <rPr>
        <sz val="11"/>
        <color theme="1"/>
        <rFont val="Calibri"/>
        <family val="2"/>
        <scheme val="minor"/>
      </rPr>
      <t/>
    </r>
  </si>
  <si>
    <r>
      <t>REX</t>
    </r>
    <r>
      <rPr>
        <vertAlign val="subscript"/>
        <sz val="11"/>
        <color theme="1"/>
        <rFont val="Calibri"/>
        <family val="2"/>
        <scheme val="minor"/>
      </rPr>
      <t>13</t>
    </r>
    <r>
      <rPr>
        <sz val="11"/>
        <color theme="1"/>
        <rFont val="Calibri"/>
        <family val="2"/>
        <scheme val="minor"/>
      </rPr>
      <t/>
    </r>
  </si>
  <si>
    <r>
      <t>REX</t>
    </r>
    <r>
      <rPr>
        <vertAlign val="subscript"/>
        <sz val="11"/>
        <color theme="1"/>
        <rFont val="Calibri"/>
        <family val="2"/>
        <scheme val="minor"/>
      </rPr>
      <t>14</t>
    </r>
    <r>
      <rPr>
        <sz val="11"/>
        <color theme="1"/>
        <rFont val="Calibri"/>
        <family val="2"/>
        <scheme val="minor"/>
      </rPr>
      <t/>
    </r>
  </si>
  <si>
    <r>
      <t>REX</t>
    </r>
    <r>
      <rPr>
        <vertAlign val="subscript"/>
        <sz val="11"/>
        <color theme="1"/>
        <rFont val="Calibri"/>
        <family val="2"/>
        <scheme val="minor"/>
      </rPr>
      <t>15</t>
    </r>
    <r>
      <rPr>
        <sz val="11"/>
        <color theme="1"/>
        <rFont val="Calibri"/>
        <family val="2"/>
        <scheme val="minor"/>
      </rPr>
      <t/>
    </r>
  </si>
  <si>
    <r>
      <t>REX</t>
    </r>
    <r>
      <rPr>
        <vertAlign val="subscript"/>
        <sz val="11"/>
        <color theme="1"/>
        <rFont val="Calibri"/>
        <family val="2"/>
        <scheme val="minor"/>
      </rPr>
      <t>16</t>
    </r>
    <r>
      <rPr>
        <sz val="11"/>
        <color theme="1"/>
        <rFont val="Calibri"/>
        <family val="2"/>
        <scheme val="minor"/>
      </rPr>
      <t/>
    </r>
  </si>
  <si>
    <r>
      <t>TEN</t>
    </r>
    <r>
      <rPr>
        <vertAlign val="subscript"/>
        <sz val="11"/>
        <color theme="1"/>
        <rFont val="Calibri"/>
        <family val="2"/>
        <scheme val="minor"/>
      </rPr>
      <t>i</t>
    </r>
  </si>
  <si>
    <r>
      <t>TEX</t>
    </r>
    <r>
      <rPr>
        <vertAlign val="subscript"/>
        <sz val="11"/>
        <color theme="1"/>
        <rFont val="Calibri"/>
        <family val="2"/>
        <scheme val="minor"/>
      </rPr>
      <t>j</t>
    </r>
  </si>
  <si>
    <r>
      <t>[TEN</t>
    </r>
    <r>
      <rPr>
        <vertAlign val="subscript"/>
        <sz val="11"/>
        <color rgb="FFFFFFFF"/>
        <rFont val="Calibri"/>
        <family val="2"/>
      </rPr>
      <t>i</t>
    </r>
    <r>
      <rPr>
        <sz val="11"/>
        <color rgb="FFFFFFFF"/>
        <rFont val="Calibri"/>
        <family val="2"/>
      </rPr>
      <t>]</t>
    </r>
  </si>
  <si>
    <r>
      <t>[TEN</t>
    </r>
    <r>
      <rPr>
        <vertAlign val="subscript"/>
        <sz val="11"/>
        <color rgb="FFFFFFFF"/>
        <rFont val="Calibri"/>
        <family val="2"/>
      </rPr>
      <t>i CWD</t>
    </r>
    <r>
      <rPr>
        <sz val="11"/>
        <color rgb="FFFFFFFF"/>
        <rFont val="Calibri"/>
        <family val="2"/>
      </rPr>
      <t>]</t>
    </r>
  </si>
  <si>
    <r>
      <t>[TEX</t>
    </r>
    <r>
      <rPr>
        <vertAlign val="subscript"/>
        <sz val="11"/>
        <color rgb="FFFFFFFF"/>
        <rFont val="Calibri"/>
        <family val="2"/>
      </rPr>
      <t>j</t>
    </r>
    <r>
      <rPr>
        <sz val="11"/>
        <color rgb="FFFFFFFF"/>
        <rFont val="Calibri"/>
        <family val="2"/>
      </rPr>
      <t>]</t>
    </r>
  </si>
  <si>
    <r>
      <t>[TEX</t>
    </r>
    <r>
      <rPr>
        <vertAlign val="subscript"/>
        <sz val="11"/>
        <color rgb="FFFFFFFF"/>
        <rFont val="Calibri"/>
        <family val="2"/>
      </rPr>
      <t>j CWD</t>
    </r>
    <r>
      <rPr>
        <sz val="11"/>
        <color rgb="FFFFFFFF"/>
        <rFont val="Calibri"/>
        <family val="2"/>
      </rPr>
      <t>]</t>
    </r>
  </si>
  <si>
    <r>
      <t>TEN</t>
    </r>
    <r>
      <rPr>
        <vertAlign val="subscript"/>
        <sz val="11"/>
        <color theme="1"/>
        <rFont val="Calibri"/>
        <family val="2"/>
        <scheme val="minor"/>
      </rPr>
      <t>1</t>
    </r>
  </si>
  <si>
    <r>
      <t>TEX</t>
    </r>
    <r>
      <rPr>
        <vertAlign val="subscript"/>
        <sz val="11"/>
        <color theme="1"/>
        <rFont val="Calibri"/>
        <family val="2"/>
        <scheme val="minor"/>
      </rPr>
      <t>1</t>
    </r>
  </si>
  <si>
    <r>
      <t>TEN</t>
    </r>
    <r>
      <rPr>
        <vertAlign val="subscript"/>
        <sz val="11"/>
        <color theme="1"/>
        <rFont val="Calibri"/>
        <family val="2"/>
        <scheme val="minor"/>
      </rPr>
      <t>2</t>
    </r>
    <r>
      <rPr>
        <sz val="11"/>
        <color theme="1"/>
        <rFont val="Calibri"/>
        <family val="2"/>
        <scheme val="minor"/>
      </rPr>
      <t/>
    </r>
  </si>
  <si>
    <r>
      <t>TEX</t>
    </r>
    <r>
      <rPr>
        <vertAlign val="subscript"/>
        <sz val="11"/>
        <color theme="1"/>
        <rFont val="Calibri"/>
        <family val="2"/>
        <scheme val="minor"/>
      </rPr>
      <t>2</t>
    </r>
    <r>
      <rPr>
        <sz val="11"/>
        <color theme="1"/>
        <rFont val="Calibri"/>
        <family val="2"/>
        <scheme val="minor"/>
      </rPr>
      <t/>
    </r>
  </si>
  <si>
    <r>
      <t>TEN</t>
    </r>
    <r>
      <rPr>
        <vertAlign val="subscript"/>
        <sz val="11"/>
        <color theme="1"/>
        <rFont val="Calibri"/>
        <family val="2"/>
        <scheme val="minor"/>
      </rPr>
      <t>3</t>
    </r>
    <r>
      <rPr>
        <sz val="11"/>
        <color theme="1"/>
        <rFont val="Calibri"/>
        <family val="2"/>
        <scheme val="minor"/>
      </rPr>
      <t/>
    </r>
  </si>
  <si>
    <r>
      <t>TEX</t>
    </r>
    <r>
      <rPr>
        <vertAlign val="subscript"/>
        <sz val="11"/>
        <color theme="1"/>
        <rFont val="Calibri"/>
        <family val="2"/>
        <scheme val="minor"/>
      </rPr>
      <t>3</t>
    </r>
    <r>
      <rPr>
        <sz val="11"/>
        <color theme="1"/>
        <rFont val="Calibri"/>
        <family val="2"/>
        <scheme val="minor"/>
      </rPr>
      <t/>
    </r>
  </si>
  <si>
    <r>
      <t>TEN</t>
    </r>
    <r>
      <rPr>
        <vertAlign val="subscript"/>
        <sz val="11"/>
        <color theme="1"/>
        <rFont val="Calibri"/>
        <family val="2"/>
        <scheme val="minor"/>
      </rPr>
      <t>4</t>
    </r>
    <r>
      <rPr>
        <sz val="11"/>
        <color theme="1"/>
        <rFont val="Calibri"/>
        <family val="2"/>
        <scheme val="minor"/>
      </rPr>
      <t/>
    </r>
  </si>
  <si>
    <r>
      <t>TEX</t>
    </r>
    <r>
      <rPr>
        <vertAlign val="subscript"/>
        <sz val="11"/>
        <color theme="1"/>
        <rFont val="Calibri"/>
        <family val="2"/>
        <scheme val="minor"/>
      </rPr>
      <t>4</t>
    </r>
    <r>
      <rPr>
        <sz val="11"/>
        <color theme="1"/>
        <rFont val="Calibri"/>
        <family val="2"/>
        <scheme val="minor"/>
      </rPr>
      <t/>
    </r>
  </si>
  <si>
    <r>
      <t>TEN</t>
    </r>
    <r>
      <rPr>
        <vertAlign val="subscript"/>
        <sz val="11"/>
        <color theme="1"/>
        <rFont val="Calibri"/>
        <family val="2"/>
        <scheme val="minor"/>
      </rPr>
      <t>5</t>
    </r>
    <r>
      <rPr>
        <sz val="11"/>
        <color theme="1"/>
        <rFont val="Calibri"/>
        <family val="2"/>
        <scheme val="minor"/>
      </rPr>
      <t/>
    </r>
  </si>
  <si>
    <r>
      <t>TEX</t>
    </r>
    <r>
      <rPr>
        <vertAlign val="subscript"/>
        <sz val="11"/>
        <color theme="1"/>
        <rFont val="Calibri"/>
        <family val="2"/>
        <scheme val="minor"/>
      </rPr>
      <t>5</t>
    </r>
    <r>
      <rPr>
        <sz val="11"/>
        <color theme="1"/>
        <rFont val="Calibri"/>
        <family val="2"/>
        <scheme val="minor"/>
      </rPr>
      <t/>
    </r>
  </si>
  <si>
    <r>
      <t>TEN</t>
    </r>
    <r>
      <rPr>
        <vertAlign val="subscript"/>
        <sz val="11"/>
        <color theme="1"/>
        <rFont val="Calibri"/>
        <family val="2"/>
        <scheme val="minor"/>
      </rPr>
      <t>6</t>
    </r>
    <r>
      <rPr>
        <sz val="11"/>
        <color theme="1"/>
        <rFont val="Calibri"/>
        <family val="2"/>
        <scheme val="minor"/>
      </rPr>
      <t/>
    </r>
  </si>
  <si>
    <r>
      <t>TEX</t>
    </r>
    <r>
      <rPr>
        <vertAlign val="subscript"/>
        <sz val="11"/>
        <color theme="1"/>
        <rFont val="Calibri"/>
        <family val="2"/>
        <scheme val="minor"/>
      </rPr>
      <t>6</t>
    </r>
    <r>
      <rPr>
        <sz val="11"/>
        <color theme="1"/>
        <rFont val="Calibri"/>
        <family val="2"/>
        <scheme val="minor"/>
      </rPr>
      <t/>
    </r>
  </si>
  <si>
    <r>
      <t>TEN</t>
    </r>
    <r>
      <rPr>
        <vertAlign val="subscript"/>
        <sz val="11"/>
        <color theme="1"/>
        <rFont val="Calibri"/>
        <family val="2"/>
        <scheme val="minor"/>
      </rPr>
      <t>7</t>
    </r>
    <r>
      <rPr>
        <sz val="11"/>
        <color theme="1"/>
        <rFont val="Calibri"/>
        <family val="2"/>
        <scheme val="minor"/>
      </rPr>
      <t/>
    </r>
  </si>
  <si>
    <r>
      <t>TEX</t>
    </r>
    <r>
      <rPr>
        <vertAlign val="subscript"/>
        <sz val="11"/>
        <color theme="1"/>
        <rFont val="Calibri"/>
        <family val="2"/>
        <scheme val="minor"/>
      </rPr>
      <t>7</t>
    </r>
    <r>
      <rPr>
        <sz val="11"/>
        <color theme="1"/>
        <rFont val="Calibri"/>
        <family val="2"/>
        <scheme val="minor"/>
      </rPr>
      <t/>
    </r>
  </si>
  <si>
    <r>
      <t>TEN</t>
    </r>
    <r>
      <rPr>
        <vertAlign val="subscript"/>
        <sz val="11"/>
        <color theme="1"/>
        <rFont val="Calibri"/>
        <family val="2"/>
        <scheme val="minor"/>
      </rPr>
      <t>8</t>
    </r>
    <r>
      <rPr>
        <sz val="11"/>
        <color theme="1"/>
        <rFont val="Calibri"/>
        <family val="2"/>
        <scheme val="minor"/>
      </rPr>
      <t/>
    </r>
  </si>
  <si>
    <r>
      <t>TEX</t>
    </r>
    <r>
      <rPr>
        <vertAlign val="subscript"/>
        <sz val="11"/>
        <color theme="1"/>
        <rFont val="Calibri"/>
        <family val="2"/>
        <scheme val="minor"/>
      </rPr>
      <t>8</t>
    </r>
    <r>
      <rPr>
        <sz val="11"/>
        <color theme="1"/>
        <rFont val="Calibri"/>
        <family val="2"/>
        <scheme val="minor"/>
      </rPr>
      <t/>
    </r>
  </si>
  <si>
    <r>
      <t>TEN</t>
    </r>
    <r>
      <rPr>
        <vertAlign val="subscript"/>
        <sz val="11"/>
        <color theme="1"/>
        <rFont val="Calibri"/>
        <family val="2"/>
        <scheme val="minor"/>
      </rPr>
      <t>9</t>
    </r>
    <r>
      <rPr>
        <sz val="11"/>
        <color theme="1"/>
        <rFont val="Calibri"/>
        <family val="2"/>
        <scheme val="minor"/>
      </rPr>
      <t/>
    </r>
  </si>
  <si>
    <r>
      <t>TEX</t>
    </r>
    <r>
      <rPr>
        <vertAlign val="subscript"/>
        <sz val="11"/>
        <color theme="1"/>
        <rFont val="Calibri"/>
        <family val="2"/>
        <scheme val="minor"/>
      </rPr>
      <t>9</t>
    </r>
    <r>
      <rPr>
        <sz val="11"/>
        <color theme="1"/>
        <rFont val="Calibri"/>
        <family val="2"/>
        <scheme val="minor"/>
      </rPr>
      <t/>
    </r>
  </si>
  <si>
    <r>
      <t>TEN</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</si>
  <si>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</si>
  <si>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11</t>
    </r>
    <r>
      <rPr>
        <sz val="11"/>
        <color theme="1"/>
        <rFont val="Calibri"/>
        <family val="2"/>
        <scheme val="minor"/>
      </rPr>
      <t/>
    </r>
  </si>
  <si>
    <r>
      <t>TEX</t>
    </r>
    <r>
      <rPr>
        <vertAlign val="subscript"/>
        <sz val="11"/>
        <color theme="1"/>
        <rFont val="Calibri"/>
        <family val="2"/>
        <scheme val="minor"/>
      </rPr>
      <t>12</t>
    </r>
    <r>
      <rPr>
        <sz val="11"/>
        <color theme="1"/>
        <rFont val="Calibri"/>
        <family val="2"/>
        <scheme val="minor"/>
      </rPr>
      <t/>
    </r>
  </si>
  <si>
    <r>
      <t>TEX</t>
    </r>
    <r>
      <rPr>
        <vertAlign val="subscript"/>
        <sz val="11"/>
        <color theme="1"/>
        <rFont val="Calibri"/>
        <family val="2"/>
        <scheme val="minor"/>
      </rPr>
      <t>13</t>
    </r>
    <r>
      <rPr>
        <sz val="11"/>
        <color theme="1"/>
        <rFont val="Calibri"/>
        <family val="2"/>
        <scheme val="minor"/>
      </rPr>
      <t/>
    </r>
  </si>
  <si>
    <r>
      <t>TEX</t>
    </r>
    <r>
      <rPr>
        <vertAlign val="subscript"/>
        <sz val="11"/>
        <color theme="1"/>
        <rFont val="Calibri"/>
        <family val="2"/>
        <scheme val="minor"/>
      </rPr>
      <t>14</t>
    </r>
    <r>
      <rPr>
        <sz val="11"/>
        <color theme="1"/>
        <rFont val="Calibri"/>
        <family val="2"/>
        <scheme val="minor"/>
      </rPr>
      <t/>
    </r>
  </si>
  <si>
    <r>
      <t>TEX</t>
    </r>
    <r>
      <rPr>
        <vertAlign val="subscript"/>
        <sz val="11"/>
        <color theme="1"/>
        <rFont val="Calibri"/>
        <family val="2"/>
        <scheme val="minor"/>
      </rPr>
      <t>15</t>
    </r>
    <r>
      <rPr>
        <sz val="11"/>
        <color theme="1"/>
        <rFont val="Calibri"/>
        <family val="2"/>
        <scheme val="minor"/>
      </rPr>
      <t/>
    </r>
  </si>
  <si>
    <r>
      <t>TEX</t>
    </r>
    <r>
      <rPr>
        <vertAlign val="subscript"/>
        <sz val="11"/>
        <color theme="1"/>
        <rFont val="Calibri"/>
        <family val="2"/>
        <scheme val="minor"/>
      </rPr>
      <t>16</t>
    </r>
    <r>
      <rPr>
        <sz val="11"/>
        <color theme="1"/>
        <rFont val="Calibri"/>
        <family val="2"/>
        <scheme val="minor"/>
      </rPr>
      <t/>
    </r>
  </si>
  <si>
    <r>
      <t>[T</t>
    </r>
    <r>
      <rPr>
        <vertAlign val="subscript"/>
        <sz val="11"/>
        <color rgb="FFFFFFFF"/>
        <rFont val="Calibri"/>
        <family val="2"/>
      </rPr>
      <t>EN postal</t>
    </r>
    <r>
      <rPr>
        <sz val="11"/>
        <color rgb="FFFFFFFF"/>
        <rFont val="Calibri"/>
        <family val="2"/>
      </rPr>
      <t>]</t>
    </r>
  </si>
  <si>
    <r>
      <t>[T</t>
    </r>
    <r>
      <rPr>
        <vertAlign val="subscript"/>
        <sz val="11"/>
        <color rgb="FFFFFFFF"/>
        <rFont val="Calibri"/>
        <family val="2"/>
      </rPr>
      <t>EN</t>
    </r>
    <r>
      <rPr>
        <sz val="11"/>
        <color rgb="FFFFFFFF"/>
        <rFont val="Calibri"/>
        <family val="2"/>
      </rPr>
      <t>]</t>
    </r>
  </si>
  <si>
    <r>
      <t>[T</t>
    </r>
    <r>
      <rPr>
        <vertAlign val="subscript"/>
        <sz val="11"/>
        <color rgb="FFFFFFFF"/>
        <rFont val="Calibri"/>
        <family val="2"/>
      </rPr>
      <t>EX postal</t>
    </r>
    <r>
      <rPr>
        <sz val="11"/>
        <color rgb="FFFFFFFF"/>
        <rFont val="Calibri"/>
        <family val="2"/>
      </rPr>
      <t>]</t>
    </r>
  </si>
  <si>
    <r>
      <t>[T</t>
    </r>
    <r>
      <rPr>
        <vertAlign val="subscript"/>
        <sz val="11"/>
        <color rgb="FFFFFFFF"/>
        <rFont val="Calibri"/>
        <family val="2"/>
      </rPr>
      <t>EX</t>
    </r>
    <r>
      <rPr>
        <sz val="11"/>
        <color rgb="FFFFFFFF"/>
        <rFont val="Calibri"/>
        <family val="2"/>
      </rPr>
      <t>]</t>
    </r>
  </si>
  <si>
    <r>
      <t>Poder Calorífico de Referência (kcal/m</t>
    </r>
    <r>
      <rPr>
        <vertAlign val="superscript"/>
        <sz val="10"/>
        <color theme="1"/>
        <rFont val="Calibri Light"/>
        <family val="2"/>
        <scheme val="major"/>
      </rPr>
      <t>3</t>
    </r>
    <r>
      <rPr>
        <sz val="10"/>
        <color theme="1"/>
        <rFont val="Calibri Light"/>
        <family val="2"/>
        <scheme val="major"/>
      </rPr>
      <t>)</t>
    </r>
  </si>
  <si>
    <t>Tarifas de Entrada</t>
  </si>
  <si>
    <t>Interconexão</t>
  </si>
  <si>
    <t>REPLAN - Entrada</t>
  </si>
  <si>
    <t>PE Guararema</t>
  </si>
  <si>
    <t>Cabiunas - Entrada</t>
  </si>
  <si>
    <t>REPLAN - Saida</t>
  </si>
  <si>
    <t>Cabiunas - Saída</t>
  </si>
  <si>
    <t>Tarifas sem Desconto (R$/MMBTu)</t>
  </si>
  <si>
    <t>QDC (mil m³@9.400)</t>
  </si>
  <si>
    <t>Check</t>
  </si>
  <si>
    <t>Receita na entrada já descontada da receita calculada para as interconexões de entrada na aba "CWD NTS (sem desconto)"</t>
  </si>
  <si>
    <t>Receita na saída já descontada da receita calculada para as interconexões de saída na aba "CWD NTS (sem desconto)"</t>
  </si>
  <si>
    <t>Receita  para cálculo do desconto na interconexão</t>
  </si>
  <si>
    <t>Remoção da capacidade nas interconexões</t>
  </si>
  <si>
    <t>Tarifas com Desconto (R$/MMBTu)</t>
  </si>
  <si>
    <t>PR-GASPAJ (INTERCONEXÃO)</t>
  </si>
  <si>
    <t>Cálculo da receita arrecada nas interconexões, já considerando o desconto:</t>
  </si>
  <si>
    <t>Subtraida a receita a ser arrecadada nas interconexões já considerando o desconto para redistribuição dessa "Receita descontada" entre os outros pontos da Rede NTS</t>
  </si>
  <si>
    <t>Receita  (R$)</t>
  </si>
  <si>
    <t>Receita (R$)</t>
  </si>
  <si>
    <t>Multiplicadores Curto Prazo</t>
  </si>
  <si>
    <t>Receita Legados</t>
  </si>
  <si>
    <t>Contratos Legados</t>
  </si>
  <si>
    <t>Tarifa Zona de saída MG</t>
  </si>
  <si>
    <t>Tarifa Zona de saída SP</t>
  </si>
  <si>
    <t>Tarifa Zona de saída RJ</t>
  </si>
  <si>
    <t>Tarifa REPLAN (interconexão)</t>
  </si>
  <si>
    <t>Tarifa TECAB (interconexão)</t>
  </si>
  <si>
    <t>Total Entrada + Saída</t>
  </si>
  <si>
    <t>Caraguatatuba</t>
  </si>
  <si>
    <t>Guararema (interconexão)</t>
  </si>
  <si>
    <t>REPLAN (interconexão)</t>
  </si>
  <si>
    <t>TECAB (interconexão)</t>
  </si>
  <si>
    <t>GNL BGB</t>
  </si>
  <si>
    <t>Pontos de Entrada</t>
  </si>
  <si>
    <t>Pontos/Zonas de Saída</t>
  </si>
  <si>
    <t>Sem aplicação da Conta Regulatória</t>
  </si>
  <si>
    <t>T UF</t>
  </si>
  <si>
    <t>PR-ITABORAÍ</t>
  </si>
  <si>
    <t>Itaboraí</t>
  </si>
  <si>
    <t>Determine the weight of each entry point (respectively exit point) as the ratio between the product of its forecasted booked capacity with its average distance and the sums of such products for all entry points (respectively exit point)</t>
  </si>
  <si>
    <t>For each entry point (respectively exit point) , calculate capacity-weighted average distance to all exit points (respectively entry points); average distance is weighted by forecasted booked capacity</t>
  </si>
  <si>
    <t>Calculate the proportion of forecasted booked entry (respectively exit) capacity at each point relative to the total forecasted booked entry (respectively exit) capacity;</t>
  </si>
  <si>
    <t>For each entry point (respectively exit point), calculate capacity-weighted average distance to all exit points (respectively entry points); average distance is weighted by forecasted booked capacity</t>
  </si>
  <si>
    <t>-</t>
  </si>
  <si>
    <t>Paulinia - GASPAJ (interconexão)¹</t>
  </si>
  <si>
    <t>Data</t>
  </si>
  <si>
    <t>4390 - Taxa de juros - Selic acumulada no mês - % a.m.</t>
  </si>
  <si>
    <t>Fonte</t>
  </si>
  <si>
    <t>BCB-Demab</t>
  </si>
  <si>
    <t>Variação Mensal (%)</t>
  </si>
  <si>
    <t>Índice</t>
  </si>
  <si>
    <t>Mês Referência</t>
  </si>
  <si>
    <t>Mês Recebimento</t>
  </si>
  <si>
    <t>Valor Líquido</t>
  </si>
  <si>
    <t>Variação Acum. SELIC</t>
  </si>
  <si>
    <t>Valor Corrigido</t>
  </si>
  <si>
    <t>Penalidades</t>
  </si>
  <si>
    <t>Índice Acumulado</t>
  </si>
  <si>
    <t>Multiplicadores de Curto Prazo</t>
  </si>
  <si>
    <t>Excedentes</t>
  </si>
  <si>
    <t>Ano de Aplicação</t>
  </si>
  <si>
    <r>
      <t>Conta Regulatória:</t>
    </r>
    <r>
      <rPr>
        <sz val="11"/>
        <color theme="1"/>
        <rFont val="Calibri"/>
        <family val="2"/>
        <scheme val="minor"/>
      </rPr>
      <t xml:space="preserve"> abatimento dos valores adicionais apurados com excedentes, penalidades e multiplicadores de curto prazo, corrigidos pela SELIC.</t>
    </r>
  </si>
  <si>
    <t>Saldo da Conta Regulatória</t>
  </si>
  <si>
    <t>Ano Referência</t>
  </si>
  <si>
    <t>Tarifas E/S por Estado 2026</t>
  </si>
  <si>
    <t>Tarifas E/S por Estado 2027</t>
  </si>
  <si>
    <t>Tarifas E/S por Estado 2028</t>
  </si>
  <si>
    <t>Manifestação de Interesse - Entrada (mil m³/dia)</t>
  </si>
  <si>
    <t>Manifestação de Interesse - Demanda Saída (mil m³/dia)</t>
  </si>
  <si>
    <t>Tarifas E/S por Estado 2029</t>
  </si>
  <si>
    <t>'</t>
  </si>
  <si>
    <t>Metodologia de Cálculo</t>
  </si>
  <si>
    <t>Código abas:</t>
  </si>
  <si>
    <t>R$/MMBTU</t>
  </si>
  <si>
    <t>Interconexão Guararema</t>
  </si>
  <si>
    <t>Interconexão REPLAN</t>
  </si>
  <si>
    <t>abas modelo CWD GTAs Legados</t>
  </si>
  <si>
    <t>Interconexão Paulínia</t>
  </si>
  <si>
    <t>Interconexão TECAB</t>
  </si>
  <si>
    <t>abas de ambos os modelos</t>
  </si>
  <si>
    <t>Receita 2026</t>
  </si>
  <si>
    <t>Data-base: Jan/26</t>
  </si>
  <si>
    <t>Receita 2027</t>
  </si>
  <si>
    <t>Receita 2028</t>
  </si>
  <si>
    <t>Receita 2029</t>
  </si>
  <si>
    <t>Receita 2030</t>
  </si>
  <si>
    <t>Projetado</t>
  </si>
  <si>
    <t>Fonte Projeção</t>
  </si>
  <si>
    <t>Término GTA</t>
  </si>
  <si>
    <t>Tarifas 2026 Legado</t>
  </si>
  <si>
    <t>data-base jan/26</t>
  </si>
  <si>
    <t>Tarifas 2026 Final</t>
  </si>
  <si>
    <t>Tarifas 2026 BRA</t>
  </si>
  <si>
    <t xml:space="preserve">A tarifa final do POCC 2026-2030 será resultante do somatório entre: </t>
  </si>
  <si>
    <t>Tarifas E/S por Estado 2030</t>
  </si>
  <si>
    <t>Total Corrigido</t>
  </si>
  <si>
    <t>abas modelo CWD BRA</t>
  </si>
  <si>
    <t>i) tarifa que remunera a receita dos GTAs Legados, com o cenário de referência de capacidade a ser aprovado pela ANP</t>
  </si>
  <si>
    <t>ii) tarifa que remunera a receita da BRA, com o cenário de referência de capacidade a ser aprovado pela ANP, que será atualizado na etapa de manifestação de interesse do POCC</t>
  </si>
  <si>
    <t>Tarifas 2027 Final</t>
  </si>
  <si>
    <t>Tarifas 2028 Final</t>
  </si>
  <si>
    <t>Tarifas 2029 Final</t>
  </si>
  <si>
    <t>Tarifas 2030 Final</t>
  </si>
  <si>
    <t>Postal do trecho</t>
  </si>
  <si>
    <t>Receita</t>
  </si>
  <si>
    <t>BRA</t>
  </si>
  <si>
    <t>Relatório Focus R20250704 - 12,5% a/a SELIC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</si>
</sst>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R$&quot;\ #,##0.00;[Red]\-&quot;R$&quot;\ #,##0.00"/>
    <numFmt numFmtId="41" formatCode="_-* #,##0_-;\-* #,##0_-;_-* &quot;-&quot;_-;_-@_-"/>
    <numFmt numFmtId="44" formatCode="_-&quot;R$&quot;\ * #,##0.00_-;\-&quot;R$&quot;\ * #,##0.00_-;_-&quot;R$&quot;\ * &quot;-&quot;??_-;_-@_-"/>
    <numFmt numFmtId="43" formatCode="_-* #,##0.00_-;\-* #,##0.00_-;_-* &quot;-&quot;??_-;_-@_-"/>
    <numFmt numFmtId="164" formatCode="_(* #,##0.00_);_(* \(#,##0.00\);_(* &quot;-&quot;??_);_(@_)"/>
    <numFmt numFmtId="166" formatCode="0.0000"/>
    <numFmt numFmtId="167" formatCode="&quot;R$&quot;#,##0.00"/>
    <numFmt numFmtId="168" formatCode="#,##0.000"/>
    <numFmt numFmtId="169" formatCode="_-* #,##0_-;\-* #,##0_-;_-* &quot;-&quot;??_-;_-@_-"/>
    <numFmt numFmtId="170" formatCode="#,##0.000000000"/>
    <numFmt numFmtId="171" formatCode="_-* #,##0.000000_-;\-* #,##0.000000_-;_-* &quot;-&quot;??????_-;_-@_-"/>
    <numFmt numFmtId="172" formatCode="_-* #,##0.0000_-;\-* #,##0.0000_-;_-* &quot;-&quot;??_-;_-@_-"/>
    <numFmt numFmtId="173" formatCode="_-* #,##0.0000_-;\-* #,##0.0000_-;_-* &quot;-&quot;????_-;_-@_-"/>
    <numFmt numFmtId="175" formatCode="0_);[Red]\(0\)"/>
    <numFmt numFmtId="176" formatCode="#,##0.00000"/>
    <numFmt numFmtId="177" formatCode="_(&quot;R$ &quot;* #,##0.00_);_(&quot;R$ &quot;* \(#,##0.00\);_(&quot;R$ &quot;* &quot;-&quot;??_);_(@_)"/>
    <numFmt numFmtId="178" formatCode="_-* #,##0.00000_-;\-* #,##0.00000_-;_-* &quot;-&quot;?????_-;_-@_-"/>
    <numFmt numFmtId="179" formatCode="_-* #,##0.00000_-;\-* #,##0.00000_-;_-* &quot;-&quot;??_-;_-@_-"/>
    <numFmt numFmtId="180" formatCode="#,##0.0000"/>
    <numFmt numFmtId="181" formatCode="_-* #,##0.0000_-;\-* #,##0.0000_-;_-* &quot;-&quot;_-;_-@_-"/>
    <numFmt numFmtId="182" formatCode="0.000000000"/>
    <numFmt numFmtId="183" formatCode="[$-409]d\-mmm\-yy;@"/>
    <numFmt numFmtId="184" formatCode="_-&quot;R$&quot;* #,##0.00_-;\-&quot;R$&quot;* #,##0.00_-;_-&quot;R$&quot;* &quot;-&quot;??_-;_-@_-"/>
    <numFmt numFmtId="185" formatCode="0.00000"/>
    <numFmt numFmtId="186" formatCode="_-&quot;R$&quot;\ * #,##0.00_-;\-&quot;R$&quot;\ * #,##0.00_-;_-&quot;R$&quot;\ * &quot;-&quot;?????_-;_-@_-"/>
    <numFmt numFmtId="187" formatCode="_-&quot;R$&quot;\ * #,##0_-;\-&quot;R$&quot;\ * #,##0_-;_-&quot;R$&quot;\ * &quot;-&quot;??_-;_-@_-"/>
    <numFmt numFmtId="188" formatCode="_-* #,##0.000_-;\-* #,##0.000_-;_-* &quot;-&quot;_-;_-@_-"/>
    <numFmt numFmtId="189" formatCode="_-* #,##0.00000_-;\-* #,##0.00000_-;_-* &quot;-&quot;_-;_-@_-"/>
  </numFmts>
  <fonts count="92"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1"/>
      <name val="Calibri"/>
      <family val="2"/>
      <scheme val="minor"/>
    </font>
    <font>
      <sz val="11"/>
      <name val="Calibri"/>
      <family val="2"/>
      <scheme val="minor"/>
    </font>
    <font>
      <sz val="11"/>
      <color rgb="FFFF0000"/>
      <name val="Calibri"/>
      <family val="2"/>
      <scheme val="minor"/>
    </font>
    <font>
      <sz val="9"/>
      <color rgb="FFFFFFFF"/>
      <name val="Calibri"/>
      <family val="2"/>
    </font>
    <font>
      <sz val="11"/>
      <color theme="1"/>
      <name val="Calibri"/>
      <family val="2"/>
    </font>
    <font>
      <sz val="8"/>
      <color theme="1"/>
      <name val="Calibri"/>
      <family val="2"/>
      <scheme val="minor"/>
    </font>
    <font>
      <sz val="8"/>
      <name val="Calibri"/>
      <family val="2"/>
      <scheme val="minor"/>
    </font>
    <font>
      <vertAlign val="superscript"/>
      <sz val="11"/>
      <color theme="1"/>
      <name val="Calibri"/>
      <family val="2"/>
      <scheme val="minor"/>
    </font>
    <font>
      <sz val="11"/>
      <color rgb="FFFF0000"/>
      <name val="Calibri"/>
      <family val="2"/>
    </font>
    <font>
      <u/>
      <sz val="11"/>
      <color theme="10"/>
      <name val="Calibri"/>
      <family val="2"/>
    </font>
    <font>
      <sz val="10"/>
      <color theme="1"/>
      <name val="Arial"/>
      <family val="2"/>
    </font>
    <font>
      <sz val="11"/>
      <color indexed="8"/>
      <name val="Calibri"/>
      <family val="2"/>
    </font>
    <font>
      <u/>
      <sz val="8.5"/>
      <color indexed="12"/>
      <name val="Arial"/>
      <family val="2"/>
    </font>
    <font>
      <sz val="10"/>
      <name val="Calibri Light"/>
      <family val="2"/>
      <scheme val="major"/>
    </font>
    <font>
      <sz val="9"/>
      <color theme="0"/>
      <name val="Arial"/>
      <family val="2"/>
    </font>
    <font>
      <b/>
      <sz val="11"/>
      <color theme="0"/>
      <name val="Calibri Light"/>
      <family val="2"/>
      <scheme val="major"/>
    </font>
    <font>
      <sz val="11"/>
      <name val="Calibri Light"/>
      <family val="2"/>
      <scheme val="major"/>
    </font>
    <font>
      <sz val="11"/>
      <color theme="0"/>
      <name val="Calibri Light"/>
      <family val="2"/>
      <scheme val="major"/>
    </font>
    <font>
      <sz val="11"/>
      <color theme="1"/>
      <name val="Calibri Light"/>
      <family val="2"/>
      <scheme val="major"/>
    </font>
    <font>
      <sz val="11"/>
      <color rgb="FFFFFF00"/>
      <name val="Calibri Light"/>
      <family val="2"/>
      <scheme val="major"/>
    </font>
    <font>
      <b/>
      <sz val="11"/>
      <color theme="1"/>
      <name val="Calibri Light"/>
      <family val="2"/>
      <scheme val="major"/>
    </font>
    <font>
      <b/>
      <sz val="11"/>
      <name val="Calibri Light"/>
      <family val="2"/>
      <scheme val="major"/>
    </font>
    <font>
      <sz val="9"/>
      <color theme="1"/>
      <name val="Calibri Light"/>
      <family val="2"/>
      <scheme val="major"/>
    </font>
    <font>
      <b/>
      <sz val="9"/>
      <color theme="1"/>
      <name val="Calibri Light"/>
      <family val="2"/>
      <scheme val="major"/>
    </font>
    <font>
      <sz val="10"/>
      <color theme="1"/>
      <name val="Calibri Light"/>
      <family val="2"/>
      <scheme val="major"/>
    </font>
    <font>
      <b/>
      <sz val="10"/>
      <color theme="1"/>
      <name val="Calibri Light"/>
      <family val="2"/>
      <scheme val="major"/>
    </font>
    <font>
      <sz val="12"/>
      <color theme="0"/>
      <name val="Calibri"/>
      <family val="2"/>
      <scheme val="minor"/>
    </font>
    <font>
      <u/>
      <sz val="11"/>
      <color theme="1"/>
      <name val="Calibri"/>
      <family val="2"/>
      <scheme val="minor"/>
    </font>
    <font>
      <i/>
      <sz val="11"/>
      <color theme="1"/>
      <name val="Calibri"/>
      <family val="2"/>
      <scheme val="minor"/>
    </font>
    <font>
      <i/>
      <vertAlign val="subscript"/>
      <sz val="11"/>
      <color theme="1"/>
      <name val="Calibri"/>
      <family val="2"/>
      <scheme val="minor"/>
    </font>
    <font>
      <vertAlign val="subscript"/>
      <sz val="11"/>
      <color theme="1"/>
      <name val="Calibri"/>
      <family val="2"/>
      <scheme val="minor"/>
    </font>
    <font>
      <vertAlign val="subscript"/>
      <sz val="12"/>
      <color theme="0"/>
      <name val="Calibri"/>
      <family val="2"/>
      <scheme val="minor"/>
    </font>
    <font>
      <sz val="11"/>
      <color rgb="FFFFFFFF"/>
      <name val="Calibri"/>
      <family val="2"/>
    </font>
    <font>
      <vertAlign val="subscript"/>
      <sz val="11"/>
      <color rgb="FFFFFFFF"/>
      <name val="Calibri"/>
      <family val="2"/>
    </font>
    <font>
      <u/>
      <sz val="10"/>
      <color theme="10"/>
      <name val="Calibri Light"/>
      <family val="2"/>
      <scheme val="major"/>
    </font>
    <font>
      <b/>
      <sz val="10"/>
      <color rgb="FFFFFFFF"/>
      <name val="Calibri Light"/>
      <family val="2"/>
      <scheme val="major"/>
    </font>
    <font>
      <b/>
      <sz val="10"/>
      <name val="Calibri Light"/>
      <family val="2"/>
      <scheme val="major"/>
    </font>
    <font>
      <b/>
      <sz val="10"/>
      <color rgb="FF0070C0"/>
      <name val="Calibri Light"/>
      <family val="2"/>
      <scheme val="major"/>
    </font>
    <font>
      <b/>
      <sz val="10"/>
      <color theme="0"/>
      <name val="Calibri Light"/>
      <family val="2"/>
      <scheme val="major"/>
    </font>
    <font>
      <sz val="10"/>
      <color rgb="FF0070C0"/>
      <name val="Calibri Light"/>
      <family val="2"/>
      <scheme val="major"/>
    </font>
    <font>
      <vertAlign val="superscript"/>
      <sz val="10"/>
      <color theme="1"/>
      <name val="Calibri Light"/>
      <family val="2"/>
      <scheme val="major"/>
    </font>
    <font>
      <sz val="10"/>
      <color theme="3"/>
      <name val="Calibri Light"/>
      <family val="2"/>
      <scheme val="major"/>
    </font>
    <font>
      <sz val="10"/>
      <color rgb="FF0066CC"/>
      <name val="Calibri Light"/>
      <family val="2"/>
      <scheme val="major"/>
    </font>
    <font>
      <sz val="10"/>
      <color rgb="FFFFFF00"/>
      <name val="Calibri Light"/>
      <family val="2"/>
      <scheme val="major"/>
    </font>
    <font>
      <b/>
      <sz val="14"/>
      <color theme="0"/>
      <name val="Calibri"/>
      <family val="2"/>
      <scheme val="minor"/>
    </font>
    <font>
      <sz val="14"/>
      <name val="Calibri"/>
      <family val="2"/>
      <scheme val="minor"/>
    </font>
    <font>
      <sz val="14"/>
      <color rgb="FF000000"/>
      <name val="Calibri"/>
      <family val="2"/>
    </font>
    <font>
      <sz val="14"/>
      <color theme="1"/>
      <name val="Calibri"/>
      <family val="2"/>
      <scheme val="minor"/>
    </font>
    <font>
      <sz val="14"/>
      <name val="Calibri"/>
      <family val="2"/>
    </font>
    <font>
      <b/>
      <sz val="14"/>
      <color rgb="FF000000"/>
      <name val="Calibri"/>
      <family val="2"/>
    </font>
    <font>
      <i/>
      <sz val="11"/>
      <color theme="2" tint="-0.499984740745262"/>
      <name val="Calibri"/>
      <family val="2"/>
      <scheme val="minor"/>
    </font>
    <font>
      <i/>
      <sz val="11"/>
      <color theme="1" tint="0.34998626667073579"/>
      <name val="Calibri"/>
      <family val="2"/>
      <scheme val="minor"/>
    </font>
    <font>
      <b/>
      <i/>
      <sz val="11"/>
      <color theme="1" tint="0.34998626667073579"/>
      <name val="Calibri"/>
      <family val="2"/>
      <scheme val="minor"/>
    </font>
    <font>
      <i/>
      <sz val="11"/>
      <color rgb="FFFF0000"/>
      <name val="Calibri"/>
      <family val="2"/>
      <scheme val="minor"/>
    </font>
    <font>
      <i/>
      <sz val="11"/>
      <color rgb="FFFF0000"/>
      <name val="Calibri"/>
      <family val="2"/>
    </font>
    <font>
      <sz val="11"/>
      <name val="Calibri"/>
      <family val="2"/>
    </font>
    <font>
      <b/>
      <sz val="9"/>
      <color theme="0"/>
      <name val="Calibri Light"/>
      <family val="2"/>
      <scheme val="major"/>
    </font>
    <font>
      <sz val="10"/>
      <name val="Garamond"/>
      <family val="1"/>
    </font>
    <font>
      <sz val="10"/>
      <color theme="1"/>
      <name val="Arial Narrow"/>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sz val="11"/>
      <color indexed="8"/>
      <name val="Segoe UI"/>
      <family val="2"/>
    </font>
    <font>
      <b/>
      <sz val="12"/>
      <color theme="1"/>
      <name val="Calibri"/>
      <family val="2"/>
      <scheme val="minor"/>
    </font>
    <font>
      <b/>
      <sz val="11"/>
      <color rgb="FFFFFFFF"/>
      <name val="Calibri"/>
      <family val="2"/>
    </font>
    <font>
      <sz val="11"/>
      <color rgb="FF000000"/>
      <name val="Calibri"/>
      <family val="2"/>
    </font>
    <font>
      <sz val="11"/>
      <color theme="1"/>
      <name val="Aptos Narrow"/>
      <family val="2"/>
    </font>
    <font>
      <sz val="12"/>
      <color rgb="FF000000"/>
      <name val="Aptos Narrow"/>
      <family val="2"/>
    </font>
    <font>
      <b/>
      <sz val="14"/>
      <color theme="1"/>
      <name val="Calibri"/>
      <family val="2"/>
      <scheme val="minor"/>
    </font>
    <font>
      <i/>
      <sz val="10"/>
      <color theme="1"/>
      <name val="Calibri"/>
      <family val="2"/>
      <scheme val="minor"/>
    </font>
    <font>
      <b/>
      <sz val="11"/>
      <color theme="2" tint="-0.499984740745262"/>
      <name val="Calibri"/>
      <family val="2"/>
      <scheme val="minor"/>
    </font>
    <font>
      <b/>
      <sz val="10"/>
      <color rgb="FF000000"/>
      <name val="Calibri Light"/>
      <family val="2"/>
    </font>
  </fonts>
  <fills count="6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4"/>
        <bgColor rgb="FF000000"/>
      </patternFill>
    </fill>
    <fill>
      <patternFill patternType="solid">
        <fgColor rgb="FF757171"/>
        <bgColor rgb="FF000000"/>
      </patternFill>
    </fill>
    <fill>
      <patternFill patternType="solid">
        <fgColor theme="4" tint="0.89999084444715716"/>
        <bgColor indexed="64"/>
      </patternFill>
    </fill>
    <fill>
      <patternFill patternType="solid">
        <fgColor rgb="FFFFC000"/>
        <bgColor indexed="64"/>
      </patternFill>
    </fill>
    <fill>
      <patternFill patternType="solid">
        <fgColor indexed="65"/>
        <bgColor indexed="64"/>
      </patternFill>
    </fill>
    <fill>
      <patternFill patternType="solid">
        <fgColor rgb="FF002060"/>
        <bgColor indexed="64"/>
      </patternFill>
    </fill>
    <fill>
      <patternFill patternType="solid">
        <fgColor theme="0"/>
        <bgColor theme="0" tint="-0.14999847407452621"/>
      </patternFill>
    </fill>
    <fill>
      <patternFill patternType="solid">
        <fgColor theme="3"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rgb="FF7030A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003B5C"/>
        <bgColor indexed="64"/>
      </patternFill>
    </fill>
    <fill>
      <patternFill patternType="solid">
        <fgColor theme="1" tint="0.499984740745262"/>
        <bgColor indexed="64"/>
      </patternFill>
    </fill>
    <fill>
      <patternFill patternType="solid">
        <fgColor rgb="FF003B5C"/>
        <bgColor rgb="FF000000"/>
      </patternFill>
    </fill>
    <fill>
      <patternFill patternType="solid">
        <fgColor theme="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right/>
      <top/>
      <bottom style="thin">
        <color theme="0" tint="-0.499984740745262"/>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bottom style="double">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rgb="FF0F3557"/>
      </left>
      <right style="thin">
        <color rgb="FF0F3557"/>
      </right>
      <top style="thin">
        <color rgb="FF0F3557"/>
      </top>
      <bottom style="thin">
        <color rgb="FF0F3557"/>
      </bottom>
      <diagonal/>
    </border>
    <border>
      <left style="thin">
        <color indexed="64"/>
      </left>
      <right/>
      <top style="thin">
        <color indexed="64"/>
      </top>
      <bottom style="thin">
        <color indexed="64"/>
      </bottom>
      <diagonal/>
    </border>
    <border>
      <left style="thin">
        <color rgb="FF0F3557"/>
      </left>
      <right/>
      <top style="thin">
        <color rgb="FF0F3557"/>
      </top>
      <bottom style="thin">
        <color rgb="FF0F3557"/>
      </bottom>
      <diagonal/>
    </border>
    <border>
      <left style="thin">
        <color rgb="FF0F3557"/>
      </left>
      <right style="thin">
        <color rgb="FF0F3557"/>
      </right>
      <top/>
      <bottom style="thin">
        <color rgb="FF0F3557"/>
      </bottom>
      <diagonal/>
    </border>
    <border>
      <left style="thin">
        <color rgb="FF0F3557"/>
      </left>
      <right/>
      <top style="thin">
        <color rgb="FF0F3557"/>
      </top>
      <bottom/>
      <diagonal/>
    </border>
    <border>
      <left style="thin">
        <color rgb="FF0F3557"/>
      </left>
      <right/>
      <top/>
      <bottom/>
      <diagonal/>
    </border>
    <border>
      <left style="thin">
        <color rgb="FF0F3557"/>
      </left>
      <right/>
      <top/>
      <bottom style="thin">
        <color rgb="FF0F3557"/>
      </bottom>
      <diagonal/>
    </border>
    <border>
      <left style="thin">
        <color rgb="FF0F3557"/>
      </left>
      <right style="thin">
        <color rgb="FF0F3557"/>
      </right>
      <top/>
      <bottom/>
      <diagonal/>
    </border>
    <border>
      <left style="thin">
        <color rgb="FF0F3557"/>
      </left>
      <right style="thin">
        <color rgb="FF0F3557"/>
      </right>
      <top style="thin">
        <color rgb="FF0F3557"/>
      </top>
      <bottom/>
      <diagonal/>
    </border>
    <border>
      <left style="thin">
        <color indexed="64"/>
      </left>
      <right/>
      <top/>
      <bottom style="thin">
        <color indexed="64"/>
      </bottom>
      <diagonal/>
    </border>
    <border>
      <left/>
      <right/>
      <top/>
      <bottom style="thin">
        <color rgb="FF0F355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FFFFFF"/>
      </top>
      <bottom style="thin">
        <color theme="0"/>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000000"/>
      </left>
      <right/>
      <top/>
      <bottom/>
      <diagonal/>
    </border>
    <border>
      <left/>
      <right style="thin">
        <color indexed="64"/>
      </right>
      <top/>
      <bottom style="thin">
        <color indexed="64"/>
      </bottom>
      <diagonal/>
    </border>
    <border>
      <left style="thin">
        <color rgb="FF002060"/>
      </left>
      <right/>
      <top/>
      <bottom/>
      <diagonal/>
    </border>
  </borders>
  <cellStyleXfs count="982">
    <xf numFmtId="0" fontId="0" fillId="0" borderId="0"/>
    <xf numFmtId="43" fontId="2" fillId="0" borderId="0" applyFont="0" applyFill="0" applyBorder="0" applyAlignment="0" applyProtection="0"/>
    <xf numFmtId="0" fontId="6" fillId="0" borderId="0"/>
    <xf numFmtId="0" fontId="2" fillId="0" borderId="0"/>
    <xf numFmtId="0" fontId="2"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xf numFmtId="9" fontId="6" fillId="0" borderId="0" applyFont="0" applyFill="0" applyBorder="0" applyAlignment="0" applyProtection="0"/>
    <xf numFmtId="164" fontId="6" fillId="0" borderId="0" applyFont="0" applyFill="0" applyBorder="0" applyAlignment="0" applyProtection="0"/>
    <xf numFmtId="0" fontId="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alignment vertical="top"/>
      <protection locked="0"/>
    </xf>
    <xf numFmtId="177" fontId="6" fillId="0" borderId="0" applyFont="0" applyFill="0" applyBorder="0" applyAlignment="0" applyProtection="0"/>
    <xf numFmtId="0" fontId="6" fillId="0" borderId="0"/>
    <xf numFmtId="0" fontId="6" fillId="0" borderId="0"/>
    <xf numFmtId="0" fontId="6" fillId="0" borderId="0"/>
    <xf numFmtId="0" fontId="6"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7" fontId="6"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7" fillId="0" borderId="0"/>
    <xf numFmtId="43" fontId="17" fillId="0" borderId="0" applyFont="0" applyFill="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7"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83" fontId="6" fillId="0" borderId="0"/>
    <xf numFmtId="43" fontId="1" fillId="0" borderId="0" applyFont="0" applyFill="0" applyBorder="0" applyAlignment="0" applyProtection="0"/>
    <xf numFmtId="183" fontId="6" fillId="0" borderId="0"/>
    <xf numFmtId="0" fontId="64" fillId="0" borderId="0"/>
    <xf numFmtId="184" fontId="1" fillId="0" borderId="0" applyFont="0" applyFill="0" applyBorder="0" applyAlignment="0" applyProtection="0"/>
    <xf numFmtId="0" fontId="17" fillId="0" borderId="0"/>
    <xf numFmtId="43" fontId="17" fillId="0" borderId="0" applyFont="0" applyFill="0" applyBorder="0" applyAlignment="0" applyProtection="0"/>
    <xf numFmtId="0" fontId="6" fillId="0" borderId="0">
      <alignment vertical="top"/>
    </xf>
    <xf numFmtId="0" fontId="65" fillId="0" borderId="0"/>
    <xf numFmtId="9" fontId="1" fillId="0" borderId="0" applyFont="0" applyFill="0" applyBorder="0" applyAlignment="0" applyProtection="0"/>
    <xf numFmtId="0" fontId="6" fillId="0" borderId="0"/>
    <xf numFmtId="22" fontId="6" fillId="0" borderId="0"/>
    <xf numFmtId="0" fontId="1" fillId="0" borderId="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2"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2"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71" fillId="50"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50"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7" borderId="0" applyNumberFormat="0" applyBorder="0" applyAlignment="0" applyProtection="0"/>
    <xf numFmtId="0" fontId="76" fillId="40" borderId="0" applyNumberFormat="0" applyBorder="0" applyAlignment="0" applyProtection="0"/>
    <xf numFmtId="0" fontId="72" fillId="41" borderId="0" applyNumberFormat="0" applyBorder="0" applyAlignment="0" applyProtection="0"/>
    <xf numFmtId="0" fontId="73" fillId="45" borderId="43" applyNumberFormat="0" applyAlignment="0" applyProtection="0"/>
    <xf numFmtId="0" fontId="73" fillId="45" borderId="43" applyNumberFormat="0" applyAlignment="0" applyProtection="0"/>
    <xf numFmtId="0" fontId="74" fillId="58" borderId="44" applyNumberFormat="0" applyAlignment="0" applyProtection="0"/>
    <xf numFmtId="0" fontId="66" fillId="0" borderId="45" applyNumberFormat="0" applyFill="0" applyAlignment="0" applyProtection="0"/>
    <xf numFmtId="0" fontId="74" fillId="58" borderId="44" applyNumberFormat="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7" borderId="0" applyNumberFormat="0" applyBorder="0" applyAlignment="0" applyProtection="0"/>
    <xf numFmtId="0" fontId="75" fillId="45" borderId="43" applyNumberFormat="0" applyAlignment="0" applyProtection="0"/>
    <xf numFmtId="0" fontId="80" fillId="0" borderId="0" applyNumberFormat="0" applyFill="0" applyBorder="0" applyAlignment="0" applyProtection="0"/>
    <xf numFmtId="0" fontId="72" fillId="41" borderId="0" applyNumberFormat="0" applyBorder="0" applyAlignment="0" applyProtection="0"/>
    <xf numFmtId="0" fontId="68" fillId="0" borderId="46" applyNumberFormat="0" applyFill="0" applyAlignment="0" applyProtection="0"/>
    <xf numFmtId="0" fontId="69" fillId="0" borderId="47" applyNumberFormat="0" applyFill="0" applyAlignment="0" applyProtection="0"/>
    <xf numFmtId="0" fontId="70" fillId="0" borderId="48" applyNumberFormat="0" applyFill="0" applyAlignment="0" applyProtection="0"/>
    <xf numFmtId="0" fontId="70" fillId="0" borderId="0" applyNumberFormat="0" applyFill="0" applyBorder="0" applyAlignment="0" applyProtection="0"/>
    <xf numFmtId="0" fontId="75" fillId="44" borderId="43" applyNumberFormat="0" applyAlignment="0" applyProtection="0"/>
    <xf numFmtId="0" fontId="66" fillId="0" borderId="45" applyNumberFormat="0" applyFill="0" applyAlignment="0" applyProtection="0"/>
    <xf numFmtId="0" fontId="77" fillId="59" borderId="0" applyNumberFormat="0" applyBorder="0" applyAlignment="0" applyProtection="0"/>
    <xf numFmtId="0" fontId="6" fillId="60" borderId="49" applyNumberFormat="0" applyFont="0" applyAlignment="0" applyProtection="0"/>
    <xf numFmtId="0" fontId="18" fillId="60" borderId="49" applyNumberFormat="0" applyFont="0" applyAlignment="0" applyProtection="0"/>
    <xf numFmtId="0" fontId="78" fillId="45" borderId="50" applyNumberFormat="0" applyAlignment="0" applyProtection="0"/>
    <xf numFmtId="0" fontId="78" fillId="45" borderId="50"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46" applyNumberFormat="0" applyFill="0" applyAlignment="0" applyProtection="0"/>
    <xf numFmtId="0" fontId="69" fillId="0" borderId="47" applyNumberFormat="0" applyFill="0" applyAlignment="0" applyProtection="0"/>
    <xf numFmtId="0" fontId="70" fillId="0" borderId="48" applyNumberFormat="0" applyFill="0" applyAlignment="0" applyProtection="0"/>
    <xf numFmtId="0" fontId="70" fillId="0" borderId="0" applyNumberFormat="0" applyFill="0" applyBorder="0" applyAlignment="0" applyProtection="0"/>
    <xf numFmtId="0" fontId="81" fillId="0" borderId="51" applyNumberFormat="0" applyFill="0" applyAlignment="0" applyProtection="0"/>
    <xf numFmtId="0" fontId="79"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 fillId="18" borderId="19" applyNumberFormat="0" applyFont="0" applyAlignment="0" applyProtection="0"/>
    <xf numFmtId="43" fontId="1" fillId="0" borderId="0" applyFont="0" applyFill="0" applyBorder="0" applyAlignment="0" applyProtection="0"/>
    <xf numFmtId="0" fontId="18" fillId="0" borderId="0" applyFont="0" applyFill="0" applyBorder="0" applyAlignment="0" applyProtection="0"/>
    <xf numFmtId="43" fontId="8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3" fillId="45" borderId="43" applyNumberFormat="0" applyAlignment="0" applyProtection="0"/>
    <xf numFmtId="0" fontId="73" fillId="45" borderId="43" applyNumberFormat="0" applyAlignment="0" applyProtection="0"/>
    <xf numFmtId="0" fontId="75" fillId="45" borderId="43" applyNumberFormat="0" applyAlignment="0" applyProtection="0"/>
    <xf numFmtId="0" fontId="75" fillId="44" borderId="43" applyNumberFormat="0" applyAlignment="0" applyProtection="0"/>
    <xf numFmtId="0" fontId="6" fillId="60" borderId="49" applyNumberFormat="0" applyFont="0" applyAlignment="0" applyProtection="0"/>
    <xf numFmtId="0" fontId="18" fillId="60" borderId="49" applyNumberFormat="0" applyFont="0" applyAlignment="0" applyProtection="0"/>
    <xf numFmtId="0" fontId="78" fillId="45" borderId="50" applyNumberFormat="0" applyAlignment="0" applyProtection="0"/>
    <xf numFmtId="0" fontId="78" fillId="45" borderId="50" applyNumberFormat="0" applyAlignment="0" applyProtection="0"/>
    <xf numFmtId="0" fontId="81" fillId="0" borderId="51" applyNumberFormat="0" applyFill="0" applyAlignment="0" applyProtection="0"/>
  </cellStyleXfs>
  <cellXfs count="404">
    <xf numFmtId="0" fontId="0" fillId="0" borderId="0" xfId="0"/>
    <xf numFmtId="0" fontId="4" fillId="0" borderId="0" xfId="0" applyFont="1"/>
    <xf numFmtId="0" fontId="10" fillId="10" borderId="3" xfId="0" applyFont="1" applyFill="1" applyBorder="1" applyAlignment="1">
      <alignment horizontal="center" vertical="center"/>
    </xf>
    <xf numFmtId="0" fontId="12" fillId="0" borderId="0" xfId="0" applyFont="1"/>
    <xf numFmtId="2" fontId="0" fillId="0" borderId="0" xfId="0" applyNumberFormat="1"/>
    <xf numFmtId="4" fontId="8" fillId="0" borderId="0" xfId="0" applyNumberFormat="1" applyFont="1"/>
    <xf numFmtId="4" fontId="8" fillId="0" borderId="0" xfId="0" applyNumberFormat="1" applyFont="1" applyAlignment="1">
      <alignment horizontal="right" vertical="center"/>
    </xf>
    <xf numFmtId="167" fontId="9" fillId="0" borderId="0" xfId="0" applyNumberFormat="1" applyFont="1" applyAlignment="1">
      <alignment horizontal="right" vertical="center"/>
    </xf>
    <xf numFmtId="2" fontId="0" fillId="0" borderId="0" xfId="0" applyNumberFormat="1" applyAlignment="1">
      <alignment vertical="center"/>
    </xf>
    <xf numFmtId="167" fontId="9" fillId="0" borderId="0" xfId="0" applyNumberFormat="1" applyFont="1"/>
    <xf numFmtId="1" fontId="0" fillId="0" borderId="0" xfId="0" applyNumberFormat="1"/>
    <xf numFmtId="166" fontId="0" fillId="12" borderId="10" xfId="0" applyNumberFormat="1" applyFill="1" applyBorder="1" applyAlignment="1">
      <alignment horizontal="center" vertical="center"/>
    </xf>
    <xf numFmtId="166" fontId="9" fillId="0" borderId="0" xfId="0" applyNumberFormat="1" applyFont="1"/>
    <xf numFmtId="2" fontId="0" fillId="0" borderId="0" xfId="0" applyNumberFormat="1" applyAlignment="1">
      <alignment horizontal="center" vertical="center"/>
    </xf>
    <xf numFmtId="41" fontId="20" fillId="0" borderId="0" xfId="2" applyNumberFormat="1" applyFont="1"/>
    <xf numFmtId="41" fontId="11" fillId="0" borderId="1" xfId="0" applyNumberFormat="1" applyFont="1" applyBorder="1" applyAlignment="1">
      <alignment horizontal="center" vertical="center"/>
    </xf>
    <xf numFmtId="1" fontId="21" fillId="3" borderId="1" xfId="2" applyNumberFormat="1" applyFont="1" applyFill="1" applyBorder="1" applyAlignment="1">
      <alignment horizontal="left" vertical="center"/>
    </xf>
    <xf numFmtId="1" fontId="21" fillId="3" borderId="1" xfId="2" applyNumberFormat="1" applyFont="1" applyFill="1" applyBorder="1" applyAlignment="1">
      <alignment horizontal="center" vertical="center" wrapText="1"/>
    </xf>
    <xf numFmtId="41" fontId="15" fillId="0" borderId="0" xfId="0" applyNumberFormat="1" applyFont="1" applyAlignment="1">
      <alignment horizontal="center" vertical="center"/>
    </xf>
    <xf numFmtId="0" fontId="0" fillId="0" borderId="0" xfId="0" applyAlignment="1">
      <alignment horizontal="center" vertical="center"/>
    </xf>
    <xf numFmtId="0" fontId="0" fillId="12" borderId="10" xfId="0" applyFill="1" applyBorder="1" applyAlignment="1">
      <alignment horizontal="left" vertical="center"/>
    </xf>
    <xf numFmtId="0" fontId="23" fillId="0" borderId="0" xfId="2" applyFont="1"/>
    <xf numFmtId="0" fontId="22" fillId="17" borderId="0" xfId="2" applyFont="1" applyFill="1"/>
    <xf numFmtId="0" fontId="25" fillId="16" borderId="1" xfId="14" applyFont="1" applyFill="1" applyBorder="1" applyAlignment="1">
      <alignment horizontal="left" vertical="center" indent="1"/>
    </xf>
    <xf numFmtId="43" fontId="25" fillId="16" borderId="1" xfId="14" applyNumberFormat="1" applyFont="1" applyFill="1" applyBorder="1" applyAlignment="1">
      <alignment horizontal="center" vertical="center"/>
    </xf>
    <xf numFmtId="0" fontId="23" fillId="4" borderId="0" xfId="2" applyFont="1" applyFill="1"/>
    <xf numFmtId="0" fontId="23" fillId="5" borderId="0" xfId="2" applyFont="1" applyFill="1"/>
    <xf numFmtId="0" fontId="27" fillId="16" borderId="20" xfId="14" applyFont="1" applyFill="1" applyBorder="1" applyAlignment="1">
      <alignment horizontal="left" vertical="center" indent="1"/>
    </xf>
    <xf numFmtId="43" fontId="27" fillId="16" borderId="20" xfId="14" applyNumberFormat="1" applyFont="1" applyFill="1" applyBorder="1" applyAlignment="1">
      <alignment horizontal="center" vertical="center"/>
    </xf>
    <xf numFmtId="0" fontId="23" fillId="0" borderId="0" xfId="2" applyFont="1" applyAlignment="1">
      <alignment horizontal="center"/>
    </xf>
    <xf numFmtId="0" fontId="25" fillId="0" borderId="0" xfId="0" applyFont="1"/>
    <xf numFmtId="41" fontId="29" fillId="0" borderId="0" xfId="0" applyNumberFormat="1" applyFont="1"/>
    <xf numFmtId="0" fontId="29" fillId="0" borderId="0" xfId="0" applyFont="1"/>
    <xf numFmtId="0" fontId="25" fillId="0" borderId="0" xfId="0" applyFont="1" applyAlignment="1">
      <alignment wrapText="1"/>
    </xf>
    <xf numFmtId="0" fontId="29" fillId="0" borderId="0" xfId="0" applyFont="1" applyAlignment="1">
      <alignment horizontal="center"/>
    </xf>
    <xf numFmtId="0" fontId="25" fillId="0" borderId="0" xfId="0" applyFont="1" applyAlignment="1">
      <alignment horizontal="center"/>
    </xf>
    <xf numFmtId="41" fontId="30" fillId="0" borderId="0" xfId="0" applyNumberFormat="1" applyFont="1"/>
    <xf numFmtId="180" fontId="29" fillId="0" borderId="0" xfId="0" applyNumberFormat="1" applyFont="1"/>
    <xf numFmtId="181" fontId="29" fillId="0" borderId="23" xfId="0" applyNumberFormat="1" applyFont="1" applyBorder="1" applyAlignment="1">
      <alignment horizontal="center" vertical="center" wrapText="1"/>
    </xf>
    <xf numFmtId="0" fontId="29" fillId="0" borderId="23" xfId="0" applyFont="1" applyBorder="1" applyAlignment="1">
      <alignment horizontal="center" vertical="center" wrapText="1"/>
    </xf>
    <xf numFmtId="0" fontId="0" fillId="0" borderId="0" xfId="0" applyAlignment="1">
      <alignment horizontal="center" vertical="center" wrapText="1"/>
    </xf>
    <xf numFmtId="0" fontId="31" fillId="0" borderId="0" xfId="0" applyFont="1"/>
    <xf numFmtId="0" fontId="32" fillId="0" borderId="1" xfId="0" applyFont="1" applyBorder="1" applyAlignment="1">
      <alignment horizontal="center" vertical="center"/>
    </xf>
    <xf numFmtId="0" fontId="31" fillId="0" borderId="1" xfId="0" applyFont="1" applyBorder="1"/>
    <xf numFmtId="169" fontId="31" fillId="0" borderId="1" xfId="10" applyNumberFormat="1" applyFont="1" applyBorder="1" applyAlignment="1">
      <alignment vertical="center"/>
    </xf>
    <xf numFmtId="169" fontId="32" fillId="0" borderId="21" xfId="10" applyNumberFormat="1" applyFont="1" applyBorder="1"/>
    <xf numFmtId="0" fontId="34" fillId="0" borderId="0" xfId="0" applyFont="1"/>
    <xf numFmtId="0" fontId="5" fillId="6" borderId="1" xfId="0" applyFont="1" applyFill="1" applyBorder="1" applyAlignment="1">
      <alignment horizontal="center"/>
    </xf>
    <xf numFmtId="0" fontId="0" fillId="0" borderId="0" xfId="0" applyAlignment="1">
      <alignment horizontal="center"/>
    </xf>
    <xf numFmtId="3" fontId="0" fillId="0" borderId="0" xfId="0" applyNumberFormat="1" applyAlignment="1">
      <alignment vertical="center"/>
    </xf>
    <xf numFmtId="9" fontId="0" fillId="7" borderId="0" xfId="0" applyNumberFormat="1" applyFill="1" applyAlignment="1">
      <alignment horizontal="center"/>
    </xf>
    <xf numFmtId="0" fontId="0" fillId="9" borderId="0" xfId="0" applyFill="1"/>
    <xf numFmtId="0" fontId="5" fillId="6" borderId="3" xfId="0" applyFont="1" applyFill="1" applyBorder="1"/>
    <xf numFmtId="0" fontId="5" fillId="6" borderId="5" xfId="0" applyFont="1" applyFill="1" applyBorder="1"/>
    <xf numFmtId="0" fontId="5" fillId="0" borderId="6" xfId="0" applyFont="1" applyBorder="1" applyAlignment="1">
      <alignment horizontal="center" vertical="center"/>
    </xf>
    <xf numFmtId="170" fontId="0" fillId="0" borderId="0" xfId="0" applyNumberFormat="1"/>
    <xf numFmtId="0" fontId="5" fillId="6" borderId="7" xfId="0" applyFont="1" applyFill="1" applyBorder="1" applyAlignment="1">
      <alignment horizontal="center" vertical="center"/>
    </xf>
    <xf numFmtId="0" fontId="5" fillId="6" borderId="8" xfId="0" applyFont="1" applyFill="1" applyBorder="1" applyAlignment="1">
      <alignment horizontal="left" vertical="center"/>
    </xf>
    <xf numFmtId="0" fontId="33" fillId="6" borderId="8" xfId="0" applyFont="1" applyFill="1" applyBorder="1" applyAlignment="1">
      <alignment horizontal="center" vertical="center" wrapText="1"/>
    </xf>
    <xf numFmtId="0" fontId="33" fillId="6" borderId="4" xfId="0" applyFont="1" applyFill="1" applyBorder="1" applyAlignment="1">
      <alignment horizontal="center" vertical="center" wrapText="1"/>
    </xf>
    <xf numFmtId="41" fontId="0" fillId="0" borderId="0" xfId="0" applyNumberFormat="1"/>
    <xf numFmtId="41" fontId="0" fillId="0" borderId="0" xfId="0" applyNumberFormat="1" applyAlignment="1">
      <alignment horizontal="center" vertical="center"/>
    </xf>
    <xf numFmtId="0" fontId="0" fillId="2" borderId="0" xfId="0" applyFill="1"/>
    <xf numFmtId="0" fontId="39" fillId="11" borderId="0" xfId="0" applyFont="1" applyFill="1" applyAlignment="1">
      <alignment horizontal="left" vertical="center"/>
    </xf>
    <xf numFmtId="0" fontId="39" fillId="11" borderId="0" xfId="0" applyFont="1" applyFill="1" applyAlignment="1">
      <alignment horizontal="center" vertical="center"/>
    </xf>
    <xf numFmtId="0" fontId="39" fillId="11" borderId="0" xfId="0" applyFont="1" applyFill="1" applyAlignment="1">
      <alignment horizontal="right" vertical="center"/>
    </xf>
    <xf numFmtId="176" fontId="0" fillId="0" borderId="0" xfId="0" applyNumberFormat="1" applyAlignment="1">
      <alignment horizontal="right" vertical="center"/>
    </xf>
    <xf numFmtId="176" fontId="0" fillId="0" borderId="0" xfId="0" applyNumberFormat="1" applyAlignment="1">
      <alignment horizontal="center" vertical="center"/>
    </xf>
    <xf numFmtId="4" fontId="0" fillId="0" borderId="0" xfId="0" applyNumberFormat="1" applyAlignment="1">
      <alignment horizontal="right" vertical="center"/>
    </xf>
    <xf numFmtId="176" fontId="0" fillId="0" borderId="0" xfId="0" applyNumberFormat="1"/>
    <xf numFmtId="2" fontId="0" fillId="0" borderId="0" xfId="0" applyNumberFormat="1" applyAlignment="1">
      <alignment horizontal="right" vertical="center"/>
    </xf>
    <xf numFmtId="178" fontId="0" fillId="0" borderId="0" xfId="0" applyNumberFormat="1" applyAlignment="1">
      <alignment horizontal="right" vertical="center"/>
    </xf>
    <xf numFmtId="4" fontId="0" fillId="0" borderId="0" xfId="0" applyNumberFormat="1"/>
    <xf numFmtId="4" fontId="9" fillId="0" borderId="0" xfId="0" applyNumberFormat="1" applyFont="1"/>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horizontal="right" vertical="center"/>
    </xf>
    <xf numFmtId="167" fontId="0" fillId="0" borderId="0" xfId="0" applyNumberFormat="1" applyAlignment="1">
      <alignment horizontal="right" vertical="center"/>
    </xf>
    <xf numFmtId="4" fontId="0" fillId="0" borderId="0" xfId="0" applyNumberFormat="1" applyAlignment="1">
      <alignment horizontal="left" vertical="center"/>
    </xf>
    <xf numFmtId="4" fontId="0" fillId="0" borderId="0" xfId="0" applyNumberFormat="1" applyAlignment="1">
      <alignment horizontal="center" vertical="center"/>
    </xf>
    <xf numFmtId="168" fontId="0" fillId="0" borderId="0" xfId="0" applyNumberFormat="1" applyAlignment="1">
      <alignment horizontal="left"/>
    </xf>
    <xf numFmtId="167" fontId="0" fillId="0" borderId="0" xfId="0" applyNumberFormat="1"/>
    <xf numFmtId="4" fontId="0" fillId="0" borderId="0" xfId="0" applyNumberFormat="1" applyAlignment="1">
      <alignment horizontal="right"/>
    </xf>
    <xf numFmtId="166" fontId="0" fillId="31" borderId="10" xfId="0" applyNumberFormat="1" applyFill="1" applyBorder="1" applyAlignment="1">
      <alignment horizontal="center" vertical="center"/>
    </xf>
    <xf numFmtId="10" fontId="1" fillId="0" borderId="0" xfId="5" applyNumberFormat="1" applyFont="1"/>
    <xf numFmtId="166" fontId="0" fillId="0" borderId="0" xfId="0" applyNumberFormat="1"/>
    <xf numFmtId="172" fontId="0" fillId="0" borderId="0" xfId="0" applyNumberFormat="1"/>
    <xf numFmtId="173" fontId="0" fillId="0" borderId="0" xfId="0" applyNumberFormat="1"/>
    <xf numFmtId="41" fontId="29" fillId="0" borderId="23" xfId="0" applyNumberFormat="1" applyFont="1" applyBorder="1" applyAlignment="1">
      <alignment horizontal="center" vertical="center" wrapText="1"/>
    </xf>
    <xf numFmtId="41" fontId="28" fillId="0" borderId="20" xfId="13" applyNumberFormat="1" applyFont="1" applyFill="1" applyBorder="1" applyAlignment="1">
      <alignment horizontal="center" vertical="center"/>
    </xf>
    <xf numFmtId="41" fontId="23" fillId="0" borderId="0" xfId="2" applyNumberFormat="1" applyFont="1"/>
    <xf numFmtId="0" fontId="41" fillId="4" borderId="0" xfId="11" applyFont="1" applyFill="1" applyBorder="1" applyAlignment="1" applyProtection="1">
      <alignment horizontal="center"/>
    </xf>
    <xf numFmtId="0" fontId="20" fillId="14" borderId="0" xfId="2" applyFont="1" applyFill="1"/>
    <xf numFmtId="0" fontId="41" fillId="2" borderId="0" xfId="11" applyFont="1" applyFill="1" applyBorder="1" applyAlignment="1" applyProtection="1">
      <alignment horizontal="center"/>
    </xf>
    <xf numFmtId="0" fontId="20" fillId="2" borderId="0" xfId="2" applyFont="1" applyFill="1"/>
    <xf numFmtId="0" fontId="43" fillId="2" borderId="0" xfId="2" applyFont="1" applyFill="1"/>
    <xf numFmtId="1" fontId="44" fillId="2" borderId="0" xfId="2" applyNumberFormat="1" applyFont="1" applyFill="1" applyAlignment="1">
      <alignment horizontal="center" vertical="center"/>
    </xf>
    <xf numFmtId="1" fontId="43" fillId="2" borderId="0" xfId="2" applyNumberFormat="1" applyFont="1" applyFill="1" applyAlignment="1">
      <alignment horizontal="center" vertical="center"/>
    </xf>
    <xf numFmtId="0" fontId="20" fillId="0" borderId="0" xfId="2" applyFont="1"/>
    <xf numFmtId="0" fontId="45" fillId="15" borderId="0" xfId="2" applyFont="1" applyFill="1"/>
    <xf numFmtId="0" fontId="20" fillId="15" borderId="0" xfId="2" applyFont="1" applyFill="1"/>
    <xf numFmtId="0" fontId="43" fillId="0" borderId="14" xfId="2" applyFont="1" applyBorder="1" applyAlignment="1">
      <alignment horizontal="left" vertical="center"/>
    </xf>
    <xf numFmtId="9" fontId="46" fillId="0" borderId="14" xfId="12" applyFont="1" applyFill="1" applyBorder="1" applyAlignment="1">
      <alignment horizontal="center" vertical="center"/>
    </xf>
    <xf numFmtId="9" fontId="46" fillId="0" borderId="15" xfId="12" applyFont="1" applyBorder="1" applyAlignment="1">
      <alignment horizontal="center" vertical="center"/>
    </xf>
    <xf numFmtId="9" fontId="20" fillId="0" borderId="14" xfId="12" applyFont="1" applyFill="1" applyBorder="1" applyAlignment="1">
      <alignment horizontal="center" vertical="center"/>
    </xf>
    <xf numFmtId="0" fontId="20" fillId="2" borderId="14" xfId="2" applyFont="1" applyFill="1" applyBorder="1"/>
    <xf numFmtId="9" fontId="20" fillId="0" borderId="14" xfId="12" applyFont="1" applyBorder="1" applyAlignment="1">
      <alignment horizontal="center" vertical="center"/>
    </xf>
    <xf numFmtId="3" fontId="20" fillId="14" borderId="0" xfId="2" applyNumberFormat="1" applyFont="1" applyFill="1"/>
    <xf numFmtId="175" fontId="32" fillId="3" borderId="13" xfId="2" applyNumberFormat="1" applyFont="1" applyFill="1" applyBorder="1" applyAlignment="1">
      <alignment horizontal="center" vertical="center" wrapText="1"/>
    </xf>
    <xf numFmtId="175" fontId="32" fillId="3" borderId="12" xfId="2" applyNumberFormat="1" applyFont="1" applyFill="1" applyBorder="1" applyAlignment="1">
      <alignment horizontal="center" vertical="center" wrapText="1"/>
    </xf>
    <xf numFmtId="0" fontId="31" fillId="0" borderId="22" xfId="2" applyFont="1" applyBorder="1"/>
    <xf numFmtId="1" fontId="46" fillId="0" borderId="1" xfId="13" applyNumberFormat="1" applyFont="1" applyFill="1" applyBorder="1" applyAlignment="1">
      <alignment horizontal="center" vertical="center"/>
    </xf>
    <xf numFmtId="4" fontId="48" fillId="13" borderId="16" xfId="13" applyNumberFormat="1" applyFont="1" applyFill="1" applyBorder="1" applyAlignment="1">
      <alignment horizontal="center" vertical="center"/>
    </xf>
    <xf numFmtId="4" fontId="48" fillId="13" borderId="1" xfId="13" applyNumberFormat="1" applyFont="1" applyFill="1" applyBorder="1" applyAlignment="1">
      <alignment horizontal="center" vertical="center"/>
    </xf>
    <xf numFmtId="0" fontId="31" fillId="0" borderId="22" xfId="2" applyFont="1" applyBorder="1" applyAlignment="1">
      <alignment horizontal="left" vertical="center"/>
    </xf>
    <xf numFmtId="166" fontId="49" fillId="0" borderId="1" xfId="0" applyNumberFormat="1" applyFont="1" applyBorder="1" applyAlignment="1">
      <alignment horizontal="center"/>
    </xf>
    <xf numFmtId="176" fontId="20" fillId="13" borderId="16" xfId="13" applyNumberFormat="1" applyFont="1" applyFill="1" applyBorder="1" applyAlignment="1">
      <alignment horizontal="center" vertical="center"/>
    </xf>
    <xf numFmtId="176" fontId="20" fillId="13" borderId="1" xfId="13" applyNumberFormat="1" applyFont="1" applyFill="1" applyBorder="1" applyAlignment="1">
      <alignment horizontal="center" vertical="center"/>
    </xf>
    <xf numFmtId="0" fontId="20" fillId="13" borderId="16" xfId="2" applyFont="1" applyFill="1" applyBorder="1" applyAlignment="1">
      <alignment horizontal="center" vertical="center"/>
    </xf>
    <xf numFmtId="0" fontId="20" fillId="13" borderId="1" xfId="2" applyFont="1" applyFill="1" applyBorder="1" applyAlignment="1">
      <alignment horizontal="center" vertical="center"/>
    </xf>
    <xf numFmtId="10" fontId="20" fillId="2" borderId="0" xfId="2" applyNumberFormat="1" applyFont="1" applyFill="1" applyAlignment="1">
      <alignment horizontal="center" vertical="center"/>
    </xf>
    <xf numFmtId="0" fontId="45" fillId="15" borderId="17" xfId="2" applyFont="1" applyFill="1" applyBorder="1"/>
    <xf numFmtId="0" fontId="45" fillId="15" borderId="18" xfId="2" applyFont="1" applyFill="1" applyBorder="1" applyAlignment="1">
      <alignment horizontal="center"/>
    </xf>
    <xf numFmtId="0" fontId="20" fillId="0" borderId="1" xfId="2" applyFont="1" applyBorder="1"/>
    <xf numFmtId="179" fontId="20" fillId="2" borderId="0" xfId="2" applyNumberFormat="1" applyFont="1" applyFill="1"/>
    <xf numFmtId="0" fontId="32" fillId="0" borderId="0" xfId="0" applyFont="1"/>
    <xf numFmtId="41" fontId="26" fillId="6" borderId="9" xfId="2" applyNumberFormat="1" applyFont="1" applyFill="1" applyBorder="1" applyAlignment="1">
      <alignment horizontal="center" vertical="center"/>
    </xf>
    <xf numFmtId="0" fontId="24" fillId="32" borderId="12" xfId="2" applyFont="1" applyFill="1" applyBorder="1" applyAlignment="1">
      <alignment horizontal="center" vertical="center" wrapText="1"/>
    </xf>
    <xf numFmtId="0" fontId="24" fillId="32" borderId="1" xfId="2" applyFont="1" applyFill="1" applyBorder="1" applyAlignment="1">
      <alignment horizontal="center" vertical="center" wrapText="1"/>
    </xf>
    <xf numFmtId="43" fontId="24" fillId="32" borderId="1" xfId="2" applyNumberFormat="1" applyFont="1" applyFill="1" applyBorder="1" applyAlignment="1">
      <alignment horizontal="center" vertical="center" wrapText="1"/>
    </xf>
    <xf numFmtId="0" fontId="20" fillId="2" borderId="0" xfId="2" applyFont="1" applyFill="1" applyAlignment="1">
      <alignment wrapText="1"/>
    </xf>
    <xf numFmtId="0" fontId="23" fillId="33" borderId="1" xfId="2" applyFont="1" applyFill="1" applyBorder="1"/>
    <xf numFmtId="0" fontId="23" fillId="33" borderId="1" xfId="2" applyFont="1" applyFill="1" applyBorder="1" applyAlignment="1">
      <alignment horizontal="center"/>
    </xf>
    <xf numFmtId="43" fontId="23" fillId="33" borderId="1" xfId="2" applyNumberFormat="1" applyFont="1" applyFill="1" applyBorder="1" applyAlignment="1">
      <alignment horizontal="center" vertical="center"/>
    </xf>
    <xf numFmtId="43" fontId="23" fillId="33" borderId="1" xfId="2" applyNumberFormat="1" applyFont="1" applyFill="1" applyBorder="1" applyAlignment="1">
      <alignment horizontal="center"/>
    </xf>
    <xf numFmtId="0" fontId="20" fillId="2" borderId="1" xfId="2" applyFont="1" applyFill="1" applyBorder="1" applyAlignment="1">
      <alignment horizontal="center"/>
    </xf>
    <xf numFmtId="0" fontId="23" fillId="2" borderId="1" xfId="2" applyFont="1" applyFill="1" applyBorder="1"/>
    <xf numFmtId="0" fontId="23" fillId="2" borderId="1" xfId="2" applyFont="1" applyFill="1" applyBorder="1" applyAlignment="1">
      <alignment horizontal="center"/>
    </xf>
    <xf numFmtId="43" fontId="23" fillId="2" borderId="1" xfId="2" applyNumberFormat="1" applyFont="1" applyFill="1" applyBorder="1" applyAlignment="1">
      <alignment horizontal="center" vertical="center"/>
    </xf>
    <xf numFmtId="43" fontId="23" fillId="2" borderId="1" xfId="2" applyNumberFormat="1" applyFont="1" applyFill="1" applyBorder="1" applyAlignment="1">
      <alignment horizontal="center"/>
    </xf>
    <xf numFmtId="0" fontId="25" fillId="2" borderId="1" xfId="2" applyFont="1" applyFill="1" applyBorder="1" applyAlignment="1">
      <alignment horizontal="center"/>
    </xf>
    <xf numFmtId="2" fontId="25" fillId="2" borderId="1" xfId="2" applyNumberFormat="1" applyFont="1" applyFill="1" applyBorder="1" applyAlignment="1">
      <alignment horizontal="center" vertical="center"/>
    </xf>
    <xf numFmtId="2" fontId="20" fillId="2" borderId="0" xfId="2" applyNumberFormat="1" applyFont="1" applyFill="1"/>
    <xf numFmtId="0" fontId="20" fillId="2" borderId="0" xfId="2" applyFont="1" applyFill="1" applyAlignment="1">
      <alignment horizontal="center"/>
    </xf>
    <xf numFmtId="0" fontId="20" fillId="2" borderId="0" xfId="2" applyFont="1" applyFill="1" applyAlignment="1">
      <alignment vertical="center"/>
    </xf>
    <xf numFmtId="43" fontId="20" fillId="2" borderId="0" xfId="2" applyNumberFormat="1" applyFont="1" applyFill="1" applyAlignment="1">
      <alignment horizontal="center"/>
    </xf>
    <xf numFmtId="2" fontId="20" fillId="2" borderId="0" xfId="2" applyNumberFormat="1" applyFont="1" applyFill="1" applyAlignment="1">
      <alignment horizontal="center"/>
    </xf>
    <xf numFmtId="0" fontId="0" fillId="0" borderId="12" xfId="0" applyBorder="1" applyAlignment="1">
      <alignment horizontal="center"/>
    </xf>
    <xf numFmtId="10" fontId="0" fillId="0" borderId="26" xfId="0" applyNumberFormat="1" applyBorder="1" applyAlignment="1">
      <alignment horizontal="center" vertical="center"/>
    </xf>
    <xf numFmtId="0" fontId="0" fillId="0" borderId="26" xfId="0" applyBorder="1" applyAlignment="1">
      <alignment vertical="center"/>
    </xf>
    <xf numFmtId="0" fontId="35" fillId="0" borderId="26" xfId="0" applyFont="1" applyBorder="1" applyAlignment="1">
      <alignment horizontal="center" vertical="center"/>
    </xf>
    <xf numFmtId="43" fontId="1" fillId="7" borderId="26" xfId="1" applyFont="1" applyFill="1" applyBorder="1" applyAlignment="1">
      <alignment vertical="center"/>
    </xf>
    <xf numFmtId="0" fontId="0" fillId="0" borderId="26" xfId="0" applyBorder="1" applyAlignment="1">
      <alignment vertical="center" wrapText="1"/>
    </xf>
    <xf numFmtId="0" fontId="0" fillId="0" borderId="26" xfId="0" applyBorder="1"/>
    <xf numFmtId="0" fontId="0" fillId="0" borderId="0" xfId="0" applyAlignment="1">
      <alignment vertical="center" wrapText="1"/>
    </xf>
    <xf numFmtId="0" fontId="35" fillId="0" borderId="0" xfId="0" applyFont="1" applyAlignment="1">
      <alignment horizontal="center" vertical="center"/>
    </xf>
    <xf numFmtId="169" fontId="1" fillId="0" borderId="0" xfId="1" applyNumberFormat="1" applyFont="1" applyBorder="1" applyAlignment="1">
      <alignment vertical="center"/>
    </xf>
    <xf numFmtId="0" fontId="0" fillId="0" borderId="27" xfId="0" applyBorder="1" applyAlignment="1">
      <alignment horizontal="center"/>
    </xf>
    <xf numFmtId="0" fontId="0" fillId="0" borderId="27" xfId="0" applyBorder="1" applyAlignment="1">
      <alignment vertical="center"/>
    </xf>
    <xf numFmtId="0" fontId="35" fillId="0" borderId="27" xfId="0" applyFont="1" applyBorder="1" applyAlignment="1">
      <alignment horizontal="center" vertical="center"/>
    </xf>
    <xf numFmtId="166" fontId="0" fillId="0" borderId="27" xfId="0" applyNumberFormat="1" applyBorder="1" applyAlignment="1">
      <alignment vertical="center"/>
    </xf>
    <xf numFmtId="0" fontId="0" fillId="0" borderId="27" xfId="0" applyBorder="1" applyAlignment="1">
      <alignment vertical="center" wrapText="1"/>
    </xf>
    <xf numFmtId="0" fontId="0" fillId="0" borderId="25" xfId="0" applyBorder="1"/>
    <xf numFmtId="0" fontId="35" fillId="0" borderId="25" xfId="0" applyFont="1" applyBorder="1" applyAlignment="1">
      <alignment vertical="center"/>
    </xf>
    <xf numFmtId="0" fontId="35" fillId="0" borderId="25" xfId="0" applyFont="1" applyBorder="1" applyAlignment="1">
      <alignment horizontal="center" vertical="center"/>
    </xf>
    <xf numFmtId="43" fontId="1" fillId="7" borderId="25" xfId="1" applyFont="1" applyFill="1" applyBorder="1" applyAlignment="1">
      <alignment vertical="center"/>
    </xf>
    <xf numFmtId="0" fontId="0" fillId="0" borderId="25" xfId="0" applyBorder="1" applyAlignment="1">
      <alignment vertical="center" wrapText="1"/>
    </xf>
    <xf numFmtId="0" fontId="0" fillId="0" borderId="27" xfId="0" applyBorder="1"/>
    <xf numFmtId="9" fontId="0" fillId="7" borderId="25" xfId="0" applyNumberFormat="1" applyFill="1" applyBorder="1" applyAlignment="1">
      <alignment horizontal="center"/>
    </xf>
    <xf numFmtId="171" fontId="0" fillId="0" borderId="25" xfId="0" applyNumberFormat="1" applyBorder="1"/>
    <xf numFmtId="0" fontId="0" fillId="0" borderId="27" xfId="0" applyBorder="1" applyAlignment="1">
      <alignment horizontal="center" vertical="center" wrapText="1"/>
    </xf>
    <xf numFmtId="0" fontId="0" fillId="0" borderId="26" xfId="0" applyBorder="1" applyAlignment="1">
      <alignment horizontal="center"/>
    </xf>
    <xf numFmtId="43" fontId="0" fillId="0" borderId="0" xfId="0" applyNumberFormat="1" applyAlignment="1">
      <alignment vertical="center"/>
    </xf>
    <xf numFmtId="43" fontId="0" fillId="0" borderId="26" xfId="0" applyNumberFormat="1" applyBorder="1"/>
    <xf numFmtId="172" fontId="1" fillId="7" borderId="27" xfId="1" applyNumberFormat="1" applyFont="1" applyFill="1" applyBorder="1" applyAlignment="1">
      <alignment vertical="center"/>
    </xf>
    <xf numFmtId="178" fontId="4" fillId="0" borderId="0" xfId="0" applyNumberFormat="1" applyFont="1" applyAlignment="1">
      <alignment horizontal="right" vertical="center"/>
    </xf>
    <xf numFmtId="0" fontId="24" fillId="35" borderId="7" xfId="0" applyFont="1" applyFill="1" applyBorder="1" applyAlignment="1">
      <alignment horizontal="center" vertical="center" wrapText="1"/>
    </xf>
    <xf numFmtId="43" fontId="0" fillId="0" borderId="0" xfId="0" applyNumberFormat="1"/>
    <xf numFmtId="0" fontId="4" fillId="38" borderId="1" xfId="0" applyFont="1" applyFill="1" applyBorder="1" applyAlignment="1">
      <alignment horizontal="center" vertical="center" wrapText="1"/>
    </xf>
    <xf numFmtId="0" fontId="0" fillId="31" borderId="1" xfId="0" applyFill="1" applyBorder="1" applyAlignment="1">
      <alignment horizontal="center"/>
    </xf>
    <xf numFmtId="166" fontId="0" fillId="31" borderId="16" xfId="0" applyNumberFormat="1" applyFill="1" applyBorder="1" applyAlignment="1">
      <alignment horizontal="center"/>
    </xf>
    <xf numFmtId="0" fontId="0" fillId="0" borderId="1" xfId="0" applyBorder="1" applyAlignment="1">
      <alignment horizontal="center"/>
    </xf>
    <xf numFmtId="166" fontId="0" fillId="0" borderId="16" xfId="0" applyNumberFormat="1" applyBorder="1" applyAlignment="1">
      <alignment horizontal="center"/>
    </xf>
    <xf numFmtId="0" fontId="4" fillId="37" borderId="1" xfId="0" applyFont="1" applyFill="1" applyBorder="1" applyAlignment="1">
      <alignment horizontal="center"/>
    </xf>
    <xf numFmtId="166" fontId="4" fillId="37" borderId="16" xfId="0" applyNumberFormat="1" applyFont="1" applyFill="1" applyBorder="1" applyAlignment="1">
      <alignment horizontal="center"/>
    </xf>
    <xf numFmtId="166" fontId="4" fillId="37" borderId="1" xfId="0" applyNumberFormat="1" applyFont="1" applyFill="1" applyBorder="1" applyAlignment="1">
      <alignment horizontal="center"/>
    </xf>
    <xf numFmtId="0" fontId="8" fillId="0" borderId="0" xfId="0" applyFont="1"/>
    <xf numFmtId="0" fontId="51" fillId="6" borderId="0" xfId="0" applyFont="1" applyFill="1" applyAlignment="1">
      <alignment horizontal="center" vertical="center"/>
    </xf>
    <xf numFmtId="0" fontId="52" fillId="0" borderId="0" xfId="0" applyFont="1"/>
    <xf numFmtId="0" fontId="52" fillId="0" borderId="0" xfId="0" applyFont="1" applyAlignment="1">
      <alignment horizontal="left" vertical="center"/>
    </xf>
    <xf numFmtId="0" fontId="54" fillId="0" borderId="0" xfId="0" applyFont="1"/>
    <xf numFmtId="41" fontId="15" fillId="31" borderId="9" xfId="0" applyNumberFormat="1" applyFont="1" applyFill="1" applyBorder="1" applyAlignment="1">
      <alignment horizontal="center" vertical="center"/>
    </xf>
    <xf numFmtId="0" fontId="57" fillId="0" borderId="0" xfId="0" applyFont="1"/>
    <xf numFmtId="43" fontId="57" fillId="0" borderId="0" xfId="0" applyNumberFormat="1" applyFont="1"/>
    <xf numFmtId="0" fontId="5" fillId="0" borderId="0" xfId="0" applyFont="1"/>
    <xf numFmtId="166" fontId="5" fillId="0" borderId="0" xfId="0" applyNumberFormat="1" applyFont="1" applyAlignment="1">
      <alignment horizontal="center"/>
    </xf>
    <xf numFmtId="10" fontId="5" fillId="0" borderId="0" xfId="5" applyNumberFormat="1" applyFont="1"/>
    <xf numFmtId="0" fontId="35" fillId="0" borderId="26" xfId="0" applyFont="1" applyBorder="1" applyAlignment="1">
      <alignment vertical="center"/>
    </xf>
    <xf numFmtId="173" fontId="58" fillId="0" borderId="0" xfId="0" applyNumberFormat="1" applyFont="1"/>
    <xf numFmtId="0" fontId="58" fillId="0" borderId="0" xfId="0" applyFont="1"/>
    <xf numFmtId="173" fontId="59" fillId="0" borderId="0" xfId="0" applyNumberFormat="1" applyFont="1"/>
    <xf numFmtId="173" fontId="59" fillId="0" borderId="0" xfId="0" applyNumberFormat="1" applyFont="1" applyAlignment="1">
      <alignment horizontal="right"/>
    </xf>
    <xf numFmtId="0" fontId="9" fillId="0" borderId="0" xfId="0" applyFont="1"/>
    <xf numFmtId="0" fontId="0" fillId="6" borderId="29" xfId="0" applyFill="1" applyBorder="1"/>
    <xf numFmtId="0" fontId="0" fillId="6" borderId="5" xfId="0" applyFill="1" applyBorder="1"/>
    <xf numFmtId="0" fontId="5" fillId="6" borderId="8" xfId="0" applyFont="1" applyFill="1" applyBorder="1" applyAlignment="1">
      <alignment horizontal="center" vertical="center"/>
    </xf>
    <xf numFmtId="0" fontId="51" fillId="6" borderId="0" xfId="0" applyFont="1" applyFill="1" applyAlignment="1">
      <alignment horizontal="center" vertical="center" wrapText="1"/>
    </xf>
    <xf numFmtId="166" fontId="54" fillId="0" borderId="0" xfId="0" applyNumberFormat="1" applyFont="1" applyAlignment="1">
      <alignment horizontal="center"/>
    </xf>
    <xf numFmtId="4" fontId="53" fillId="0" borderId="0" xfId="0" applyNumberFormat="1" applyFont="1" applyAlignment="1">
      <alignment horizontal="center"/>
    </xf>
    <xf numFmtId="3" fontId="56" fillId="0" borderId="28" xfId="0" applyNumberFormat="1" applyFont="1" applyBorder="1" applyAlignment="1">
      <alignment horizontal="center"/>
    </xf>
    <xf numFmtId="180" fontId="55" fillId="31" borderId="0" xfId="0" applyNumberFormat="1" applyFont="1" applyFill="1" applyAlignment="1">
      <alignment horizontal="center"/>
    </xf>
    <xf numFmtId="0" fontId="54" fillId="0" borderId="0" xfId="0" applyFont="1" applyAlignment="1">
      <alignment horizontal="center"/>
    </xf>
    <xf numFmtId="0" fontId="51" fillId="36" borderId="0" xfId="0" applyFont="1" applyFill="1" applyAlignment="1">
      <alignment horizontal="center" vertical="center" wrapText="1"/>
    </xf>
    <xf numFmtId="3" fontId="53" fillId="0" borderId="0" xfId="0" applyNumberFormat="1" applyFont="1" applyAlignment="1">
      <alignment horizontal="center"/>
    </xf>
    <xf numFmtId="2" fontId="25" fillId="0" borderId="1" xfId="2" applyNumberFormat="1" applyFont="1" applyBorder="1" applyAlignment="1">
      <alignment horizontal="center" vertical="center"/>
    </xf>
    <xf numFmtId="0" fontId="60" fillId="0" borderId="26" xfId="0" applyFont="1" applyBorder="1"/>
    <xf numFmtId="41" fontId="61" fillId="0" borderId="0" xfId="0" applyNumberFormat="1" applyFont="1" applyAlignment="1">
      <alignment horizontal="left" vertical="center"/>
    </xf>
    <xf numFmtId="172" fontId="31" fillId="0" borderId="1" xfId="10" applyNumberFormat="1" applyFont="1" applyFill="1" applyBorder="1"/>
    <xf numFmtId="169" fontId="32" fillId="0" borderId="0" xfId="10" applyNumberFormat="1" applyFont="1" applyBorder="1" applyAlignment="1">
      <alignment vertical="center"/>
    </xf>
    <xf numFmtId="0" fontId="32" fillId="0" borderId="1" xfId="0" applyFont="1" applyBorder="1" applyAlignment="1">
      <alignment horizontal="center" vertical="center" wrapText="1"/>
    </xf>
    <xf numFmtId="169" fontId="31" fillId="0" borderId="1" xfId="10" applyNumberFormat="1" applyFont="1" applyFill="1" applyBorder="1"/>
    <xf numFmtId="169" fontId="20" fillId="2" borderId="0" xfId="2" applyNumberFormat="1" applyFont="1" applyFill="1"/>
    <xf numFmtId="9" fontId="20" fillId="2" borderId="0" xfId="5" applyFont="1" applyFill="1"/>
    <xf numFmtId="182" fontId="44" fillId="0" borderId="0" xfId="0" applyNumberFormat="1" applyFont="1" applyAlignment="1">
      <alignment horizontal="center"/>
    </xf>
    <xf numFmtId="169" fontId="31" fillId="0" borderId="1" xfId="10" quotePrefix="1" applyNumberFormat="1" applyFont="1" applyFill="1" applyBorder="1"/>
    <xf numFmtId="0" fontId="20" fillId="2" borderId="0" xfId="2" applyFont="1" applyFill="1" applyAlignment="1">
      <alignment horizontal="right"/>
    </xf>
    <xf numFmtId="0" fontId="27" fillId="0" borderId="20" xfId="14" applyFont="1" applyBorder="1" applyAlignment="1">
      <alignment horizontal="left" vertical="center" indent="1"/>
    </xf>
    <xf numFmtId="0" fontId="27" fillId="0" borderId="20" xfId="14" applyFont="1" applyBorder="1" applyAlignment="1">
      <alignment horizontal="center" vertical="center"/>
    </xf>
    <xf numFmtId="41" fontId="27" fillId="0" borderId="20" xfId="14" applyNumberFormat="1" applyFont="1" applyBorder="1" applyAlignment="1">
      <alignment horizontal="center" vertical="center"/>
    </xf>
    <xf numFmtId="1" fontId="22" fillId="15" borderId="1" xfId="2"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41" fontId="62" fillId="0" borderId="9" xfId="0" applyNumberFormat="1" applyFont="1" applyBorder="1" applyAlignment="1">
      <alignment horizontal="center" vertical="center"/>
    </xf>
    <xf numFmtId="2" fontId="8" fillId="0" borderId="1" xfId="0" applyNumberFormat="1" applyFont="1" applyBorder="1" applyAlignment="1">
      <alignment horizontal="center"/>
    </xf>
    <xf numFmtId="0" fontId="29" fillId="0" borderId="1" xfId="2" applyFont="1" applyBorder="1" applyAlignment="1">
      <alignment horizontal="center" vertical="center"/>
    </xf>
    <xf numFmtId="41" fontId="62" fillId="31" borderId="9" xfId="0" applyNumberFormat="1" applyFont="1" applyFill="1" applyBorder="1" applyAlignment="1">
      <alignment horizontal="center" vertical="center"/>
    </xf>
    <xf numFmtId="0" fontId="63" fillId="6" borderId="0" xfId="0" applyFont="1" applyFill="1" applyAlignment="1">
      <alignment horizontal="center" vertical="center" wrapText="1"/>
    </xf>
    <xf numFmtId="0" fontId="29" fillId="0" borderId="33" xfId="2" applyFont="1" applyBorder="1" applyAlignment="1">
      <alignment horizontal="center" vertical="center"/>
    </xf>
    <xf numFmtId="41" fontId="29" fillId="0" borderId="32" xfId="0" applyNumberFormat="1" applyFont="1" applyBorder="1"/>
    <xf numFmtId="180" fontId="29" fillId="0" borderId="32" xfId="0" applyNumberFormat="1" applyFont="1" applyBorder="1" applyAlignment="1">
      <alignment wrapText="1"/>
    </xf>
    <xf numFmtId="41" fontId="29" fillId="0" borderId="32" xfId="0" applyNumberFormat="1" applyFont="1" applyBorder="1" applyAlignment="1">
      <alignment wrapText="1"/>
    </xf>
    <xf numFmtId="181" fontId="29" fillId="0" borderId="32" xfId="0" applyNumberFormat="1" applyFont="1" applyBorder="1"/>
    <xf numFmtId="180" fontId="29" fillId="0" borderId="32" xfId="0" applyNumberFormat="1" applyFont="1" applyBorder="1"/>
    <xf numFmtId="41" fontId="29" fillId="34" borderId="32" xfId="0" applyNumberFormat="1" applyFont="1" applyFill="1" applyBorder="1"/>
    <xf numFmtId="181" fontId="29" fillId="34" borderId="32" xfId="0" applyNumberFormat="1" applyFont="1" applyFill="1" applyBorder="1"/>
    <xf numFmtId="180" fontId="29" fillId="34" borderId="32" xfId="0" applyNumberFormat="1" applyFont="1" applyFill="1" applyBorder="1"/>
    <xf numFmtId="0" fontId="29" fillId="0" borderId="32" xfId="0" applyFont="1" applyBorder="1"/>
    <xf numFmtId="41" fontId="29" fillId="0" borderId="34" xfId="0" applyNumberFormat="1" applyFont="1" applyBorder="1"/>
    <xf numFmtId="41" fontId="29" fillId="34" borderId="35" xfId="0" applyNumberFormat="1" applyFont="1" applyFill="1" applyBorder="1"/>
    <xf numFmtId="180" fontId="29" fillId="34" borderId="35" xfId="0" applyNumberFormat="1" applyFont="1" applyFill="1" applyBorder="1"/>
    <xf numFmtId="41" fontId="29" fillId="0" borderId="36" xfId="0" applyNumberFormat="1" applyFont="1" applyBorder="1"/>
    <xf numFmtId="41" fontId="29" fillId="0" borderId="37" xfId="0" applyNumberFormat="1" applyFont="1" applyBorder="1"/>
    <xf numFmtId="41" fontId="29" fillId="0" borderId="38" xfId="0" applyNumberFormat="1" applyFont="1" applyBorder="1"/>
    <xf numFmtId="180" fontId="29" fillId="34" borderId="39" xfId="0" applyNumberFormat="1" applyFont="1" applyFill="1" applyBorder="1"/>
    <xf numFmtId="0" fontId="29" fillId="0" borderId="37" xfId="0" applyFont="1" applyBorder="1"/>
    <xf numFmtId="41" fontId="29" fillId="34" borderId="37" xfId="0" applyNumberFormat="1" applyFont="1" applyFill="1" applyBorder="1"/>
    <xf numFmtId="180" fontId="29" fillId="0" borderId="40" xfId="0" applyNumberFormat="1" applyFont="1" applyBorder="1"/>
    <xf numFmtId="180" fontId="29" fillId="0" borderId="39" xfId="0" applyNumberFormat="1" applyFont="1" applyBorder="1"/>
    <xf numFmtId="180" fontId="29" fillId="0" borderId="35" xfId="0" applyNumberFormat="1" applyFont="1" applyBorder="1"/>
    <xf numFmtId="41" fontId="29" fillId="0" borderId="37" xfId="0" applyNumberFormat="1" applyFont="1" applyBorder="1" applyAlignment="1">
      <alignment horizontal="center"/>
    </xf>
    <xf numFmtId="0" fontId="29" fillId="0" borderId="38" xfId="0" applyFont="1" applyBorder="1"/>
    <xf numFmtId="0" fontId="29" fillId="0" borderId="9" xfId="2" applyFont="1" applyBorder="1" applyAlignment="1">
      <alignment horizontal="center" vertical="center"/>
    </xf>
    <xf numFmtId="0" fontId="29" fillId="0" borderId="41" xfId="2" applyFont="1" applyBorder="1" applyAlignment="1">
      <alignment horizontal="center" vertical="center"/>
    </xf>
    <xf numFmtId="41" fontId="29" fillId="0" borderId="35" xfId="0" applyNumberFormat="1" applyFont="1" applyBorder="1"/>
    <xf numFmtId="180" fontId="29" fillId="0" borderId="35" xfId="0" applyNumberFormat="1" applyFont="1" applyBorder="1" applyAlignment="1">
      <alignment wrapText="1"/>
    </xf>
    <xf numFmtId="41" fontId="29" fillId="0" borderId="35" xfId="0" applyNumberFormat="1" applyFont="1" applyBorder="1" applyAlignment="1">
      <alignment wrapText="1"/>
    </xf>
    <xf numFmtId="0" fontId="63" fillId="6" borderId="42" xfId="0" applyFont="1" applyFill="1" applyBorder="1" applyAlignment="1">
      <alignment horizontal="center" vertical="center" wrapText="1"/>
    </xf>
    <xf numFmtId="0" fontId="63" fillId="6" borderId="42" xfId="0" applyFont="1" applyFill="1" applyBorder="1" applyAlignment="1">
      <alignment horizontal="center" vertical="center"/>
    </xf>
    <xf numFmtId="0" fontId="63" fillId="6" borderId="42" xfId="0" applyFont="1" applyFill="1" applyBorder="1" applyAlignment="1">
      <alignment horizontal="left" vertical="center"/>
    </xf>
    <xf numFmtId="0" fontId="32" fillId="4" borderId="1" xfId="0" applyFont="1" applyFill="1" applyBorder="1"/>
    <xf numFmtId="169" fontId="31" fillId="4" borderId="1" xfId="10" applyNumberFormat="1" applyFont="1" applyFill="1" applyBorder="1" applyAlignment="1">
      <alignment vertical="center"/>
    </xf>
    <xf numFmtId="172" fontId="31" fillId="4" borderId="1" xfId="10" applyNumberFormat="1" applyFont="1" applyFill="1" applyBorder="1"/>
    <xf numFmtId="169" fontId="32" fillId="4" borderId="1" xfId="10" applyNumberFormat="1" applyFont="1" applyFill="1" applyBorder="1"/>
    <xf numFmtId="180" fontId="0" fillId="0" borderId="0" xfId="0" applyNumberFormat="1"/>
    <xf numFmtId="17" fontId="0" fillId="0" borderId="1" xfId="0" applyNumberFormat="1" applyBorder="1" applyAlignment="1">
      <alignment horizontal="center"/>
    </xf>
    <xf numFmtId="2" fontId="0" fillId="0" borderId="1" xfId="0" applyNumberFormat="1" applyBorder="1" applyAlignment="1">
      <alignment horizontal="center"/>
    </xf>
    <xf numFmtId="185" fontId="0" fillId="0" borderId="1" xfId="0" applyNumberFormat="1" applyBorder="1" applyAlignment="1">
      <alignment horizontal="center"/>
    </xf>
    <xf numFmtId="17" fontId="0" fillId="0" borderId="9" xfId="0" applyNumberFormat="1" applyBorder="1" applyAlignment="1">
      <alignment horizontal="center"/>
    </xf>
    <xf numFmtId="2" fontId="0" fillId="0" borderId="9" xfId="0" applyNumberFormat="1" applyBorder="1" applyAlignment="1">
      <alignment horizontal="center"/>
    </xf>
    <xf numFmtId="185" fontId="0" fillId="0" borderId="9" xfId="0" applyNumberFormat="1" applyBorder="1" applyAlignment="1">
      <alignment horizontal="center"/>
    </xf>
    <xf numFmtId="0" fontId="3" fillId="15" borderId="52" xfId="0" applyFont="1" applyFill="1" applyBorder="1" applyAlignment="1">
      <alignment horizontal="center" vertical="center"/>
    </xf>
    <xf numFmtId="0" fontId="3" fillId="15" borderId="52" xfId="0" applyFont="1" applyFill="1" applyBorder="1" applyAlignment="1">
      <alignment horizontal="center" vertical="center" wrapText="1"/>
    </xf>
    <xf numFmtId="0" fontId="3" fillId="15" borderId="29" xfId="0" applyFont="1" applyFill="1" applyBorder="1" applyAlignment="1">
      <alignment horizontal="center" vertical="center" wrapText="1"/>
    </xf>
    <xf numFmtId="166" fontId="0" fillId="0" borderId="1" xfId="0" applyNumberFormat="1" applyBorder="1" applyAlignment="1">
      <alignment horizontal="center"/>
    </xf>
    <xf numFmtId="0" fontId="7" fillId="34" borderId="1" xfId="0" applyFont="1" applyFill="1" applyBorder="1" applyAlignment="1">
      <alignment horizontal="center" vertical="center" wrapText="1"/>
    </xf>
    <xf numFmtId="0" fontId="7" fillId="34" borderId="1" xfId="0" applyFont="1" applyFill="1" applyBorder="1" applyAlignment="1">
      <alignment horizontal="center" vertical="center"/>
    </xf>
    <xf numFmtId="186" fontId="4" fillId="34" borderId="1" xfId="0" applyNumberFormat="1" applyFont="1" applyFill="1" applyBorder="1"/>
    <xf numFmtId="0" fontId="4" fillId="34" borderId="1" xfId="0" applyFont="1" applyFill="1" applyBorder="1"/>
    <xf numFmtId="0" fontId="4" fillId="34" borderId="1" xfId="0" applyFont="1" applyFill="1" applyBorder="1" applyAlignment="1">
      <alignment horizontal="center"/>
    </xf>
    <xf numFmtId="44" fontId="4" fillId="34" borderId="1" xfId="0" applyNumberFormat="1" applyFont="1" applyFill="1" applyBorder="1"/>
    <xf numFmtId="186" fontId="0" fillId="0" borderId="1" xfId="0" applyNumberFormat="1" applyBorder="1" applyAlignment="1">
      <alignment horizontal="center"/>
    </xf>
    <xf numFmtId="44" fontId="0" fillId="0" borderId="1" xfId="869" applyFont="1" applyBorder="1" applyAlignment="1">
      <alignment horizontal="center"/>
    </xf>
    <xf numFmtId="44" fontId="4" fillId="34" borderId="1" xfId="0" applyNumberFormat="1" applyFont="1" applyFill="1" applyBorder="1" applyAlignment="1">
      <alignment horizontal="center"/>
    </xf>
    <xf numFmtId="186" fontId="4" fillId="34" borderId="1" xfId="0" applyNumberFormat="1" applyFont="1" applyFill="1" applyBorder="1" applyAlignment="1">
      <alignment horizontal="center"/>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44" fontId="0" fillId="0" borderId="0" xfId="0" applyNumberFormat="1"/>
    <xf numFmtId="17" fontId="11" fillId="0" borderId="9" xfId="0" applyNumberFormat="1" applyFont="1" applyBorder="1" applyAlignment="1">
      <alignment horizontal="center"/>
    </xf>
    <xf numFmtId="9" fontId="25" fillId="0" borderId="0" xfId="5" applyFont="1"/>
    <xf numFmtId="180" fontId="25" fillId="0" borderId="0" xfId="0" applyNumberFormat="1" applyFont="1"/>
    <xf numFmtId="41" fontId="25" fillId="0" borderId="1" xfId="14" applyNumberFormat="1" applyFont="1" applyBorder="1" applyAlignment="1">
      <alignment horizontal="left" vertical="center" indent="1"/>
    </xf>
    <xf numFmtId="0" fontId="25" fillId="0" borderId="1" xfId="14" applyFont="1" applyBorder="1" applyAlignment="1">
      <alignment horizontal="left" vertical="center" indent="1"/>
    </xf>
    <xf numFmtId="166" fontId="31" fillId="0" borderId="1" xfId="10" applyNumberFormat="1" applyFont="1" applyFill="1" applyBorder="1"/>
    <xf numFmtId="0" fontId="0" fillId="0" borderId="0" xfId="0" quotePrefix="1"/>
    <xf numFmtId="187" fontId="0" fillId="0" borderId="0" xfId="0" applyNumberFormat="1"/>
    <xf numFmtId="10" fontId="0" fillId="0" borderId="0" xfId="5" applyNumberFormat="1" applyFont="1"/>
    <xf numFmtId="43" fontId="25" fillId="0" borderId="0" xfId="1" applyFont="1"/>
    <xf numFmtId="43" fontId="1" fillId="7" borderId="25" xfId="10" applyFont="1" applyFill="1" applyBorder="1" applyAlignment="1">
      <alignment vertical="center"/>
    </xf>
    <xf numFmtId="43" fontId="1" fillId="7" borderId="26" xfId="10" applyFont="1" applyFill="1" applyBorder="1" applyAlignment="1">
      <alignment vertical="center"/>
    </xf>
    <xf numFmtId="169" fontId="1" fillId="0" borderId="0" xfId="10" applyNumberFormat="1" applyFont="1" applyBorder="1" applyAlignment="1">
      <alignment vertical="center"/>
    </xf>
    <xf numFmtId="172" fontId="1" fillId="7" borderId="27" xfId="10" applyNumberFormat="1" applyFont="1" applyFill="1" applyBorder="1" applyAlignment="1">
      <alignment vertical="center"/>
    </xf>
    <xf numFmtId="41" fontId="25" fillId="0" borderId="0" xfId="5" applyNumberFormat="1" applyFont="1"/>
    <xf numFmtId="3" fontId="25" fillId="0" borderId="0" xfId="0" applyNumberFormat="1" applyFont="1"/>
    <xf numFmtId="0" fontId="83" fillId="0" borderId="0" xfId="0" applyFont="1"/>
    <xf numFmtId="0" fontId="0" fillId="0" borderId="0" xfId="0" applyAlignment="1">
      <alignment horizontal="left" indent="1"/>
    </xf>
    <xf numFmtId="0" fontId="84" fillId="61" borderId="53" xfId="0" applyFont="1" applyFill="1" applyBorder="1" applyAlignment="1">
      <alignment horizontal="center" vertical="center" wrapText="1" readingOrder="1"/>
    </xf>
    <xf numFmtId="0" fontId="84" fillId="62" borderId="53" xfId="0" applyFont="1" applyFill="1" applyBorder="1" applyAlignment="1">
      <alignment horizontal="center" vertical="center" wrapText="1" readingOrder="1"/>
    </xf>
    <xf numFmtId="166" fontId="0" fillId="0" borderId="0" xfId="0" applyNumberFormat="1" applyAlignment="1">
      <alignment horizontal="center"/>
    </xf>
    <xf numFmtId="0" fontId="85" fillId="0" borderId="0" xfId="0" applyFont="1" applyAlignment="1">
      <alignment horizontal="left" wrapText="1" readingOrder="1"/>
    </xf>
    <xf numFmtId="0" fontId="85" fillId="0" borderId="0" xfId="0" applyFont="1" applyAlignment="1">
      <alignment horizontal="left" vertical="center" wrapText="1" readingOrder="1"/>
    </xf>
    <xf numFmtId="0" fontId="84" fillId="63" borderId="55" xfId="0" applyFont="1" applyFill="1" applyBorder="1" applyAlignment="1">
      <alignment horizontal="left" vertical="center" wrapText="1" readingOrder="1"/>
    </xf>
    <xf numFmtId="0" fontId="86" fillId="0" borderId="0" xfId="0" applyFont="1"/>
    <xf numFmtId="0" fontId="84" fillId="63" borderId="54" xfId="0" applyFont="1" applyFill="1" applyBorder="1" applyAlignment="1">
      <alignment horizontal="left" vertical="center" wrapText="1" readingOrder="1"/>
    </xf>
    <xf numFmtId="0" fontId="87" fillId="0" borderId="0" xfId="0" applyFont="1"/>
    <xf numFmtId="166" fontId="4" fillId="37" borderId="0" xfId="0" applyNumberFormat="1" applyFont="1" applyFill="1" applyAlignment="1">
      <alignment horizontal="center"/>
    </xf>
    <xf numFmtId="0" fontId="0" fillId="36" borderId="0" xfId="0" applyFill="1"/>
    <xf numFmtId="0" fontId="0" fillId="62" borderId="0" xfId="0" applyFill="1"/>
    <xf numFmtId="0" fontId="88" fillId="0" borderId="0" xfId="0" applyFont="1"/>
    <xf numFmtId="0" fontId="35" fillId="0" borderId="0" xfId="0" applyFont="1"/>
    <xf numFmtId="0" fontId="0" fillId="33" borderId="0" xfId="0" applyFill="1"/>
    <xf numFmtId="0" fontId="89" fillId="0" borderId="0" xfId="0" applyFont="1"/>
    <xf numFmtId="166" fontId="90" fillId="37" borderId="0" xfId="0" applyNumberFormat="1" applyFont="1" applyFill="1" applyAlignment="1">
      <alignment horizontal="center"/>
    </xf>
    <xf numFmtId="188" fontId="20" fillId="0" borderId="0" xfId="2" applyNumberFormat="1" applyFont="1"/>
    <xf numFmtId="9" fontId="50" fillId="0" borderId="0" xfId="12" applyFont="1" applyFill="1" applyBorder="1" applyAlignment="1">
      <alignment horizontal="center" vertical="center"/>
    </xf>
    <xf numFmtId="9" fontId="46" fillId="0" borderId="0" xfId="12" applyFont="1" applyFill="1" applyBorder="1" applyAlignment="1">
      <alignment horizontal="center" vertical="center"/>
    </xf>
    <xf numFmtId="9" fontId="20" fillId="0" borderId="0" xfId="12" applyFont="1" applyFill="1" applyBorder="1" applyAlignment="1">
      <alignment horizontal="center" vertical="center"/>
    </xf>
    <xf numFmtId="9" fontId="50" fillId="6" borderId="56" xfId="12" applyFont="1" applyFill="1" applyBorder="1" applyAlignment="1">
      <alignment horizontal="center" vertical="center"/>
    </xf>
    <xf numFmtId="9" fontId="50" fillId="6" borderId="22" xfId="12" applyFont="1" applyFill="1" applyBorder="1" applyAlignment="1">
      <alignment horizontal="center" vertical="center"/>
    </xf>
    <xf numFmtId="9" fontId="20" fillId="0" borderId="22" xfId="12" applyFont="1" applyBorder="1" applyAlignment="1">
      <alignment horizontal="center" vertical="center"/>
    </xf>
    <xf numFmtId="1" fontId="46" fillId="0" borderId="33" xfId="13" applyNumberFormat="1" applyFont="1" applyFill="1" applyBorder="1" applyAlignment="1">
      <alignment horizontal="center" vertical="center"/>
    </xf>
    <xf numFmtId="166" fontId="49" fillId="0" borderId="33" xfId="0" applyNumberFormat="1" applyFont="1" applyBorder="1" applyAlignment="1">
      <alignment horizontal="center"/>
    </xf>
    <xf numFmtId="0" fontId="42" fillId="0" borderId="0" xfId="2" applyFont="1" applyAlignment="1">
      <alignment horizontal="center" vertical="center"/>
    </xf>
    <xf numFmtId="1" fontId="44" fillId="0" borderId="0" xfId="2" applyNumberFormat="1" applyFont="1" applyAlignment="1">
      <alignment horizontal="center" vertical="center"/>
    </xf>
    <xf numFmtId="1" fontId="46" fillId="0" borderId="0" xfId="13" applyNumberFormat="1" applyFont="1" applyFill="1" applyBorder="1" applyAlignment="1">
      <alignment horizontal="center" vertical="center"/>
    </xf>
    <xf numFmtId="166" fontId="49" fillId="0" borderId="0" xfId="0" applyNumberFormat="1" applyFont="1" applyAlignment="1">
      <alignment horizontal="center"/>
    </xf>
    <xf numFmtId="10" fontId="20" fillId="0" borderId="0" xfId="2" applyNumberFormat="1" applyFont="1" applyAlignment="1">
      <alignment horizontal="center" vertical="center"/>
    </xf>
    <xf numFmtId="9" fontId="0" fillId="0" borderId="0" xfId="5" applyFont="1"/>
    <xf numFmtId="2" fontId="0" fillId="64" borderId="1" xfId="0" applyNumberFormat="1" applyFill="1" applyBorder="1" applyAlignment="1">
      <alignment horizontal="center"/>
    </xf>
    <xf numFmtId="0" fontId="91" fillId="0" borderId="1" xfId="9" applyFont="1" applyBorder="1" applyAlignment="1">
      <alignment horizontal="center" vertical="center"/>
    </xf>
    <xf numFmtId="0" fontId="31" fillId="0" borderId="1" xfId="9" applyFont="1" applyBorder="1"/>
    <xf numFmtId="14" fontId="31" fillId="0" borderId="1" xfId="9" applyNumberFormat="1" applyFont="1" applyBorder="1" applyAlignment="1">
      <alignment horizontal="center"/>
    </xf>
    <xf numFmtId="0" fontId="1" fillId="0" borderId="0" xfId="9"/>
    <xf numFmtId="0" fontId="17" fillId="0" borderId="0" xfId="867" applyNumberFormat="1"/>
    <xf numFmtId="0" fontId="84" fillId="8" borderId="53" xfId="0" applyFont="1" applyFill="1" applyBorder="1" applyAlignment="1">
      <alignment horizontal="center" vertical="center" wrapText="1" readingOrder="1"/>
    </xf>
    <xf numFmtId="166" fontId="4" fillId="2" borderId="0" xfId="0" applyNumberFormat="1" applyFont="1" applyFill="1" applyAlignment="1">
      <alignment horizontal="center"/>
    </xf>
    <xf numFmtId="43" fontId="0" fillId="0" borderId="0" xfId="1" applyFont="1"/>
    <xf numFmtId="169" fontId="0" fillId="0" borderId="0" xfId="0" applyNumberFormat="1"/>
    <xf numFmtId="185" fontId="0" fillId="0" borderId="0" xfId="0" applyNumberFormat="1"/>
    <xf numFmtId="17" fontId="0" fillId="0" borderId="0" xfId="0" applyNumberFormat="1"/>
    <xf numFmtId="9" fontId="20" fillId="0" borderId="0" xfId="5" applyFont="1"/>
    <xf numFmtId="3" fontId="20" fillId="0" borderId="0" xfId="2" applyNumberFormat="1" applyFont="1"/>
    <xf numFmtId="3" fontId="43" fillId="0" borderId="0" xfId="2" applyNumberFormat="1" applyFont="1"/>
    <xf numFmtId="169" fontId="20" fillId="0" borderId="0" xfId="1" applyNumberFormat="1" applyFont="1"/>
    <xf numFmtId="10" fontId="0" fillId="0" borderId="0" xfId="0" applyNumberFormat="1"/>
    <xf numFmtId="181" fontId="57" fillId="0" borderId="0" xfId="0" applyNumberFormat="1" applyFont="1"/>
    <xf numFmtId="189" fontId="57" fillId="0" borderId="0" xfId="0" applyNumberFormat="1" applyFont="1"/>
    <xf numFmtId="169" fontId="31" fillId="0" borderId="1" xfId="10" applyNumberFormat="1" applyFont="1" applyBorder="1" applyAlignment="1">
      <alignment horizontal="center" vertical="center"/>
    </xf>
    <xf numFmtId="170" fontId="5" fillId="0" borderId="0" xfId="0" applyNumberFormat="1" applyFont="1"/>
    <xf numFmtId="0" fontId="5" fillId="6" borderId="0" xfId="0" applyFont="1" applyFill="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wrapText="1"/>
    </xf>
    <xf numFmtId="10" fontId="20" fillId="2" borderId="0" xfId="1" applyNumberFormat="1" applyFont="1" applyFill="1"/>
    <xf numFmtId="8" fontId="0" fillId="0" borderId="0" xfId="0" applyNumberFormat="1"/>
    <xf numFmtId="0" fontId="5" fillId="6" borderId="31" xfId="0" applyFont="1" applyFill="1" applyBorder="1" applyAlignment="1">
      <alignment vertical="center" wrapText="1"/>
    </xf>
    <xf numFmtId="0" fontId="5" fillId="6" borderId="7" xfId="0" applyFont="1" applyFill="1" applyBorder="1" applyAlignment="1">
      <alignment vertical="center" wrapText="1"/>
    </xf>
    <xf numFmtId="0" fontId="5" fillId="6" borderId="0" xfId="0" applyFont="1" applyFill="1" applyAlignment="1">
      <alignment vertical="center" wrapText="1"/>
    </xf>
    <xf numFmtId="0" fontId="5" fillId="0" borderId="0" xfId="0" applyFont="1" applyAlignment="1">
      <alignment vertical="center" wrapText="1"/>
    </xf>
    <xf numFmtId="0" fontId="33" fillId="0" borderId="0" xfId="0" applyFont="1" applyAlignment="1">
      <alignment horizontal="center" vertical="center" wrapText="1"/>
    </xf>
    <xf numFmtId="41" fontId="11" fillId="0" borderId="0" xfId="0" applyNumberFormat="1" applyFont="1" applyAlignment="1">
      <alignment horizontal="center" vertical="center"/>
    </xf>
    <xf numFmtId="0" fontId="5" fillId="6"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5" fillId="6" borderId="1" xfId="0" applyFont="1" applyFill="1" applyBorder="1" applyAlignment="1">
      <alignment vertical="center" wrapText="1"/>
    </xf>
    <xf numFmtId="4" fontId="25" fillId="0" borderId="1" xfId="14" applyNumberFormat="1" applyFont="1" applyBorder="1" applyAlignment="1">
      <alignment horizontal="center" vertical="center"/>
    </xf>
    <xf numFmtId="0" fontId="42" fillId="15" borderId="11" xfId="2" applyFont="1" applyFill="1" applyBorder="1" applyAlignment="1">
      <alignment horizontal="center" vertical="center"/>
    </xf>
    <xf numFmtId="0" fontId="42" fillId="15" borderId="0" xfId="2" applyFont="1" applyFill="1" applyAlignment="1">
      <alignment horizontal="center" vertical="center"/>
    </xf>
    <xf numFmtId="0" fontId="32" fillId="0" borderId="13" xfId="0" applyFont="1" applyBorder="1" applyAlignment="1">
      <alignment horizontal="left" vertical="center"/>
    </xf>
    <xf numFmtId="0" fontId="32" fillId="0" borderId="58" xfId="0" applyFont="1" applyBorder="1" applyAlignment="1">
      <alignment horizontal="left" vertical="center"/>
    </xf>
    <xf numFmtId="0" fontId="45" fillId="15" borderId="59" xfId="2" applyFont="1" applyFill="1" applyBorder="1" applyAlignment="1">
      <alignment horizontal="center"/>
    </xf>
    <xf numFmtId="0" fontId="45" fillId="15" borderId="0" xfId="2" applyFont="1" applyFill="1" applyAlignment="1">
      <alignment horizontal="center"/>
    </xf>
    <xf numFmtId="0" fontId="32" fillId="0" borderId="1" xfId="0" applyFont="1" applyBorder="1" applyAlignment="1">
      <alignment horizontal="left" vertical="center"/>
    </xf>
    <xf numFmtId="0" fontId="0" fillId="64" borderId="1" xfId="0" applyFill="1" applyBorder="1" applyAlignment="1">
      <alignment horizontal="center" vertical="center"/>
    </xf>
    <xf numFmtId="0" fontId="3" fillId="15" borderId="0" xfId="0" applyFont="1" applyFill="1" applyAlignment="1">
      <alignment horizontal="center"/>
    </xf>
    <xf numFmtId="0" fontId="4" fillId="34" borderId="33" xfId="0" applyFont="1" applyFill="1" applyBorder="1" applyAlignment="1">
      <alignment horizontal="center"/>
    </xf>
    <xf numFmtId="0" fontId="4" fillId="34" borderId="16" xfId="0" applyFont="1" applyFill="1" applyBorder="1" applyAlignment="1">
      <alignment horizontal="center"/>
    </xf>
    <xf numFmtId="0" fontId="20" fillId="2" borderId="1" xfId="2" applyFont="1" applyFill="1" applyBorder="1" applyAlignment="1">
      <alignment horizontal="center" vertical="center"/>
    </xf>
    <xf numFmtId="0" fontId="20" fillId="2" borderId="12" xfId="2" applyFont="1" applyFill="1" applyBorder="1" applyAlignment="1">
      <alignment horizontal="center" vertical="center"/>
    </xf>
    <xf numFmtId="0" fontId="20" fillId="2" borderId="24" xfId="2" applyFont="1" applyFill="1" applyBorder="1" applyAlignment="1">
      <alignment horizontal="center" vertical="center"/>
    </xf>
    <xf numFmtId="0" fontId="20" fillId="2" borderId="9" xfId="2" applyFont="1" applyFill="1" applyBorder="1" applyAlignment="1">
      <alignment horizontal="center" vertical="center"/>
    </xf>
    <xf numFmtId="0" fontId="22" fillId="15" borderId="2" xfId="2" applyFont="1" applyFill="1" applyBorder="1" applyAlignment="1">
      <alignment horizontal="center" vertical="center"/>
    </xf>
    <xf numFmtId="0" fontId="22" fillId="15" borderId="57" xfId="2" applyFont="1" applyFill="1" applyBorder="1" applyAlignment="1">
      <alignment horizontal="center"/>
    </xf>
    <xf numFmtId="0" fontId="22" fillId="15" borderId="0" xfId="2" applyFont="1" applyFill="1" applyAlignment="1">
      <alignment horizontal="center"/>
    </xf>
    <xf numFmtId="0" fontId="22" fillId="15" borderId="0" xfId="2" quotePrefix="1" applyFont="1" applyFill="1" applyAlignment="1">
      <alignment horizontal="center" vertical="center"/>
    </xf>
    <xf numFmtId="0" fontId="22" fillId="15" borderId="0" xfId="2" applyFont="1" applyFill="1" applyAlignment="1">
      <alignment horizontal="center" vertical="center"/>
    </xf>
  </cellXfs>
  <cellStyles count="982">
    <cellStyle name="?Q\?1@" xfId="873" xr:uid="{35ABEC6E-9ECE-4D2F-BFBF-04E097B2D122}"/>
    <cellStyle name="20% - Accent1" xfId="886" xr:uid="{EE7B03F3-5658-4694-A1EC-78E6B25210A9}"/>
    <cellStyle name="20% - Accent2" xfId="887" xr:uid="{356BA51A-FE59-493F-BF72-571DB96BBA87}"/>
    <cellStyle name="20% - Accent3" xfId="888" xr:uid="{ACD892C3-4211-4D53-9733-EE84FF304A17}"/>
    <cellStyle name="20% - Accent4" xfId="889" xr:uid="{FE8D0B1F-6C7E-44CE-9582-92BD4EF28A0B}"/>
    <cellStyle name="20% - Accent5" xfId="890" xr:uid="{E8D3CFFD-C808-46EA-BAED-3DC4EACB6974}"/>
    <cellStyle name="20% - Accent6" xfId="891" xr:uid="{3392D55D-8799-4A7A-B91F-28E137BF4F59}"/>
    <cellStyle name="20% - Ênfase1 10" xfId="79" xr:uid="{F9DD0DA4-0ADC-4202-8817-E960C1E5B888}"/>
    <cellStyle name="20% - Ênfase1 10 2" xfId="80" xr:uid="{0E5E6777-DC3C-49BD-85A0-41F37D76B66F}"/>
    <cellStyle name="20% - Ênfase1 11" xfId="81" xr:uid="{9BBDA68F-8E60-4CF5-AF65-968293A3B1BC}"/>
    <cellStyle name="20% - Ênfase1 11 2" xfId="82" xr:uid="{3A4D3493-7227-4249-A960-F1031194D564}"/>
    <cellStyle name="20% - Ênfase1 12" xfId="83" xr:uid="{96F04F50-72E7-4CE2-AB29-1C2ED44D167A}"/>
    <cellStyle name="20% - Ênfase1 12 2" xfId="84" xr:uid="{5D7997E3-14CE-4D64-B148-74EDBDCC7605}"/>
    <cellStyle name="20% - Ênfase1 13" xfId="85" xr:uid="{2F7ED4B4-6BFD-467A-BA2D-42940913B2BB}"/>
    <cellStyle name="20% - Ênfase1 13 2" xfId="86" xr:uid="{6FFF7574-34A4-4161-9491-2BBA94DA3993}"/>
    <cellStyle name="20% - Ênfase1 14" xfId="87" xr:uid="{95329650-079A-4BB4-A6F9-5C1FAD931592}"/>
    <cellStyle name="20% - Ênfase1 14 2" xfId="88" xr:uid="{16A3DF39-30AC-4A5B-9A92-DB973BE7F049}"/>
    <cellStyle name="20% - Ênfase1 15" xfId="89" xr:uid="{67172BEE-21D1-41B7-8615-9A87BF508954}"/>
    <cellStyle name="20% - Ênfase1 15 2" xfId="90" xr:uid="{6D21F011-5F4F-4403-9B4B-D5AC42081F2B}"/>
    <cellStyle name="20% - Ênfase1 16" xfId="91" xr:uid="{7D8BD688-F088-472E-B1A6-894EAB23B706}"/>
    <cellStyle name="20% - Ênfase1 16 2" xfId="92" xr:uid="{C3201679-5F9F-4A7D-AAB2-64637499C3EC}"/>
    <cellStyle name="20% - Ênfase1 17" xfId="93" xr:uid="{CA3F588A-20A0-4B1C-BF25-347AB4E502E3}"/>
    <cellStyle name="20% - Ênfase1 17 2" xfId="94" xr:uid="{8E74221F-8416-4367-87FB-AB3C18B1EF6D}"/>
    <cellStyle name="20% - Ênfase1 18" xfId="95" xr:uid="{01D394E3-857D-40A5-A8A5-4F0AFF496D87}"/>
    <cellStyle name="20% - Ênfase1 18 2" xfId="96" xr:uid="{776C1E1C-58B1-4835-BFB8-EDD22BDB916A}"/>
    <cellStyle name="20% - Ênfase1 19" xfId="97" xr:uid="{19C08E72-9F8D-4EE2-874D-921F73262F47}"/>
    <cellStyle name="20% - Ênfase1 19 2" xfId="98" xr:uid="{43E3F9EE-6F1E-44BB-8B0E-9AD8A00432A0}"/>
    <cellStyle name="20% - Ênfase1 2" xfId="99" xr:uid="{710941C4-EB58-4A2B-87E9-BB2695760853}"/>
    <cellStyle name="20% - Ênfase1 2 2" xfId="100" xr:uid="{8887E313-10BC-4B31-AE01-AF51E0F1E1AD}"/>
    <cellStyle name="20% - Ênfase1 2 3" xfId="892" xr:uid="{37B8ABFD-D9C0-4B5B-8119-72D3B602371E}"/>
    <cellStyle name="20% - Ênfase1 20" xfId="101" xr:uid="{80E1EF8E-8072-4265-A500-76E8693B3B29}"/>
    <cellStyle name="20% - Ênfase1 20 2" xfId="102" xr:uid="{3775697F-E83B-4464-B490-C02B246D1BF6}"/>
    <cellStyle name="20% - Ênfase1 21" xfId="103" xr:uid="{CE8738DE-7DED-416E-B838-743478B0CB78}"/>
    <cellStyle name="20% - Ênfase1 21 2" xfId="104" xr:uid="{7AD5CD26-C2FB-4947-9919-AF8837B72B3D}"/>
    <cellStyle name="20% - Ênfase1 22" xfId="105" xr:uid="{C2642767-10A0-4F30-9EF8-49E3F4AA24DC}"/>
    <cellStyle name="20% - Ênfase1 22 2" xfId="106" xr:uid="{FD6D22EB-46FA-4B9C-836E-74AA8A8F024D}"/>
    <cellStyle name="20% - Ênfase1 23" xfId="107" xr:uid="{17AC20BD-5FD5-4897-A2DD-13C45F622C83}"/>
    <cellStyle name="20% - Ênfase1 23 2" xfId="108" xr:uid="{500F915A-25E0-44B5-9B5C-8854126D0432}"/>
    <cellStyle name="20% - Ênfase1 24" xfId="109" xr:uid="{5CFFDDCF-EAFC-4236-98F7-38D20D588F23}"/>
    <cellStyle name="20% - Ênfase1 24 2" xfId="110" xr:uid="{E8FC996B-C22B-41E0-A98A-0D27F506C1C8}"/>
    <cellStyle name="20% - Ênfase1 25" xfId="111" xr:uid="{30C68DC7-207E-42E2-B258-144A1BE02FF0}"/>
    <cellStyle name="20% - Ênfase1 26" xfId="112" xr:uid="{2C8502B0-4046-4132-8E7A-88B883F31525}"/>
    <cellStyle name="20% - Ênfase1 27" xfId="113" xr:uid="{1E296D1C-ECAC-44C1-AFCA-D507CCD5B57C}"/>
    <cellStyle name="20% - Ênfase1 28" xfId="114" xr:uid="{F151FC56-14F8-4A67-8B3D-E5FE637FE219}"/>
    <cellStyle name="20% - Ênfase1 29" xfId="115" xr:uid="{5D6CABEC-2788-4883-8FED-5BF46C35B1E7}"/>
    <cellStyle name="20% - Ênfase1 3" xfId="116" xr:uid="{ECA79D44-4D5B-40E8-810A-F88633F61C7C}"/>
    <cellStyle name="20% - Ênfase1 3 2" xfId="117" xr:uid="{47208386-0B1C-48B3-B595-08273118AD99}"/>
    <cellStyle name="20% - Ênfase1 30" xfId="118" xr:uid="{B38DEBAF-0E8E-40EC-A359-E3C6B0361B27}"/>
    <cellStyle name="20% - Ênfase1 31" xfId="119" xr:uid="{961427A5-26C1-41EE-B567-6BE9944F7B2D}"/>
    <cellStyle name="20% - Ênfase1 32" xfId="120" xr:uid="{1D0BC4E1-CD2B-46AF-B2C0-D3EF8D15F257}"/>
    <cellStyle name="20% - Ênfase1 33" xfId="121" xr:uid="{3AAE3234-9BA9-4B1B-BA1D-E66ED482B573}"/>
    <cellStyle name="20% - Ênfase1 34" xfId="122" xr:uid="{37A8D400-DEDF-4FB1-A2E9-006A1109E914}"/>
    <cellStyle name="20% - Ênfase1 35" xfId="123" xr:uid="{D868703D-8724-48CB-8A1F-68B0911426CA}"/>
    <cellStyle name="20% - Ênfase1 36" xfId="124" xr:uid="{68D138CA-B008-4CCB-AF26-3D07A8A7A32B}"/>
    <cellStyle name="20% - Ênfase1 4" xfId="125" xr:uid="{4F2AC92E-7B0C-489D-859F-55BBC34D9471}"/>
    <cellStyle name="20% - Ênfase1 4 2" xfId="126" xr:uid="{2C0CD0E3-7209-4B3E-9D7C-B9355675CB18}"/>
    <cellStyle name="20% - Ênfase1 5" xfId="127" xr:uid="{82101111-DBDC-4997-9E6A-44153E391A8C}"/>
    <cellStyle name="20% - Ênfase1 5 2" xfId="128" xr:uid="{96E73208-4535-4A8A-BF97-9AC6C2211755}"/>
    <cellStyle name="20% - Ênfase1 6" xfId="129" xr:uid="{6D3E28CF-B647-42AD-8AF8-8EEFBB1F984B}"/>
    <cellStyle name="20% - Ênfase1 6 2" xfId="130" xr:uid="{A78537C1-1B04-4DCD-B9F2-7578555511BE}"/>
    <cellStyle name="20% - Ênfase1 7" xfId="131" xr:uid="{6C94087B-E924-421A-A408-53AE597997A5}"/>
    <cellStyle name="20% - Ênfase1 7 2" xfId="132" xr:uid="{8C612174-6C9F-4A57-9BB9-92A35853DFE5}"/>
    <cellStyle name="20% - Ênfase1 8" xfId="133" xr:uid="{80EF8074-F9F8-4783-905D-BB072929D255}"/>
    <cellStyle name="20% - Ênfase1 8 2" xfId="134" xr:uid="{5E290423-F129-4530-B0CE-2099A3C17656}"/>
    <cellStyle name="20% - Ênfase1 9" xfId="135" xr:uid="{800CBC8E-2519-46B3-AFA8-90532A02580D}"/>
    <cellStyle name="20% - Ênfase1 9 2" xfId="136" xr:uid="{194D55D2-11A3-485D-B310-4E889CF90AAE}"/>
    <cellStyle name="20% - Ênfase2 10" xfId="137" xr:uid="{41C98757-478B-4DB7-B3C3-0060CDFDB282}"/>
    <cellStyle name="20% - Ênfase2 10 2" xfId="138" xr:uid="{214E8CD5-5973-4F44-AB41-C195DD21F165}"/>
    <cellStyle name="20% - Ênfase2 11" xfId="139" xr:uid="{BE112458-DD49-48BE-BF20-683C1EF7B989}"/>
    <cellStyle name="20% - Ênfase2 11 2" xfId="140" xr:uid="{C9A66D14-0200-4A5E-9AFA-9A0D9E10E614}"/>
    <cellStyle name="20% - Ênfase2 12" xfId="141" xr:uid="{965B42EC-B366-4D17-8DE6-D00735A5F551}"/>
    <cellStyle name="20% - Ênfase2 12 2" xfId="142" xr:uid="{4897BE59-72C9-4746-83BD-84652AF3EB3C}"/>
    <cellStyle name="20% - Ênfase2 13" xfId="143" xr:uid="{D6246535-92F5-4C0E-9453-9085122BD535}"/>
    <cellStyle name="20% - Ênfase2 13 2" xfId="144" xr:uid="{A71E0565-A1B6-4F32-9E92-47BDA44CDB88}"/>
    <cellStyle name="20% - Ênfase2 14" xfId="145" xr:uid="{8201416C-85F4-45AE-AA9C-DAFCB82B35EF}"/>
    <cellStyle name="20% - Ênfase2 14 2" xfId="146" xr:uid="{587968D4-8DAE-4465-90FA-F3E6A0E8AF12}"/>
    <cellStyle name="20% - Ênfase2 15" xfId="147" xr:uid="{64C033A6-7B0E-4661-8F52-06267B39A5EC}"/>
    <cellStyle name="20% - Ênfase2 15 2" xfId="148" xr:uid="{8A59522C-042E-42E9-A52A-6B3C7DDFF65B}"/>
    <cellStyle name="20% - Ênfase2 16" xfId="149" xr:uid="{CA472593-BF3A-41D6-B069-340E4FC8CA52}"/>
    <cellStyle name="20% - Ênfase2 16 2" xfId="150" xr:uid="{6AB982E0-CDB9-4C30-BFCF-9D91A0AD77D1}"/>
    <cellStyle name="20% - Ênfase2 17" xfId="151" xr:uid="{05663E36-B727-45FD-9F7B-B01171408B55}"/>
    <cellStyle name="20% - Ênfase2 17 2" xfId="152" xr:uid="{BB687F46-8B19-4FB5-9587-8776DFF657B0}"/>
    <cellStyle name="20% - Ênfase2 18" xfId="153" xr:uid="{3F64F823-7DF7-4F2A-B36E-473A3E6ED97E}"/>
    <cellStyle name="20% - Ênfase2 18 2" xfId="154" xr:uid="{FEBBC2E2-2C65-487F-927F-F233E5ABE6DD}"/>
    <cellStyle name="20% - Ênfase2 19" xfId="155" xr:uid="{138F6D66-FEF3-49CD-8433-DB58AF97435E}"/>
    <cellStyle name="20% - Ênfase2 19 2" xfId="156" xr:uid="{0894EAEF-3450-4658-BC88-932B0E4332C1}"/>
    <cellStyle name="20% - Ênfase2 2" xfId="157" xr:uid="{A8D7ECFC-57B8-4CB3-A1AF-D9FEF8BFC5FD}"/>
    <cellStyle name="20% - Ênfase2 2 2" xfId="158" xr:uid="{61819445-89CC-4D89-AD27-A1B2A2D63393}"/>
    <cellStyle name="20% - Ênfase2 2 3" xfId="893" xr:uid="{00D9F7B0-C187-4255-B6CA-4891845DB649}"/>
    <cellStyle name="20% - Ênfase2 20" xfId="159" xr:uid="{A6AA61D9-76F4-4A94-A961-056F643BC854}"/>
    <cellStyle name="20% - Ênfase2 20 2" xfId="160" xr:uid="{FD7827E7-1563-47B4-AD8A-B85B76CA2CED}"/>
    <cellStyle name="20% - Ênfase2 21" xfId="161" xr:uid="{EAA4C551-B3B8-46B6-A521-DA28AC4FE7C3}"/>
    <cellStyle name="20% - Ênfase2 21 2" xfId="162" xr:uid="{010B47DB-22BE-4E0E-A14C-8484BDE2D901}"/>
    <cellStyle name="20% - Ênfase2 22" xfId="163" xr:uid="{627DA540-1FD9-4928-B022-CBC1BC1B6D2D}"/>
    <cellStyle name="20% - Ênfase2 22 2" xfId="164" xr:uid="{B9A1C490-FA5F-4E7F-978D-C21E9ED0E8F4}"/>
    <cellStyle name="20% - Ênfase2 23" xfId="165" xr:uid="{94AEF5B2-69CB-4C42-B548-877622CF95D0}"/>
    <cellStyle name="20% - Ênfase2 23 2" xfId="166" xr:uid="{E8D9F966-279D-4E28-AE9F-A966FA1F7851}"/>
    <cellStyle name="20% - Ênfase2 24" xfId="167" xr:uid="{746C362C-1C77-4F83-A67A-9B98D11D8B7A}"/>
    <cellStyle name="20% - Ênfase2 24 2" xfId="168" xr:uid="{6EA1D35D-F673-4621-B20D-47EAE64A5924}"/>
    <cellStyle name="20% - Ênfase2 25" xfId="169" xr:uid="{DCA76DCA-D411-4241-A761-FDBA77652A9F}"/>
    <cellStyle name="20% - Ênfase2 26" xfId="170" xr:uid="{C2531065-C648-4A2B-9373-43325B0D0295}"/>
    <cellStyle name="20% - Ênfase2 27" xfId="171" xr:uid="{5AE1E508-044A-4ADD-8605-F4EC8FCA4B8C}"/>
    <cellStyle name="20% - Ênfase2 28" xfId="172" xr:uid="{2E7243FA-3A62-4E5A-9BBC-4C4B49055CCE}"/>
    <cellStyle name="20% - Ênfase2 29" xfId="173" xr:uid="{4F201678-DA24-430D-8F3D-8A9DF2EA9C07}"/>
    <cellStyle name="20% - Ênfase2 3" xfId="174" xr:uid="{BDC000E2-DF8B-4836-AD07-CB190021BB7A}"/>
    <cellStyle name="20% - Ênfase2 3 2" xfId="175" xr:uid="{D4BF8BFB-C0C4-4BCE-958D-7563E51F3FDA}"/>
    <cellStyle name="20% - Ênfase2 30" xfId="176" xr:uid="{26FF220B-0B14-47BF-A1A9-88CCCD73B14A}"/>
    <cellStyle name="20% - Ênfase2 31" xfId="177" xr:uid="{E3DDD76B-E5DF-40FF-AA5A-015014BB961A}"/>
    <cellStyle name="20% - Ênfase2 32" xfId="178" xr:uid="{686CE96D-C7C3-468A-BFC2-C77E97EDA760}"/>
    <cellStyle name="20% - Ênfase2 33" xfId="179" xr:uid="{BBA5092D-3F3A-40E6-A1C4-1FE82F7D64FB}"/>
    <cellStyle name="20% - Ênfase2 34" xfId="180" xr:uid="{40A4EDD3-04FF-4606-852E-6CFCCD8E9D43}"/>
    <cellStyle name="20% - Ênfase2 35" xfId="181" xr:uid="{D6378F63-43D1-4FBD-8208-D7720164675F}"/>
    <cellStyle name="20% - Ênfase2 36" xfId="182" xr:uid="{DB6D0141-2F11-46C1-8E18-BB97C70D1117}"/>
    <cellStyle name="20% - Ênfase2 4" xfId="183" xr:uid="{6622872E-4B4D-49E8-9A7D-D65FE7008F58}"/>
    <cellStyle name="20% - Ênfase2 4 2" xfId="184" xr:uid="{C76660D3-2A67-4984-9614-98C3531862E8}"/>
    <cellStyle name="20% - Ênfase2 5" xfId="185" xr:uid="{48E32493-47D7-4357-B2EE-6B8CA3D122F5}"/>
    <cellStyle name="20% - Ênfase2 5 2" xfId="186" xr:uid="{B00B7051-E4EB-44D3-A4D5-C370BD180E5D}"/>
    <cellStyle name="20% - Ênfase2 6" xfId="187" xr:uid="{E65405A4-4375-4AC8-B33A-6E953991FAFE}"/>
    <cellStyle name="20% - Ênfase2 6 2" xfId="188" xr:uid="{2ED53167-14FC-4A12-8920-E724ED0B92A5}"/>
    <cellStyle name="20% - Ênfase2 7" xfId="189" xr:uid="{E98EC1F4-CEAE-4BA7-B9BB-08D4EAC49139}"/>
    <cellStyle name="20% - Ênfase2 7 2" xfId="190" xr:uid="{FB61761D-530F-4E70-944D-0A9CE9936F6F}"/>
    <cellStyle name="20% - Ênfase2 8" xfId="191" xr:uid="{F0321BF0-D358-4A1B-8200-5A8520B14B56}"/>
    <cellStyle name="20% - Ênfase2 8 2" xfId="192" xr:uid="{01643452-8232-4DEF-AE9E-95582A75CCDC}"/>
    <cellStyle name="20% - Ênfase2 9" xfId="193" xr:uid="{BA8C9913-442B-470A-824A-A36B8A2BC787}"/>
    <cellStyle name="20% - Ênfase2 9 2" xfId="194" xr:uid="{B53877C4-3933-4C61-A711-B312D0AC8528}"/>
    <cellStyle name="20% - Ênfase3 10" xfId="195" xr:uid="{4539A435-E19A-4166-9CC4-1FE3ACE8E978}"/>
    <cellStyle name="20% - Ênfase3 10 2" xfId="196" xr:uid="{55A22E9B-335D-4C5D-9E23-B813F6F7D269}"/>
    <cellStyle name="20% - Ênfase3 11" xfId="197" xr:uid="{48FFF6FF-E523-44AA-A230-E0EE7107ABAB}"/>
    <cellStyle name="20% - Ênfase3 11 2" xfId="198" xr:uid="{D33277D6-DB13-4DBC-8B95-AE37FC1BAAAD}"/>
    <cellStyle name="20% - Ênfase3 12" xfId="199" xr:uid="{8BE55EB1-3409-4C1D-B5BD-63C94712B962}"/>
    <cellStyle name="20% - Ênfase3 12 2" xfId="200" xr:uid="{BA653CE1-F5DD-4873-8FED-0880CA15862D}"/>
    <cellStyle name="20% - Ênfase3 13" xfId="201" xr:uid="{1CE23F95-99DC-4786-90D6-CCB907DFF6AE}"/>
    <cellStyle name="20% - Ênfase3 13 2" xfId="202" xr:uid="{7506C6B9-28FE-4DD3-97F6-1738245E44CD}"/>
    <cellStyle name="20% - Ênfase3 14" xfId="203" xr:uid="{51AD84C2-E646-4086-B473-E1E03B39D037}"/>
    <cellStyle name="20% - Ênfase3 14 2" xfId="204" xr:uid="{81677115-89C7-4BB2-A929-53F516A47A1B}"/>
    <cellStyle name="20% - Ênfase3 15" xfId="205" xr:uid="{FC65D2FD-30F4-4A4E-9D06-57D5FFEAC163}"/>
    <cellStyle name="20% - Ênfase3 15 2" xfId="206" xr:uid="{8570DB6F-D048-4427-B9DB-00B92C90F185}"/>
    <cellStyle name="20% - Ênfase3 16" xfId="207" xr:uid="{A1416841-472F-4255-847F-D0D3551836CE}"/>
    <cellStyle name="20% - Ênfase3 16 2" xfId="208" xr:uid="{63B28D2B-A099-4B35-8273-458247575E0B}"/>
    <cellStyle name="20% - Ênfase3 17" xfId="209" xr:uid="{E167C5B9-DCB2-49A3-99CA-8041CBDF24E9}"/>
    <cellStyle name="20% - Ênfase3 17 2" xfId="210" xr:uid="{0C97C99A-8327-47E8-877B-92F5BAB7FE53}"/>
    <cellStyle name="20% - Ênfase3 18" xfId="211" xr:uid="{EF35A07E-FE45-4FF3-94A7-0553F96AAF81}"/>
    <cellStyle name="20% - Ênfase3 18 2" xfId="212" xr:uid="{96201615-A01F-4604-B74E-5E4C1E68034C}"/>
    <cellStyle name="20% - Ênfase3 19" xfId="213" xr:uid="{D80267D5-6F5C-45E9-9788-84F2D0F034A5}"/>
    <cellStyle name="20% - Ênfase3 19 2" xfId="214" xr:uid="{164EB352-A0B9-4EE0-83E8-56012E2F21E0}"/>
    <cellStyle name="20% - Ênfase3 2" xfId="215" xr:uid="{62BF9B5B-C706-4BC8-A604-1B4108068D16}"/>
    <cellStyle name="20% - Ênfase3 2 2" xfId="216" xr:uid="{3E99E2E1-D3F7-462D-A33F-F30E72BFDBFC}"/>
    <cellStyle name="20% - Ênfase3 2 3" xfId="894" xr:uid="{C526214F-20D9-49C6-A800-3C4FC74A86CC}"/>
    <cellStyle name="20% - Ênfase3 20" xfId="217" xr:uid="{A7835A3B-27A8-4683-9E16-5BEED92DA74D}"/>
    <cellStyle name="20% - Ênfase3 20 2" xfId="218" xr:uid="{DC3128F0-240A-4B00-A0F2-7C319EE4DD52}"/>
    <cellStyle name="20% - Ênfase3 21" xfId="219" xr:uid="{80F684A3-1B12-4155-964E-EEE90EB500AB}"/>
    <cellStyle name="20% - Ênfase3 21 2" xfId="220" xr:uid="{2BED9B82-A4AD-48B1-A398-05A68BE30D79}"/>
    <cellStyle name="20% - Ênfase3 22" xfId="221" xr:uid="{4D8784DD-2F7D-476A-8896-38862501C5E7}"/>
    <cellStyle name="20% - Ênfase3 22 2" xfId="222" xr:uid="{AD4ABA60-1582-4B61-BA67-F528EE8195E1}"/>
    <cellStyle name="20% - Ênfase3 23" xfId="223" xr:uid="{C4EE415D-BF4E-46CA-987F-A5915AEF44B1}"/>
    <cellStyle name="20% - Ênfase3 23 2" xfId="224" xr:uid="{59E29058-B554-423B-B93D-AB13103C9D7E}"/>
    <cellStyle name="20% - Ênfase3 24" xfId="225" xr:uid="{C56D1435-A07B-48D4-91E4-02DB0F4C212F}"/>
    <cellStyle name="20% - Ênfase3 24 2" xfId="226" xr:uid="{B4247A05-A79D-4A9F-A11E-572391357739}"/>
    <cellStyle name="20% - Ênfase3 25" xfId="227" xr:uid="{4ECEC9F9-8A2E-475C-A236-ABC0899363D5}"/>
    <cellStyle name="20% - Ênfase3 26" xfId="228" xr:uid="{3FAA15EB-5747-4F44-91AB-4AEC4AA9D764}"/>
    <cellStyle name="20% - Ênfase3 27" xfId="229" xr:uid="{79C59D85-E673-4D14-8BB8-50034DB8D597}"/>
    <cellStyle name="20% - Ênfase3 28" xfId="230" xr:uid="{9DAACE2E-16E4-43B6-81EC-6661368512CB}"/>
    <cellStyle name="20% - Ênfase3 29" xfId="231" xr:uid="{476407FD-048B-4C2B-B215-1A2FC3D4A0E6}"/>
    <cellStyle name="20% - Ênfase3 3" xfId="232" xr:uid="{84AA8A2B-E886-4F4A-ADA8-F70A46E6515C}"/>
    <cellStyle name="20% - Ênfase3 3 2" xfId="233" xr:uid="{54EEA322-D215-4194-B8DC-21339A0F4988}"/>
    <cellStyle name="20% - Ênfase3 30" xfId="234" xr:uid="{F452158E-6008-4B2D-AEF2-47F29FDD897C}"/>
    <cellStyle name="20% - Ênfase3 31" xfId="235" xr:uid="{84803AAE-D516-459B-B3E4-0B8ED4705A0C}"/>
    <cellStyle name="20% - Ênfase3 32" xfId="236" xr:uid="{90E79CBA-CC12-44B2-96DD-BED66F76256A}"/>
    <cellStyle name="20% - Ênfase3 33" xfId="237" xr:uid="{99E40BBC-753F-449D-AA4F-4C4544E7C812}"/>
    <cellStyle name="20% - Ênfase3 34" xfId="238" xr:uid="{A54E3268-1647-4CE6-BF39-C0E27CA6FD75}"/>
    <cellStyle name="20% - Ênfase3 35" xfId="239" xr:uid="{55834CDA-EAF4-4105-9751-1A1F6A188270}"/>
    <cellStyle name="20% - Ênfase3 36" xfId="240" xr:uid="{212A1365-CA1D-4A78-AE29-C457B06719CF}"/>
    <cellStyle name="20% - Ênfase3 4" xfId="241" xr:uid="{39DB0D17-B49E-4D40-AAC0-73DF174A37C7}"/>
    <cellStyle name="20% - Ênfase3 4 2" xfId="242" xr:uid="{57C18313-04CF-4B8B-87BF-DAB39D9FBDF9}"/>
    <cellStyle name="20% - Ênfase3 5" xfId="243" xr:uid="{B1F2DB53-6EB2-40CF-A4EB-3408211858FC}"/>
    <cellStyle name="20% - Ênfase3 5 2" xfId="244" xr:uid="{2CC865C4-7AE2-4235-B625-5BD66A95C4E9}"/>
    <cellStyle name="20% - Ênfase3 6" xfId="245" xr:uid="{98D81923-672F-4B87-85AC-4C2FDBD27A33}"/>
    <cellStyle name="20% - Ênfase3 6 2" xfId="246" xr:uid="{AC18CE98-91A8-4420-990B-BE59130BBA12}"/>
    <cellStyle name="20% - Ênfase3 7" xfId="247" xr:uid="{D8D25879-6B1B-4912-992E-F4211A4BF7B1}"/>
    <cellStyle name="20% - Ênfase3 7 2" xfId="248" xr:uid="{FC00A8CA-B4DC-4105-B98E-E6A28F35B013}"/>
    <cellStyle name="20% - Ênfase3 8" xfId="249" xr:uid="{438F01A4-A8A9-4C0A-93B7-8E39255D7BBD}"/>
    <cellStyle name="20% - Ênfase3 8 2" xfId="250" xr:uid="{3F9C1E92-5F9C-46E6-AD14-61A266B5BF12}"/>
    <cellStyle name="20% - Ênfase3 9" xfId="251" xr:uid="{F04A7FFC-55AA-472C-BF0B-F5D044BA183F}"/>
    <cellStyle name="20% - Ênfase3 9 2" xfId="252" xr:uid="{BF151CDB-50DE-459E-AA47-5C85AFFA8E82}"/>
    <cellStyle name="20% - Ênfase4 10" xfId="253" xr:uid="{2927594A-8186-4426-BB50-4EEE7043ADD6}"/>
    <cellStyle name="20% - Ênfase4 10 2" xfId="254" xr:uid="{B580C672-A335-47C2-9058-5492581BFF18}"/>
    <cellStyle name="20% - Ênfase4 11" xfId="255" xr:uid="{8900CD9C-96EF-49A4-B97C-E97DABD9903E}"/>
    <cellStyle name="20% - Ênfase4 11 2" xfId="256" xr:uid="{7734F05E-C990-4D6F-BF7F-CF99E4D56F89}"/>
    <cellStyle name="20% - Ênfase4 12" xfId="257" xr:uid="{1A4CE2A8-264B-49D4-9FAE-07646EB8892B}"/>
    <cellStyle name="20% - Ênfase4 12 2" xfId="258" xr:uid="{4A60F946-56AE-4DA8-9FB6-CBC0003E4717}"/>
    <cellStyle name="20% - Ênfase4 13" xfId="259" xr:uid="{4FCB4BB5-817D-497E-80F2-EB50AEDCB517}"/>
    <cellStyle name="20% - Ênfase4 13 2" xfId="260" xr:uid="{57D3001B-1C9F-4852-B9F3-E099D10DE340}"/>
    <cellStyle name="20% - Ênfase4 14" xfId="261" xr:uid="{E743AE6E-CEC2-4B25-A25B-1DE7C3C573F0}"/>
    <cellStyle name="20% - Ênfase4 14 2" xfId="262" xr:uid="{89A7636B-C36E-43DC-A90F-AB7CE8A14213}"/>
    <cellStyle name="20% - Ênfase4 15" xfId="263" xr:uid="{2E6D6303-4C08-4584-B5AB-FC4C7150D090}"/>
    <cellStyle name="20% - Ênfase4 15 2" xfId="264" xr:uid="{C5CB6B5F-8BA7-48E3-94BA-4F154B4820BE}"/>
    <cellStyle name="20% - Ênfase4 16" xfId="265" xr:uid="{545A2AB9-7DFC-4DC5-B5B7-F1344CF4A1F4}"/>
    <cellStyle name="20% - Ênfase4 16 2" xfId="266" xr:uid="{AEC963C0-D437-41C5-8D16-46694B7070D8}"/>
    <cellStyle name="20% - Ênfase4 17" xfId="267" xr:uid="{58DD438F-97A1-4252-B701-D950AEC34910}"/>
    <cellStyle name="20% - Ênfase4 17 2" xfId="268" xr:uid="{D8B3F5E8-E479-47EA-9564-7C4236A5586A}"/>
    <cellStyle name="20% - Ênfase4 18" xfId="269" xr:uid="{C714371E-C621-4315-A649-3911351AC19D}"/>
    <cellStyle name="20% - Ênfase4 18 2" xfId="270" xr:uid="{34CC1926-694E-41AD-AE9F-D1DD42101077}"/>
    <cellStyle name="20% - Ênfase4 19" xfId="271" xr:uid="{ACF3CD4D-C859-4886-889D-88EC7B0B704C}"/>
    <cellStyle name="20% - Ênfase4 19 2" xfId="272" xr:uid="{1423C77B-8A21-4FA9-A5E6-2D1B99589D15}"/>
    <cellStyle name="20% - Ênfase4 2" xfId="273" xr:uid="{479D1DCA-7771-4184-A730-9ED6E8EADA59}"/>
    <cellStyle name="20% - Ênfase4 2 2" xfId="274" xr:uid="{3A5FC7EB-9FCD-486B-8D0C-70B577F78697}"/>
    <cellStyle name="20% - Ênfase4 2 3" xfId="895" xr:uid="{75D2D4FD-3079-46DA-A039-BB10735CC4DE}"/>
    <cellStyle name="20% - Ênfase4 20" xfId="275" xr:uid="{C93947CC-9F2F-485D-B51B-5DC2D696A4BC}"/>
    <cellStyle name="20% - Ênfase4 20 2" xfId="276" xr:uid="{2DD08E88-6221-4BF7-8F30-FD8A8A9B1FDB}"/>
    <cellStyle name="20% - Ênfase4 21" xfId="277" xr:uid="{88114BD3-C759-4B10-BDDC-3CECDB8D9B6E}"/>
    <cellStyle name="20% - Ênfase4 21 2" xfId="278" xr:uid="{BE98F9C5-B194-42FA-BFB9-697AA9D90A80}"/>
    <cellStyle name="20% - Ênfase4 22" xfId="279" xr:uid="{450C145E-4F0A-41B8-A082-707E3B805D82}"/>
    <cellStyle name="20% - Ênfase4 22 2" xfId="280" xr:uid="{ABEFA356-0818-4E8A-8B7F-A023B3107993}"/>
    <cellStyle name="20% - Ênfase4 23" xfId="281" xr:uid="{29EFA8C7-CA45-4D0C-A4AD-A46DF29EF064}"/>
    <cellStyle name="20% - Ênfase4 23 2" xfId="282" xr:uid="{FA4179F0-7BB2-4A39-B35C-00CF68C8B1CC}"/>
    <cellStyle name="20% - Ênfase4 24" xfId="283" xr:uid="{EBD5D5EC-6F21-45A6-90E2-D39876BBC5EE}"/>
    <cellStyle name="20% - Ênfase4 24 2" xfId="284" xr:uid="{B8F760C8-FD42-4C0B-92A5-9EE5C0653411}"/>
    <cellStyle name="20% - Ênfase4 25" xfId="285" xr:uid="{DA4BEDA1-A98B-433A-8E48-956AED252A89}"/>
    <cellStyle name="20% - Ênfase4 26" xfId="286" xr:uid="{AC529E51-D1BB-4594-84BF-FF7CB9D9E2C4}"/>
    <cellStyle name="20% - Ênfase4 27" xfId="287" xr:uid="{128AE744-7C9C-47E7-873F-8F23B7EDDE55}"/>
    <cellStyle name="20% - Ênfase4 28" xfId="288" xr:uid="{751782E6-05BB-4858-BBAF-CC182B9A29DB}"/>
    <cellStyle name="20% - Ênfase4 29" xfId="289" xr:uid="{9EE958EC-AFB1-4F5C-94A9-3138177DDCF4}"/>
    <cellStyle name="20% - Ênfase4 3" xfId="290" xr:uid="{0655846B-234B-4A2A-86BD-3E389E980481}"/>
    <cellStyle name="20% - Ênfase4 3 2" xfId="291" xr:uid="{9B97B3AF-D8A5-491B-9A99-00FAA026F263}"/>
    <cellStyle name="20% - Ênfase4 30" xfId="292" xr:uid="{68490A4C-9AE2-4DD8-85B4-314686A1EE4C}"/>
    <cellStyle name="20% - Ênfase4 31" xfId="293" xr:uid="{6223CCD9-5DE7-464F-8FEA-95F7134A39EC}"/>
    <cellStyle name="20% - Ênfase4 32" xfId="294" xr:uid="{06DCFA24-FF33-4455-ADA7-A70669854BE8}"/>
    <cellStyle name="20% - Ênfase4 33" xfId="295" xr:uid="{4F96A89E-07FA-46E7-A8C8-88710A88BB50}"/>
    <cellStyle name="20% - Ênfase4 34" xfId="296" xr:uid="{92A0F1B9-E2B1-44D0-8689-595663B0E1A6}"/>
    <cellStyle name="20% - Ênfase4 35" xfId="297" xr:uid="{B2CFE7CF-9570-49F0-9913-879EFB9B6F9D}"/>
    <cellStyle name="20% - Ênfase4 36" xfId="298" xr:uid="{26790421-018F-4C04-B4C8-8E486483BC52}"/>
    <cellStyle name="20% - Ênfase4 4" xfId="299" xr:uid="{F1E0AA14-0692-44AA-8625-FD73DF99CD48}"/>
    <cellStyle name="20% - Ênfase4 4 2" xfId="300" xr:uid="{766AB18A-4BA5-409E-BF9C-554B95EF636C}"/>
    <cellStyle name="20% - Ênfase4 5" xfId="301" xr:uid="{554DC0EB-759D-49FB-975F-7C0BC5562AE4}"/>
    <cellStyle name="20% - Ênfase4 5 2" xfId="302" xr:uid="{B6AD0041-629F-4044-B6B7-2B742EB1DFBF}"/>
    <cellStyle name="20% - Ênfase4 6" xfId="303" xr:uid="{F52416CF-4152-494C-ACC5-D8F287AAC65B}"/>
    <cellStyle name="20% - Ênfase4 6 2" xfId="304" xr:uid="{A11991CB-50B2-4734-B422-8A3E186E53FD}"/>
    <cellStyle name="20% - Ênfase4 7" xfId="305" xr:uid="{F581BB3C-FCE2-45A7-90CA-FD2C63FCE33D}"/>
    <cellStyle name="20% - Ênfase4 7 2" xfId="306" xr:uid="{DBE12B99-E252-478F-88B6-3D90FB7E8418}"/>
    <cellStyle name="20% - Ênfase4 8" xfId="307" xr:uid="{EB4ED716-22C8-438F-AF91-07A90FBCFA82}"/>
    <cellStyle name="20% - Ênfase4 8 2" xfId="308" xr:uid="{76607FA3-80AB-498D-A99F-614075C16E44}"/>
    <cellStyle name="20% - Ênfase4 9" xfId="309" xr:uid="{C94BAEA1-99E7-4453-9A46-0290627C40D3}"/>
    <cellStyle name="20% - Ênfase4 9 2" xfId="310" xr:uid="{89186ABA-84BA-40E7-BD56-A76A8D0E2759}"/>
    <cellStyle name="20% - Ênfase5 10" xfId="311" xr:uid="{2F137C09-CB51-4368-9EFC-83B410C2CDD1}"/>
    <cellStyle name="20% - Ênfase5 10 2" xfId="312" xr:uid="{74DEF3E1-3580-4EC7-B32F-DC8A2A913DAB}"/>
    <cellStyle name="20% - Ênfase5 11" xfId="313" xr:uid="{F8CE396A-D895-4176-B3AB-6E4D6766BDEE}"/>
    <cellStyle name="20% - Ênfase5 11 2" xfId="314" xr:uid="{FC4C9466-5956-4660-AAC2-E63B149A8ABB}"/>
    <cellStyle name="20% - Ênfase5 12" xfId="315" xr:uid="{F7F73482-7AFF-4378-BD72-7774A7824145}"/>
    <cellStyle name="20% - Ênfase5 12 2" xfId="316" xr:uid="{1CCD8FDD-204B-45A8-B484-692431F45135}"/>
    <cellStyle name="20% - Ênfase5 13" xfId="317" xr:uid="{A7E82843-F1E1-4FC0-B875-7625BCCD250E}"/>
    <cellStyle name="20% - Ênfase5 13 2" xfId="318" xr:uid="{C1A3BD57-7FCC-4C0D-8226-9D61D7DE1462}"/>
    <cellStyle name="20% - Ênfase5 14" xfId="319" xr:uid="{095B77F6-C938-4A83-B9D1-6520405CFF2D}"/>
    <cellStyle name="20% - Ênfase5 14 2" xfId="320" xr:uid="{21FD033B-0C55-4AAB-9230-075361E0C0AA}"/>
    <cellStyle name="20% - Ênfase5 15" xfId="321" xr:uid="{32A0D1E2-3D80-4DC1-8EDD-1F39A489559E}"/>
    <cellStyle name="20% - Ênfase5 15 2" xfId="322" xr:uid="{3F4BC30E-C317-4A3A-8FA7-5858D4B6E09B}"/>
    <cellStyle name="20% - Ênfase5 16" xfId="323" xr:uid="{370A4503-6FF5-4F26-AB2C-2E3DD67C21BE}"/>
    <cellStyle name="20% - Ênfase5 16 2" xfId="324" xr:uid="{50D9E92E-8E42-4BB9-B58E-B0097D35594E}"/>
    <cellStyle name="20% - Ênfase5 17" xfId="325" xr:uid="{DEB96BFB-CE1B-4219-9D6D-01D30A42412C}"/>
    <cellStyle name="20% - Ênfase5 17 2" xfId="326" xr:uid="{15AEFA6F-F4E4-444A-86EA-EC1365605F31}"/>
    <cellStyle name="20% - Ênfase5 18" xfId="327" xr:uid="{0420F58D-89BE-48B3-BD6F-FF27982F75F0}"/>
    <cellStyle name="20% - Ênfase5 18 2" xfId="328" xr:uid="{1B003C25-C62A-432C-9867-A9405C91601F}"/>
    <cellStyle name="20% - Ênfase5 19" xfId="329" xr:uid="{991C0648-B914-4B2C-9065-68AA77AEFCD6}"/>
    <cellStyle name="20% - Ênfase5 19 2" xfId="330" xr:uid="{3FBC85D9-C630-44CC-9D8E-85B495A940D4}"/>
    <cellStyle name="20% - Ênfase5 2" xfId="331" xr:uid="{C2809D48-8C14-4CC8-A3FB-BB1ECADDABA9}"/>
    <cellStyle name="20% - Ênfase5 2 2" xfId="332" xr:uid="{F26423F0-EE8A-4076-A895-7CE2D27ECA46}"/>
    <cellStyle name="20% - Ênfase5 2 3" xfId="896" xr:uid="{C64CCE8D-ACD1-49A3-A42E-D59A91EAA050}"/>
    <cellStyle name="20% - Ênfase5 20" xfId="333" xr:uid="{F43000C7-2D9F-4363-A523-2C2FACBF911F}"/>
    <cellStyle name="20% - Ênfase5 20 2" xfId="334" xr:uid="{96C79371-2ECA-4213-93C7-759ED460CC66}"/>
    <cellStyle name="20% - Ênfase5 21" xfId="335" xr:uid="{01611A93-E7C2-4A37-962F-52D44A1FD674}"/>
    <cellStyle name="20% - Ênfase5 21 2" xfId="336" xr:uid="{62AE9655-4837-4B0D-AF40-35B0D8C19ABF}"/>
    <cellStyle name="20% - Ênfase5 22" xfId="337" xr:uid="{B898B5F9-5E63-4AE4-9C8A-C0B43618A530}"/>
    <cellStyle name="20% - Ênfase5 22 2" xfId="338" xr:uid="{FBF6CAF7-A51E-426F-AA47-EBEC9FDCD692}"/>
    <cellStyle name="20% - Ênfase5 23" xfId="339" xr:uid="{1899DAF1-CC0E-42D5-9375-14A9B34D97AB}"/>
    <cellStyle name="20% - Ênfase5 23 2" xfId="340" xr:uid="{34B2F472-E940-4C7C-8C2E-B68E9CC8877F}"/>
    <cellStyle name="20% - Ênfase5 24" xfId="341" xr:uid="{3E37099D-863D-46FA-A8E9-7BC86CD80D40}"/>
    <cellStyle name="20% - Ênfase5 24 2" xfId="342" xr:uid="{7D6914D6-34AE-46CB-ADE8-B3785AF1886C}"/>
    <cellStyle name="20% - Ênfase5 25" xfId="343" xr:uid="{A3B0897C-29E1-424C-9F06-9BE5DD1C22D4}"/>
    <cellStyle name="20% - Ênfase5 26" xfId="344" xr:uid="{F21501FD-E1F6-4C97-BE0E-F27C5816E512}"/>
    <cellStyle name="20% - Ênfase5 27" xfId="345" xr:uid="{C4070C04-70F1-4601-8F2C-2D4818BA1842}"/>
    <cellStyle name="20% - Ênfase5 28" xfId="346" xr:uid="{A38FFFB9-7C76-4BD6-B0DB-94F976B71862}"/>
    <cellStyle name="20% - Ênfase5 29" xfId="347" xr:uid="{0C396325-FD7A-4B53-87B1-492A68B261A8}"/>
    <cellStyle name="20% - Ênfase5 3" xfId="348" xr:uid="{19515C44-8D98-4860-BFD2-092CB2886758}"/>
    <cellStyle name="20% - Ênfase5 3 2" xfId="349" xr:uid="{5EFFDAD4-73F6-46D0-9631-66DC1A4EFF3D}"/>
    <cellStyle name="20% - Ênfase5 30" xfId="350" xr:uid="{3E9CF51D-67D4-48E8-9E5B-EFA100AF474D}"/>
    <cellStyle name="20% - Ênfase5 31" xfId="351" xr:uid="{A418E877-B38F-4716-9E62-398B276AFB95}"/>
    <cellStyle name="20% - Ênfase5 32" xfId="352" xr:uid="{3ED43903-11B3-4CE2-90DA-896132DFBC22}"/>
    <cellStyle name="20% - Ênfase5 33" xfId="353" xr:uid="{FD0257D6-B753-432F-A9F1-01D0E838AB76}"/>
    <cellStyle name="20% - Ênfase5 34" xfId="354" xr:uid="{33254FBA-8D71-424A-90C8-996DC43C4DBC}"/>
    <cellStyle name="20% - Ênfase5 35" xfId="355" xr:uid="{4437A075-64F1-4C7E-A39A-CB52C75A3BBE}"/>
    <cellStyle name="20% - Ênfase5 36" xfId="356" xr:uid="{03F6B73E-62D9-4795-B665-A1AA3AE10B50}"/>
    <cellStyle name="20% - Ênfase5 4" xfId="357" xr:uid="{EA1302F7-A20C-41CF-865D-81556896F111}"/>
    <cellStyle name="20% - Ênfase5 4 2" xfId="358" xr:uid="{B810E360-C3E5-4CAA-8B64-15AC1B7F5549}"/>
    <cellStyle name="20% - Ênfase5 5" xfId="359" xr:uid="{C464C07C-A247-468F-BCA1-52D2DDF056A3}"/>
    <cellStyle name="20% - Ênfase5 5 2" xfId="360" xr:uid="{5D70748D-666A-4A60-8026-AA538D9ABE32}"/>
    <cellStyle name="20% - Ênfase5 6" xfId="361" xr:uid="{912A378F-DE2E-46C5-883C-A34FADA5938C}"/>
    <cellStyle name="20% - Ênfase5 6 2" xfId="362" xr:uid="{93889156-D2ED-4806-93CE-DCCD4ED95353}"/>
    <cellStyle name="20% - Ênfase5 7" xfId="363" xr:uid="{6D3F2974-BF13-48AB-98DD-7F9EA851FB68}"/>
    <cellStyle name="20% - Ênfase5 7 2" xfId="364" xr:uid="{7AA86FFF-0DBC-4DF2-9A10-3B686FFDF78A}"/>
    <cellStyle name="20% - Ênfase5 8" xfId="365" xr:uid="{E7CB48FE-1648-4887-9ABD-82FAC0707549}"/>
    <cellStyle name="20% - Ênfase5 8 2" xfId="366" xr:uid="{0DAEE482-6471-4BC2-95D6-7DEEBBC4D35F}"/>
    <cellStyle name="20% - Ênfase5 9" xfId="367" xr:uid="{C231AC19-A818-4A2C-B88F-233990114FF7}"/>
    <cellStyle name="20% - Ênfase5 9 2" xfId="368" xr:uid="{68083B17-01EE-4B98-B7E1-A5666B45B66E}"/>
    <cellStyle name="20% - Ênfase6 10" xfId="369" xr:uid="{A2B12CFB-8C6E-4EF8-BC61-46426C436BB9}"/>
    <cellStyle name="20% - Ênfase6 10 2" xfId="370" xr:uid="{8C80D603-FB99-4CB5-9620-0E8CA854F63A}"/>
    <cellStyle name="20% - Ênfase6 11" xfId="371" xr:uid="{E672D243-B181-4991-B14D-2DCE8C68EA3F}"/>
    <cellStyle name="20% - Ênfase6 11 2" xfId="372" xr:uid="{A7F49002-7C19-4DA2-B3D8-E9B76CC65C09}"/>
    <cellStyle name="20% - Ênfase6 12" xfId="373" xr:uid="{755D5DCD-FDDA-43D6-A162-F0FFC96B5987}"/>
    <cellStyle name="20% - Ênfase6 12 2" xfId="374" xr:uid="{00B1C7BF-9D97-443B-A822-F03E20159315}"/>
    <cellStyle name="20% - Ênfase6 13" xfId="375" xr:uid="{38B2ADD1-BE5E-4356-9C53-81B3E17BDE99}"/>
    <cellStyle name="20% - Ênfase6 13 2" xfId="376" xr:uid="{7DCC7699-9DBD-4589-A2C2-A3B0BF262137}"/>
    <cellStyle name="20% - Ênfase6 14" xfId="377" xr:uid="{2C638E5C-B903-4B29-A97B-0A350474AF0A}"/>
    <cellStyle name="20% - Ênfase6 14 2" xfId="378" xr:uid="{983AF0B3-20AF-4167-BE92-B8080F2A10F6}"/>
    <cellStyle name="20% - Ênfase6 15" xfId="379" xr:uid="{6FF4E590-37E9-4F53-B923-EBFB80C7D9DA}"/>
    <cellStyle name="20% - Ênfase6 15 2" xfId="380" xr:uid="{6E5E46E4-981A-432D-8442-44392A911816}"/>
    <cellStyle name="20% - Ênfase6 16" xfId="381" xr:uid="{25256546-E131-48E6-A684-232F355922C4}"/>
    <cellStyle name="20% - Ênfase6 16 2" xfId="382" xr:uid="{C44FAC2B-4A85-418D-BA4F-8537A2779BC7}"/>
    <cellStyle name="20% - Ênfase6 17" xfId="383" xr:uid="{322F2F24-744C-4B0E-96C1-1A0E064823DD}"/>
    <cellStyle name="20% - Ênfase6 17 2" xfId="384" xr:uid="{7352ACA7-EB1B-41AA-B985-67C1EEB02D74}"/>
    <cellStyle name="20% - Ênfase6 18" xfId="385" xr:uid="{1575727A-5354-4F01-96B4-57DBFA7E4243}"/>
    <cellStyle name="20% - Ênfase6 18 2" xfId="386" xr:uid="{B2A5227B-8DF1-4D45-96E0-98C7A1C70EE0}"/>
    <cellStyle name="20% - Ênfase6 19" xfId="387" xr:uid="{6444848F-EF75-4C22-BAE5-E037312FDE1F}"/>
    <cellStyle name="20% - Ênfase6 19 2" xfId="388" xr:uid="{79699F06-093D-42F2-87C8-84C5A536D30B}"/>
    <cellStyle name="20% - Ênfase6 2" xfId="389" xr:uid="{7276B554-41CC-4760-8B3A-ABFB2384F7DA}"/>
    <cellStyle name="20% - Ênfase6 2 2" xfId="390" xr:uid="{1BFD89DA-72D2-4C23-8F46-1F94EF3E512A}"/>
    <cellStyle name="20% - Ênfase6 2 3" xfId="897" xr:uid="{2C11B938-5FBB-494F-8AB6-8341EBB87869}"/>
    <cellStyle name="20% - Ênfase6 20" xfId="391" xr:uid="{088CCCB9-9117-4554-853B-E9630BB3224A}"/>
    <cellStyle name="20% - Ênfase6 20 2" xfId="392" xr:uid="{8F8A35A8-20C8-4783-AA92-B53A883F69AD}"/>
    <cellStyle name="20% - Ênfase6 21" xfId="393" xr:uid="{6890942B-A636-48C6-84CE-C1FFF7D3CFF8}"/>
    <cellStyle name="20% - Ênfase6 21 2" xfId="394" xr:uid="{FE49328A-A028-4909-A69C-86D90BB81BD0}"/>
    <cellStyle name="20% - Ênfase6 22" xfId="395" xr:uid="{770DB23E-8078-4878-AD9D-FB06F7A5E71A}"/>
    <cellStyle name="20% - Ênfase6 22 2" xfId="396" xr:uid="{547326AA-E573-4D07-BA0B-EDB29F87C788}"/>
    <cellStyle name="20% - Ênfase6 23" xfId="397" xr:uid="{F9CD9B75-A8C8-4EB7-8002-D9E821C42747}"/>
    <cellStyle name="20% - Ênfase6 23 2" xfId="398" xr:uid="{20122C46-3274-4225-A047-8B3F6CEECDAF}"/>
    <cellStyle name="20% - Ênfase6 24" xfId="399" xr:uid="{CFF3DD50-A555-4759-B084-815A59A21CD9}"/>
    <cellStyle name="20% - Ênfase6 24 2" xfId="400" xr:uid="{C3DF3F37-B22B-465E-87D7-BE4B33BEA526}"/>
    <cellStyle name="20% - Ênfase6 25" xfId="401" xr:uid="{5E4DC45A-8540-44B5-B8B5-F20A4E960EC7}"/>
    <cellStyle name="20% - Ênfase6 26" xfId="402" xr:uid="{0F6747BA-92B3-4BA1-9486-76F37506FABC}"/>
    <cellStyle name="20% - Ênfase6 27" xfId="403" xr:uid="{61C40880-E464-4307-9F6F-EB8E3CE1C3DC}"/>
    <cellStyle name="20% - Ênfase6 28" xfId="404" xr:uid="{FDCB2D85-EFB4-46FD-9E3E-BA839C8E0BFC}"/>
    <cellStyle name="20% - Ênfase6 29" xfId="405" xr:uid="{D82F2624-6F3E-458C-B230-FC7B558F2488}"/>
    <cellStyle name="20% - Ênfase6 3" xfId="406" xr:uid="{6B6C4654-3FDC-4D46-81CA-EBDD96C2A2AB}"/>
    <cellStyle name="20% - Ênfase6 3 2" xfId="407" xr:uid="{4F17C260-68EE-4C47-BB08-927FF45FF56C}"/>
    <cellStyle name="20% - Ênfase6 30" xfId="408" xr:uid="{ABFCF392-FD7A-4D15-BE2C-9B0C5CFEE26E}"/>
    <cellStyle name="20% - Ênfase6 31" xfId="409" xr:uid="{1070951D-EE97-4F58-AFA3-03D108E70127}"/>
    <cellStyle name="20% - Ênfase6 32" xfId="410" xr:uid="{8C5F6806-335F-4147-AC48-A117EC870FC7}"/>
    <cellStyle name="20% - Ênfase6 33" xfId="411" xr:uid="{7EB756EB-0FEC-48D1-BC08-2B5620AF3D3E}"/>
    <cellStyle name="20% - Ênfase6 34" xfId="412" xr:uid="{C53C4CAB-6A9F-4605-9908-1E7121399FA7}"/>
    <cellStyle name="20% - Ênfase6 35" xfId="413" xr:uid="{CF9132DF-D6B0-4BFC-B039-10CDFAABC3CC}"/>
    <cellStyle name="20% - Ênfase6 36" xfId="414" xr:uid="{FC334F8A-2565-4391-8AF0-33BD96F5737F}"/>
    <cellStyle name="20% - Ênfase6 4" xfId="415" xr:uid="{F90B8020-3F1C-411C-9DE8-897651F6EF99}"/>
    <cellStyle name="20% - Ênfase6 4 2" xfId="416" xr:uid="{88086E08-1961-4B26-BBDA-C23BF76D9E2F}"/>
    <cellStyle name="20% - Ênfase6 5" xfId="417" xr:uid="{AE695D39-B2C0-4C73-B93B-F53675FBFE53}"/>
    <cellStyle name="20% - Ênfase6 5 2" xfId="418" xr:uid="{844818A2-7BB3-48D5-83A5-AC14249A4111}"/>
    <cellStyle name="20% - Ênfase6 6" xfId="419" xr:uid="{6D68DF78-F6C5-41FD-931A-E2723E6860FD}"/>
    <cellStyle name="20% - Ênfase6 6 2" xfId="420" xr:uid="{EF2F714E-594E-4383-A8F2-C9B79918F0B0}"/>
    <cellStyle name="20% - Ênfase6 7" xfId="421" xr:uid="{DDFA3E79-EC82-4728-8222-423EB7D6E70A}"/>
    <cellStyle name="20% - Ênfase6 7 2" xfId="422" xr:uid="{E108BBEF-FF29-4D43-86CE-1F8B1080EA65}"/>
    <cellStyle name="20% - Ênfase6 8" xfId="423" xr:uid="{C4301055-FA7F-4E61-8D0D-270DBE9A81C3}"/>
    <cellStyle name="20% - Ênfase6 8 2" xfId="424" xr:uid="{C0941B86-B30E-4199-AA31-495693B9EC37}"/>
    <cellStyle name="20% - Ênfase6 9" xfId="425" xr:uid="{CE59BBBE-7025-468F-BDA4-4E6C9284D5C7}"/>
    <cellStyle name="20% - Ênfase6 9 2" xfId="426" xr:uid="{F1F143C5-DE2F-46FF-936E-0A1C3D8141F9}"/>
    <cellStyle name="40% - Accent1" xfId="898" xr:uid="{69206EA6-5626-4C43-8351-669E379953DE}"/>
    <cellStyle name="40% - Accent2" xfId="899" xr:uid="{2EE45024-A813-42CC-AED2-DEDB0308BE3F}"/>
    <cellStyle name="40% - Accent3" xfId="900" xr:uid="{A33B281A-7206-44E8-BB73-E2DA3968253D}"/>
    <cellStyle name="40% - Accent4" xfId="901" xr:uid="{FC1E0EE7-60EA-469E-80F5-E297CC69B3E2}"/>
    <cellStyle name="40% - Accent5" xfId="902" xr:uid="{00472239-8C00-4CEF-BCB3-E1BB5B711976}"/>
    <cellStyle name="40% - Accent6" xfId="903" xr:uid="{2418D07E-1F17-4F02-8074-DD12B6F62FF4}"/>
    <cellStyle name="40% - Ênfase1 10" xfId="427" xr:uid="{454756C0-26F0-4AC4-B727-8E8DA07EA5D1}"/>
    <cellStyle name="40% - Ênfase1 10 2" xfId="428" xr:uid="{BBB9B6C3-6EA2-4F31-AFB8-DB9B94351D3F}"/>
    <cellStyle name="40% - Ênfase1 11" xfId="429" xr:uid="{9CBE95AD-D436-476D-AFDC-7F500E62B2E3}"/>
    <cellStyle name="40% - Ênfase1 11 2" xfId="430" xr:uid="{6191ECDB-DF18-4B6E-A919-247213ACB83A}"/>
    <cellStyle name="40% - Ênfase1 12" xfId="431" xr:uid="{33200CE0-34AA-47B2-9194-E6D96B1CB6DF}"/>
    <cellStyle name="40% - Ênfase1 12 2" xfId="432" xr:uid="{0BD44D3C-5CA8-40C9-9F14-DD6931D97162}"/>
    <cellStyle name="40% - Ênfase1 13" xfId="433" xr:uid="{D29F03D5-514E-4F23-9A78-655B8BF7A1AB}"/>
    <cellStyle name="40% - Ênfase1 13 2" xfId="434" xr:uid="{A40ECC84-F11B-46CF-9ED6-2207D1B34C02}"/>
    <cellStyle name="40% - Ênfase1 14" xfId="435" xr:uid="{59B89B9C-5498-4BCF-A7A0-D293B85B06D0}"/>
    <cellStyle name="40% - Ênfase1 14 2" xfId="436" xr:uid="{606C61F4-3FF8-4DD0-848C-D9E260ADDE7B}"/>
    <cellStyle name="40% - Ênfase1 15" xfId="437" xr:uid="{17E08964-3008-4023-A488-49D445F6982A}"/>
    <cellStyle name="40% - Ênfase1 15 2" xfId="438" xr:uid="{8020111E-35BC-450E-882A-662FED5039B7}"/>
    <cellStyle name="40% - Ênfase1 16" xfId="439" xr:uid="{30D807CC-69AD-4730-B535-7E0587CC92BA}"/>
    <cellStyle name="40% - Ênfase1 16 2" xfId="440" xr:uid="{4AD98154-F0B1-44C5-9E1F-E13FE45640C6}"/>
    <cellStyle name="40% - Ênfase1 17" xfId="441" xr:uid="{041680AE-8782-441C-9584-336F39603819}"/>
    <cellStyle name="40% - Ênfase1 17 2" xfId="442" xr:uid="{FADC9520-23ED-43A1-BEBA-7B50D2B06C81}"/>
    <cellStyle name="40% - Ênfase1 18" xfId="443" xr:uid="{B118CE5E-97D5-461F-B25F-8213914E7E13}"/>
    <cellStyle name="40% - Ênfase1 18 2" xfId="444" xr:uid="{AC37EE20-B4BD-4547-8F8E-6DC47D5770DF}"/>
    <cellStyle name="40% - Ênfase1 19" xfId="445" xr:uid="{34F4CA92-22F7-44EA-84EF-2A099CB4B3A7}"/>
    <cellStyle name="40% - Ênfase1 19 2" xfId="446" xr:uid="{B99A9E6B-2CF3-4A65-B640-24AF38B3B35C}"/>
    <cellStyle name="40% - Ênfase1 2" xfId="447" xr:uid="{BB842162-1FF5-4278-8FD0-1048546B4864}"/>
    <cellStyle name="40% - Ênfase1 2 2" xfId="448" xr:uid="{E47BDBF5-F237-4F64-9491-94A35A938144}"/>
    <cellStyle name="40% - Ênfase1 2 3" xfId="904" xr:uid="{1710331C-9359-467F-B823-93C335C50E0E}"/>
    <cellStyle name="40% - Ênfase1 20" xfId="449" xr:uid="{93697104-633C-4030-8D31-40EFF77064C8}"/>
    <cellStyle name="40% - Ênfase1 20 2" xfId="450" xr:uid="{49BAD6FB-F624-46DC-8CB4-EA564181A695}"/>
    <cellStyle name="40% - Ênfase1 21" xfId="451" xr:uid="{B4A11199-1942-48D7-AA65-659E55224773}"/>
    <cellStyle name="40% - Ênfase1 21 2" xfId="452" xr:uid="{BB3B23DB-9F07-4DEE-82DE-5EE6181F90E7}"/>
    <cellStyle name="40% - Ênfase1 22" xfId="453" xr:uid="{F46C5A23-2B40-4AB6-B3D6-C4DCF95172E9}"/>
    <cellStyle name="40% - Ênfase1 22 2" xfId="454" xr:uid="{B38DD0A3-41CA-42E1-A2BB-9C0CAB1E6EB4}"/>
    <cellStyle name="40% - Ênfase1 23" xfId="455" xr:uid="{48D30419-63B8-43E9-AC92-7F788DF6B175}"/>
    <cellStyle name="40% - Ênfase1 23 2" xfId="456" xr:uid="{1C5AE29A-B375-40E0-8813-46CB3E8557CA}"/>
    <cellStyle name="40% - Ênfase1 24" xfId="457" xr:uid="{88E03F2A-F01B-4941-8A72-C8631AC0D994}"/>
    <cellStyle name="40% - Ênfase1 24 2" xfId="458" xr:uid="{3AF8F344-2ABB-4EBF-A626-0DEF0AA34504}"/>
    <cellStyle name="40% - Ênfase1 25" xfId="459" xr:uid="{442C7034-7C93-404F-9240-9E7E5707F947}"/>
    <cellStyle name="40% - Ênfase1 26" xfId="460" xr:uid="{D33B9B43-C047-4A13-9237-60EADABD8E1F}"/>
    <cellStyle name="40% - Ênfase1 27" xfId="461" xr:uid="{A1904DEA-548D-4891-8293-80E11C1C40D9}"/>
    <cellStyle name="40% - Ênfase1 28" xfId="462" xr:uid="{68CD65EE-D0AB-424A-A487-503359378809}"/>
    <cellStyle name="40% - Ênfase1 29" xfId="463" xr:uid="{1F09C975-0B17-4752-AA3C-F5656367ABC4}"/>
    <cellStyle name="40% - Ênfase1 3" xfId="464" xr:uid="{6F54B037-8741-4652-A07F-20AF501D1809}"/>
    <cellStyle name="40% - Ênfase1 3 2" xfId="465" xr:uid="{C41B417F-A529-4AE0-B235-CFDFB1BE97FC}"/>
    <cellStyle name="40% - Ênfase1 30" xfId="466" xr:uid="{545D547B-40BE-4E7B-808C-E3BC1362C398}"/>
    <cellStyle name="40% - Ênfase1 31" xfId="467" xr:uid="{17CBC555-716D-4AE6-8885-1D240194050D}"/>
    <cellStyle name="40% - Ênfase1 32" xfId="468" xr:uid="{66F40077-42CD-4FD1-B80C-95B33FAA7DE2}"/>
    <cellStyle name="40% - Ênfase1 33" xfId="469" xr:uid="{7B294197-A963-4670-ACD9-625BC509098D}"/>
    <cellStyle name="40% - Ênfase1 34" xfId="470" xr:uid="{0461F4BA-CEE5-43D5-AD57-2B8D24F61801}"/>
    <cellStyle name="40% - Ênfase1 35" xfId="471" xr:uid="{04889E04-5782-4A1D-AE04-986E6875E64F}"/>
    <cellStyle name="40% - Ênfase1 36" xfId="472" xr:uid="{9A2E91B8-229B-4E8E-A7F4-6D6CC6CCA8F3}"/>
    <cellStyle name="40% - Ênfase1 4" xfId="473" xr:uid="{C69AA3BE-FBF8-4BC6-B35A-D4F284203D1C}"/>
    <cellStyle name="40% - Ênfase1 4 2" xfId="474" xr:uid="{29E7CD95-E5D0-40B7-8DAA-3A5BF1B7396F}"/>
    <cellStyle name="40% - Ênfase1 5" xfId="475" xr:uid="{CE55D32F-4721-4957-802B-F893EB79A48F}"/>
    <cellStyle name="40% - Ênfase1 5 2" xfId="476" xr:uid="{3ACDDFB7-F8B8-4DB2-BAAC-C92A4C1FC9B8}"/>
    <cellStyle name="40% - Ênfase1 6" xfId="477" xr:uid="{41F81857-88DC-4142-9F44-B40787029890}"/>
    <cellStyle name="40% - Ênfase1 6 2" xfId="478" xr:uid="{F105EF84-1C04-4714-9E26-4615AF1A422E}"/>
    <cellStyle name="40% - Ênfase1 7" xfId="479" xr:uid="{F0390E81-40D6-4D79-A6F6-E93922A010BF}"/>
    <cellStyle name="40% - Ênfase1 7 2" xfId="480" xr:uid="{95AA176D-27C6-4744-AD55-D90335C2EA89}"/>
    <cellStyle name="40% - Ênfase1 8" xfId="481" xr:uid="{89CE74AE-FAAF-4EDE-9548-F7D4219B8E24}"/>
    <cellStyle name="40% - Ênfase1 8 2" xfId="482" xr:uid="{49E3AAF5-6055-4FB7-8D24-3AD23EEB6B5B}"/>
    <cellStyle name="40% - Ênfase1 9" xfId="483" xr:uid="{595FC36A-B56E-413A-83E0-054649C20351}"/>
    <cellStyle name="40% - Ênfase1 9 2" xfId="484" xr:uid="{C8234157-D1FE-4A7D-8D2A-742EE41912CE}"/>
    <cellStyle name="40% - Ênfase2 10" xfId="485" xr:uid="{DE7A20B5-B43C-497A-86E4-466F52420016}"/>
    <cellStyle name="40% - Ênfase2 10 2" xfId="486" xr:uid="{A7846C0C-74E7-438C-BDBF-60B8BCACAD8E}"/>
    <cellStyle name="40% - Ênfase2 11" xfId="487" xr:uid="{6478011C-104B-4CAD-B835-14D5B47FB3C5}"/>
    <cellStyle name="40% - Ênfase2 11 2" xfId="488" xr:uid="{17483D18-C7E6-4F38-931F-1DE493ACF4D0}"/>
    <cellStyle name="40% - Ênfase2 12" xfId="489" xr:uid="{DFE8C68B-BAB2-42DD-AE66-4C2D3DD0B886}"/>
    <cellStyle name="40% - Ênfase2 12 2" xfId="490" xr:uid="{3927C8E5-187A-4248-9350-2D3128C4E094}"/>
    <cellStyle name="40% - Ênfase2 13" xfId="491" xr:uid="{A7CC70EB-DB41-411D-8E4D-EBE6C937CD52}"/>
    <cellStyle name="40% - Ênfase2 13 2" xfId="492" xr:uid="{3933540C-35ED-4A1B-B092-A0A7A17B2A59}"/>
    <cellStyle name="40% - Ênfase2 14" xfId="493" xr:uid="{B7762EF1-AFF0-4631-9DFC-D85418EF8ECC}"/>
    <cellStyle name="40% - Ênfase2 14 2" xfId="494" xr:uid="{002C09DE-F933-4D52-8F21-58F6273B3FC0}"/>
    <cellStyle name="40% - Ênfase2 15" xfId="495" xr:uid="{A2B17C24-DB76-477E-83F7-A500F0E878E3}"/>
    <cellStyle name="40% - Ênfase2 15 2" xfId="496" xr:uid="{B13252F6-331C-4915-BA68-B1232E45A65C}"/>
    <cellStyle name="40% - Ênfase2 16" xfId="497" xr:uid="{0EDD224C-0800-41E4-8378-0368CCA94029}"/>
    <cellStyle name="40% - Ênfase2 16 2" xfId="498" xr:uid="{11571622-CF62-4033-BEB9-0F3F08D9CCA8}"/>
    <cellStyle name="40% - Ênfase2 17" xfId="499" xr:uid="{79E27443-5078-4A58-8532-20CA721C713C}"/>
    <cellStyle name="40% - Ênfase2 17 2" xfId="500" xr:uid="{D93E72FE-9152-4629-B478-154CE49FBAE6}"/>
    <cellStyle name="40% - Ênfase2 18" xfId="501" xr:uid="{55E4E479-41A7-40E0-A967-9FA448AF0C2F}"/>
    <cellStyle name="40% - Ênfase2 18 2" xfId="502" xr:uid="{2CEE7CF5-E86D-4114-8179-FEE07821A375}"/>
    <cellStyle name="40% - Ênfase2 19" xfId="503" xr:uid="{F89F8CD2-C084-43A2-AE4A-C791F3B96F43}"/>
    <cellStyle name="40% - Ênfase2 19 2" xfId="504" xr:uid="{F29800E3-490E-4FC9-816B-AA72E9001EDF}"/>
    <cellStyle name="40% - Ênfase2 2" xfId="505" xr:uid="{C887B37D-A459-45DF-931D-9988CA3717E7}"/>
    <cellStyle name="40% - Ênfase2 2 2" xfId="506" xr:uid="{1913B859-3E96-4A1F-BE4C-BE3036E14B1D}"/>
    <cellStyle name="40% - Ênfase2 2 3" xfId="905" xr:uid="{BCCD41C8-E455-4B58-BF7E-ED867318BC08}"/>
    <cellStyle name="40% - Ênfase2 20" xfId="507" xr:uid="{41A3AE3B-B406-4804-9661-0FB563812F90}"/>
    <cellStyle name="40% - Ênfase2 20 2" xfId="508" xr:uid="{1ED94CE4-4E59-45B4-A775-162F10AEA173}"/>
    <cellStyle name="40% - Ênfase2 21" xfId="509" xr:uid="{74FFDC40-25F8-4376-955E-B0BB55BC88B6}"/>
    <cellStyle name="40% - Ênfase2 21 2" xfId="510" xr:uid="{7306C47D-27B5-440A-8BDC-2A9D69F98AE1}"/>
    <cellStyle name="40% - Ênfase2 22" xfId="511" xr:uid="{4745EFAE-12E4-4EFC-BAF7-C82FBBC3A252}"/>
    <cellStyle name="40% - Ênfase2 22 2" xfId="512" xr:uid="{3CB8F6A6-5D88-4DF8-A401-B692A9CDA56E}"/>
    <cellStyle name="40% - Ênfase2 23" xfId="513" xr:uid="{86E87AC7-D59C-4940-AE7A-01AA052BFDFD}"/>
    <cellStyle name="40% - Ênfase2 23 2" xfId="514" xr:uid="{D3F9BEC6-CB07-499C-9866-CBD4271B8868}"/>
    <cellStyle name="40% - Ênfase2 24" xfId="515" xr:uid="{1735F478-1328-4C8A-9D3F-0DF7871B53CF}"/>
    <cellStyle name="40% - Ênfase2 24 2" xfId="516" xr:uid="{D45CC021-844D-41C7-83BC-7F0537E0E3BB}"/>
    <cellStyle name="40% - Ênfase2 25" xfId="517" xr:uid="{BF7F16AC-7B12-4F65-B654-4988AC10138B}"/>
    <cellStyle name="40% - Ênfase2 26" xfId="518" xr:uid="{BF304545-B4E1-45FA-AC33-799EC48C57B8}"/>
    <cellStyle name="40% - Ênfase2 27" xfId="519" xr:uid="{54C2C286-D522-4975-AF1E-E7C814EBE99C}"/>
    <cellStyle name="40% - Ênfase2 28" xfId="520" xr:uid="{C391D6CE-EA58-429D-A93B-84398EDE11F3}"/>
    <cellStyle name="40% - Ênfase2 29" xfId="521" xr:uid="{BCA64127-D7A5-4541-9B5F-5A1C0F279EBB}"/>
    <cellStyle name="40% - Ênfase2 3" xfId="522" xr:uid="{82D615F7-D989-4877-A8B6-A9A830055439}"/>
    <cellStyle name="40% - Ênfase2 3 2" xfId="523" xr:uid="{4FE07C18-AD3D-48BE-B286-05E7AD191D26}"/>
    <cellStyle name="40% - Ênfase2 30" xfId="524" xr:uid="{3CD34EF6-D0DA-4600-ACC0-CD44E5C3E0AD}"/>
    <cellStyle name="40% - Ênfase2 31" xfId="525" xr:uid="{09BB1AC9-5E0D-471D-8421-F5A393E972A1}"/>
    <cellStyle name="40% - Ênfase2 32" xfId="526" xr:uid="{B2977DCC-6B4A-4393-8A8C-D34FD863A096}"/>
    <cellStyle name="40% - Ênfase2 33" xfId="527" xr:uid="{398FD968-B9F4-47E2-9C62-DB51C5EE668D}"/>
    <cellStyle name="40% - Ênfase2 34" xfId="528" xr:uid="{B290ADA2-BBB1-4051-A21B-7265B53017AD}"/>
    <cellStyle name="40% - Ênfase2 35" xfId="529" xr:uid="{089B87B8-14E5-48F1-8916-027042E76D10}"/>
    <cellStyle name="40% - Ênfase2 36" xfId="530" xr:uid="{2B8B8EBD-15B6-4C69-B9B0-E161039ED52F}"/>
    <cellStyle name="40% - Ênfase2 4" xfId="531" xr:uid="{FB490A89-0C35-422E-B32A-6055D2AB6690}"/>
    <cellStyle name="40% - Ênfase2 4 2" xfId="532" xr:uid="{BD225848-B954-41C6-9C2F-8B4DB897E4DA}"/>
    <cellStyle name="40% - Ênfase2 5" xfId="533" xr:uid="{FB343515-5C1A-4E20-8027-339454FE1D4F}"/>
    <cellStyle name="40% - Ênfase2 5 2" xfId="534" xr:uid="{C25B3023-9689-4879-91F3-BA17F334F6AC}"/>
    <cellStyle name="40% - Ênfase2 6" xfId="535" xr:uid="{79A45197-9E63-4C3B-A5BA-A4BD853C8F2E}"/>
    <cellStyle name="40% - Ênfase2 6 2" xfId="536" xr:uid="{524A43AE-0A4D-4654-A160-D44E1233FA55}"/>
    <cellStyle name="40% - Ênfase2 7" xfId="537" xr:uid="{D03A2BA1-2DD9-49DE-9CC2-E237758F9355}"/>
    <cellStyle name="40% - Ênfase2 7 2" xfId="538" xr:uid="{C7853E16-DA95-4F1F-A8DC-A9CA8FFDD354}"/>
    <cellStyle name="40% - Ênfase2 8" xfId="539" xr:uid="{1564D1CA-764B-48A1-A30B-DDCACD962912}"/>
    <cellStyle name="40% - Ênfase2 8 2" xfId="540" xr:uid="{CA9E980D-6DE3-4515-8311-B15792F26CE3}"/>
    <cellStyle name="40% - Ênfase2 9" xfId="541" xr:uid="{701987A5-0B06-4C4C-B1B9-7CF708C0CD9A}"/>
    <cellStyle name="40% - Ênfase2 9 2" xfId="542" xr:uid="{2A832C9D-01BC-4B5D-A24F-C05F8B4621F9}"/>
    <cellStyle name="40% - Ênfase3 10" xfId="543" xr:uid="{DB674B9F-D9C7-4165-876D-F1FE1C33BE41}"/>
    <cellStyle name="40% - Ênfase3 10 2" xfId="544" xr:uid="{8CE15D49-07B4-435A-A6DF-8FFE4B6E6A32}"/>
    <cellStyle name="40% - Ênfase3 11" xfId="545" xr:uid="{0F5D3005-D289-4C70-AB0F-429B418197E8}"/>
    <cellStyle name="40% - Ênfase3 11 2" xfId="546" xr:uid="{1D026DDA-54F1-426D-AC4F-C56B16627F76}"/>
    <cellStyle name="40% - Ênfase3 12" xfId="547" xr:uid="{34CB735C-3129-41A9-A6AD-94CA4359DA5E}"/>
    <cellStyle name="40% - Ênfase3 12 2" xfId="548" xr:uid="{21345B9E-219C-4674-8322-90248E073FC7}"/>
    <cellStyle name="40% - Ênfase3 13" xfId="549" xr:uid="{1922A6DE-8CF5-486F-8218-C5E78951D6AF}"/>
    <cellStyle name="40% - Ênfase3 13 2" xfId="550" xr:uid="{4B89D050-DC08-4F84-B723-F32F0BAEA82C}"/>
    <cellStyle name="40% - Ênfase3 14" xfId="551" xr:uid="{7DF00DFD-571D-40B2-BF95-AD5AA5C9F175}"/>
    <cellStyle name="40% - Ênfase3 14 2" xfId="552" xr:uid="{21007990-807D-4527-A5EA-166E3C6A8305}"/>
    <cellStyle name="40% - Ênfase3 15" xfId="553" xr:uid="{F7050038-AD6F-4CB1-9F55-376317087ABA}"/>
    <cellStyle name="40% - Ênfase3 15 2" xfId="554" xr:uid="{177030AF-DE20-48D5-8931-8FCFEC59009B}"/>
    <cellStyle name="40% - Ênfase3 16" xfId="555" xr:uid="{0621B634-0C23-4D9C-A827-28FDC9AFD3E6}"/>
    <cellStyle name="40% - Ênfase3 16 2" xfId="556" xr:uid="{229AED60-0D87-4700-954D-EB5FBEE1F04C}"/>
    <cellStyle name="40% - Ênfase3 17" xfId="557" xr:uid="{E58C3D26-7B91-4F46-943A-940820B978C3}"/>
    <cellStyle name="40% - Ênfase3 17 2" xfId="558" xr:uid="{44324A13-9162-46C0-9B2B-5B8329D6A7DB}"/>
    <cellStyle name="40% - Ênfase3 18" xfId="559" xr:uid="{D9BADFDF-E197-44B7-A37E-D1E509006B9D}"/>
    <cellStyle name="40% - Ênfase3 18 2" xfId="560" xr:uid="{D217CC39-7644-4676-A00C-6FE77AC276F2}"/>
    <cellStyle name="40% - Ênfase3 19" xfId="561" xr:uid="{7A235BFE-9F8D-4AC5-8902-10E5FF678C79}"/>
    <cellStyle name="40% - Ênfase3 19 2" xfId="562" xr:uid="{60390972-AFA7-4749-BF41-606CB313DB49}"/>
    <cellStyle name="40% - Ênfase3 2" xfId="563" xr:uid="{1663CDE5-4FE0-493A-B9B5-076D90678DE5}"/>
    <cellStyle name="40% - Ênfase3 2 2" xfId="564" xr:uid="{A22CEC1F-885B-4B64-BA4C-EE7B0C515A20}"/>
    <cellStyle name="40% - Ênfase3 2 3" xfId="906" xr:uid="{B2DC891F-F73D-4CB2-95EA-CE10CFAE1594}"/>
    <cellStyle name="40% - Ênfase3 20" xfId="565" xr:uid="{1C8ABF9B-3FEF-4EE2-85D1-953091F3209D}"/>
    <cellStyle name="40% - Ênfase3 20 2" xfId="566" xr:uid="{DAB73D13-70EC-41B5-845E-014457AE78E3}"/>
    <cellStyle name="40% - Ênfase3 21" xfId="567" xr:uid="{C84B0D2D-3297-4C31-BB8A-4ACE32B6C3B7}"/>
    <cellStyle name="40% - Ênfase3 21 2" xfId="568" xr:uid="{66111E18-E8C3-4C3D-A49F-4C0BF4AFB456}"/>
    <cellStyle name="40% - Ênfase3 22" xfId="569" xr:uid="{93518DB5-1791-4705-B4A1-C192C74AA409}"/>
    <cellStyle name="40% - Ênfase3 22 2" xfId="570" xr:uid="{A5D28819-80B3-441B-9976-CB259D8280F1}"/>
    <cellStyle name="40% - Ênfase3 23" xfId="571" xr:uid="{87B8A65D-C0E0-4CD2-A1CD-3A576405DD4F}"/>
    <cellStyle name="40% - Ênfase3 23 2" xfId="572" xr:uid="{E87FBEF6-E5DA-40BF-A1EA-04D60EAF5DAC}"/>
    <cellStyle name="40% - Ênfase3 24" xfId="573" xr:uid="{1B6333EC-674F-408B-B38F-C859CB516B87}"/>
    <cellStyle name="40% - Ênfase3 24 2" xfId="574" xr:uid="{A4004E2F-DC38-4800-AE7E-20F1B69F0CAE}"/>
    <cellStyle name="40% - Ênfase3 25" xfId="575" xr:uid="{6F5D2AA3-9969-468F-8DF7-8A17A573BED0}"/>
    <cellStyle name="40% - Ênfase3 26" xfId="576" xr:uid="{1A346C75-B64E-4B01-90C0-6A9D839CEC30}"/>
    <cellStyle name="40% - Ênfase3 27" xfId="577" xr:uid="{097371FE-B5E9-47A2-B825-FDE1F01AC7C4}"/>
    <cellStyle name="40% - Ênfase3 28" xfId="578" xr:uid="{D3E24854-B6DA-4F1B-9BDB-FAE0EAF04A7D}"/>
    <cellStyle name="40% - Ênfase3 29" xfId="579" xr:uid="{AC739686-1ABB-4068-A732-61FBF3970377}"/>
    <cellStyle name="40% - Ênfase3 3" xfId="580" xr:uid="{F21CA927-E6C1-4C19-B01D-DD27C593E950}"/>
    <cellStyle name="40% - Ênfase3 3 2" xfId="581" xr:uid="{D6A7F956-7F13-4FA0-AE88-E2148EC96924}"/>
    <cellStyle name="40% - Ênfase3 30" xfId="582" xr:uid="{FEF9564A-C97D-40E1-BC54-CDF5FADF618F}"/>
    <cellStyle name="40% - Ênfase3 31" xfId="583" xr:uid="{2BC3EEED-0524-49BA-859B-1471CC906EB3}"/>
    <cellStyle name="40% - Ênfase3 32" xfId="584" xr:uid="{3EAE0FC2-1122-491E-8F64-E0FD329570E1}"/>
    <cellStyle name="40% - Ênfase3 33" xfId="585" xr:uid="{928F0F3C-A560-4595-958F-BA104874D6F2}"/>
    <cellStyle name="40% - Ênfase3 34" xfId="586" xr:uid="{E106674B-944F-4D5B-BC77-DC3BD770CE45}"/>
    <cellStyle name="40% - Ênfase3 35" xfId="587" xr:uid="{CDEED331-9F64-47AF-88FB-1FE9B23ABA69}"/>
    <cellStyle name="40% - Ênfase3 36" xfId="588" xr:uid="{FB8C0167-7987-4E9C-82BF-E1F5E2A8C47B}"/>
    <cellStyle name="40% - Ênfase3 4" xfId="589" xr:uid="{09F5A955-4F96-4169-A14C-2DC5D6D11036}"/>
    <cellStyle name="40% - Ênfase3 4 2" xfId="590" xr:uid="{D0E01824-F844-40E6-8580-FE6372678B33}"/>
    <cellStyle name="40% - Ênfase3 5" xfId="591" xr:uid="{D1BDAB75-5195-495E-8474-5EBBA985D128}"/>
    <cellStyle name="40% - Ênfase3 5 2" xfId="592" xr:uid="{F76D27CE-ECEF-44A1-A54D-2277388C59F0}"/>
    <cellStyle name="40% - Ênfase3 6" xfId="593" xr:uid="{BB83FD4D-B2BC-46B0-8924-E88722C42494}"/>
    <cellStyle name="40% - Ênfase3 6 2" xfId="594" xr:uid="{AFF44D52-1E73-404A-B5B2-758457899CD9}"/>
    <cellStyle name="40% - Ênfase3 7" xfId="595" xr:uid="{D4694146-3215-45CA-92A1-2DF8C333DE6C}"/>
    <cellStyle name="40% - Ênfase3 7 2" xfId="596" xr:uid="{3ECB1E2E-7491-4ECE-96AA-8BC0664FA373}"/>
    <cellStyle name="40% - Ênfase3 8" xfId="597" xr:uid="{1CCECF4F-718F-4831-89D2-04FEAB4D9AF8}"/>
    <cellStyle name="40% - Ênfase3 8 2" xfId="598" xr:uid="{39C61FF9-AC30-42DC-BFF9-B5920E56592C}"/>
    <cellStyle name="40% - Ênfase3 9" xfId="599" xr:uid="{174CA91A-BED8-4F88-9391-49E9B3A5417F}"/>
    <cellStyle name="40% - Ênfase3 9 2" xfId="600" xr:uid="{875D575E-0B8A-49B6-885E-ED42BA7E5D35}"/>
    <cellStyle name="40% - Ênfase4 10" xfId="601" xr:uid="{ABA9C4A0-B719-4A56-9866-F67DC38548AD}"/>
    <cellStyle name="40% - Ênfase4 10 2" xfId="602" xr:uid="{C880A623-7225-4037-B0E5-7C76B73D73D6}"/>
    <cellStyle name="40% - Ênfase4 11" xfId="603" xr:uid="{B8235E5E-C886-49F8-9988-2E5BB30009DD}"/>
    <cellStyle name="40% - Ênfase4 11 2" xfId="604" xr:uid="{CD91D411-5082-4F6F-ADB4-F9D23EC2C235}"/>
    <cellStyle name="40% - Ênfase4 12" xfId="605" xr:uid="{AFB49926-41A8-473F-97B9-A762ECDFA171}"/>
    <cellStyle name="40% - Ênfase4 12 2" xfId="606" xr:uid="{A2952E9F-9218-43A6-B754-8AE104E767AA}"/>
    <cellStyle name="40% - Ênfase4 13" xfId="607" xr:uid="{7E5CD20B-841C-4AB8-B449-4704BBEDBB92}"/>
    <cellStyle name="40% - Ênfase4 13 2" xfId="608" xr:uid="{B760D0B5-C58F-4DC5-9E25-4A2729FD15BA}"/>
    <cellStyle name="40% - Ênfase4 14" xfId="609" xr:uid="{B9ECCEB2-63AA-4372-9A3E-9635DB7325E3}"/>
    <cellStyle name="40% - Ênfase4 14 2" xfId="610" xr:uid="{18EDAF39-219F-4D7F-8A5D-2E2FF4613008}"/>
    <cellStyle name="40% - Ênfase4 15" xfId="611" xr:uid="{6E3D55F3-4B97-433F-B38D-390262B35B45}"/>
    <cellStyle name="40% - Ênfase4 15 2" xfId="612" xr:uid="{06737486-8E46-495D-A252-4FEAF4D45C8C}"/>
    <cellStyle name="40% - Ênfase4 16" xfId="613" xr:uid="{D5ABF972-B8EC-45AB-BF07-B369254D91F1}"/>
    <cellStyle name="40% - Ênfase4 16 2" xfId="614" xr:uid="{4F421FE5-5E02-4935-8982-38E3C38BC38D}"/>
    <cellStyle name="40% - Ênfase4 17" xfId="615" xr:uid="{FDB021BE-C3A6-4482-94F7-293C050271FD}"/>
    <cellStyle name="40% - Ênfase4 17 2" xfId="616" xr:uid="{1077EA52-6FF4-4150-97B1-852077158795}"/>
    <cellStyle name="40% - Ênfase4 18" xfId="617" xr:uid="{B8F4D901-3392-4630-B73E-D6273E59AE47}"/>
    <cellStyle name="40% - Ênfase4 18 2" xfId="618" xr:uid="{489BD919-7DDE-477F-A79E-9D9F6FD01BAD}"/>
    <cellStyle name="40% - Ênfase4 19" xfId="619" xr:uid="{C53E4E0D-09EA-4A77-BEEC-1F4DD8283176}"/>
    <cellStyle name="40% - Ênfase4 19 2" xfId="620" xr:uid="{A9903D51-3BFA-415E-A805-BB8C88F579D7}"/>
    <cellStyle name="40% - Ênfase4 2" xfId="621" xr:uid="{611EAA68-1A89-4BDA-B957-49B51BF35F74}"/>
    <cellStyle name="40% - Ênfase4 2 2" xfId="622" xr:uid="{C37A81AE-7237-46B6-AF6D-18D7EB42B8E0}"/>
    <cellStyle name="40% - Ênfase4 2 3" xfId="907" xr:uid="{50AC038B-52B7-4115-8589-F8C55C9AFFF4}"/>
    <cellStyle name="40% - Ênfase4 20" xfId="623" xr:uid="{B8367A47-811E-43D5-A6FE-27377D62C052}"/>
    <cellStyle name="40% - Ênfase4 20 2" xfId="624" xr:uid="{16F2F3D6-EB76-4845-8F43-C5A5AC216508}"/>
    <cellStyle name="40% - Ênfase4 21" xfId="625" xr:uid="{5EDB8687-9E4F-47DC-87A2-D14B4C9191F4}"/>
    <cellStyle name="40% - Ênfase4 21 2" xfId="626" xr:uid="{9B0F657D-CEA0-4A1D-8EA3-526C8202C29E}"/>
    <cellStyle name="40% - Ênfase4 22" xfId="627" xr:uid="{2B0D1A07-46EF-4344-BD47-B0C345CE5133}"/>
    <cellStyle name="40% - Ênfase4 22 2" xfId="628" xr:uid="{52E98B33-CB54-4BEB-BC84-CD04372D8D05}"/>
    <cellStyle name="40% - Ênfase4 23" xfId="629" xr:uid="{CC7881FF-A8C9-4878-A87E-BC821F5DA3F4}"/>
    <cellStyle name="40% - Ênfase4 23 2" xfId="630" xr:uid="{67574AFC-7DD1-4785-AC01-545EA27C75B8}"/>
    <cellStyle name="40% - Ênfase4 24" xfId="631" xr:uid="{B1E9E5DB-402C-46F1-A51B-7924C0D6AA2E}"/>
    <cellStyle name="40% - Ênfase4 24 2" xfId="632" xr:uid="{4EAF18BA-462C-4395-8115-9658F1EB4F53}"/>
    <cellStyle name="40% - Ênfase4 25" xfId="633" xr:uid="{3B9CD1B3-4956-40F9-A4E3-82123974A8D9}"/>
    <cellStyle name="40% - Ênfase4 26" xfId="634" xr:uid="{301E8454-F938-44CC-B92A-65843DDBC044}"/>
    <cellStyle name="40% - Ênfase4 27" xfId="635" xr:uid="{FB8D293F-97BB-43F0-B6C4-A19A50855C57}"/>
    <cellStyle name="40% - Ênfase4 28" xfId="636" xr:uid="{64A2118E-B888-4C43-8556-CE5311F14FCF}"/>
    <cellStyle name="40% - Ênfase4 29" xfId="637" xr:uid="{34149C98-C4D1-4529-B260-006660E1335A}"/>
    <cellStyle name="40% - Ênfase4 3" xfId="638" xr:uid="{5DBFA5F1-A544-48D9-BF75-CE0C1C118CB2}"/>
    <cellStyle name="40% - Ênfase4 3 2" xfId="639" xr:uid="{1CDA9E1C-1AAB-4EF4-9EF1-148B14D2B99B}"/>
    <cellStyle name="40% - Ênfase4 30" xfId="640" xr:uid="{8E0F560A-66F2-42C9-845C-8DA199EB4E79}"/>
    <cellStyle name="40% - Ênfase4 31" xfId="641" xr:uid="{93442C88-20C9-41E4-A833-E3E9EFCAA034}"/>
    <cellStyle name="40% - Ênfase4 32" xfId="642" xr:uid="{D07F67EA-C40C-4D7F-8384-0ACD7C323CBC}"/>
    <cellStyle name="40% - Ênfase4 33" xfId="643" xr:uid="{2D8C4F6F-4706-487B-932B-F2C2FBAA4E88}"/>
    <cellStyle name="40% - Ênfase4 34" xfId="644" xr:uid="{8E4EAE6B-2A6E-410A-A34F-883C5E289737}"/>
    <cellStyle name="40% - Ênfase4 35" xfId="645" xr:uid="{772652B3-37AE-46DF-9844-0359DB0BF2C7}"/>
    <cellStyle name="40% - Ênfase4 36" xfId="646" xr:uid="{31ACA320-1301-45B1-BB70-0AB1B1860BE2}"/>
    <cellStyle name="40% - Ênfase4 4" xfId="647" xr:uid="{BCD815F8-6DC5-433A-9D3A-5421B1CB0C02}"/>
    <cellStyle name="40% - Ênfase4 4 2" xfId="648" xr:uid="{51D947DD-1A63-40C2-BC10-CAF926F8429F}"/>
    <cellStyle name="40% - Ênfase4 5" xfId="649" xr:uid="{38FD981D-43E0-4947-B969-99C86567B06B}"/>
    <cellStyle name="40% - Ênfase4 5 2" xfId="650" xr:uid="{5B28FF06-4316-4D85-A2BD-FE7308C9CD57}"/>
    <cellStyle name="40% - Ênfase4 6" xfId="651" xr:uid="{2AD35FCA-BA27-415B-8C2E-CECA67BCA73B}"/>
    <cellStyle name="40% - Ênfase4 6 2" xfId="652" xr:uid="{06899908-1554-49BE-9906-3E5CF8FD39EA}"/>
    <cellStyle name="40% - Ênfase4 7" xfId="653" xr:uid="{D322D2A1-8530-4C31-BD9D-C9437C547905}"/>
    <cellStyle name="40% - Ênfase4 7 2" xfId="654" xr:uid="{9F09F308-227D-4F24-A7A0-38EBA2E979EB}"/>
    <cellStyle name="40% - Ênfase4 8" xfId="655" xr:uid="{E555A2D8-334F-4A33-8FE9-D514FFB0C960}"/>
    <cellStyle name="40% - Ênfase4 8 2" xfId="656" xr:uid="{2DA6B384-0364-4219-8901-4C9DCCA672E0}"/>
    <cellStyle name="40% - Ênfase4 9" xfId="657" xr:uid="{BE435399-8D4E-4219-A405-654ECDD92307}"/>
    <cellStyle name="40% - Ênfase4 9 2" xfId="658" xr:uid="{8385B223-768B-4FF3-8724-2477C052DA6C}"/>
    <cellStyle name="40% - Ênfase5 10" xfId="659" xr:uid="{40A56921-DA7A-4AA1-B4CB-B1F7AC450A04}"/>
    <cellStyle name="40% - Ênfase5 10 2" xfId="660" xr:uid="{5408DB3B-B85F-4870-A3EA-52F9FD95D10B}"/>
    <cellStyle name="40% - Ênfase5 11" xfId="661" xr:uid="{541F7D20-EE39-44BA-8CE3-FEA851828F84}"/>
    <cellStyle name="40% - Ênfase5 11 2" xfId="662" xr:uid="{33B264B5-3821-4B8E-A54E-AF966E6A639C}"/>
    <cellStyle name="40% - Ênfase5 12" xfId="663" xr:uid="{7BE0F713-21E7-41A6-8941-6BEAF61FC53A}"/>
    <cellStyle name="40% - Ênfase5 12 2" xfId="664" xr:uid="{0282BF36-091A-45A9-8F17-549EEB6267CE}"/>
    <cellStyle name="40% - Ênfase5 13" xfId="665" xr:uid="{E2E917B6-CD78-4CD9-9632-A8927C535850}"/>
    <cellStyle name="40% - Ênfase5 13 2" xfId="666" xr:uid="{84A2F81F-0905-4136-824C-BDD8D9A7B8C6}"/>
    <cellStyle name="40% - Ênfase5 14" xfId="667" xr:uid="{759188B1-90AD-472B-A08F-E78C37641B0F}"/>
    <cellStyle name="40% - Ênfase5 14 2" xfId="668" xr:uid="{84EC7EF2-4F50-495E-AA95-854676728268}"/>
    <cellStyle name="40% - Ênfase5 15" xfId="669" xr:uid="{D229F3B4-EECE-4B5B-B6FF-4DD5BECFF33A}"/>
    <cellStyle name="40% - Ênfase5 15 2" xfId="670" xr:uid="{B040A76E-941E-4FEA-95F7-08EAA23B77BD}"/>
    <cellStyle name="40% - Ênfase5 16" xfId="671" xr:uid="{698D9CA3-E2E8-4758-86DB-E6FC54469A91}"/>
    <cellStyle name="40% - Ênfase5 16 2" xfId="672" xr:uid="{F8854269-EC16-4DCD-A9DC-B2C8772C1A18}"/>
    <cellStyle name="40% - Ênfase5 17" xfId="673" xr:uid="{29F9A529-EB6F-470E-870A-E40015844EBF}"/>
    <cellStyle name="40% - Ênfase5 17 2" xfId="674" xr:uid="{87C089B1-83F3-4ECF-979D-9BD13D02C144}"/>
    <cellStyle name="40% - Ênfase5 18" xfId="675" xr:uid="{2CA8E205-ECCC-4618-9C34-76F1DC45C44A}"/>
    <cellStyle name="40% - Ênfase5 18 2" xfId="676" xr:uid="{FB799026-B3FF-4222-A10B-3A05A28F52F5}"/>
    <cellStyle name="40% - Ênfase5 19" xfId="677" xr:uid="{33E41491-F0CE-4C8E-BC9E-FA8515E216CE}"/>
    <cellStyle name="40% - Ênfase5 19 2" xfId="678" xr:uid="{DC59E8B7-DAA6-43A9-9AFC-32362E80F31A}"/>
    <cellStyle name="40% - Ênfase5 2" xfId="679" xr:uid="{5B800FF8-C5EB-45C7-BD3F-33F358DC5822}"/>
    <cellStyle name="40% - Ênfase5 2 2" xfId="680" xr:uid="{E0FABF3B-D3DE-4B76-BB4A-D16458FD3968}"/>
    <cellStyle name="40% - Ênfase5 2 3" xfId="908" xr:uid="{5CCF9C7A-8D9E-45A2-B64C-55A6392D7863}"/>
    <cellStyle name="40% - Ênfase5 20" xfId="681" xr:uid="{4F06A023-2E20-44AA-A9E9-03F9A400C8C1}"/>
    <cellStyle name="40% - Ênfase5 20 2" xfId="682" xr:uid="{DD7798FB-143A-48E2-9FD5-356414EE6BBB}"/>
    <cellStyle name="40% - Ênfase5 21" xfId="683" xr:uid="{F6EBF023-A8DB-4FBB-A655-A2E2CD70A2F5}"/>
    <cellStyle name="40% - Ênfase5 21 2" xfId="684" xr:uid="{85E3F999-E737-431F-88E3-FB29223CA26C}"/>
    <cellStyle name="40% - Ênfase5 22" xfId="685" xr:uid="{BBDDD3CA-0876-44DE-8CA4-4818E8BC738D}"/>
    <cellStyle name="40% - Ênfase5 22 2" xfId="686" xr:uid="{757D42AC-0957-4E4E-9DD9-13B157B4597B}"/>
    <cellStyle name="40% - Ênfase5 23" xfId="687" xr:uid="{938447F1-76A6-4B7C-8708-6FDC833F1BF7}"/>
    <cellStyle name="40% - Ênfase5 23 2" xfId="688" xr:uid="{866AC5E7-A2DF-4137-AAF4-ACE0745B50AD}"/>
    <cellStyle name="40% - Ênfase5 24" xfId="689" xr:uid="{E165516B-910B-4F3A-8015-0AC3D383BD2B}"/>
    <cellStyle name="40% - Ênfase5 24 2" xfId="690" xr:uid="{7731E51A-7431-4571-8BD1-82DBC66E6DDF}"/>
    <cellStyle name="40% - Ênfase5 25" xfId="691" xr:uid="{149323B7-27A4-45D8-A140-1423C0E1260C}"/>
    <cellStyle name="40% - Ênfase5 26" xfId="692" xr:uid="{45797D98-574F-4F08-A29D-F3CB495D49D2}"/>
    <cellStyle name="40% - Ênfase5 27" xfId="693" xr:uid="{44574B7B-DBBB-476B-BCF1-13FA4E45C2AC}"/>
    <cellStyle name="40% - Ênfase5 28" xfId="694" xr:uid="{BCFB90A9-873E-447E-80AD-888A8C4412FD}"/>
    <cellStyle name="40% - Ênfase5 29" xfId="695" xr:uid="{933C7EDE-2473-4761-BF1D-8F9A93DF1F03}"/>
    <cellStyle name="40% - Ênfase5 3" xfId="696" xr:uid="{6A086C33-BCB7-4C49-B27B-525D3FE2836C}"/>
    <cellStyle name="40% - Ênfase5 3 2" xfId="697" xr:uid="{1EC35662-C783-43F8-B872-0D28AC17D317}"/>
    <cellStyle name="40% - Ênfase5 30" xfId="698" xr:uid="{506472E5-7B41-439E-A426-B95912387D18}"/>
    <cellStyle name="40% - Ênfase5 31" xfId="699" xr:uid="{D5D91371-E021-4F1E-A0F9-E096649BD64D}"/>
    <cellStyle name="40% - Ênfase5 32" xfId="700" xr:uid="{938DD275-5CA8-4D38-8042-F176D531C399}"/>
    <cellStyle name="40% - Ênfase5 33" xfId="701" xr:uid="{EB55044D-68AE-4BB4-B20E-1AE3B7962FE0}"/>
    <cellStyle name="40% - Ênfase5 34" xfId="702" xr:uid="{0635409D-A557-4E17-A9C7-BFB2EDFD2D21}"/>
    <cellStyle name="40% - Ênfase5 35" xfId="703" xr:uid="{18D16D5A-D7B3-4562-8504-BEAC0104685D}"/>
    <cellStyle name="40% - Ênfase5 36" xfId="704" xr:uid="{F0007B32-E986-4C00-8AFF-8DC2B451DD1C}"/>
    <cellStyle name="40% - Ênfase5 4" xfId="705" xr:uid="{826F449D-49B7-4FBA-BE5E-3E5F03A4C9C9}"/>
    <cellStyle name="40% - Ênfase5 4 2" xfId="706" xr:uid="{21899C9D-19BF-47DD-89A1-9E6D8E4B6131}"/>
    <cellStyle name="40% - Ênfase5 5" xfId="707" xr:uid="{AFAA3AFB-DE1D-4BBB-9D5A-D32765AF4C84}"/>
    <cellStyle name="40% - Ênfase5 5 2" xfId="708" xr:uid="{D121E5E3-A516-4D25-9994-958820ABDC24}"/>
    <cellStyle name="40% - Ênfase5 6" xfId="709" xr:uid="{4FCB984C-F0B5-495D-AD47-730542D14CAF}"/>
    <cellStyle name="40% - Ênfase5 6 2" xfId="710" xr:uid="{8F982298-CF6E-4BB7-8C16-77EB11474294}"/>
    <cellStyle name="40% - Ênfase5 7" xfId="711" xr:uid="{1ECD768A-2668-445F-A719-4D8137FF83C9}"/>
    <cellStyle name="40% - Ênfase5 7 2" xfId="712" xr:uid="{F5A324DE-11B2-4ADA-9458-930463CFA60B}"/>
    <cellStyle name="40% - Ênfase5 8" xfId="713" xr:uid="{136C57C3-5C2E-45E8-90F9-EB9B025CE9A2}"/>
    <cellStyle name="40% - Ênfase5 8 2" xfId="714" xr:uid="{5BD16021-321C-4DEB-A664-63A9DE214B52}"/>
    <cellStyle name="40% - Ênfase5 9" xfId="715" xr:uid="{3E9ABB9D-014F-4C89-9F27-E0F51FB36CA2}"/>
    <cellStyle name="40% - Ênfase5 9 2" xfId="716" xr:uid="{5B1A860E-B365-4169-A748-769474AB7C87}"/>
    <cellStyle name="40% - Ênfase6 10" xfId="717" xr:uid="{8BAE9049-E0E3-42F6-8F2E-7D478BF49C93}"/>
    <cellStyle name="40% - Ênfase6 10 2" xfId="718" xr:uid="{E384D7B1-7DA5-4E80-AB6A-E64377AA855A}"/>
    <cellStyle name="40% - Ênfase6 11" xfId="719" xr:uid="{D94F1C7E-2CFE-4215-AEF5-B553B5F0CBFB}"/>
    <cellStyle name="40% - Ênfase6 11 2" xfId="720" xr:uid="{C094EA9B-7268-4AD4-B767-329240AF4E90}"/>
    <cellStyle name="40% - Ênfase6 12" xfId="721" xr:uid="{39516A65-90C7-4177-AB84-87C69B2B8AB8}"/>
    <cellStyle name="40% - Ênfase6 12 2" xfId="722" xr:uid="{359BE43C-839A-46B3-A70C-09A3E2B19770}"/>
    <cellStyle name="40% - Ênfase6 13" xfId="723" xr:uid="{F8FDF95C-4925-4272-A014-F05058CD4946}"/>
    <cellStyle name="40% - Ênfase6 13 2" xfId="724" xr:uid="{804490CE-03DB-437A-9254-2F81E5F45DD9}"/>
    <cellStyle name="40% - Ênfase6 14" xfId="725" xr:uid="{6D979AC4-0AD7-4A85-9550-FA1467800EF6}"/>
    <cellStyle name="40% - Ênfase6 14 2" xfId="726" xr:uid="{7FA11BD7-C27D-4F5D-B980-67146B71BBAD}"/>
    <cellStyle name="40% - Ênfase6 15" xfId="727" xr:uid="{62E53CC7-5E24-40F9-BC89-4F0647D02B32}"/>
    <cellStyle name="40% - Ênfase6 15 2" xfId="728" xr:uid="{2A9C7B13-6E79-4451-B80F-40B2B10BFA99}"/>
    <cellStyle name="40% - Ênfase6 16" xfId="729" xr:uid="{948AE245-139C-46B3-9ECB-A77682E8F210}"/>
    <cellStyle name="40% - Ênfase6 16 2" xfId="730" xr:uid="{4147494D-8989-4204-846E-7F44C205BAE2}"/>
    <cellStyle name="40% - Ênfase6 17" xfId="731" xr:uid="{739FB311-10A8-45C7-B2CD-B6D027967647}"/>
    <cellStyle name="40% - Ênfase6 17 2" xfId="732" xr:uid="{1E86ED9B-1D67-467E-98BF-4756C7AC3ACD}"/>
    <cellStyle name="40% - Ênfase6 18" xfId="733" xr:uid="{04EFE255-21CA-48DE-AB0F-6B76D7D8784D}"/>
    <cellStyle name="40% - Ênfase6 18 2" xfId="734" xr:uid="{80280FAD-88EE-4F87-AEC8-41A495894FCA}"/>
    <cellStyle name="40% - Ênfase6 19" xfId="735" xr:uid="{5D61BBB8-FE47-4DEA-AB18-5DBE376112AF}"/>
    <cellStyle name="40% - Ênfase6 19 2" xfId="736" xr:uid="{6CB5D9E5-EBEB-4625-BD3C-C5AFFF3F55B6}"/>
    <cellStyle name="40% - Ênfase6 2" xfId="737" xr:uid="{971D35C9-C045-4495-8DCB-FA1DF8AD7C24}"/>
    <cellStyle name="40% - Ênfase6 2 2" xfId="738" xr:uid="{A02D2961-844B-4B0F-B589-9C97D1A908B6}"/>
    <cellStyle name="40% - Ênfase6 2 3" xfId="909" xr:uid="{90E7554F-3BDA-4076-81B0-1F741A9847D2}"/>
    <cellStyle name="40% - Ênfase6 20" xfId="739" xr:uid="{8EE6C5A3-C797-452A-8A43-F4589813BE31}"/>
    <cellStyle name="40% - Ênfase6 20 2" xfId="740" xr:uid="{C9483F92-F2F4-420B-8C1F-14CF652E1653}"/>
    <cellStyle name="40% - Ênfase6 21" xfId="741" xr:uid="{23A1D4F0-5C52-4BCF-B55A-96E062498385}"/>
    <cellStyle name="40% - Ênfase6 21 2" xfId="742" xr:uid="{CB05D145-FAF7-4F68-9CC3-C6547A64E19F}"/>
    <cellStyle name="40% - Ênfase6 22" xfId="743" xr:uid="{ED03752B-942E-4654-A7B7-572652B87135}"/>
    <cellStyle name="40% - Ênfase6 22 2" xfId="744" xr:uid="{31EE6DF1-AB64-45BA-B51A-192DC525F5DC}"/>
    <cellStyle name="40% - Ênfase6 23" xfId="745" xr:uid="{47898C4E-7EEF-4C29-A289-4143C53447AC}"/>
    <cellStyle name="40% - Ênfase6 23 2" xfId="746" xr:uid="{6807E4FC-E2A6-411F-9595-5210F73B7981}"/>
    <cellStyle name="40% - Ênfase6 24" xfId="747" xr:uid="{EAD740F5-A076-45CA-BF1D-398675E92239}"/>
    <cellStyle name="40% - Ênfase6 24 2" xfId="748" xr:uid="{FDF84B1B-0743-4198-81E8-17A7CDEB79A1}"/>
    <cellStyle name="40% - Ênfase6 25" xfId="749" xr:uid="{E37660C9-D262-470B-9143-AD5A2CC02947}"/>
    <cellStyle name="40% - Ênfase6 26" xfId="750" xr:uid="{02992339-5530-4AEB-AF92-FE16E5712796}"/>
    <cellStyle name="40% - Ênfase6 27" xfId="751" xr:uid="{DA5F4AEB-09E4-4301-9C13-66BD3287F654}"/>
    <cellStyle name="40% - Ênfase6 28" xfId="752" xr:uid="{0BBCABC5-1EB1-44C4-8789-F683FA0E6415}"/>
    <cellStyle name="40% - Ênfase6 29" xfId="753" xr:uid="{59F698D5-55D6-4A72-B6FE-7052288D8854}"/>
    <cellStyle name="40% - Ênfase6 3" xfId="754" xr:uid="{17A7B070-93BC-4F94-AE87-293985DC8FFD}"/>
    <cellStyle name="40% - Ênfase6 3 2" xfId="755" xr:uid="{8CE39281-ACF7-4A57-8EF8-5620335FDB0C}"/>
    <cellStyle name="40% - Ênfase6 30" xfId="756" xr:uid="{FEF83A49-3F4F-467C-895D-EF00EAA2A155}"/>
    <cellStyle name="40% - Ênfase6 31" xfId="757" xr:uid="{1006B4FA-F9F7-42B9-92F9-8FA653E4B192}"/>
    <cellStyle name="40% - Ênfase6 32" xfId="758" xr:uid="{708CAB20-6EBF-4E6C-82B3-580D249AE467}"/>
    <cellStyle name="40% - Ênfase6 33" xfId="759" xr:uid="{D3BB1116-7F97-4290-9673-359C279A88FC}"/>
    <cellStyle name="40% - Ênfase6 34" xfId="760" xr:uid="{1980FD63-C986-4800-B90C-145293477EB2}"/>
    <cellStyle name="40% - Ênfase6 35" xfId="761" xr:uid="{A64007BF-3504-4F5C-BF81-78BB7D72C5A2}"/>
    <cellStyle name="40% - Ênfase6 36" xfId="762" xr:uid="{AE415923-0FCA-4FBD-A71F-9CA9B6306411}"/>
    <cellStyle name="40% - Ênfase6 4" xfId="763" xr:uid="{FAE97682-F6D0-4641-9227-258080743A97}"/>
    <cellStyle name="40% - Ênfase6 4 2" xfId="764" xr:uid="{0676C8C2-4F9F-4EF3-99FC-CA2B8C091458}"/>
    <cellStyle name="40% - Ênfase6 5" xfId="765" xr:uid="{1ED5D87B-5A8A-41FF-AD56-49F576A8F88A}"/>
    <cellStyle name="40% - Ênfase6 5 2" xfId="766" xr:uid="{AE2CB4B0-3BDD-4638-A3BC-3FC1950BA04F}"/>
    <cellStyle name="40% - Ênfase6 6" xfId="767" xr:uid="{0793358F-C7CD-4299-9A7C-3799AB1E3556}"/>
    <cellStyle name="40% - Ênfase6 6 2" xfId="768" xr:uid="{477E2FD0-9776-4704-80AD-552478AFAE37}"/>
    <cellStyle name="40% - Ênfase6 7" xfId="769" xr:uid="{DAB16DB7-5C3B-44FF-BBCB-CBE8EAE25C8D}"/>
    <cellStyle name="40% - Ênfase6 7 2" xfId="770" xr:uid="{DF699F82-32E0-4A46-870D-FE49262D0818}"/>
    <cellStyle name="40% - Ênfase6 8" xfId="771" xr:uid="{88CA5FCD-4087-4667-890E-8DD786D8F96C}"/>
    <cellStyle name="40% - Ênfase6 8 2" xfId="772" xr:uid="{05D76EBE-2A2A-40E5-9C31-3D6C273A9798}"/>
    <cellStyle name="40% - Ênfase6 9" xfId="773" xr:uid="{D8831514-6209-48A1-80BB-ADE4F33A7EA4}"/>
    <cellStyle name="40% - Ênfase6 9 2" xfId="774" xr:uid="{9CBB64DD-C772-4092-AC9B-68D556978A32}"/>
    <cellStyle name="60% - Accent1" xfId="910" xr:uid="{B8A5C4D5-90F3-4A1E-BF52-CC599935EC88}"/>
    <cellStyle name="60% - Accent2" xfId="911" xr:uid="{90BDBDFE-AF41-49E3-8E52-3DD36932A535}"/>
    <cellStyle name="60% - Accent3" xfId="912" xr:uid="{99A2AAF9-5A24-4DBB-9851-E17C558C45B1}"/>
    <cellStyle name="60% - Accent4" xfId="913" xr:uid="{9B5AA5EA-A233-43E6-AFF9-6DEC9079E835}"/>
    <cellStyle name="60% - Accent5" xfId="914" xr:uid="{1C721386-1016-4376-B975-BB09DBA09A7E}"/>
    <cellStyle name="60% - Accent6" xfId="915" xr:uid="{8251F03F-779A-4CFD-82C6-712D5FC98C36}"/>
    <cellStyle name="60% - Ênfase1 2" xfId="916" xr:uid="{288B1594-4067-4E42-AD7F-758D0B91EF78}"/>
    <cellStyle name="60% - Ênfase2 2" xfId="917" xr:uid="{EFEABB52-B4E5-4C70-9C26-B9A205C82890}"/>
    <cellStyle name="60% - Ênfase3 2" xfId="918" xr:uid="{7DC44E56-2AE6-4DB4-8281-6EE1C50E111A}"/>
    <cellStyle name="60% - Ênfase4 2" xfId="919" xr:uid="{0915ABDC-8125-4C91-8D7D-AB9E3CBAC6E0}"/>
    <cellStyle name="60% - Ênfase5 2" xfId="920" xr:uid="{CFD77C3B-C62B-4EE0-A17C-469A0AFC24FC}"/>
    <cellStyle name="60% - Ênfase6 2" xfId="921" xr:uid="{C82ADCDB-EB5F-4730-AB5E-114D4038C64C}"/>
    <cellStyle name="Accent1" xfId="922" xr:uid="{5893452F-ECDB-4E95-812D-BB24168B0D96}"/>
    <cellStyle name="Accent2" xfId="923" xr:uid="{730CE9E4-09CA-448D-938C-535C2B98AB9B}"/>
    <cellStyle name="Accent3" xfId="924" xr:uid="{DD463CF3-D0B6-4EBA-B30B-175BD6BED3A2}"/>
    <cellStyle name="Accent4" xfId="925" xr:uid="{40FBEE9E-1641-4B52-A681-DA6EC5B04367}"/>
    <cellStyle name="Accent5" xfId="926" xr:uid="{F1B9D169-8861-4BD6-BE5E-AA449D2B3FE4}"/>
    <cellStyle name="Accent6" xfId="927" xr:uid="{9E4C5610-1D14-4F5B-87C6-548E897057E0}"/>
    <cellStyle name="Bad" xfId="928" xr:uid="{B449AE34-D2CB-46D2-8A30-072EB9F40DE2}"/>
    <cellStyle name="blp_datetime" xfId="884" xr:uid="{ECA6DCAD-2E13-4B65-871F-7449D08FB631}"/>
    <cellStyle name="Bom 2" xfId="929" xr:uid="{4D68472B-58A4-44FE-811C-774416AC5794}"/>
    <cellStyle name="Calculation" xfId="930" xr:uid="{E64E3820-7DAC-48DF-ADB2-538D8859FDEB}"/>
    <cellStyle name="Calculation 2" xfId="973" xr:uid="{858B2CDC-CFAC-4491-BE9F-982DEF4C350E}"/>
    <cellStyle name="Cálculo 2" xfId="931" xr:uid="{BFFEE5D4-347C-43EB-BEA3-DA4F9DCF9C2E}"/>
    <cellStyle name="Cálculo 3" xfId="974" xr:uid="{D98B914C-86B3-4535-B60A-8F7D6EC8640F}"/>
    <cellStyle name="Célula de Verificação 2" xfId="932" xr:uid="{AF7ABDE9-9E7F-4E9D-A245-05F591A4E2C1}"/>
    <cellStyle name="Célula Vinculada 2" xfId="933" xr:uid="{B15C6E21-D99A-43BE-8464-69C0DD899620}"/>
    <cellStyle name="Check Cell" xfId="934" xr:uid="{9CBB8F17-A2CC-49CB-904F-DD27649932BC}"/>
    <cellStyle name="Comma 2" xfId="15" xr:uid="{1C2EBF39-68A4-4256-AEE2-6B699782A828}"/>
    <cellStyle name="Comma 2 2" xfId="16" xr:uid="{99F4EBBB-3DA5-4056-832E-867BCD347ECC}"/>
    <cellStyle name="Comma 2 2 2" xfId="40" xr:uid="{FB73EC37-0C5F-4DD6-8098-4369CFDFF5F0}"/>
    <cellStyle name="Comma 2 2 2 2" xfId="68" xr:uid="{5F949EBD-C01A-4E3C-93A5-D2E1414C25E4}"/>
    <cellStyle name="Comma 2 2 3" xfId="59" xr:uid="{9751B825-9FFE-4991-B306-91A8C3578478}"/>
    <cellStyle name="Comma 2 3" xfId="17" xr:uid="{50BFDDD0-247D-4FB5-9176-EF0F071C2B6C}"/>
    <cellStyle name="Comma 2 3 2" xfId="41" xr:uid="{4E9F4F02-9E71-47B0-B426-2655505837C3}"/>
    <cellStyle name="Comma 2 3 2 2" xfId="69" xr:uid="{F7CB2691-E4C6-44D2-9ADF-734285A27B46}"/>
    <cellStyle name="Comma 2 3 3" xfId="60" xr:uid="{7A066FD6-51CF-4066-ACAF-C317DD767A93}"/>
    <cellStyle name="Comma 2 4" xfId="18" xr:uid="{E329018D-AED5-4863-9F2F-BD298C58D6B5}"/>
    <cellStyle name="Comma 2 4 2" xfId="42" xr:uid="{C4F869A5-473F-4870-9D39-96A55969FC48}"/>
    <cellStyle name="Comma 2 4 2 2" xfId="70" xr:uid="{DC17BD9F-1D9A-48BC-8F56-D7448BA791EA}"/>
    <cellStyle name="Comma 2 4 3" xfId="61" xr:uid="{052A647E-7830-46B0-8A62-5E1CD448B3EC}"/>
    <cellStyle name="Comma 2 5" xfId="39" xr:uid="{FDC9CAFA-7C69-493B-AA01-42E0F6929B1B}"/>
    <cellStyle name="Comma 2 5 2" xfId="67" xr:uid="{9A2F8FDA-6559-4671-9CCC-A79CE63ACB8A}"/>
    <cellStyle name="Comma 2 6" xfId="58" xr:uid="{751BD7C1-8B15-43AA-AFA2-FC44C65745A9}"/>
    <cellStyle name="Comma 4" xfId="874" xr:uid="{955FCF47-3070-4BEC-8B58-BF92F975DDDB}"/>
    <cellStyle name="Ênfase1 2" xfId="935" xr:uid="{1722BC69-8842-44A0-8CA2-04DF4299A5FE}"/>
    <cellStyle name="Ênfase2 2" xfId="936" xr:uid="{A5074523-46E2-43A9-9ACA-758FEFF0956F}"/>
    <cellStyle name="Ênfase3 2" xfId="937" xr:uid="{9F9D588F-7BA7-4C46-BC81-18C502C42631}"/>
    <cellStyle name="Ênfase4 2" xfId="938" xr:uid="{2AAB4757-74AD-47A9-BFCD-FE9A962B8494}"/>
    <cellStyle name="Ênfase5 2" xfId="939" xr:uid="{5C13F80C-33A3-41F8-9D5E-A6483927674F}"/>
    <cellStyle name="Ênfase6 2" xfId="940" xr:uid="{026EDC45-9ED9-4120-AC55-ADBE9EEB9088}"/>
    <cellStyle name="Entrada 2" xfId="941" xr:uid="{E9F137D9-C094-4309-B3BC-A05947A3CB76}"/>
    <cellStyle name="Entrada 3" xfId="975" xr:uid="{D4301A21-B213-4E10-97F3-F28F4D1BC6EF}"/>
    <cellStyle name="Explanatory Text" xfId="942" xr:uid="{9245D4D5-6207-4792-B3E0-DDA07BE10854}"/>
    <cellStyle name="Good" xfId="943" xr:uid="{EF8FD38C-830A-4F20-9C6D-45935109C482}"/>
    <cellStyle name="Heading 1" xfId="944" xr:uid="{74C9504E-8D4D-4D75-BC30-1E2770DF5302}"/>
    <cellStyle name="Heading 2" xfId="945" xr:uid="{0C25965B-49D3-46F2-9FEB-BFAD12F7086D}"/>
    <cellStyle name="Heading 3" xfId="946" xr:uid="{30685C27-9BD3-4D5B-81DF-5EAC53E9090E}"/>
    <cellStyle name="Heading 4" xfId="947" xr:uid="{FEEBBDD2-4F23-45A9-A788-02FC28BCD7D6}"/>
    <cellStyle name="Hiperlink" xfId="11" builtinId="8"/>
    <cellStyle name="Hyperlink 2" xfId="19" xr:uid="{CD858FAC-53C7-45FD-AE25-DA7CB90F465C}"/>
    <cellStyle name="Input" xfId="948" xr:uid="{2D3BAAF7-0585-4CFB-91A6-6B9D01AE1AF5}"/>
    <cellStyle name="Input 2" xfId="976" xr:uid="{5CC04550-0425-431B-BDDE-4FA04B2F7AB7}"/>
    <cellStyle name="Linked Cell" xfId="949" xr:uid="{56B67D76-519F-43D9-B658-D2BB8E3A9531}"/>
    <cellStyle name="Moeda" xfId="869" builtinId="4"/>
    <cellStyle name="Moeda 2" xfId="43" xr:uid="{9561DE86-00C4-41A8-8751-5F63BB986D06}"/>
    <cellStyle name="Moeda 2 2" xfId="872" xr:uid="{C5270D4A-6E49-4CF9-B944-FA87386223C5}"/>
    <cellStyle name="Moeda 2 3" xfId="966" xr:uid="{6DE0B227-FCCB-44BA-A447-87A88A9335CB}"/>
    <cellStyle name="Moeda 2 4" xfId="877" xr:uid="{F412AC14-013A-4CD7-AAD2-6D04392E6515}"/>
    <cellStyle name="Moeda 3" xfId="866" xr:uid="{913CB81F-6B07-4276-8ED3-3547131993B4}"/>
    <cellStyle name="Moeda 3 2" xfId="971" xr:uid="{8E1D72B5-E9AD-4CCD-AB02-253D8E68F152}"/>
    <cellStyle name="Moeda 4" xfId="20" xr:uid="{F8004CDC-F9DE-4034-8706-153806A69ACA}"/>
    <cellStyle name="Neutral" xfId="950" xr:uid="{413F03B4-1716-4E94-B63E-4A6F6580749C}"/>
    <cellStyle name="Normal" xfId="0" builtinId="0"/>
    <cellStyle name="Normal 10" xfId="2" xr:uid="{97F6456F-8B68-4FAC-BC9C-4D78AF85F7C8}"/>
    <cellStyle name="Normal 10 2" xfId="775" xr:uid="{8094A14A-934B-4E85-B3B5-7A0678E3C4F8}"/>
    <cellStyle name="Normal 11" xfId="776" xr:uid="{5D884484-9BAA-46F4-92A3-6DBE170B412B}"/>
    <cellStyle name="Normal 11 2" xfId="777" xr:uid="{55E22624-02D4-48D7-AECC-A690804A5D3B}"/>
    <cellStyle name="Normal 12" xfId="778" xr:uid="{1FB577FF-E5A8-4F2D-943B-D05D843E553B}"/>
    <cellStyle name="Normal 13" xfId="779" xr:uid="{17643C36-B846-4ED4-AA8F-37AF7D5247CF}"/>
    <cellStyle name="Normal 14" xfId="780" xr:uid="{A84041DF-4439-498D-969E-75232811AABD}"/>
    <cellStyle name="Normal 15" xfId="781" xr:uid="{AA557411-D201-441A-A49A-277612237A1A}"/>
    <cellStyle name="Normal 16" xfId="782" xr:uid="{BCB179E5-FA78-4F6C-870D-C8126C3481D1}"/>
    <cellStyle name="Normal 17" xfId="77" xr:uid="{4FBDD36F-F7FB-40AB-ABCB-A44B3BD3A80B}"/>
    <cellStyle name="Normal 18" xfId="868" xr:uid="{5F6CED1C-4AAC-47A3-8434-3832EEE518A7}"/>
    <cellStyle name="Normal 2" xfId="4" xr:uid="{02DF5A75-B36B-40D0-AA81-0171602BBCF0}"/>
    <cellStyle name="Normal 2 2" xfId="9" xr:uid="{768FF156-3060-4F3C-AC00-37A8B5E63E0E}"/>
    <cellStyle name="Normal 2 2 2" xfId="45" xr:uid="{17D110A0-93E8-4675-9248-8463EEC8D60A}"/>
    <cellStyle name="Normal 2 2 2 2" xfId="785" xr:uid="{4A9BF11C-70FC-49B2-B0F0-F9A77B42D254}"/>
    <cellStyle name="Normal 2 2 3" xfId="784" xr:uid="{CAACD49F-2575-43DF-8B81-7E4B00B8CD3C}"/>
    <cellStyle name="Normal 2 2 4" xfId="21" xr:uid="{0A502D70-A745-4EEE-BAFC-6BFAAAE177C9}"/>
    <cellStyle name="Normal 2 2 5" xfId="880" xr:uid="{4F14468F-BD83-46BD-A31D-E990AAAC2125}"/>
    <cellStyle name="Normal 2 3" xfId="44" xr:uid="{AFC1CC7A-F904-4203-99C2-CF530FAF1A07}"/>
    <cellStyle name="Normal 2 3 2" xfId="71" xr:uid="{0894B146-AA91-4BA8-B585-F64C98D031A6}"/>
    <cellStyle name="Normal 2 3 3" xfId="786" xr:uid="{A4DB84AC-C45D-42EB-9A20-DBA15E5D4EC1}"/>
    <cellStyle name="Normal 2 3 4" xfId="883" xr:uid="{73577C64-211D-4496-B265-A8BCCA528B94}"/>
    <cellStyle name="Normal 2 4" xfId="62" xr:uid="{AF6EB8A7-89E4-4514-87B3-016ED5C1CBB2}"/>
    <cellStyle name="Normal 2 4 2" xfId="875" xr:uid="{AD9C0766-27C1-4844-868F-835EFDBBD2D1}"/>
    <cellStyle name="Normal 2 5" xfId="783" xr:uid="{520B5560-8F2E-4F6E-89E1-59FDFCE9BC2D}"/>
    <cellStyle name="Normal 2 5 2" xfId="881" xr:uid="{F1FA7C6A-71F5-4CC4-B927-BBEEEA93BC14}"/>
    <cellStyle name="Normal 2 6" xfId="878" xr:uid="{81787E39-BECE-40A1-98E6-341B111ECAD8}"/>
    <cellStyle name="Normal 2_Cópia de samba in Pecem" xfId="876" xr:uid="{2B3996DE-5095-4E59-A964-83F011503402}"/>
    <cellStyle name="Normal 26 2 2" xfId="3" xr:uid="{FBC60ADE-267E-440D-BFD4-0777C68D437F}"/>
    <cellStyle name="Normal 26 2 2 2" xfId="8" xr:uid="{06816162-04AA-40F9-9696-2373ED647D72}"/>
    <cellStyle name="Normal 26 2 2 2 2" xfId="76" xr:uid="{64CE20E0-4488-407A-ABC5-AFF9E14D7C16}"/>
    <cellStyle name="Normal 26 2 2 3" xfId="64" xr:uid="{E36816BB-2E3A-4084-9A29-1A844BFFA3AA}"/>
    <cellStyle name="Normal 3" xfId="38" xr:uid="{20D0A431-9376-461B-B775-604B769B4C75}"/>
    <cellStyle name="Normal 3 2" xfId="22" xr:uid="{ED1CF454-1F5E-4BF6-8649-788D38C02594}"/>
    <cellStyle name="Normal 3 2 2" xfId="46" xr:uid="{5F6DEA1E-BFB4-406D-8A80-EDCB4906F594}"/>
    <cellStyle name="Normal 3 2 3" xfId="885" xr:uid="{2BDB115F-0312-424B-8C5C-66CA311D2E79}"/>
    <cellStyle name="Normal 3 3" xfId="23" xr:uid="{7A8BDDF4-3EBD-410F-AB5B-00A9DDEFF308}"/>
    <cellStyle name="Normal 3 3 2" xfId="47" xr:uid="{73025FBB-74C2-46E6-B389-6C0F7DCC18F9}"/>
    <cellStyle name="Normal 3 4" xfId="24" xr:uid="{E7B0FD1F-D69D-4FF9-A778-327A43A9B9D4}"/>
    <cellStyle name="Normal 3 4 2" xfId="48" xr:uid="{AF905402-AA9F-4193-95AC-9150D54DB0F0}"/>
    <cellStyle name="Normal 4" xfId="36" xr:uid="{74DE942C-3BED-4A0F-AF80-075066665E3F}"/>
    <cellStyle name="Normal 4 2" xfId="65" xr:uid="{7BDA0B3B-E311-4808-8A06-AC4BEDE9223A}"/>
    <cellStyle name="Normal 4 2 2" xfId="788" xr:uid="{F66A3804-722F-416A-AE3D-143759ED0702}"/>
    <cellStyle name="Normal 4 3" xfId="787" xr:uid="{BBDF5D0D-C5EA-4A64-A128-89D620EDD965}"/>
    <cellStyle name="Normal 5" xfId="789" xr:uid="{309C1A2D-3D9C-42C6-B2D1-FAD9A4773F11}"/>
    <cellStyle name="Normal 5 2" xfId="790" xr:uid="{2DB26B67-3765-402E-84CB-A2FF669CE2A8}"/>
    <cellStyle name="Normal 6" xfId="791" xr:uid="{B2313C2B-B007-4155-AFD0-DD40BD84B47E}"/>
    <cellStyle name="Normal 6 2" xfId="792" xr:uid="{366474FE-F373-42D3-9026-63DED46C3024}"/>
    <cellStyle name="Normal 7" xfId="793" xr:uid="{7085B4AE-9AA9-4D9F-8DE5-0F29869F22EC}"/>
    <cellStyle name="Normal 7 2" xfId="794" xr:uid="{C287FAB4-0F66-44C0-A7F2-50B11F0F15CF}"/>
    <cellStyle name="Normal 8" xfId="795" xr:uid="{F4EDF0B5-A455-41E6-A113-6EB1FEB6A7D1}"/>
    <cellStyle name="Normal 8 2" xfId="796" xr:uid="{7D015042-0713-477A-871B-A00756788A68}"/>
    <cellStyle name="Normal 9" xfId="797" xr:uid="{7214B725-94B4-4E82-8D73-17E1FB064EB9}"/>
    <cellStyle name="Normal 9 2" xfId="798" xr:uid="{D13AA23C-705F-4C8D-ACA2-3585DCA774B6}"/>
    <cellStyle name="Normal_Plan1" xfId="14" xr:uid="{C37A6213-F537-46D2-A49A-ADC35BF5C1FD}"/>
    <cellStyle name="Nota 10" xfId="799" xr:uid="{707208AA-4E71-42FD-9048-A2C74A117BC3}"/>
    <cellStyle name="Nota 10 2" xfId="800" xr:uid="{FBCF9120-B9C4-48DB-A1D0-88E91143E155}"/>
    <cellStyle name="Nota 11" xfId="801" xr:uid="{ED1235B0-7584-4208-B189-693ABE7E282A}"/>
    <cellStyle name="Nota 11 2" xfId="802" xr:uid="{EBE6F563-CE79-4F3F-9200-B114664DCD8F}"/>
    <cellStyle name="Nota 12" xfId="803" xr:uid="{83BF29E7-507A-4584-884C-FF83BC23FA77}"/>
    <cellStyle name="Nota 12 2" xfId="804" xr:uid="{722F1F89-15EC-4C0A-BEA4-EC6282A8F6B4}"/>
    <cellStyle name="Nota 13" xfId="805" xr:uid="{ABB6365C-298C-4C48-9F15-9A7593DB2882}"/>
    <cellStyle name="Nota 13 2" xfId="806" xr:uid="{5994B814-8CD8-4B72-B32D-5F6473AC15CA}"/>
    <cellStyle name="Nota 14" xfId="807" xr:uid="{05631A60-9B9C-49B3-971E-23EED0F61703}"/>
    <cellStyle name="Nota 14 2" xfId="808" xr:uid="{5FC976E1-B0FE-437F-99AE-C1FDC0FA96AF}"/>
    <cellStyle name="Nota 15" xfId="809" xr:uid="{149E7856-29B0-4D8B-B27F-12A8FB1AFFE3}"/>
    <cellStyle name="Nota 15 2" xfId="810" xr:uid="{6A6BC797-6F09-4C22-9876-D9D5BA107CF8}"/>
    <cellStyle name="Nota 16" xfId="811" xr:uid="{98C66094-02CC-4D0E-B07B-A1C37402EFB4}"/>
    <cellStyle name="Nota 16 2" xfId="812" xr:uid="{597924DC-2319-455F-B280-1897B9BBCC96}"/>
    <cellStyle name="Nota 17" xfId="813" xr:uid="{C64464CA-B807-45AD-901D-2FDE46D60B19}"/>
    <cellStyle name="Nota 17 2" xfId="814" xr:uid="{38F2EA08-EAF8-4CA8-B155-8A3136105338}"/>
    <cellStyle name="Nota 18" xfId="815" xr:uid="{E0F9BB08-EF14-4A47-823B-7756A6BA739A}"/>
    <cellStyle name="Nota 18 2" xfId="816" xr:uid="{10553878-2F81-4C4B-B034-0F63626C6A20}"/>
    <cellStyle name="Nota 19" xfId="817" xr:uid="{92851F4D-60E6-49C9-BE79-67C8FC6F9A2C}"/>
    <cellStyle name="Nota 19 2" xfId="818" xr:uid="{3A3A6285-6B28-45A3-B913-70B534B30398}"/>
    <cellStyle name="Nota 2" xfId="819" xr:uid="{1B4F993E-2A05-40DC-AE73-D59D5F7C2976}"/>
    <cellStyle name="Nota 2 2" xfId="967" xr:uid="{9451765D-A4CC-4C9F-9007-AD063B9748FD}"/>
    <cellStyle name="Nota 2 3" xfId="951" xr:uid="{206F4D65-4CB0-4EC1-B7C4-46FEDDD981A4}"/>
    <cellStyle name="Nota 20" xfId="820" xr:uid="{754A0FF8-5202-4A75-A2F5-8D6E8A51F40C}"/>
    <cellStyle name="Nota 20 2" xfId="821" xr:uid="{983295D1-C9CB-4DFD-919A-15BE565C25DB}"/>
    <cellStyle name="Nota 21" xfId="822" xr:uid="{C5A9DCB2-45EA-458D-8C22-F848390357C0}"/>
    <cellStyle name="Nota 21 2" xfId="823" xr:uid="{D819A65C-9381-4AF6-A206-C03A8A20957F}"/>
    <cellStyle name="Nota 22" xfId="824" xr:uid="{81007217-1D65-4D8F-8F28-A6FA74109D5F}"/>
    <cellStyle name="Nota 22 2" xfId="825" xr:uid="{E906697C-ED48-4B4F-9441-1584842E2A00}"/>
    <cellStyle name="Nota 23" xfId="826" xr:uid="{CCAD7AF1-CA15-4879-8C7F-8D8390C8E0F5}"/>
    <cellStyle name="Nota 23 2" xfId="827" xr:uid="{D5981EE6-DAA7-4767-B5D3-C7E107F5FE67}"/>
    <cellStyle name="Nota 24" xfId="828" xr:uid="{9A520C38-9E75-48FE-B566-468FEBA3670F}"/>
    <cellStyle name="Nota 24 2" xfId="829" xr:uid="{20E9BC8F-2AE4-4728-B570-8163AE2F6DB6}"/>
    <cellStyle name="Nota 25" xfId="830" xr:uid="{8B27CBC7-AD4D-4B61-9127-9680D62AD9AC}"/>
    <cellStyle name="Nota 25 2" xfId="831" xr:uid="{8DE4FF8A-51A8-4135-9D66-C381C3E12F6D}"/>
    <cellStyle name="Nota 26" xfId="832" xr:uid="{727E4E7D-15CD-4C40-BF3F-41EBF112DECD}"/>
    <cellStyle name="Nota 26 2" xfId="833" xr:uid="{E7636643-7D60-429A-A604-56EC7CE7F73F}"/>
    <cellStyle name="Nota 27" xfId="834" xr:uid="{0D1ED108-D6AA-43FA-87C6-37AEE513609A}"/>
    <cellStyle name="Nota 28" xfId="835" xr:uid="{52DEDD0A-2176-4A1C-9AF0-8C37DEDBBF39}"/>
    <cellStyle name="Nota 29" xfId="836" xr:uid="{6A9CABD5-DD43-47DF-A514-2DBD95D1F47B}"/>
    <cellStyle name="Nota 3" xfId="837" xr:uid="{ADB8F0AD-7086-4C3F-9C0C-A1EE9FEB2DE6}"/>
    <cellStyle name="Nota 3 2" xfId="838" xr:uid="{3EA1B2AF-C158-42F5-B590-059E1346739D}"/>
    <cellStyle name="Nota 30" xfId="839" xr:uid="{5B1E0717-CC11-4B97-B840-D956C4B72C51}"/>
    <cellStyle name="Nota 31" xfId="840" xr:uid="{4CAE69E9-EB0F-4AE4-93C1-57895D9489F9}"/>
    <cellStyle name="Nota 32" xfId="841" xr:uid="{41457CCE-D017-405D-BF5F-0D0BF6F514CC}"/>
    <cellStyle name="Nota 33" xfId="842" xr:uid="{88F2CDC5-C903-4B18-B3D6-DE59DD7BB143}"/>
    <cellStyle name="Nota 34" xfId="843" xr:uid="{08FEB96F-D1A1-4DA3-96C9-F2E399C3E444}"/>
    <cellStyle name="Nota 35" xfId="844" xr:uid="{25CE6C1C-B28A-4E76-B982-55E591EFC0FD}"/>
    <cellStyle name="Nota 36" xfId="845" xr:uid="{F7ED07F2-F094-4D42-96DA-814F370CD09F}"/>
    <cellStyle name="Nota 37" xfId="846" xr:uid="{73400D77-6792-4ECA-91CC-3323A0EABD98}"/>
    <cellStyle name="Nota 4" xfId="847" xr:uid="{BF16BC70-5755-4907-B657-91B6860EB4A3}"/>
    <cellStyle name="Nota 4 2" xfId="848" xr:uid="{C1D8B208-7B29-49A1-869E-49E47051D22D}"/>
    <cellStyle name="Nota 4 3" xfId="977" xr:uid="{5C2D5C91-5CE8-4177-9728-F9F51B102564}"/>
    <cellStyle name="Nota 5" xfId="849" xr:uid="{58CCBDE5-D57A-47BE-B856-73D9606BA454}"/>
    <cellStyle name="Nota 5 2" xfId="850" xr:uid="{E3BF5166-4BC0-4C49-8719-00013742EAF3}"/>
    <cellStyle name="Nota 6" xfId="851" xr:uid="{BBADD63F-1F41-43C5-AC3C-23753F663DA9}"/>
    <cellStyle name="Nota 6 2" xfId="852" xr:uid="{FC7C4CB6-A7E2-40E6-B789-3878F120684E}"/>
    <cellStyle name="Nota 7" xfId="853" xr:uid="{49DD7FE2-FCFB-4682-9F47-9063D28666FF}"/>
    <cellStyle name="Nota 7 2" xfId="854" xr:uid="{0D69B039-8482-4AC1-BF94-B01F917027A1}"/>
    <cellStyle name="Nota 8" xfId="855" xr:uid="{CADE3940-57AC-4E7C-A525-078F4CE9A6B9}"/>
    <cellStyle name="Nota 8 2" xfId="856" xr:uid="{B406B0EF-8CFE-435B-AA03-D756303A8E62}"/>
    <cellStyle name="Nota 9" xfId="857" xr:uid="{272DCFFC-860E-42FF-B78D-DECB16F4C98D}"/>
    <cellStyle name="Nota 9 2" xfId="858" xr:uid="{F86A395E-B5FC-4B40-822C-A2A2A7CB801F}"/>
    <cellStyle name="Note" xfId="952" xr:uid="{B0D88377-BB7E-4B1C-8D72-A868B7E85BD0}"/>
    <cellStyle name="Note 2" xfId="978" xr:uid="{F014FFC8-4A39-4C48-AC57-2C0FEB97D814}"/>
    <cellStyle name="Output" xfId="953" xr:uid="{594AAE7D-F6B6-412B-8873-5A27688BEEB3}"/>
    <cellStyle name="Output 2" xfId="979" xr:uid="{51530DE1-8ABC-44D4-B079-DDDC77D2C413}"/>
    <cellStyle name="Percent 2" xfId="25" xr:uid="{18E30E22-3F58-4B16-A2C7-063634F30C59}"/>
    <cellStyle name="Percent 2 2" xfId="26" xr:uid="{0026219C-AEC8-4C73-985A-3C3278CB33E2}"/>
    <cellStyle name="Percent 2 3" xfId="27" xr:uid="{E0598F40-5D71-41DB-9C22-836FE783B4E8}"/>
    <cellStyle name="Percent 2 4" xfId="28" xr:uid="{A1150F7C-7112-485C-B84B-1AF4C967F485}"/>
    <cellStyle name="Porcentagem" xfId="5" builtinId="5"/>
    <cellStyle name="Porcentagem 2" xfId="12" xr:uid="{F51BC7D3-71C8-4AA2-964E-8FD089DC3032}"/>
    <cellStyle name="Porcentagem 2 2" xfId="29" xr:uid="{8F71C8E6-A28B-4838-B01F-54572AF8E074}"/>
    <cellStyle name="Porcentagem 2 2 2" xfId="51" xr:uid="{37976A70-A928-4864-BC48-BDF1EEE35F6A}"/>
    <cellStyle name="Porcentagem 2 2 3" xfId="882" xr:uid="{1FBA8624-E6EE-4CFC-A1A5-145AFA88E5A6}"/>
    <cellStyle name="Porcentagem 2 3" xfId="30" xr:uid="{5A3D1163-6CEB-4527-80BC-FD09AF40D861}"/>
    <cellStyle name="Porcentagem 2 3 2" xfId="52" xr:uid="{9D3AD7F6-9205-4AD9-9088-D5BE8B106B18}"/>
    <cellStyle name="Porcentagem 2 4" xfId="31" xr:uid="{C367C5AA-E3D6-4156-A895-E0F030B27822}"/>
    <cellStyle name="Porcentagem 2 4 2" xfId="53" xr:uid="{D9B9EB68-945B-4064-A019-DEE1DFA339C1}"/>
    <cellStyle name="Porcentagem 2 5" xfId="50" xr:uid="{9E60EBF3-31BE-46EE-974E-B3741F31B4A9}"/>
    <cellStyle name="Porcentagem 2 6" xfId="859" xr:uid="{B7A77888-AFC0-4705-A0EA-7AECF13C3A26}"/>
    <cellStyle name="Porcentagem 3" xfId="49" xr:uid="{FD0238C1-BA8F-41C1-B5E4-ECF47889426B}"/>
    <cellStyle name="Porcentagem 4" xfId="867" xr:uid="{3626362A-57F0-4F85-98DF-C3219D159EEF}"/>
    <cellStyle name="Saída 2" xfId="954" xr:uid="{51A80A0F-6ED1-454A-AB62-37A3D94C797E}"/>
    <cellStyle name="Saída 3" xfId="980" xr:uid="{05BC7270-D120-444C-BBBC-61E40FEF30A9}"/>
    <cellStyle name="Separador de milhares 2" xfId="32" xr:uid="{5468F3E2-8E94-432C-A3D3-AC0AA0C22D3E}"/>
    <cellStyle name="Separador de milhares 2 2" xfId="54" xr:uid="{0172CEE8-AF69-41F5-A446-6A92D86AEC59}"/>
    <cellStyle name="Separador de milhares 2 2 2" xfId="72" xr:uid="{1FA63DB7-61DA-4B37-B912-1E79A8EDA6FC}"/>
    <cellStyle name="Separador de milhares 2 3" xfId="63" xr:uid="{6B319526-97D6-4E75-B9DB-D70E3477BF18}"/>
    <cellStyle name="Separador de milhares 2 4" xfId="871" xr:uid="{DEDFDEE8-EF4F-4545-80C8-8CD6599F0879}"/>
    <cellStyle name="Separador de milhares 2 84" xfId="969" xr:uid="{F031FEA3-9236-4F81-890F-4556000C1A0F}"/>
    <cellStyle name="Separador de milhares 4" xfId="33" xr:uid="{698EFA79-39BA-4C3C-AB2B-6A62B3B85499}"/>
    <cellStyle name="Separador de milhares 4 2" xfId="55" xr:uid="{EF643507-4A56-4598-AFD1-4587F1649D55}"/>
    <cellStyle name="Separador de milhares 4 2 2" xfId="73" xr:uid="{15523096-625A-46E3-B38D-8CDB03FBF0F1}"/>
    <cellStyle name="Texto de Aviso 2" xfId="955" xr:uid="{07AAB55D-2F48-45F5-B2DD-2461D41E143A}"/>
    <cellStyle name="Texto Explicativo 2" xfId="956" xr:uid="{C1BDC150-2334-40DE-BECF-9CC27BE2DB1C}"/>
    <cellStyle name="Title" xfId="957" xr:uid="{6A46EFBD-32F0-46B3-999E-69E5D989B2E4}"/>
    <cellStyle name="Título 1 2" xfId="959" xr:uid="{2C230F38-3439-4207-8852-01304E2D62D8}"/>
    <cellStyle name="Título 2 2" xfId="960" xr:uid="{3C462000-86D4-4420-AAB9-6AA11ABECF10}"/>
    <cellStyle name="Título 3 2" xfId="961" xr:uid="{D22C60FB-310D-4B0A-AF91-4C34993AB2EC}"/>
    <cellStyle name="Título 4 2" xfId="962" xr:uid="{FF897645-C553-4122-B9CC-AAACF819A7D8}"/>
    <cellStyle name="Título 5" xfId="958" xr:uid="{FEF355FC-B082-462A-8A7C-59A627641F9D}"/>
    <cellStyle name="Total 2" xfId="963" xr:uid="{CF6CD9F4-A57D-4C66-8D59-A45513E51CCE}"/>
    <cellStyle name="Total 3" xfId="981" xr:uid="{BC78747B-9A3A-4573-B1F8-E20198D25250}"/>
    <cellStyle name="Vírgula" xfId="1" builtinId="3"/>
    <cellStyle name="Vírgula 2" xfId="6" xr:uid="{92BFFDE4-2889-4AB1-AAF4-07BDB7207C86}"/>
    <cellStyle name="Vírgula 2 2" xfId="10" xr:uid="{C1DD72A6-7D6E-4F82-B093-281E47104C4C}"/>
    <cellStyle name="Vírgula 2 2 2" xfId="861" xr:uid="{E96964AE-B390-4C23-9B52-ED220E2E9EA9}"/>
    <cellStyle name="Vírgula 2 2 2 2" xfId="970" xr:uid="{8B321CF9-7281-415F-A896-07F055D2721F}"/>
    <cellStyle name="Vírgula 2 2 3" xfId="74" xr:uid="{D1DBA466-86C4-4928-ABD9-D7636D02FE33}"/>
    <cellStyle name="Vírgula 2 3" xfId="862" xr:uid="{D3943846-5A75-4E08-8E8C-633C5F38E210}"/>
    <cellStyle name="Vírgula 2 3 2" xfId="968" xr:uid="{63969FD7-8B8C-42F9-AB48-5B6E5E1FC90A}"/>
    <cellStyle name="Vírgula 2 4" xfId="860" xr:uid="{993F0598-3DE1-4104-BC97-34DB7E01F678}"/>
    <cellStyle name="Vírgula 2 5" xfId="56" xr:uid="{E932CDB3-7374-498E-9278-412ED8C12265}"/>
    <cellStyle name="Vírgula 3" xfId="7" xr:uid="{D260A292-9117-470F-B00F-3D4BDADA7A93}"/>
    <cellStyle name="Vírgula 3 2" xfId="57" xr:uid="{6136D80C-2394-4CEF-9FEE-04BE3033A371}"/>
    <cellStyle name="Vírgula 3 2 2" xfId="75" xr:uid="{BDCC348C-C773-4A36-B38D-C91F6FA843B3}"/>
    <cellStyle name="Vírgula 3 2 3" xfId="864" xr:uid="{175BD73D-C4B0-4113-9D90-F72B0C22A49C}"/>
    <cellStyle name="Vírgula 3 2 4" xfId="879" xr:uid="{6E2F56A7-14E0-4394-8ABC-9CFD276D1DE1}"/>
    <cellStyle name="Vírgula 3 3" xfId="863" xr:uid="{FC1C93B8-8075-4204-8EC6-A768635E261D}"/>
    <cellStyle name="Vírgula 3 3 2" xfId="972" xr:uid="{F297526F-306F-4681-A81C-66432263E7E3}"/>
    <cellStyle name="Vírgula 3 4" xfId="35" xr:uid="{901C7729-DE60-40D3-A511-B3B5EF77873A}"/>
    <cellStyle name="Vírgula 4" xfId="13" xr:uid="{5F577535-5D25-41D1-BA03-2D1C1BBDD2D1}"/>
    <cellStyle name="Vírgula 4 2" xfId="66" xr:uid="{6A41C5B3-3264-457B-BCC5-7313841F7F1B}"/>
    <cellStyle name="Vírgula 4 3" xfId="865" xr:uid="{4A688997-CA5E-416B-8C96-20E7700C4CDC}"/>
    <cellStyle name="Vírgula 4 4" xfId="37" xr:uid="{AF55F47B-B986-4FCC-BA11-8F6D99F5ED67}"/>
    <cellStyle name="Vírgula 4 5" xfId="965" xr:uid="{4145FB1D-7D4F-4735-96BA-272CFF90A4F5}"/>
    <cellStyle name="Vírgula 5" xfId="78" xr:uid="{9ED1D25C-CF43-42B4-9F6E-8CECE822BF04}"/>
    <cellStyle name="Vírgula 6" xfId="34" xr:uid="{84D193E4-27A4-40FF-B0A5-F26415DEA5E6}"/>
    <cellStyle name="Vírgula 7" xfId="870" xr:uid="{B38BFAB6-8CC5-4AEF-87E8-C6B808470BA2}"/>
    <cellStyle name="Warning Text" xfId="964" xr:uid="{B676319B-033E-4594-B844-0BFD030569ED}"/>
  </cellStyles>
  <dxfs count="0"/>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oneCellAnchor>
    <xdr:from>
      <xdr:col>0</xdr:col>
      <xdr:colOff>699910</xdr:colOff>
      <xdr:row>5</xdr:row>
      <xdr:rowOff>167217</xdr:rowOff>
    </xdr:from>
    <xdr:ext cx="3196068" cy="199991"/>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7548B789-9057-65D9-A02C-0927D7DF6A81}"/>
                </a:ext>
              </a:extLst>
            </xdr:cNvPr>
            <xdr:cNvSpPr txBox="1"/>
          </xdr:nvSpPr>
          <xdr:spPr>
            <a:xfrm>
              <a:off x="699910" y="1133828"/>
              <a:ext cx="3196068" cy="199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20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𝐹𝑖𝑛𝑎𝑙</m:t>
                        </m:r>
                      </m:sub>
                    </m:sSub>
                    <m:r>
                      <a:rPr lang="pt-BR" sz="1200" b="0" i="1">
                        <a:latin typeface="Cambria Math" panose="02040503050406030204" pitchFamily="18" charset="0"/>
                      </a:rPr>
                      <m:t>= </m:t>
                    </m:r>
                    <m:sSub>
                      <m:sSubPr>
                        <m:ctrlPr>
                          <a:rPr lang="pt-BR" sz="1200" b="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𝐺𝑇𝐴𝑠</m:t>
                        </m:r>
                        <m:r>
                          <a:rPr lang="pt-BR" sz="1200" b="0" i="1">
                            <a:latin typeface="Cambria Math" panose="02040503050406030204" pitchFamily="18" charset="0"/>
                          </a:rPr>
                          <m:t> </m:t>
                        </m:r>
                        <m:r>
                          <a:rPr lang="pt-BR" sz="1200" b="0" i="1">
                            <a:latin typeface="Cambria Math" panose="02040503050406030204" pitchFamily="18" charset="0"/>
                          </a:rPr>
                          <m:t>𝐿𝑒𝑔𝑎𝑑𝑜𝑠</m:t>
                        </m:r>
                      </m:sub>
                    </m:sSub>
                    <m:r>
                      <a:rPr lang="pt-BR" sz="1200" b="0" i="1">
                        <a:latin typeface="Cambria Math" panose="02040503050406030204" pitchFamily="18" charset="0"/>
                      </a:rPr>
                      <m:t>+ </m:t>
                    </m:r>
                    <m:sSub>
                      <m:sSubPr>
                        <m:ctrlPr>
                          <a:rPr lang="pt-BR" sz="1200" b="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𝐵𝑅𝐴</m:t>
                        </m:r>
                      </m:sub>
                    </m:sSub>
                  </m:oMath>
                </m:oMathPara>
              </a14:m>
              <a:endParaRPr lang="pt-BR" sz="1200"/>
            </a:p>
          </xdr:txBody>
        </xdr:sp>
      </mc:Choice>
      <mc:Fallback xmlns="">
        <xdr:sp macro="" textlink="">
          <xdr:nvSpPr>
            <xdr:cNvPr id="3" name="CaixaDeTexto 2">
              <a:extLst>
                <a:ext uri="{FF2B5EF4-FFF2-40B4-BE49-F238E27FC236}">
                  <a16:creationId xmlns:a16="http://schemas.microsoft.com/office/drawing/2014/main" id="{7548B789-9057-65D9-A02C-0927D7DF6A81}"/>
                </a:ext>
              </a:extLst>
            </xdr:cNvPr>
            <xdr:cNvSpPr txBox="1"/>
          </xdr:nvSpPr>
          <xdr:spPr>
            <a:xfrm>
              <a:off x="699910" y="1133828"/>
              <a:ext cx="3196068" cy="199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200" i="0">
                  <a:latin typeface="Cambria Math" panose="02040503050406030204" pitchFamily="18" charset="0"/>
                </a:rPr>
                <a:t>〖</a:t>
              </a:r>
              <a:r>
                <a:rPr lang="pt-BR" sz="1200" b="0" i="0">
                  <a:latin typeface="Cambria Math" panose="02040503050406030204" pitchFamily="18" charset="0"/>
                </a:rPr>
                <a:t>𝑇𝑎𝑟𝑖𝑓𝑎〗_𝐹𝑖𝑛𝑎𝑙= 〖𝑇𝑎𝑟𝑖𝑓𝑎〗_(𝐺𝑇𝐴𝑠 𝐿𝑒𝑔𝑎𝑑𝑜𝑠)+ 〖𝑇𝑎𝑟𝑖𝑓𝑎〗_𝐵𝑅𝐴</a:t>
              </a:r>
              <a:endParaRPr lang="pt-BR" sz="1200"/>
            </a:p>
          </xdr:txBody>
        </xdr:sp>
      </mc:Fallback>
    </mc:AlternateContent>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968A-628E-4EC3-9D9D-18E935604720}">
  <sheetPr codeName="Planilha8">
    <tabColor theme="4" tint="0.79998168889431442"/>
  </sheetPr>
  <dimension ref="A1:R42"/>
  <sheetViews>
    <sheetView showGridLines="0" tabSelected="1" zoomScaleNormal="100" workbookViewId="0">
      <selection activeCell="H24" sqref="H24"/>
    </sheetView>
  </sheetViews>
  <sheetFormatPr defaultRowHeight="15" x14ac:dyDescent="0.25"/>
  <cols>
    <col min="1" max="1" width="23" customWidth="1"/>
    <col min="2" max="2" width="12" customWidth="1"/>
    <col min="3" max="3" width="1.85546875" customWidth="1"/>
    <col min="4" max="4" width="12.5703125" customWidth="1"/>
    <col min="5" max="5" width="2" customWidth="1"/>
    <col min="6" max="6" width="12.28515625" customWidth="1"/>
    <col min="7" max="7" width="1.5703125" customWidth="1"/>
    <col min="8" max="8" width="13.42578125" customWidth="1"/>
    <col min="9" max="9" width="1.5703125" customWidth="1"/>
    <col min="10" max="10" width="12.85546875" customWidth="1"/>
    <col min="11" max="11" width="1.5703125" customWidth="1"/>
    <col min="12" max="12" width="12.85546875" customWidth="1"/>
    <col min="13" max="13" width="1.5703125" customWidth="1"/>
    <col min="14" max="14" width="12.85546875" customWidth="1"/>
    <col min="16" max="16" width="13.85546875" customWidth="1"/>
    <col min="18" max="18" width="13" customWidth="1"/>
    <col min="19" max="19" width="10.140625" bestFit="1" customWidth="1"/>
    <col min="22" max="22" width="12.5703125" bestFit="1" customWidth="1"/>
  </cols>
  <sheetData>
    <row r="1" spans="1:18" ht="18.75" x14ac:dyDescent="0.3">
      <c r="A1" s="326" t="s">
        <v>445</v>
      </c>
    </row>
    <row r="3" spans="1:18" ht="16.5" customHeight="1" x14ac:dyDescent="0.25">
      <c r="A3" t="s">
        <v>467</v>
      </c>
    </row>
    <row r="4" spans="1:18" x14ac:dyDescent="0.25">
      <c r="A4" s="313" t="s">
        <v>471</v>
      </c>
    </row>
    <row r="5" spans="1:18" x14ac:dyDescent="0.25">
      <c r="A5" s="313" t="s">
        <v>472</v>
      </c>
    </row>
    <row r="9" spans="1:18" x14ac:dyDescent="0.25">
      <c r="F9" s="329" t="s">
        <v>464</v>
      </c>
      <c r="R9" s="357"/>
    </row>
    <row r="10" spans="1:18" ht="30" x14ac:dyDescent="0.25">
      <c r="B10" s="315" t="s">
        <v>463</v>
      </c>
      <c r="D10" s="315" t="s">
        <v>466</v>
      </c>
      <c r="F10" s="314" t="s">
        <v>465</v>
      </c>
      <c r="H10" s="352" t="s">
        <v>473</v>
      </c>
      <c r="J10" s="352" t="s">
        <v>474</v>
      </c>
      <c r="L10" s="352" t="s">
        <v>475</v>
      </c>
      <c r="N10" s="352" t="s">
        <v>476</v>
      </c>
    </row>
    <row r="11" spans="1:18" x14ac:dyDescent="0.25">
      <c r="A11" s="319" t="s">
        <v>155</v>
      </c>
      <c r="B11" s="315" t="s">
        <v>447</v>
      </c>
      <c r="D11" s="315" t="s">
        <v>447</v>
      </c>
      <c r="F11" s="314" t="s">
        <v>447</v>
      </c>
      <c r="H11" s="352" t="s">
        <v>447</v>
      </c>
      <c r="J11" s="352" t="s">
        <v>447</v>
      </c>
      <c r="L11" s="352" t="s">
        <v>447</v>
      </c>
      <c r="N11" s="352" t="s">
        <v>447</v>
      </c>
    </row>
    <row r="12" spans="1:18" x14ac:dyDescent="0.25">
      <c r="A12" s="320" t="s">
        <v>402</v>
      </c>
      <c r="B12" s="316">
        <f ca="1">'Tarifa Ponderada Legados 2026'!D2</f>
        <v>3.617617169213919</v>
      </c>
      <c r="D12" s="316">
        <f ca="1">'Tarifa Ponderada BRA 2026'!D2</f>
        <v>3.1653557072215888</v>
      </c>
      <c r="F12" s="323">
        <f t="shared" ref="F12:F19" ca="1" si="0">ROUND(SUM(B12,D12),4)</f>
        <v>6.7830000000000004</v>
      </c>
      <c r="H12" s="353">
        <f ca="1">ROUND(SUM('Tarifa Ponderada Legados 2027'!$D$2,'Tarifa Ponderada BRA 2027'!$D$2),4)</f>
        <v>6.8723999999999998</v>
      </c>
      <c r="J12" s="353">
        <f ca="1">ROUND(SUM('Tarifa Ponderada Legados 2028'!$D$2,'Tarifa Ponderada BRA 2028'!$D$2),4)</f>
        <v>7.0026000000000002</v>
      </c>
      <c r="L12" s="353">
        <f ca="1">ROUND(SUM('Tarifa Ponderada Legados 2029'!$D$2,'Tarifa Ponderada BRA 2029'!$D$2),4)</f>
        <v>8.1465999999999994</v>
      </c>
      <c r="N12" s="353">
        <f ca="1">ROUND(SUM('Tarifa Ponderada Legados 2030'!$D$2,'Tarifa Ponderada BRA 2030'!$D$2),4)</f>
        <v>8.9550000000000001</v>
      </c>
    </row>
    <row r="13" spans="1:18" x14ac:dyDescent="0.25">
      <c r="A13" s="320" t="s">
        <v>406</v>
      </c>
      <c r="B13" s="316">
        <f ca="1">'Tarifa Ponderada Legados 2026'!D3</f>
        <v>3.617617169213919</v>
      </c>
      <c r="D13" s="316">
        <f ca="1">'Tarifa Ponderada BRA 2026'!D3</f>
        <v>3.1653557072215888</v>
      </c>
      <c r="F13" s="323">
        <f t="shared" ca="1" si="0"/>
        <v>6.7830000000000004</v>
      </c>
      <c r="H13" s="353">
        <f ca="1">ROUND(SUM('Tarifa Ponderada Legados 2027'!$D$3,'Tarifa Ponderada BRA 2027'!$D$3),4)</f>
        <v>6.8723999999999998</v>
      </c>
      <c r="J13" s="353">
        <f ca="1">ROUND(SUM('Tarifa Ponderada Legados 2028'!$D$3,'Tarifa Ponderada BRA 2028'!$D$3),4)</f>
        <v>7.0026000000000002</v>
      </c>
      <c r="L13" s="353">
        <f ca="1">ROUND(SUM('Tarifa Ponderada Legados 2029'!$D$3,'Tarifa Ponderada BRA 2029'!$D$3),4)</f>
        <v>8.1465999999999994</v>
      </c>
      <c r="N13" s="353">
        <f ca="1">ROUND(SUM('Tarifa Ponderada Legados 2030'!$D$3,'Tarifa Ponderada BRA 2030'!$D$3),4)</f>
        <v>8.9550000000000001</v>
      </c>
    </row>
    <row r="14" spans="1:18" x14ac:dyDescent="0.25">
      <c r="A14" s="317" t="s">
        <v>412</v>
      </c>
      <c r="B14" s="316">
        <f ca="1">'Tarifa Ponderada Legados 2026'!D4</f>
        <v>3.617617169213919</v>
      </c>
      <c r="D14" s="316">
        <f ca="1">'Tarifa Ponderada BRA 2026'!D4</f>
        <v>3.1653557072215888</v>
      </c>
      <c r="F14" s="323">
        <f t="shared" ca="1" si="0"/>
        <v>6.7830000000000004</v>
      </c>
      <c r="H14" s="353">
        <f ca="1">ROUND(SUM('Tarifa Ponderada Legados 2027'!$D$4,'Tarifa Ponderada BRA 2027'!$D$4),4)</f>
        <v>6.8723999999999998</v>
      </c>
      <c r="J14" s="353">
        <f ca="1">ROUND(SUM('Tarifa Ponderada Legados 2028'!$D$4,'Tarifa Ponderada BRA 2028'!$D$4),4)</f>
        <v>7.0026000000000002</v>
      </c>
      <c r="L14" s="353">
        <f ca="1">ROUND(SUM('Tarifa Ponderada Legados 2029'!$D$4,'Tarifa Ponderada BRA 2029'!$D$4),4)</f>
        <v>8.1465999999999994</v>
      </c>
      <c r="N14" s="353">
        <f ca="1">ROUND(SUM('Tarifa Ponderada Legados 2030'!$D$4,'Tarifa Ponderada BRA 2030'!$D$4),4)</f>
        <v>8.9550000000000001</v>
      </c>
    </row>
    <row r="15" spans="1:18" x14ac:dyDescent="0.25">
      <c r="A15" s="318" t="s">
        <v>451</v>
      </c>
      <c r="B15" s="316">
        <f ca="1">'Tarifa Ponderada Legados 2026'!D5</f>
        <v>0.3283118366282084</v>
      </c>
      <c r="D15" s="316">
        <f ca="1">'Tarifa Ponderada BRA 2026'!D5</f>
        <v>0.2847045394848387</v>
      </c>
      <c r="F15" s="323">
        <f t="shared" ca="1" si="0"/>
        <v>0.61299999999999999</v>
      </c>
      <c r="H15" s="353">
        <f ca="1">ROUND(SUM('Tarifa Ponderada Legados 2027'!$D$5,'Tarifa Ponderada BRA 2027'!$D$5),4)</f>
        <v>0.62109999999999999</v>
      </c>
      <c r="J15" s="353">
        <f ca="1">ROUND(SUM('Tarifa Ponderada Legados 2028'!$D$5,'Tarifa Ponderada BRA 2028'!$D$5),4)</f>
        <v>0.63280000000000003</v>
      </c>
      <c r="L15" s="353">
        <f ca="1">ROUND(SUM('Tarifa Ponderada Legados 2029'!$D$5,'Tarifa Ponderada BRA 2029'!$D$5),4)</f>
        <v>0.73570000000000002</v>
      </c>
      <c r="N15" s="353">
        <f ca="1">ROUND(SUM('Tarifa Ponderada Legados 2030'!$D$5,'Tarifa Ponderada BRA 2030'!$D$5),4)</f>
        <v>0.80820000000000003</v>
      </c>
    </row>
    <row r="16" spans="1:18" x14ac:dyDescent="0.25">
      <c r="A16" s="320" t="s">
        <v>25</v>
      </c>
      <c r="B16" s="316">
        <f ca="1">'Tarifa Ponderada Legados 2026'!D8</f>
        <v>3.617617169213919</v>
      </c>
      <c r="D16" s="316">
        <f ca="1">'Tarifa Ponderada BRA 2026'!D8</f>
        <v>3.1653557072215888</v>
      </c>
      <c r="F16" s="323">
        <f t="shared" ca="1" si="0"/>
        <v>6.7830000000000004</v>
      </c>
      <c r="H16" s="353">
        <f ca="1">ROUND(SUM('Tarifa Ponderada Legados 2027'!$D$8,'Tarifa Ponderada BRA 2027'!$D$8),4)</f>
        <v>6.8723999999999998</v>
      </c>
      <c r="J16" s="353">
        <f ca="1">ROUND(SUM('Tarifa Ponderada Legados 2028'!$D$8,'Tarifa Ponderada BRA 2028'!$D$8),4)</f>
        <v>7.0026000000000002</v>
      </c>
      <c r="L16" s="353">
        <f ca="1">ROUND(SUM('Tarifa Ponderada Legados 2029'!$D$8,'Tarifa Ponderada BRA 2029'!$D$8),4)</f>
        <v>8.1465999999999994</v>
      </c>
      <c r="N16" s="353">
        <f ca="1">ROUND(SUM('Tarifa Ponderada Legados 2030'!$D$8,'Tarifa Ponderada BRA 2030'!$D$8),4)</f>
        <v>8.9550000000000001</v>
      </c>
    </row>
    <row r="17" spans="1:14" x14ac:dyDescent="0.25">
      <c r="A17" s="317" t="s">
        <v>448</v>
      </c>
      <c r="B17" s="316">
        <f ca="1">'Tarifa Ponderada Legados 2026'!D9</f>
        <v>0.3283118366282084</v>
      </c>
      <c r="D17" s="316">
        <f ca="1">'Tarifa Ponderada BRA 2026'!D9</f>
        <v>0.2847045394848387</v>
      </c>
      <c r="F17" s="323">
        <f t="shared" ca="1" si="0"/>
        <v>0.61299999999999999</v>
      </c>
      <c r="H17" s="353">
        <f ca="1">ROUND(SUM('Tarifa Ponderada Legados 2027'!$D$9,'Tarifa Ponderada BRA 2027'!$D$9),4)</f>
        <v>0.62109999999999999</v>
      </c>
      <c r="J17" s="353">
        <f ca="1">ROUND(SUM('Tarifa Ponderada Legados 2028'!$D$9,'Tarifa Ponderada BRA 2028'!$D$9),4)</f>
        <v>0.63280000000000003</v>
      </c>
      <c r="L17" s="353">
        <f ca="1">ROUND(SUM('Tarifa Ponderada Legados 2029'!$D$9,'Tarifa Ponderada BRA 2029'!$D$9),4)</f>
        <v>0.73570000000000002</v>
      </c>
      <c r="N17" s="353">
        <f ca="1">ROUND(SUM('Tarifa Ponderada Legados 2030'!$D$9,'Tarifa Ponderada BRA 2030'!$D$9),4)</f>
        <v>0.80820000000000003</v>
      </c>
    </row>
    <row r="18" spans="1:14" x14ac:dyDescent="0.25">
      <c r="A18" s="317" t="s">
        <v>449</v>
      </c>
      <c r="B18" s="316">
        <f ca="1">'Tarifa Ponderada Legados 2026'!D10</f>
        <v>0.3283118366282084</v>
      </c>
      <c r="D18" s="316">
        <f ca="1">'Tarifa Ponderada BRA 2026'!D10</f>
        <v>0.2847045394848387</v>
      </c>
      <c r="F18" s="323">
        <f t="shared" ca="1" si="0"/>
        <v>0.61299999999999999</v>
      </c>
      <c r="H18" s="353">
        <f ca="1">ROUND(SUM('Tarifa Ponderada Legados 2027'!$D$10,'Tarifa Ponderada BRA 2027'!$D$10),4)</f>
        <v>0.62109999999999999</v>
      </c>
      <c r="J18" s="353">
        <f ca="1">ROUND(SUM('Tarifa Ponderada Legados 2028'!$D$10,'Tarifa Ponderada BRA 2028'!$D$10),4)</f>
        <v>0.63280000000000003</v>
      </c>
      <c r="L18" s="353">
        <f ca="1">ROUND(SUM('Tarifa Ponderada Legados 2029'!$D$10,'Tarifa Ponderada BRA 2029'!$D$10),4)</f>
        <v>0.73570000000000002</v>
      </c>
      <c r="N18" s="353">
        <f ca="1">ROUND(SUM('Tarifa Ponderada Legados 2030'!$D$10,'Tarifa Ponderada BRA 2030'!$D$10),4)</f>
        <v>0.80820000000000003</v>
      </c>
    </row>
    <row r="19" spans="1:14" x14ac:dyDescent="0.25">
      <c r="A19" s="317" t="s">
        <v>452</v>
      </c>
      <c r="B19" s="316">
        <f ca="1">'Tarifa Ponderada Legados 2026'!D11</f>
        <v>0.3283118366282084</v>
      </c>
      <c r="D19" s="316">
        <f ca="1">'Tarifa Ponderada BRA 2026'!D11</f>
        <v>0.2847045394848387</v>
      </c>
      <c r="F19" s="323">
        <f t="shared" ca="1" si="0"/>
        <v>0.61299999999999999</v>
      </c>
      <c r="H19" s="353">
        <f ca="1">ROUND(SUM('Tarifa Ponderada Legados 2027'!$D$11,'Tarifa Ponderada BRA 2027'!$D$11),4)</f>
        <v>0.62109999999999999</v>
      </c>
      <c r="J19" s="353">
        <f ca="1">ROUND(SUM('Tarifa Ponderada Legados 2028'!$D$11,'Tarifa Ponderada BRA 2028'!$D$11),4)</f>
        <v>0.63280000000000003</v>
      </c>
      <c r="L19" s="353">
        <f ca="1">ROUND(SUM('Tarifa Ponderada Legados 2029'!$D$11,'Tarifa Ponderada BRA 2029'!$D$11),4)</f>
        <v>0.73570000000000002</v>
      </c>
      <c r="N19" s="353">
        <f ca="1">ROUND(SUM('Tarifa Ponderada Legados 2030'!$D$11,'Tarifa Ponderada BRA 2030'!$D$11),4)</f>
        <v>0.80820000000000003</v>
      </c>
    </row>
    <row r="20" spans="1:14" x14ac:dyDescent="0.25">
      <c r="A20" s="320"/>
    </row>
    <row r="21" spans="1:14" x14ac:dyDescent="0.25">
      <c r="A21" s="320"/>
    </row>
    <row r="22" spans="1:14" x14ac:dyDescent="0.25">
      <c r="A22" s="321" t="s">
        <v>156</v>
      </c>
    </row>
    <row r="23" spans="1:14" ht="15.75" x14ac:dyDescent="0.25">
      <c r="A23" s="322" t="s">
        <v>53</v>
      </c>
      <c r="B23" s="316">
        <f ca="1">'Tarifa Ponderada Legados 2026'!H18</f>
        <v>1.9887418287949858</v>
      </c>
      <c r="D23" s="316">
        <f ca="1">'Tarifa Ponderada BRA 2026'!H18</f>
        <v>2.5381604341777604</v>
      </c>
      <c r="F23" s="323">
        <f ca="1">ROUND(SUM(B23,D23),4)</f>
        <v>4.5269000000000004</v>
      </c>
      <c r="H23" s="353">
        <f ca="1">ROUND(SUM('Tarifa Ponderada Legados 2027'!$H$18,'Tarifa Ponderada BRA 2027'!$H$18),4)</f>
        <v>4.5867000000000004</v>
      </c>
      <c r="J23" s="353">
        <f ca="1">ROUND(SUM('Tarifa Ponderada Legados 2028'!$H$18,'Tarifa Ponderada BRA 2028'!$H$18),4)</f>
        <v>4.6910999999999996</v>
      </c>
      <c r="L23" s="353">
        <f ca="1">ROUND(SUM('Tarifa Ponderada Legados 2029'!$H$18,'Tarifa Ponderada BRA 2029'!$H$18),4)</f>
        <v>5.6083999999999996</v>
      </c>
      <c r="N23" s="353">
        <f ca="1">ROUND(SUM('Tarifa Ponderada Legados 2030'!$H$18,'Tarifa Ponderada BRA 2030'!$H$18),4)</f>
        <v>6.3288000000000002</v>
      </c>
    </row>
    <row r="24" spans="1:14" ht="15.75" x14ac:dyDescent="0.25">
      <c r="A24" s="322" t="s">
        <v>64</v>
      </c>
      <c r="B24" s="316">
        <f ca="1">'Tarifa Ponderada Legados 2026'!H23</f>
        <v>1.9887418287949858</v>
      </c>
      <c r="D24" s="316">
        <f ca="1">'Tarifa Ponderada BRA 2026'!H23</f>
        <v>2.5381604341777604</v>
      </c>
      <c r="F24" s="323">
        <f ca="1">ROUND(SUM(B24,D24),4)</f>
        <v>4.5269000000000004</v>
      </c>
      <c r="H24" s="353">
        <f ca="1">ROUND(SUM('Tarifa Ponderada Legados 2027'!$H$23,'Tarifa Ponderada BRA 2027'!$H$23),4)</f>
        <v>4.5867000000000004</v>
      </c>
      <c r="J24" s="353">
        <f ca="1">ROUND(SUM('Tarifa Ponderada Legados 2028'!$H$23,'Tarifa Ponderada BRA 2028'!$H$23),4)</f>
        <v>4.6910999999999996</v>
      </c>
      <c r="L24" s="353">
        <f ca="1">ROUND(SUM('Tarifa Ponderada Legados 2029'!$H$23,'Tarifa Ponderada BRA 2029'!$H$23),4)</f>
        <v>5.6083999999999996</v>
      </c>
      <c r="N24" s="353">
        <f ca="1">ROUND(SUM('Tarifa Ponderada Legados 2030'!$H$23,'Tarifa Ponderada BRA 2030'!$H$23),4)</f>
        <v>6.3288000000000002</v>
      </c>
    </row>
    <row r="25" spans="1:14" ht="15.75" x14ac:dyDescent="0.25">
      <c r="A25" s="322" t="s">
        <v>193</v>
      </c>
      <c r="B25" s="316">
        <f ca="1">'Tarifa Ponderada Legados 2026'!H27</f>
        <v>1.9887418287949865</v>
      </c>
      <c r="D25" s="316">
        <f ca="1">'Tarifa Ponderada BRA 2026'!H27</f>
        <v>2.5381604341777604</v>
      </c>
      <c r="F25" s="323">
        <f ca="1">ROUND(SUM(B25,D25),4)</f>
        <v>4.5269000000000004</v>
      </c>
      <c r="H25" s="353">
        <f ca="1">ROUND(SUM('Tarifa Ponderada Legados 2027'!$H$27,'Tarifa Ponderada BRA 2027'!$H$27),4)</f>
        <v>4.5867000000000004</v>
      </c>
      <c r="J25" s="353">
        <f ca="1">ROUND(SUM('Tarifa Ponderada Legados 2028'!$H$27,'Tarifa Ponderada BRA 2028'!$H$27),4)</f>
        <v>4.6910999999999996</v>
      </c>
      <c r="L25" s="353">
        <f ca="1">ROUND(SUM('Tarifa Ponderada Legados 2029'!$H$27,'Tarifa Ponderada BRA 2029'!$H$27),4)</f>
        <v>5.6083999999999996</v>
      </c>
      <c r="N25" s="353">
        <f ca="1">ROUND(SUM('Tarifa Ponderada Legados 2030'!$H$27,'Tarifa Ponderada BRA 2030'!$H$27),4)</f>
        <v>6.3288000000000002</v>
      </c>
    </row>
    <row r="26" spans="1:14" x14ac:dyDescent="0.25">
      <c r="A26" s="317" t="s">
        <v>449</v>
      </c>
      <c r="B26" s="316">
        <f ca="1">'Tarifa Ponderada Legados 2026'!H29</f>
        <v>0.17196000382754098</v>
      </c>
      <c r="D26" s="316">
        <f ca="1">'Tarifa Ponderada BRA 2026'!H29</f>
        <v>0.21165180318563565</v>
      </c>
      <c r="F26" s="323">
        <f ca="1">ROUND(SUM(B26,D26),4)</f>
        <v>0.3836</v>
      </c>
      <c r="H26" s="353">
        <f ca="1">ROUND(SUM('Tarifa Ponderada Legados 2027'!$H$29,'Tarifa Ponderada BRA 2027'!$H$29),4)</f>
        <v>0.38869999999999999</v>
      </c>
      <c r="J26" s="353">
        <f ca="1">ROUND(SUM('Tarifa Ponderada Legados 2028'!$H$29,'Tarifa Ponderada BRA 2028'!$H$29),4)</f>
        <v>0.39739999999999998</v>
      </c>
      <c r="L26" s="353">
        <f ca="1">ROUND(SUM('Tarifa Ponderada Legados 2029'!$H$29,'Tarifa Ponderada BRA 2029'!$H$29),4)</f>
        <v>0.47389999999999999</v>
      </c>
      <c r="N26" s="353">
        <f ca="1">ROUND(SUM('Tarifa Ponderada Legados 2030'!$H$29,'Tarifa Ponderada BRA 2030'!$H$29),4)</f>
        <v>0.53349999999999997</v>
      </c>
    </row>
    <row r="27" spans="1:14" x14ac:dyDescent="0.25">
      <c r="A27" s="317" t="s">
        <v>452</v>
      </c>
      <c r="B27" s="316">
        <f ca="1">'Tarifa Ponderada Legados 2026'!H30</f>
        <v>0.17196000382754098</v>
      </c>
      <c r="D27" s="316">
        <f ca="1">'Tarifa Ponderada BRA 2026'!H30</f>
        <v>0.2116518031856357</v>
      </c>
      <c r="F27" s="323">
        <f ca="1">ROUND(SUM(B27,D27),4)</f>
        <v>0.3836</v>
      </c>
      <c r="H27" s="353">
        <f ca="1">ROUND(SUM('Tarifa Ponderada Legados 2027'!$H$30,'Tarifa Ponderada BRA 2027'!$H$30),4)</f>
        <v>0.38869999999999999</v>
      </c>
      <c r="J27" s="353">
        <f ca="1">ROUND(SUM('Tarifa Ponderada Legados 2028'!$H$30,'Tarifa Ponderada BRA 2028'!$H$30),4)</f>
        <v>0.39739999999999998</v>
      </c>
      <c r="L27" s="353">
        <f ca="1">ROUND(SUM('Tarifa Ponderada Legados 2029'!$H$30,'Tarifa Ponderada BRA 2029'!$H$30),4)</f>
        <v>0.47389999999999999</v>
      </c>
      <c r="N27" s="353">
        <f ca="1">ROUND(SUM('Tarifa Ponderada Legados 2030'!$H$30,'Tarifa Ponderada BRA 2030'!$H$30),4)</f>
        <v>0.53349999999999997</v>
      </c>
    </row>
    <row r="29" spans="1:14" x14ac:dyDescent="0.25">
      <c r="A29" s="192" t="s">
        <v>477</v>
      </c>
      <c r="B29" s="364">
        <f>('Premissas (Legados)'!$D$37*'Premissas (BRA)'!$B$13)/('Oferta (Legados)'!$C$13*'Premissas (BRA)'!$C$35*'Premissas (BRA)'!$B$20)+('Premissas (Legados)'!$D$37*'Premissas (BRA)'!$B$14)/('Demanda (Legados)'!$C$19*'Premissas (BRA)'!$C$35*'Premissas (BRA)'!$B$20)</f>
        <v>5.0027184045574948</v>
      </c>
      <c r="C29" s="364"/>
      <c r="D29" s="364">
        <f>('Premissas (BRA)'!$B$33*'Premissas (BRA)'!$B$13)/('Oferta (BRA)'!$C$13*'Premissas (BRA)'!$C$35*'Premissas (BRA)'!$B$20)+('Premissas (BRA)'!$B$33*'Premissas (BRA)'!$B$14)/('Demanda (BRA)'!$C$19*'Premissas (BRA)'!$C$35*'Premissas (BRA)'!$B$20)</f>
        <v>4.963563426704745</v>
      </c>
      <c r="F29" s="330">
        <f t="shared" ref="F29" si="1">ROUND(SUM(B29,D29),4)</f>
        <v>9.9663000000000004</v>
      </c>
      <c r="H29" s="363">
        <f>SUM(('Premissas (Legados)'!$E$37*'Premissas (BRA)'!$B$13)/('Oferta (Legados)'!$D$13*'Premissas (BRA)'!$C$35*'Premissas (BRA)'!$B$20)+('Premissas (Legados)'!$E$37*'Premissas (BRA)'!$B$14)/('Demanda (Legados)'!$D$19*'Premissas (BRA)'!$C$35*'Premissas (BRA)'!$B$20),('Premissas (BRA)'!$C$33*'Premissas (BRA)'!$B$13)/('Oferta (BRA)'!$D$13*'Premissas (BRA)'!$C$35*'Premissas (BRA)'!$B$20)+('Premissas (BRA)'!$C$33*'Premissas (BRA)'!$B$14)/('Demanda (BRA)'!$D$19*'Premissas (BRA)'!$C$35*'Premissas (BRA)'!$B$20))</f>
        <v>10.097714469479465</v>
      </c>
      <c r="J29" s="363">
        <f>SUM(('Premissas (Legados)'!$F$37*'Premissas (BRA)'!$B$13)/('Oferta (Legados)'!$E$13*'Premissas (BRA)'!$C$35*'Premissas (BRA)'!$B$20)+('Premissas (Legados)'!$F$37*'Premissas (BRA)'!$B$14)/('Demanda (Legados)'!$E$19*'Premissas (BRA)'!$C$35*'Premissas (BRA)'!$B$20),('Premissas (BRA)'!$D$33*'Premissas (BRA)'!$B$13)/('Oferta (BRA)'!$E$13*'Premissas (BRA)'!$C$35*'Premissas (BRA)'!$B$20)+('Premissas (BRA)'!$D$33*'Premissas (BRA)'!$B$14)/('Demanda (BRA)'!$E$19*'Premissas (BRA)'!$C$35*'Premissas (BRA)'!$B$20))</f>
        <v>10.329778657474858</v>
      </c>
      <c r="L29" s="363">
        <f>SUM(('Premissas (Legados)'!$G$37*'Premissas (BRA)'!$B$13)/('Oferta (Legados)'!$F$13*'Premissas (BRA)'!$C$35*'Premissas (BRA)'!$B$20)+('Premissas (Legados)'!$G$37*'Premissas (BRA)'!$B$14)/('Demanda (Legados)'!$F$19*'Premissas (BRA)'!$C$35*'Premissas (BRA)'!$B$20),('Premissas (BRA)'!$E$33*'Premissas (BRA)'!$B$13)/('Oferta (BRA)'!$F$13*'Premissas (BRA)'!$C$35*'Premissas (BRA)'!$B$20)+('Premissas (BRA)'!$E$33*'Premissas (BRA)'!$B$14)/('Demanda (BRA)'!$F$19*'Premissas (BRA)'!$C$35*'Premissas (BRA)'!$B$20))</f>
        <v>12.095782963988061</v>
      </c>
      <c r="N29" s="363">
        <f>SUM(('Premissas (Legados)'!$H$37*'Premissas (BRA)'!$B$13)/('Oferta (Legados)'!$G$13*'Premissas (BRA)'!$C$35*'Premissas (BRA)'!$B$20)+('Premissas (Legados)'!$H$37*'Premissas (BRA)'!$B$14)/('Demanda (Legados)'!$G$19*'Premissas (BRA)'!$C$35*'Premissas (BRA)'!$B$20),('Premissas (BRA)'!$F$33*'Premissas (BRA)'!$B$13)/('Oferta (BRA)'!$G$13*'Premissas (BRA)'!$C$35*'Premissas (BRA)'!$B$20)+('Premissas (BRA)'!$F$33*'Premissas (BRA)'!$B$14)/('Demanda (BRA)'!$G$19*'Premissas (BRA)'!$C$35*'Premissas (BRA)'!$B$20))</f>
        <v>13.416532110197458</v>
      </c>
    </row>
    <row r="30" spans="1:14" x14ac:dyDescent="0.25">
      <c r="B30" s="345"/>
      <c r="C30" s="345"/>
      <c r="D30" s="345"/>
    </row>
    <row r="31" spans="1:14" ht="15.75" x14ac:dyDescent="0.25">
      <c r="A31" s="312" t="s">
        <v>446</v>
      </c>
      <c r="B31" s="356"/>
      <c r="C31" s="356"/>
      <c r="D31" s="356"/>
      <c r="F31" s="85"/>
    </row>
    <row r="33" spans="1:6" ht="12.95" customHeight="1" x14ac:dyDescent="0.25">
      <c r="A33" s="324"/>
      <c r="B33" s="327" t="s">
        <v>470</v>
      </c>
    </row>
    <row r="35" spans="1:6" ht="12" customHeight="1" x14ac:dyDescent="0.25">
      <c r="A35" s="325"/>
      <c r="B35" s="327" t="s">
        <v>450</v>
      </c>
    </row>
    <row r="37" spans="1:6" x14ac:dyDescent="0.25">
      <c r="A37" s="328"/>
      <c r="B37" s="327" t="s">
        <v>453</v>
      </c>
    </row>
    <row r="40" spans="1:6" x14ac:dyDescent="0.25">
      <c r="D40" s="354"/>
      <c r="F40" s="86"/>
    </row>
    <row r="41" spans="1:6" x14ac:dyDescent="0.25">
      <c r="D41" s="60"/>
      <c r="F41" s="86"/>
    </row>
    <row r="42" spans="1:6" x14ac:dyDescent="0.25">
      <c r="D42" s="60"/>
      <c r="F42" s="85"/>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857F-4A80-4798-8BD0-55AFBD76BB27}">
  <sheetPr codeName="Planilha10">
    <tabColor theme="5"/>
  </sheetPr>
  <dimension ref="A1:G15"/>
  <sheetViews>
    <sheetView showGridLines="0" zoomScaleNormal="100" workbookViewId="0">
      <selection activeCell="C13" sqref="C13:G13"/>
    </sheetView>
  </sheetViews>
  <sheetFormatPr defaultColWidth="9.140625" defaultRowHeight="12.75" x14ac:dyDescent="0.2"/>
  <cols>
    <col min="1" max="1" width="31" style="98" bestFit="1" customWidth="1"/>
    <col min="2" max="2" width="18" style="98" customWidth="1"/>
    <col min="3" max="6" width="11" style="98" bestFit="1" customWidth="1"/>
    <col min="7" max="7" width="11" style="98" customWidth="1"/>
    <col min="8" max="16384" width="9.140625" style="98"/>
  </cols>
  <sheetData>
    <row r="1" spans="1:7" ht="18" customHeight="1" x14ac:dyDescent="0.2">
      <c r="A1" s="402" t="s">
        <v>441</v>
      </c>
      <c r="B1" s="403"/>
      <c r="C1" s="403"/>
      <c r="D1" s="403"/>
      <c r="E1" s="403"/>
      <c r="F1" s="403"/>
      <c r="G1" s="403"/>
    </row>
    <row r="2" spans="1:7" ht="15" x14ac:dyDescent="0.2">
      <c r="A2" s="230" t="s">
        <v>407</v>
      </c>
      <c r="B2" s="230" t="s">
        <v>23</v>
      </c>
      <c r="C2" s="230">
        <v>2026</v>
      </c>
      <c r="D2" s="230">
        <v>2027</v>
      </c>
      <c r="E2" s="230">
        <v>2028</v>
      </c>
      <c r="F2" s="230">
        <v>2029</v>
      </c>
      <c r="G2" s="230">
        <v>2030</v>
      </c>
    </row>
    <row r="3" spans="1:7" ht="15" x14ac:dyDescent="0.2">
      <c r="A3" s="300" t="s">
        <v>28</v>
      </c>
      <c r="B3" s="300" t="s">
        <v>21</v>
      </c>
      <c r="C3" s="126">
        <v>11121.869070475715</v>
      </c>
      <c r="D3" s="383">
        <v>11121.869070475715</v>
      </c>
      <c r="E3" s="383">
        <v>11121.869070475715</v>
      </c>
      <c r="F3" s="383">
        <v>11121.869070475715</v>
      </c>
      <c r="G3" s="383">
        <v>11121.869070475715</v>
      </c>
    </row>
    <row r="4" spans="1:7" ht="15" x14ac:dyDescent="0.2">
      <c r="A4" s="300" t="s">
        <v>26</v>
      </c>
      <c r="B4" s="300" t="s">
        <v>177</v>
      </c>
      <c r="C4" s="126">
        <v>200</v>
      </c>
      <c r="D4" s="383">
        <v>200</v>
      </c>
      <c r="E4" s="383">
        <v>200</v>
      </c>
      <c r="F4" s="383">
        <v>200</v>
      </c>
      <c r="G4" s="383">
        <v>200</v>
      </c>
    </row>
    <row r="5" spans="1:7" ht="15" x14ac:dyDescent="0.2">
      <c r="A5" s="300" t="s">
        <v>411</v>
      </c>
      <c r="B5" s="300" t="s">
        <v>20</v>
      </c>
      <c r="C5" s="126">
        <v>13564</v>
      </c>
      <c r="D5" s="383">
        <v>13564</v>
      </c>
      <c r="E5" s="383">
        <v>13564</v>
      </c>
      <c r="F5" s="383">
        <v>13564</v>
      </c>
      <c r="G5" s="383">
        <v>13564</v>
      </c>
    </row>
    <row r="6" spans="1:7" ht="15" x14ac:dyDescent="0.2">
      <c r="A6" s="300" t="s">
        <v>388</v>
      </c>
      <c r="B6" s="300" t="s">
        <v>159</v>
      </c>
      <c r="C6" s="126">
        <v>258</v>
      </c>
      <c r="D6" s="383">
        <v>258</v>
      </c>
      <c r="E6" s="383">
        <v>258</v>
      </c>
      <c r="F6" s="383">
        <v>258</v>
      </c>
      <c r="G6" s="383">
        <v>258</v>
      </c>
    </row>
    <row r="7" spans="1:7" ht="15" x14ac:dyDescent="0.2">
      <c r="A7" s="300" t="s">
        <v>27</v>
      </c>
      <c r="B7" s="300" t="s">
        <v>173</v>
      </c>
      <c r="C7" s="126">
        <v>0</v>
      </c>
      <c r="D7" s="383">
        <v>0</v>
      </c>
      <c r="E7" s="383">
        <v>0</v>
      </c>
      <c r="F7" s="383">
        <v>0</v>
      </c>
      <c r="G7" s="383">
        <v>0</v>
      </c>
    </row>
    <row r="8" spans="1:7" ht="15" x14ac:dyDescent="0.2">
      <c r="A8" s="300" t="s">
        <v>29</v>
      </c>
      <c r="B8" s="300" t="s">
        <v>174</v>
      </c>
      <c r="C8" s="126">
        <v>0</v>
      </c>
      <c r="D8" s="383">
        <v>0</v>
      </c>
      <c r="E8" s="383">
        <v>0</v>
      </c>
      <c r="F8" s="383">
        <v>0</v>
      </c>
      <c r="G8" s="383">
        <v>0</v>
      </c>
    </row>
    <row r="9" spans="1:7" ht="15" x14ac:dyDescent="0.2">
      <c r="A9" s="300" t="s">
        <v>24</v>
      </c>
      <c r="B9" s="300" t="s">
        <v>25</v>
      </c>
      <c r="C9" s="126">
        <v>7765.8207892267164</v>
      </c>
      <c r="D9" s="383">
        <v>7765.8207892267164</v>
      </c>
      <c r="E9" s="383">
        <v>7765.8207892267164</v>
      </c>
      <c r="F9" s="383">
        <v>7765.8207892267164</v>
      </c>
      <c r="G9" s="383">
        <v>7765.8207892267164</v>
      </c>
    </row>
    <row r="10" spans="1:7" ht="15" x14ac:dyDescent="0.2">
      <c r="A10" s="300" t="s">
        <v>194</v>
      </c>
      <c r="B10" s="300" t="s">
        <v>176</v>
      </c>
      <c r="C10" s="126">
        <v>3398.2010229822185</v>
      </c>
      <c r="D10" s="383">
        <v>3398.2010229822185</v>
      </c>
      <c r="E10" s="383">
        <v>3398.2010229822185</v>
      </c>
      <c r="F10" s="383">
        <v>3398.2010229822185</v>
      </c>
      <c r="G10" s="383">
        <v>3398.2010229822185</v>
      </c>
    </row>
    <row r="11" spans="1:7" ht="15" x14ac:dyDescent="0.2">
      <c r="A11" s="300" t="s">
        <v>196</v>
      </c>
      <c r="B11" s="300" t="s">
        <v>175</v>
      </c>
      <c r="C11" s="126">
        <v>200</v>
      </c>
      <c r="D11" s="383">
        <v>200</v>
      </c>
      <c r="E11" s="383">
        <v>200</v>
      </c>
      <c r="F11" s="383">
        <v>200</v>
      </c>
      <c r="G11" s="383">
        <v>200</v>
      </c>
    </row>
    <row r="12" spans="1:7" ht="15" x14ac:dyDescent="0.2">
      <c r="A12" s="300" t="s">
        <v>195</v>
      </c>
      <c r="B12" s="300" t="s">
        <v>25</v>
      </c>
      <c r="C12" s="126">
        <v>200</v>
      </c>
      <c r="D12" s="383">
        <v>200</v>
      </c>
      <c r="E12" s="383">
        <v>200</v>
      </c>
      <c r="F12" s="383">
        <v>200</v>
      </c>
      <c r="G12" s="383">
        <v>200</v>
      </c>
    </row>
    <row r="13" spans="1:7" ht="15" x14ac:dyDescent="0.2">
      <c r="A13" s="226" t="s">
        <v>178</v>
      </c>
      <c r="B13" s="227"/>
      <c r="C13" s="228">
        <v>36707.890882684653</v>
      </c>
      <c r="D13" s="228">
        <v>36707.890882684653</v>
      </c>
      <c r="E13" s="228">
        <v>36707.890882684653</v>
      </c>
      <c r="F13" s="228">
        <v>36707.890882684653</v>
      </c>
      <c r="G13" s="228">
        <v>36707.890882684653</v>
      </c>
    </row>
    <row r="14" spans="1:7" x14ac:dyDescent="0.2">
      <c r="C14" s="14"/>
      <c r="D14" s="14"/>
    </row>
    <row r="15" spans="1:7" x14ac:dyDescent="0.2">
      <c r="C15" s="331"/>
      <c r="D15" s="331"/>
      <c r="E15" s="331"/>
      <c r="F15" s="331"/>
      <c r="G15" s="331"/>
    </row>
  </sheetData>
  <mergeCells count="1">
    <mergeCell ref="A1:G1"/>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63D50-E124-4EA0-A850-EA88E3F9D1A7}">
  <sheetPr codeName="Planilha29">
    <tabColor theme="5"/>
  </sheetPr>
  <dimension ref="A1:GD20"/>
  <sheetViews>
    <sheetView showGridLines="0" zoomScaleNormal="100" workbookViewId="0">
      <selection activeCell="G31" sqref="G31"/>
    </sheetView>
  </sheetViews>
  <sheetFormatPr defaultColWidth="9.140625" defaultRowHeight="15" x14ac:dyDescent="0.25"/>
  <cols>
    <col min="1" max="1" width="28.85546875" style="21" bestFit="1" customWidth="1"/>
    <col min="2" max="2" width="15" style="29" customWidth="1"/>
    <col min="3" max="4" width="10.42578125" style="21" customWidth="1"/>
    <col min="5" max="5" width="10.42578125" style="21" bestFit="1" customWidth="1"/>
    <col min="6" max="6" width="10.140625" style="21" bestFit="1" customWidth="1"/>
    <col min="7" max="7" width="10" style="21" bestFit="1" customWidth="1"/>
    <col min="8" max="16384" width="9.140625" style="21"/>
  </cols>
  <sheetData>
    <row r="1" spans="1:186" x14ac:dyDescent="0.25">
      <c r="A1" s="400" t="s">
        <v>442</v>
      </c>
      <c r="B1" s="401"/>
      <c r="C1" s="401"/>
      <c r="D1" s="401"/>
      <c r="E1" s="401"/>
      <c r="F1" s="401"/>
      <c r="G1" s="401"/>
    </row>
    <row r="2" spans="1:186" s="22" customFormat="1" ht="30" x14ac:dyDescent="0.25">
      <c r="A2" s="229" t="s">
        <v>408</v>
      </c>
      <c r="B2" s="229" t="s">
        <v>30</v>
      </c>
      <c r="C2" s="229">
        <v>2026</v>
      </c>
      <c r="D2" s="229">
        <v>2027</v>
      </c>
      <c r="E2" s="229">
        <v>2028</v>
      </c>
      <c r="F2" s="229">
        <v>2029</v>
      </c>
      <c r="G2" s="229">
        <v>2030</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row>
    <row r="3" spans="1:186" s="25" customFormat="1" x14ac:dyDescent="0.25">
      <c r="A3" s="23" t="s">
        <v>160</v>
      </c>
      <c r="B3" s="24" t="s">
        <v>32</v>
      </c>
      <c r="C3" s="126">
        <v>83.95934449000282</v>
      </c>
      <c r="D3" s="299">
        <v>83.95934449000282</v>
      </c>
      <c r="E3" s="299">
        <v>83.95934449000282</v>
      </c>
      <c r="F3" s="299">
        <v>83.95934449000282</v>
      </c>
      <c r="G3" s="299">
        <v>83.95934449000282</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row>
    <row r="4" spans="1:186" s="26" customFormat="1" x14ac:dyDescent="0.25">
      <c r="A4" s="23" t="s">
        <v>161</v>
      </c>
      <c r="B4" s="24" t="s">
        <v>32</v>
      </c>
      <c r="C4" s="126">
        <v>1358.5951793648003</v>
      </c>
      <c r="D4" s="299">
        <v>1358.5951793648003</v>
      </c>
      <c r="E4" s="299">
        <v>1358.5951793648003</v>
      </c>
      <c r="F4" s="299">
        <v>1358.5951793648003</v>
      </c>
      <c r="G4" s="299">
        <v>1358.5951793648003</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row>
    <row r="5" spans="1:186" s="25" customFormat="1" x14ac:dyDescent="0.25">
      <c r="A5" s="23" t="s">
        <v>162</v>
      </c>
      <c r="B5" s="24" t="s">
        <v>32</v>
      </c>
      <c r="C5" s="126">
        <v>1591.1855708262167</v>
      </c>
      <c r="D5" s="299">
        <v>1591.1855708262167</v>
      </c>
      <c r="E5" s="299">
        <v>1591.1855708262167</v>
      </c>
      <c r="F5" s="299">
        <v>1591.1855708262167</v>
      </c>
      <c r="G5" s="299">
        <v>1591.1855708262167</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row>
    <row r="6" spans="1:186" s="26" customFormat="1" x14ac:dyDescent="0.25">
      <c r="A6" s="23" t="s">
        <v>163</v>
      </c>
      <c r="B6" s="24" t="s">
        <v>32</v>
      </c>
      <c r="C6" s="126">
        <v>257.90539079715882</v>
      </c>
      <c r="D6" s="299">
        <v>257.90539079715882</v>
      </c>
      <c r="E6" s="299">
        <v>257.90539079715882</v>
      </c>
      <c r="F6" s="299">
        <v>257.90539079715882</v>
      </c>
      <c r="G6" s="299">
        <v>257.90539079715882</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row>
    <row r="7" spans="1:186" s="25" customFormat="1" x14ac:dyDescent="0.25">
      <c r="A7" s="23" t="s">
        <v>164</v>
      </c>
      <c r="B7" s="24" t="s">
        <v>33</v>
      </c>
      <c r="C7" s="126">
        <v>4113.6189497552796</v>
      </c>
      <c r="D7" s="299">
        <v>4113.6189497552796</v>
      </c>
      <c r="E7" s="299">
        <v>4113.6189497552796</v>
      </c>
      <c r="F7" s="299">
        <v>4113.6189497552796</v>
      </c>
      <c r="G7" s="299">
        <v>4113.6189497552796</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row>
    <row r="8" spans="1:186" s="26" customFormat="1" x14ac:dyDescent="0.25">
      <c r="A8" s="23" t="s">
        <v>165</v>
      </c>
      <c r="B8" s="24" t="s">
        <v>33</v>
      </c>
      <c r="C8" s="126">
        <v>1671.5160482445838</v>
      </c>
      <c r="D8" s="299">
        <v>1671.5160482445838</v>
      </c>
      <c r="E8" s="299">
        <v>1671.5160482445838</v>
      </c>
      <c r="F8" s="299">
        <v>1671.5160482445838</v>
      </c>
      <c r="G8" s="299">
        <v>1671.5160482445838</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row>
    <row r="9" spans="1:186" s="25" customFormat="1" x14ac:dyDescent="0.25">
      <c r="A9" s="23" t="s">
        <v>166</v>
      </c>
      <c r="B9" s="24" t="s">
        <v>33</v>
      </c>
      <c r="C9" s="126">
        <v>1497.3761894156601</v>
      </c>
      <c r="D9" s="299">
        <v>1497.3761894156601</v>
      </c>
      <c r="E9" s="299">
        <v>1497.3761894156601</v>
      </c>
      <c r="F9" s="299">
        <v>1497.3761894156601</v>
      </c>
      <c r="G9" s="299">
        <v>1497.3761894156601</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row>
    <row r="10" spans="1:186" s="26" customFormat="1" x14ac:dyDescent="0.25">
      <c r="A10" s="23" t="s">
        <v>167</v>
      </c>
      <c r="B10" s="24" t="s">
        <v>33</v>
      </c>
      <c r="C10" s="126">
        <v>275.11051045873194</v>
      </c>
      <c r="D10" s="299">
        <v>275.11051045873194</v>
      </c>
      <c r="E10" s="299">
        <v>275.11051045873194</v>
      </c>
      <c r="F10" s="299">
        <v>275.11051045873194</v>
      </c>
      <c r="G10" s="299">
        <v>275.11051045873194</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row>
    <row r="11" spans="1:186" s="25" customFormat="1" x14ac:dyDescent="0.25">
      <c r="A11" s="23" t="s">
        <v>168</v>
      </c>
      <c r="B11" s="24" t="s">
        <v>33</v>
      </c>
      <c r="C11" s="126">
        <v>695.99981184318472</v>
      </c>
      <c r="D11" s="299">
        <v>695.99981184318472</v>
      </c>
      <c r="E11" s="299">
        <v>695.99981184318472</v>
      </c>
      <c r="F11" s="299">
        <v>695.99981184318472</v>
      </c>
      <c r="G11" s="299">
        <v>695.99981184318472</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row>
    <row r="12" spans="1:186" s="26" customFormat="1" x14ac:dyDescent="0.25">
      <c r="A12" s="23" t="s">
        <v>169</v>
      </c>
      <c r="B12" s="24" t="s">
        <v>31</v>
      </c>
      <c r="C12" s="126">
        <v>994.60300359473592</v>
      </c>
      <c r="D12" s="299">
        <v>994.60300359473592</v>
      </c>
      <c r="E12" s="299">
        <v>994.60300359473592</v>
      </c>
      <c r="F12" s="299">
        <v>994.60300359473592</v>
      </c>
      <c r="G12" s="299">
        <v>994.60300359473592</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row>
    <row r="13" spans="1:186" s="25" customFormat="1" x14ac:dyDescent="0.25">
      <c r="A13" s="23" t="s">
        <v>170</v>
      </c>
      <c r="B13" s="24" t="s">
        <v>31</v>
      </c>
      <c r="C13" s="126">
        <v>2460.3528578351988</v>
      </c>
      <c r="D13" s="299">
        <v>2460.3528578351988</v>
      </c>
      <c r="E13" s="299">
        <v>2460.3528578351988</v>
      </c>
      <c r="F13" s="299">
        <v>2460.3528578351988</v>
      </c>
      <c r="G13" s="299">
        <v>2460.3528578351988</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row>
    <row r="14" spans="1:186" s="26" customFormat="1" x14ac:dyDescent="0.25">
      <c r="A14" s="23" t="s">
        <v>171</v>
      </c>
      <c r="B14" s="24" t="s">
        <v>31</v>
      </c>
      <c r="C14" s="126">
        <v>1008.3686134701056</v>
      </c>
      <c r="D14" s="299">
        <v>1008.3686134701056</v>
      </c>
      <c r="E14" s="299">
        <v>1008.3686134701056</v>
      </c>
      <c r="F14" s="299">
        <v>1008.3686134701056</v>
      </c>
      <c r="G14" s="299">
        <v>1008.3686134701056</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row>
    <row r="15" spans="1:186" s="25" customFormat="1" x14ac:dyDescent="0.25">
      <c r="A15" s="23" t="s">
        <v>172</v>
      </c>
      <c r="B15" s="24" t="s">
        <v>31</v>
      </c>
      <c r="C15" s="126">
        <v>1318.069593111717</v>
      </c>
      <c r="D15" s="299">
        <v>1318.069593111717</v>
      </c>
      <c r="E15" s="299">
        <v>1318.069593111717</v>
      </c>
      <c r="F15" s="299">
        <v>1318.069593111717</v>
      </c>
      <c r="G15" s="299">
        <v>1318.069593111717</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row>
    <row r="16" spans="1:186" s="26" customFormat="1" x14ac:dyDescent="0.25">
      <c r="A16" s="23" t="s">
        <v>199</v>
      </c>
      <c r="B16" s="24"/>
      <c r="C16" s="126">
        <v>0</v>
      </c>
      <c r="D16" s="299">
        <v>0</v>
      </c>
      <c r="E16" s="299">
        <v>0</v>
      </c>
      <c r="F16" s="299">
        <v>0</v>
      </c>
      <c r="G16" s="299">
        <v>0</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row>
    <row r="17" spans="1:186" s="25" customFormat="1" x14ac:dyDescent="0.25">
      <c r="A17" s="23" t="s">
        <v>198</v>
      </c>
      <c r="B17" s="24"/>
      <c r="C17" s="126">
        <v>3635.2588149970047</v>
      </c>
      <c r="D17" s="299">
        <v>3635.2588149970047</v>
      </c>
      <c r="E17" s="299">
        <v>3635.2588149970047</v>
      </c>
      <c r="F17" s="299">
        <v>3635.2588149970047</v>
      </c>
      <c r="G17" s="299">
        <v>3635.2588149970047</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row>
    <row r="18" spans="1:186" s="26" customFormat="1" x14ac:dyDescent="0.25">
      <c r="A18" s="23" t="s">
        <v>197</v>
      </c>
      <c r="B18" s="24"/>
      <c r="C18" s="126">
        <v>200</v>
      </c>
      <c r="D18" s="299">
        <v>200</v>
      </c>
      <c r="E18" s="299">
        <v>200</v>
      </c>
      <c r="F18" s="299">
        <v>200</v>
      </c>
      <c r="G18" s="299">
        <v>200</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row>
    <row r="19" spans="1:186" s="25" customFormat="1" x14ac:dyDescent="0.25">
      <c r="A19" s="27" t="s">
        <v>178</v>
      </c>
      <c r="B19" s="28"/>
      <c r="C19" s="89">
        <v>21161.919878204375</v>
      </c>
      <c r="D19" s="89">
        <v>21161.919878204375</v>
      </c>
      <c r="E19" s="89">
        <v>21161.919878204375</v>
      </c>
      <c r="F19" s="89">
        <v>21161.919878204375</v>
      </c>
      <c r="G19" s="89">
        <v>21161.919878204375</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row>
    <row r="20" spans="1:186" s="25" customFormat="1" x14ac:dyDescent="0.25">
      <c r="A20" s="21"/>
      <c r="B20" s="29"/>
      <c r="C20" s="90"/>
      <c r="D20" s="9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row>
  </sheetData>
  <mergeCells count="1">
    <mergeCell ref="A1:G1"/>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DC70-D5DD-4F18-925B-42C155A2F874}">
  <sheetPr codeName="Planilha31">
    <tabColor theme="5"/>
  </sheetPr>
  <dimension ref="A2:AA302"/>
  <sheetViews>
    <sheetView showGridLines="0" topLeftCell="A253" zoomScale="70" zoomScaleNormal="70" workbookViewId="0">
      <selection activeCell="I283" sqref="I283"/>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9.28515625" bestFit="1"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101</v>
      </c>
    </row>
    <row r="3" spans="1:9" ht="15.75" thickBot="1" x14ac:dyDescent="0.3">
      <c r="G3" s="147">
        <v>2026</v>
      </c>
    </row>
    <row r="4" spans="1:9" ht="18.75" thickBot="1" x14ac:dyDescent="0.3">
      <c r="A4" s="162"/>
      <c r="B4" s="163" t="s">
        <v>102</v>
      </c>
      <c r="C4" s="164" t="s">
        <v>200</v>
      </c>
      <c r="D4" s="306">
        <f>'Premissas (BRA)'!B33/1000</f>
        <v>2032.7447595191738</v>
      </c>
      <c r="E4" s="166" t="s">
        <v>103</v>
      </c>
      <c r="F4" s="162"/>
      <c r="G4" s="162"/>
      <c r="H4" s="177"/>
      <c r="I4" s="177"/>
    </row>
    <row r="5" spans="1:9" ht="18" x14ac:dyDescent="0.25">
      <c r="A5" s="148">
        <f>HLOOKUP($G$3,'Premissas (BRA)'!$B$5:$F$13,9,FALSE)</f>
        <v>0.7</v>
      </c>
      <c r="B5" s="149" t="s">
        <v>104</v>
      </c>
      <c r="C5" s="150" t="s">
        <v>201</v>
      </c>
      <c r="D5" s="307">
        <f>$A$5*$D$4</f>
        <v>1422.9213316634216</v>
      </c>
      <c r="E5" s="152" t="s">
        <v>105</v>
      </c>
      <c r="F5" s="153"/>
      <c r="G5" s="153"/>
      <c r="H5" s="177"/>
    </row>
    <row r="6" spans="1:9" ht="30" x14ac:dyDescent="0.25">
      <c r="A6" s="48"/>
      <c r="B6" s="154" t="s">
        <v>106</v>
      </c>
      <c r="C6" s="155" t="s">
        <v>202</v>
      </c>
      <c r="D6" s="308">
        <f>$C$34*'Premissas (BRA)'!$B$20</f>
        <v>13398380.172179898</v>
      </c>
      <c r="E6" s="154" t="s">
        <v>107</v>
      </c>
      <c r="F6" s="172">
        <f>G34</f>
        <v>499788775.49270535</v>
      </c>
      <c r="G6" s="40" t="s">
        <v>108</v>
      </c>
    </row>
    <row r="7" spans="1:9" ht="18.75" thickBot="1" x14ac:dyDescent="0.3">
      <c r="A7" s="157"/>
      <c r="B7" s="158" t="s">
        <v>109</v>
      </c>
      <c r="C7" s="159" t="s">
        <v>203</v>
      </c>
      <c r="D7" s="160">
        <f>$D$5/$D$6*1000</f>
        <v>0.10620099693976023</v>
      </c>
      <c r="E7" s="161" t="s">
        <v>110</v>
      </c>
      <c r="F7" s="309">
        <f>$D$5/$F$6*1000000</f>
        <v>2.8470453948483878</v>
      </c>
      <c r="G7" s="170" t="s">
        <v>15</v>
      </c>
      <c r="I7" s="177"/>
    </row>
    <row r="8" spans="1:9" ht="18" x14ac:dyDescent="0.25">
      <c r="A8" s="148">
        <f>1-A5</f>
        <v>0.30000000000000004</v>
      </c>
      <c r="B8" s="149" t="s">
        <v>111</v>
      </c>
      <c r="C8" s="150" t="s">
        <v>204</v>
      </c>
      <c r="D8" s="307">
        <f>$A$8*$D$4</f>
        <v>609.82342785575224</v>
      </c>
      <c r="E8" s="152" t="s">
        <v>105</v>
      </c>
      <c r="F8" s="173"/>
      <c r="G8" s="171"/>
    </row>
    <row r="9" spans="1:9" ht="30" x14ac:dyDescent="0.25">
      <c r="B9" s="154" t="s">
        <v>112</v>
      </c>
      <c r="C9" s="155" t="s">
        <v>205</v>
      </c>
      <c r="D9" s="308">
        <f>$C$57*'Premissas (BRA)'!$B$20</f>
        <v>7724100.7555445973</v>
      </c>
      <c r="E9" s="154" t="s">
        <v>107</v>
      </c>
      <c r="F9" s="172">
        <f>G57</f>
        <v>288125788.99735987</v>
      </c>
      <c r="G9" s="40" t="s">
        <v>108</v>
      </c>
    </row>
    <row r="10" spans="1:9" ht="18.75" thickBot="1" x14ac:dyDescent="0.3">
      <c r="A10" s="167"/>
      <c r="B10" s="158" t="s">
        <v>113</v>
      </c>
      <c r="C10" s="159" t="s">
        <v>206</v>
      </c>
      <c r="D10" s="160">
        <f>$D$8/$D$9*1000</f>
        <v>7.8950734481033569E-2</v>
      </c>
      <c r="E10" s="161" t="s">
        <v>110</v>
      </c>
      <c r="F10" s="309">
        <f>$D$8/$F$9*1000000</f>
        <v>2.1165180318563572</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68">
        <v>2026</v>
      </c>
      <c r="F21" s="377"/>
      <c r="G21" s="380">
        <v>2026</v>
      </c>
      <c r="H21" s="49"/>
    </row>
    <row r="22" spans="1:9" ht="15.95" customHeight="1" x14ac:dyDescent="0.25">
      <c r="A22" s="204"/>
      <c r="B22" s="204"/>
      <c r="C22" s="370" t="s">
        <v>180</v>
      </c>
      <c r="F22" s="377"/>
      <c r="G22" s="380" t="s">
        <v>181</v>
      </c>
      <c r="H22" s="49"/>
    </row>
    <row r="23" spans="1:9" ht="34.5" x14ac:dyDescent="0.25">
      <c r="A23" s="205" t="s">
        <v>123</v>
      </c>
      <c r="B23" s="205" t="s">
        <v>124</v>
      </c>
      <c r="C23" s="59" t="s">
        <v>211</v>
      </c>
      <c r="F23" s="378"/>
      <c r="G23" s="381" t="s">
        <v>213</v>
      </c>
      <c r="H23" s="49"/>
    </row>
    <row r="24" spans="1:9" x14ac:dyDescent="0.25">
      <c r="A24" s="2" t="s">
        <v>182</v>
      </c>
      <c r="B24" s="16" t="s">
        <v>28</v>
      </c>
      <c r="C24" s="231">
        <f>'Oferta (BRA)'!C3</f>
        <v>11121.869070475715</v>
      </c>
      <c r="E24" s="60"/>
      <c r="F24" s="379"/>
      <c r="G24" s="15">
        <f>IFERROR($C24*$H$19*'Premissas (BRA)'!$B$20*1000," ")</f>
        <v>151427532.0717288</v>
      </c>
      <c r="H24" s="49"/>
    </row>
    <row r="25" spans="1:9" x14ac:dyDescent="0.25">
      <c r="A25" s="2" t="s">
        <v>125</v>
      </c>
      <c r="B25" s="16" t="s">
        <v>26</v>
      </c>
      <c r="C25" s="231">
        <f>'Oferta (BRA)'!C4</f>
        <v>200</v>
      </c>
      <c r="E25" s="60"/>
      <c r="F25" s="379"/>
      <c r="G25" s="15">
        <f>IFERROR($C25*$H$19*'Premissas (BRA)'!$B$20*1000," ")</f>
        <v>2723059.0670000003</v>
      </c>
      <c r="H25" s="49"/>
    </row>
    <row r="26" spans="1:9" x14ac:dyDescent="0.25">
      <c r="A26" s="2" t="s">
        <v>126</v>
      </c>
      <c r="B26" s="16" t="s">
        <v>411</v>
      </c>
      <c r="C26" s="231">
        <f>'Oferta (BRA)'!C5</f>
        <v>13564</v>
      </c>
      <c r="D26" s="18"/>
      <c r="E26" s="60"/>
      <c r="F26" s="379"/>
      <c r="G26" s="15">
        <f>IFERROR($C26*$H$19*'Premissas (BRA)'!$B$20*1000," ")</f>
        <v>184677865.92394</v>
      </c>
      <c r="H26" s="49"/>
    </row>
    <row r="27" spans="1:9" x14ac:dyDescent="0.25">
      <c r="A27" s="2" t="s">
        <v>127</v>
      </c>
      <c r="B27" s="16" t="s">
        <v>388</v>
      </c>
      <c r="C27" s="231">
        <f>'Oferta (BRA)'!C6</f>
        <v>258</v>
      </c>
      <c r="D27" s="18"/>
      <c r="E27" s="60"/>
      <c r="F27" s="379"/>
      <c r="G27" s="15">
        <f>IFERROR($C27*$H$19*'Premissas (BRA)'!$B$20*1000," ")</f>
        <v>3512746.19643</v>
      </c>
      <c r="H27" s="49"/>
    </row>
    <row r="28" spans="1:9" x14ac:dyDescent="0.25">
      <c r="A28" s="2" t="s">
        <v>128</v>
      </c>
      <c r="B28" s="16" t="s">
        <v>27</v>
      </c>
      <c r="C28" s="231">
        <f>'Oferta (BRA)'!C7</f>
        <v>0</v>
      </c>
      <c r="D28" s="18"/>
      <c r="E28" s="60"/>
      <c r="F28" s="379"/>
      <c r="G28" s="15">
        <f>IFERROR($C28*$H$19*'Premissas (BRA)'!$B$20*1000," ")</f>
        <v>0</v>
      </c>
      <c r="H28" s="49"/>
    </row>
    <row r="29" spans="1:9" x14ac:dyDescent="0.25">
      <c r="A29" s="2" t="s">
        <v>183</v>
      </c>
      <c r="B29" s="16" t="s">
        <v>29</v>
      </c>
      <c r="C29" s="231">
        <f>'Oferta (BRA)'!C8</f>
        <v>0</v>
      </c>
      <c r="D29" s="18"/>
      <c r="E29" s="60"/>
      <c r="F29" s="379"/>
      <c r="G29" s="15">
        <f>IFERROR($C29*$H$19*'Premissas (BRA)'!$B$20*1000," ")</f>
        <v>0</v>
      </c>
      <c r="H29" s="49"/>
    </row>
    <row r="30" spans="1:9" x14ac:dyDescent="0.25">
      <c r="A30" s="2" t="s">
        <v>129</v>
      </c>
      <c r="B30" s="16" t="s">
        <v>24</v>
      </c>
      <c r="C30" s="231">
        <f>'Oferta (BRA)'!C9</f>
        <v>7765.8207892267164</v>
      </c>
      <c r="D30" s="18"/>
      <c r="E30" s="60"/>
      <c r="F30" s="379"/>
      <c r="G30" s="15">
        <f>IFERROR($C30*$H$19*'Premissas (BRA)'!$B$20*1000," ")</f>
        <v>105733943.56400453</v>
      </c>
      <c r="H30" s="49"/>
    </row>
    <row r="31" spans="1:9" x14ac:dyDescent="0.25">
      <c r="A31" s="2" t="s">
        <v>184</v>
      </c>
      <c r="B31" s="16" t="s">
        <v>194</v>
      </c>
      <c r="C31" s="231">
        <f>'Oferta (BRA)'!C10</f>
        <v>3398.2010229822185</v>
      </c>
      <c r="D31" s="18"/>
      <c r="E31" s="60"/>
      <c r="F31" s="379"/>
      <c r="G31" s="15">
        <f>IFERROR($C31*$H$19*'Premissas (BRA)'!$B$20*1000," ")</f>
        <v>46267510.535602026</v>
      </c>
      <c r="H31" s="49"/>
    </row>
    <row r="32" spans="1:9" x14ac:dyDescent="0.25">
      <c r="A32" s="2" t="s">
        <v>130</v>
      </c>
      <c r="B32" s="16" t="s">
        <v>196</v>
      </c>
      <c r="C32" s="231">
        <f>'Oferta (BRA)'!C11</f>
        <v>200</v>
      </c>
      <c r="D32" s="18"/>
      <c r="E32" s="60"/>
      <c r="F32" s="379"/>
      <c r="G32" s="15">
        <f>IFERROR($C32*$H$19*'Premissas (BRA)'!$B$20*1000," ")</f>
        <v>2723059.0670000003</v>
      </c>
      <c r="H32" s="49"/>
    </row>
    <row r="33" spans="1:9" x14ac:dyDescent="0.25">
      <c r="A33" s="2" t="s">
        <v>131</v>
      </c>
      <c r="B33" s="16" t="s">
        <v>195</v>
      </c>
      <c r="C33" s="231">
        <f>'Oferta (BRA)'!C12</f>
        <v>200</v>
      </c>
      <c r="D33" s="18"/>
      <c r="E33" s="60"/>
      <c r="F33" s="379"/>
      <c r="G33" s="15">
        <f>IFERROR($C33*$H$19*'Premissas (BRA)'!$B$20*1000," ")</f>
        <v>2723059.0670000003</v>
      </c>
      <c r="H33" s="49"/>
    </row>
    <row r="34" spans="1:9" x14ac:dyDescent="0.25">
      <c r="C34" s="61">
        <f>SUM(C24:C33)</f>
        <v>36707.890882684653</v>
      </c>
      <c r="D34" s="61"/>
      <c r="E34" s="60"/>
      <c r="F34" s="61"/>
      <c r="G34" s="61">
        <f>SUM(G24:G33)</f>
        <v>499788775.49270535</v>
      </c>
      <c r="H34" s="49"/>
    </row>
    <row r="35" spans="1:9" x14ac:dyDescent="0.25">
      <c r="C35" s="60"/>
      <c r="D35" s="60"/>
      <c r="E35" s="60"/>
      <c r="F35" s="60"/>
      <c r="G35" s="60"/>
      <c r="H35" s="60"/>
      <c r="I35" s="49"/>
    </row>
    <row r="36" spans="1:9" x14ac:dyDescent="0.25">
      <c r="C36" s="60"/>
      <c r="D36" s="60"/>
      <c r="E36" s="60"/>
      <c r="F36" s="60"/>
      <c r="G36" s="60"/>
      <c r="H36" s="60"/>
      <c r="I36" s="49"/>
    </row>
    <row r="37" spans="1:9" x14ac:dyDescent="0.25">
      <c r="C37" s="60"/>
      <c r="D37" s="60"/>
      <c r="E37" s="60"/>
      <c r="F37" s="60"/>
      <c r="G37" s="60"/>
      <c r="H37" s="60"/>
      <c r="I37" s="49"/>
    </row>
    <row r="38" spans="1:9" x14ac:dyDescent="0.25">
      <c r="A38" s="203"/>
      <c r="B38" s="203"/>
      <c r="C38" s="367">
        <v>2026</v>
      </c>
      <c r="F38" s="377"/>
      <c r="G38" s="380">
        <v>2026</v>
      </c>
      <c r="I38" s="49"/>
    </row>
    <row r="39" spans="1:9" ht="15.95" customHeight="1" x14ac:dyDescent="0.25">
      <c r="A39" s="204"/>
      <c r="B39" s="204"/>
      <c r="C39" s="367"/>
      <c r="F39" s="377"/>
      <c r="G39" s="380" t="s">
        <v>181</v>
      </c>
      <c r="H39" s="49"/>
    </row>
    <row r="40" spans="1:9" ht="34.5" x14ac:dyDescent="0.25">
      <c r="A40" s="56" t="s">
        <v>123</v>
      </c>
      <c r="B40" s="205" t="s">
        <v>132</v>
      </c>
      <c r="C40" s="59" t="s">
        <v>214</v>
      </c>
      <c r="F40" s="378"/>
      <c r="G40" s="381" t="s">
        <v>216</v>
      </c>
      <c r="H40" s="49"/>
    </row>
    <row r="41" spans="1:9" x14ac:dyDescent="0.25">
      <c r="A41" s="2" t="s">
        <v>37</v>
      </c>
      <c r="B41" s="16" t="s">
        <v>160</v>
      </c>
      <c r="C41" s="231">
        <f>'Demanda (BRA)'!C3</f>
        <v>83.95934449000282</v>
      </c>
      <c r="F41" s="379"/>
      <c r="G41" s="15">
        <f>IFERROR($C41*$H$19*'Premissas (BRA)'!$F$20*1000," ")</f>
        <v>1143131.2713643934</v>
      </c>
      <c r="H41" s="49"/>
    </row>
    <row r="42" spans="1:9" x14ac:dyDescent="0.25">
      <c r="A42" s="2" t="s">
        <v>38</v>
      </c>
      <c r="B42" s="16" t="s">
        <v>161</v>
      </c>
      <c r="C42" s="231">
        <f>'Demanda (BRA)'!C4</f>
        <v>1358.5951793648003</v>
      </c>
      <c r="F42" s="379"/>
      <c r="G42" s="15">
        <f>IFERROR($C42*$H$19*'Premissas (BRA)'!$F$20*1000," ")</f>
        <v>18497674.607759055</v>
      </c>
      <c r="H42" s="49"/>
    </row>
    <row r="43" spans="1:9" x14ac:dyDescent="0.25">
      <c r="A43" s="2" t="s">
        <v>39</v>
      </c>
      <c r="B43" s="16" t="s">
        <v>162</v>
      </c>
      <c r="C43" s="231">
        <f>'Demanda (BRA)'!C5</f>
        <v>1591.1855708262167</v>
      </c>
      <c r="D43" s="18"/>
      <c r="F43" s="379"/>
      <c r="G43" s="15">
        <f>IFERROR($C43*$H$19*'Premissas (BRA)'!$F$20*1000," ")</f>
        <v>21664461.4795895</v>
      </c>
      <c r="H43" s="49"/>
    </row>
    <row r="44" spans="1:9" x14ac:dyDescent="0.25">
      <c r="A44" s="2" t="s">
        <v>40</v>
      </c>
      <c r="B44" s="16" t="s">
        <v>163</v>
      </c>
      <c r="C44" s="231">
        <f>'Demanda (BRA)'!C6</f>
        <v>257.90539079715882</v>
      </c>
      <c r="D44" s="18"/>
      <c r="F44" s="379"/>
      <c r="G44" s="15">
        <f>IFERROR($C44*$H$19*'Premissas (BRA)'!$F$20*1000," ")</f>
        <v>3511458.0641919076</v>
      </c>
      <c r="H44" s="49"/>
    </row>
    <row r="45" spans="1:9" x14ac:dyDescent="0.25">
      <c r="A45" s="2" t="s">
        <v>41</v>
      </c>
      <c r="B45" s="16" t="s">
        <v>164</v>
      </c>
      <c r="C45" s="231">
        <f>'Demanda (BRA)'!C7</f>
        <v>4113.6189497552796</v>
      </c>
      <c r="D45" s="18"/>
      <c r="F45" s="379"/>
      <c r="G45" s="15">
        <f>IFERROR($C45*$H$19*'Premissas (BRA)'!$F$20*1000," ")</f>
        <v>56008136.89657066</v>
      </c>
      <c r="H45" s="49"/>
    </row>
    <row r="46" spans="1:9" x14ac:dyDescent="0.25">
      <c r="A46" s="2" t="s">
        <v>42</v>
      </c>
      <c r="B46" s="16" t="s">
        <v>165</v>
      </c>
      <c r="C46" s="231">
        <f>'Demanda (BRA)'!C8</f>
        <v>1671.5160482445838</v>
      </c>
      <c r="D46" s="18"/>
      <c r="F46" s="379"/>
      <c r="G46" s="15">
        <f>IFERROR($C46*$H$19*'Premissas (BRA)'!$F$20*1000," ")</f>
        <v>22758184.654042114</v>
      </c>
      <c r="H46" s="49"/>
    </row>
    <row r="47" spans="1:9" x14ac:dyDescent="0.25">
      <c r="A47" s="2" t="s">
        <v>43</v>
      </c>
      <c r="B47" s="16" t="s">
        <v>166</v>
      </c>
      <c r="C47" s="231">
        <f>'Demanda (BRA)'!C9</f>
        <v>1497.3761894156601</v>
      </c>
      <c r="D47" s="18"/>
      <c r="F47" s="379"/>
      <c r="G47" s="15">
        <f>IFERROR($C47*$H$19*'Premissas (BRA)'!$F$20*1000," ")</f>
        <v>20387219.046491113</v>
      </c>
      <c r="H47" s="49"/>
    </row>
    <row r="48" spans="1:9" x14ac:dyDescent="0.25">
      <c r="A48" s="2" t="s">
        <v>44</v>
      </c>
      <c r="B48" s="16" t="s">
        <v>167</v>
      </c>
      <c r="C48" s="231">
        <f>'Demanda (BRA)'!C10</f>
        <v>275.11051045873194</v>
      </c>
      <c r="D48" s="18"/>
      <c r="F48" s="379"/>
      <c r="G48" s="15">
        <f>IFERROR($C48*$H$19*'Premissas (BRA)'!$F$20*1000," ")</f>
        <v>3745710.8496582415</v>
      </c>
      <c r="H48" s="49"/>
    </row>
    <row r="49" spans="1:9" x14ac:dyDescent="0.25">
      <c r="A49" s="2" t="s">
        <v>45</v>
      </c>
      <c r="B49" s="16" t="s">
        <v>168</v>
      </c>
      <c r="C49" s="231">
        <f>'Demanda (BRA)'!C11</f>
        <v>695.99981184318472</v>
      </c>
      <c r="D49" s="18"/>
      <c r="F49" s="379"/>
      <c r="G49" s="15">
        <f>IFERROR($C49*$H$19*'Premissas (BRA)'!$F$20*1000," ")</f>
        <v>9476242.9913493898</v>
      </c>
      <c r="H49" s="49"/>
    </row>
    <row r="50" spans="1:9" x14ac:dyDescent="0.25">
      <c r="A50" s="2" t="s">
        <v>46</v>
      </c>
      <c r="B50" s="16" t="s">
        <v>169</v>
      </c>
      <c r="C50" s="231">
        <f>'Demanda (BRA)'!C12</f>
        <v>994.60300359473592</v>
      </c>
      <c r="D50" s="18"/>
      <c r="F50" s="379"/>
      <c r="G50" s="15">
        <f>IFERROR($C50*$H$19*'Premissas (BRA)'!$F$20*1000," ")</f>
        <v>13541813.635020396</v>
      </c>
      <c r="H50" s="49"/>
    </row>
    <row r="51" spans="1:9" x14ac:dyDescent="0.25">
      <c r="A51" s="2" t="s">
        <v>47</v>
      </c>
      <c r="B51" s="16" t="s">
        <v>170</v>
      </c>
      <c r="C51" s="231">
        <f>'Demanda (BRA)'!C13</f>
        <v>2460.3528578351988</v>
      </c>
      <c r="D51" s="18"/>
      <c r="F51" s="379"/>
      <c r="G51" s="15">
        <f>IFERROR($C51*$H$19*'Premissas (BRA)'!$F$20*1000," ")</f>
        <v>33498430.787737504</v>
      </c>
      <c r="H51" s="49"/>
    </row>
    <row r="52" spans="1:9" x14ac:dyDescent="0.25">
      <c r="A52" s="2" t="s">
        <v>48</v>
      </c>
      <c r="B52" s="16" t="s">
        <v>171</v>
      </c>
      <c r="C52" s="231">
        <f>'Demanda (BRA)'!C14</f>
        <v>1008.3686134701056</v>
      </c>
      <c r="D52" s="18"/>
      <c r="F52" s="379"/>
      <c r="G52" s="15">
        <f>IFERROR($C52*$H$19*'Premissas (BRA)'!$F$20*1000," ")</f>
        <v>13729236.478939947</v>
      </c>
      <c r="H52" s="49"/>
    </row>
    <row r="53" spans="1:9" x14ac:dyDescent="0.25">
      <c r="A53" s="2" t="s">
        <v>49</v>
      </c>
      <c r="B53" s="16" t="s">
        <v>172</v>
      </c>
      <c r="C53" s="231">
        <f>'Demanda (BRA)'!C15</f>
        <v>1318.069593111717</v>
      </c>
      <c r="D53" s="18"/>
      <c r="F53" s="379"/>
      <c r="G53" s="15">
        <f>IFERROR($C53*$H$19*'Premissas (BRA)'!$F$20*1000," ")</f>
        <v>17945906.78229931</v>
      </c>
      <c r="H53" s="49"/>
    </row>
    <row r="54" spans="1:9" x14ac:dyDescent="0.25">
      <c r="A54" s="2" t="s">
        <v>50</v>
      </c>
      <c r="B54" s="16" t="s">
        <v>199</v>
      </c>
      <c r="C54" s="231">
        <f>'Demanda (BRA)'!C16</f>
        <v>0</v>
      </c>
      <c r="D54" s="18"/>
      <c r="F54" s="379"/>
      <c r="G54" s="15">
        <f>IFERROR($C54*$H$19*'Premissas (BRA)'!$F$20*1000," ")</f>
        <v>0</v>
      </c>
      <c r="H54" s="49"/>
    </row>
    <row r="55" spans="1:9" x14ac:dyDescent="0.25">
      <c r="A55" s="2" t="s">
        <v>51</v>
      </c>
      <c r="B55" s="16" t="s">
        <v>198</v>
      </c>
      <c r="C55" s="231">
        <f>'Demanda (BRA)'!C17</f>
        <v>3635.2588149970047</v>
      </c>
      <c r="D55" s="18"/>
      <c r="F55" s="379"/>
      <c r="G55" s="15">
        <f>IFERROR($C55*$H$19*'Premissas (BRA)'!$F$20*1000," ")</f>
        <v>49495122.385346346</v>
      </c>
      <c r="H55" s="49"/>
    </row>
    <row r="56" spans="1:9" x14ac:dyDescent="0.25">
      <c r="A56" s="2" t="s">
        <v>52</v>
      </c>
      <c r="B56" s="16" t="s">
        <v>197</v>
      </c>
      <c r="C56" s="231">
        <f>'Demanda (BRA)'!C18</f>
        <v>200</v>
      </c>
      <c r="D56" s="18"/>
      <c r="F56" s="379"/>
      <c r="G56" s="15">
        <f>IFERROR($C56*$H$19*'Premissas (BRA)'!$F$20*1000," ")</f>
        <v>2723059.0670000003</v>
      </c>
      <c r="H56" s="49"/>
    </row>
    <row r="57" spans="1:9" x14ac:dyDescent="0.25">
      <c r="C57" s="61">
        <f>SUM(C41:C56)</f>
        <v>21161.919878204375</v>
      </c>
      <c r="E57" s="61"/>
      <c r="G57" s="61">
        <f>SUM(G41:G56)</f>
        <v>288125788.99735987</v>
      </c>
      <c r="I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G24/$G$34</f>
        <v>0.30298305903818551</v>
      </c>
      <c r="C99" s="8"/>
      <c r="D99" t="s">
        <v>232</v>
      </c>
      <c r="E99" s="66">
        <f t="shared" ref="E99:E114" si="2">G41/$G$57</f>
        <v>3.9674729406983696E-3</v>
      </c>
      <c r="G99" s="65" t="s">
        <v>140</v>
      </c>
      <c r="H99" s="67">
        <f>G24/$G$34</f>
        <v>0.30298305903818551</v>
      </c>
      <c r="I99" s="67">
        <f>G25/$G$34</f>
        <v>5.4484198135813173E-3</v>
      </c>
      <c r="J99" s="67">
        <f>$G26/$G$34</f>
        <v>0.36951183175708485</v>
      </c>
      <c r="K99" s="67">
        <f>$G27/$G$34</f>
        <v>7.028461559519898E-3</v>
      </c>
      <c r="L99" s="67">
        <f>$G28/$G$34</f>
        <v>0</v>
      </c>
      <c r="M99" s="67">
        <f>$G29/$G$34</f>
        <v>0</v>
      </c>
      <c r="N99" s="67">
        <f>$G30/$G$34</f>
        <v>0.21155725928372268</v>
      </c>
      <c r="O99" s="67">
        <f>$G31/$G$34</f>
        <v>9.2574128920743085E-2</v>
      </c>
      <c r="P99" s="67">
        <f>$G32/$G$34</f>
        <v>5.4484198135813173E-3</v>
      </c>
      <c r="Q99" s="67">
        <f>$G33/$G$34</f>
        <v>5.4484198135813173E-3</v>
      </c>
      <c r="R99" s="67">
        <f>SUM(H99:Q99)</f>
        <v>1</v>
      </c>
      <c r="S99" s="66"/>
      <c r="T99" s="66"/>
      <c r="U99" s="66"/>
      <c r="V99" s="66"/>
      <c r="W99" s="66"/>
    </row>
    <row r="100" spans="1:27" ht="18" x14ac:dyDescent="0.35">
      <c r="A100" t="s">
        <v>223</v>
      </c>
      <c r="B100" s="68">
        <f t="shared" si="1"/>
        <v>5.4484198135813173E-3</v>
      </c>
      <c r="C100" s="4"/>
      <c r="D100" t="s">
        <v>233</v>
      </c>
      <c r="E100" s="66">
        <f t="shared" si="2"/>
        <v>6.4199996370087345E-2</v>
      </c>
      <c r="W100" s="69"/>
    </row>
    <row r="101" spans="1:27" ht="18" x14ac:dyDescent="0.35">
      <c r="A101" t="s">
        <v>224</v>
      </c>
      <c r="B101" s="68">
        <f t="shared" si="1"/>
        <v>0.36951183175708485</v>
      </c>
      <c r="C101" s="4"/>
      <c r="D101" t="s">
        <v>234</v>
      </c>
      <c r="E101" s="66">
        <f t="shared" si="2"/>
        <v>7.5190983615104345E-2</v>
      </c>
      <c r="G101" s="66"/>
    </row>
    <row r="102" spans="1:27" ht="18" x14ac:dyDescent="0.35">
      <c r="A102" t="s">
        <v>225</v>
      </c>
      <c r="B102" s="68">
        <f t="shared" si="1"/>
        <v>7.028461559519898E-3</v>
      </c>
      <c r="C102" s="4"/>
      <c r="D102" t="s">
        <v>235</v>
      </c>
      <c r="E102" s="66">
        <f t="shared" si="2"/>
        <v>1.218723973446224E-2</v>
      </c>
      <c r="G102" s="66"/>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7.8986975561047917E-2</v>
      </c>
      <c r="G104" s="66"/>
      <c r="H104" s="68"/>
      <c r="I104" s="68"/>
    </row>
    <row r="105" spans="1:27" ht="18" x14ac:dyDescent="0.35">
      <c r="A105" t="s">
        <v>228</v>
      </c>
      <c r="B105" s="68">
        <f t="shared" si="1"/>
        <v>0.21155725928372268</v>
      </c>
      <c r="C105" s="4"/>
      <c r="D105" t="s">
        <v>238</v>
      </c>
      <c r="E105" s="66">
        <f t="shared" si="2"/>
        <v>7.0758050216316884E-2</v>
      </c>
      <c r="G105" s="66"/>
      <c r="H105" s="68"/>
      <c r="I105" s="68"/>
    </row>
    <row r="106" spans="1:27" ht="18" x14ac:dyDescent="0.35">
      <c r="A106" t="s">
        <v>229</v>
      </c>
      <c r="B106" s="68">
        <f t="shared" si="1"/>
        <v>9.2574128920743085E-2</v>
      </c>
      <c r="C106" s="4"/>
      <c r="D106" t="s">
        <v>239</v>
      </c>
      <c r="E106" s="66">
        <f t="shared" si="2"/>
        <v>1.3000262360036657E-2</v>
      </c>
      <c r="G106" s="66"/>
      <c r="H106" s="68"/>
      <c r="I106" s="68"/>
    </row>
    <row r="107" spans="1:27" ht="18" x14ac:dyDescent="0.35">
      <c r="A107" t="s">
        <v>230</v>
      </c>
      <c r="B107" s="68">
        <f t="shared" si="1"/>
        <v>5.4484198135813173E-3</v>
      </c>
      <c r="C107" s="4"/>
      <c r="D107" t="s">
        <v>240</v>
      </c>
      <c r="E107" s="66">
        <f t="shared" si="2"/>
        <v>3.2889256544252697E-2</v>
      </c>
      <c r="G107" s="66"/>
      <c r="H107" s="68"/>
      <c r="I107" s="68"/>
    </row>
    <row r="108" spans="1:27" ht="18" x14ac:dyDescent="0.35">
      <c r="A108" t="s">
        <v>231</v>
      </c>
      <c r="B108" s="68">
        <f t="shared" si="1"/>
        <v>5.4484198135813173E-3</v>
      </c>
      <c r="D108" t="s">
        <v>241</v>
      </c>
      <c r="E108" s="66">
        <f t="shared" si="2"/>
        <v>4.6999658316404576E-2</v>
      </c>
      <c r="G108" s="66"/>
    </row>
    <row r="109" spans="1:27" ht="18" x14ac:dyDescent="0.35">
      <c r="B109" s="68">
        <f>SUM(B99:B108)</f>
        <v>1</v>
      </c>
      <c r="D109" t="s">
        <v>242</v>
      </c>
      <c r="E109" s="66">
        <f t="shared" si="2"/>
        <v>0.11626321581385571</v>
      </c>
      <c r="G109" s="66"/>
    </row>
    <row r="110" spans="1:27" ht="18" x14ac:dyDescent="0.35">
      <c r="B110" s="68"/>
      <c r="D110" t="s">
        <v>243</v>
      </c>
      <c r="E110" s="66">
        <f t="shared" si="2"/>
        <v>4.7650147967371811E-2</v>
      </c>
      <c r="G110" s="66"/>
    </row>
    <row r="111" spans="1:27" ht="18" x14ac:dyDescent="0.35">
      <c r="B111" s="68"/>
      <c r="D111" t="s">
        <v>244</v>
      </c>
      <c r="E111" s="66">
        <f t="shared" si="2"/>
        <v>6.228497228501733E-2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9.4509383435474152E-3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387.07954179170122</v>
      </c>
    </row>
    <row r="131" spans="1:5" ht="18" x14ac:dyDescent="0.35">
      <c r="A131" t="s">
        <v>254</v>
      </c>
      <c r="B131" s="66">
        <f ca="1">SUMPRODUCT($E$99:$E$114,D$67:D$82)</f>
        <v>282.93744338444242</v>
      </c>
      <c r="C131" s="70"/>
      <c r="D131" t="s">
        <v>255</v>
      </c>
      <c r="E131" s="4">
        <f t="shared" ref="E131:E145" ca="1" si="3">SUMPRODUCT($H$99:$Q$99,$C68:$L68)</f>
        <v>484.24354179170115</v>
      </c>
    </row>
    <row r="132" spans="1:5" ht="18" x14ac:dyDescent="0.35">
      <c r="A132" t="s">
        <v>256</v>
      </c>
      <c r="B132" s="66">
        <f ca="1">SUMPRODUCT($E$99:$E$114,E$67:E$82)</f>
        <v>321.04260610518725</v>
      </c>
      <c r="C132" s="70"/>
      <c r="D132" t="s">
        <v>257</v>
      </c>
      <c r="E132" s="4">
        <f t="shared" ca="1" si="3"/>
        <v>601.40874179170112</v>
      </c>
    </row>
    <row r="133" spans="1:5" ht="18" x14ac:dyDescent="0.35">
      <c r="A133" t="s">
        <v>258</v>
      </c>
      <c r="B133" s="66">
        <f ca="1">SUMPRODUCT($E$99:$E$114,F$67:F$82)</f>
        <v>382.5879665558885</v>
      </c>
      <c r="C133" s="70"/>
      <c r="D133" t="s">
        <v>259</v>
      </c>
      <c r="E133" s="4">
        <f t="shared" ca="1" si="3"/>
        <v>564.41001328397806</v>
      </c>
    </row>
    <row r="134" spans="1:5" ht="18" x14ac:dyDescent="0.35">
      <c r="A134" t="s">
        <v>260</v>
      </c>
      <c r="B134" s="66">
        <f ca="1">SUMPRODUCT($E$99:$E$114,G$67:G$82)</f>
        <v>263.66286997668777</v>
      </c>
      <c r="C134" s="70"/>
      <c r="D134" t="s">
        <v>261</v>
      </c>
      <c r="E134" s="4">
        <f t="shared" ca="1" si="3"/>
        <v>240.10077571158112</v>
      </c>
    </row>
    <row r="135" spans="1:5" ht="18" x14ac:dyDescent="0.35">
      <c r="A135" t="s">
        <v>262</v>
      </c>
      <c r="B135" s="66">
        <f ca="1">SUMPRODUCT($E$99:$E$114,H$67:H$82)</f>
        <v>386.36871750115944</v>
      </c>
      <c r="C135" s="70"/>
      <c r="D135" t="s">
        <v>263</v>
      </c>
      <c r="E135" s="4">
        <f t="shared" ca="1" si="3"/>
        <v>226.75833749415148</v>
      </c>
    </row>
    <row r="136" spans="1:5" ht="18" x14ac:dyDescent="0.35">
      <c r="A136" t="s">
        <v>264</v>
      </c>
      <c r="B136" s="66">
        <f ca="1">SUMPRODUCT($E$99:$E$114,I$67:I$82)</f>
        <v>432.57823816543032</v>
      </c>
      <c r="D136" t="s">
        <v>265</v>
      </c>
      <c r="E136" s="4">
        <f t="shared" ca="1" si="3"/>
        <v>236.40511083257584</v>
      </c>
    </row>
    <row r="137" spans="1:5" ht="18" x14ac:dyDescent="0.35">
      <c r="A137" t="s">
        <v>266</v>
      </c>
      <c r="B137" s="66">
        <f ca="1">SUMPRODUCT($E$99:$E$114,J$67:J$82)</f>
        <v>299.60156188365494</v>
      </c>
      <c r="D137" t="s">
        <v>267</v>
      </c>
      <c r="E137" s="4">
        <f t="shared" ca="1" si="3"/>
        <v>246.76082506191898</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276.35074371959456</v>
      </c>
    </row>
    <row r="141" spans="1:5" ht="18" x14ac:dyDescent="0.35">
      <c r="B141" s="66"/>
      <c r="D141" t="s">
        <v>273</v>
      </c>
      <c r="E141" s="4">
        <f t="shared" ca="1" si="3"/>
        <v>378.76044577280231</v>
      </c>
    </row>
    <row r="142" spans="1:5" ht="18" x14ac:dyDescent="0.35">
      <c r="B142" s="66"/>
      <c r="D142" t="s">
        <v>274</v>
      </c>
      <c r="E142" s="4">
        <f t="shared" ca="1" si="3"/>
        <v>414.35744691016907</v>
      </c>
    </row>
    <row r="143" spans="1:5" ht="18" x14ac:dyDescent="0.35">
      <c r="B143" s="66"/>
      <c r="D143" t="s">
        <v>275</v>
      </c>
      <c r="E143" s="4">
        <f t="shared" si="3"/>
        <v>309.02044691016908</v>
      </c>
    </row>
    <row r="144" spans="1:5" ht="18" x14ac:dyDescent="0.35">
      <c r="B144" s="66"/>
      <c r="D144" t="s">
        <v>276</v>
      </c>
      <c r="E144" s="4">
        <f t="shared" si="3"/>
        <v>470.6440132839781</v>
      </c>
    </row>
    <row r="145" spans="1:5" ht="18" x14ac:dyDescent="0.35">
      <c r="B145" s="66"/>
      <c r="D145" t="s">
        <v>277</v>
      </c>
      <c r="E145" s="4">
        <f t="shared" si="3"/>
        <v>292.07370007863966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($G24*$B130)/SUMPRODUCT($G$24:$G$33,$B$130:$B$139)</f>
        <v>0.29597092688082333</v>
      </c>
      <c r="C162" s="13"/>
      <c r="D162" t="s">
        <v>283</v>
      </c>
      <c r="E162" s="71">
        <f t="shared" ref="E162:E177" ca="1" si="5">($G41*$E130)/SUMPRODUCT($G$41:$G$56,$E$130:$E$145)</f>
        <v>4.3852799120701544E-3</v>
      </c>
    </row>
    <row r="163" spans="1:9" ht="18" x14ac:dyDescent="0.35">
      <c r="A163" t="s">
        <v>284</v>
      </c>
      <c r="B163" s="71">
        <f t="shared" ca="1" si="4"/>
        <v>4.4019399770937034E-3</v>
      </c>
      <c r="C163" s="4"/>
      <c r="D163" t="s">
        <v>285</v>
      </c>
      <c r="E163" s="71">
        <f t="shared" ca="1" si="5"/>
        <v>8.8773219136179443E-2</v>
      </c>
    </row>
    <row r="164" spans="1:9" ht="18" x14ac:dyDescent="0.35">
      <c r="A164" t="s">
        <v>286</v>
      </c>
      <c r="B164" s="71">
        <f t="shared" ca="1" si="4"/>
        <v>0.33874597928767747</v>
      </c>
      <c r="C164" s="4"/>
      <c r="D164" t="s">
        <v>287</v>
      </c>
      <c r="E164" s="71">
        <f t="shared" ca="1" si="5"/>
        <v>0.12912746658844282</v>
      </c>
      <c r="H164" s="72"/>
      <c r="I164" s="72"/>
    </row>
    <row r="165" spans="1:9" ht="18" x14ac:dyDescent="0.35">
      <c r="A165" t="s">
        <v>288</v>
      </c>
      <c r="B165" s="71">
        <f t="shared" ca="1" si="4"/>
        <v>7.6784702848935304E-3</v>
      </c>
      <c r="C165" s="4"/>
      <c r="D165" t="s">
        <v>289</v>
      </c>
      <c r="E165" s="71">
        <f t="shared" ca="1" si="5"/>
        <v>1.9641886271158159E-2</v>
      </c>
    </row>
    <row r="166" spans="1:9" ht="18" x14ac:dyDescent="0.35">
      <c r="A166" t="s">
        <v>290</v>
      </c>
      <c r="B166" s="71">
        <f t="shared" ca="1" si="4"/>
        <v>0</v>
      </c>
      <c r="C166" s="4"/>
      <c r="D166" t="s">
        <v>291</v>
      </c>
      <c r="E166" s="71">
        <f t="shared" ca="1" si="5"/>
        <v>0.13327407753006018</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7.9198477926975666E-2</v>
      </c>
      <c r="C169" s="4"/>
      <c r="D169" t="s">
        <v>297</v>
      </c>
      <c r="E169" s="71">
        <f t="shared" ca="1" si="5"/>
        <v>9.1603371528331742E-3</v>
      </c>
    </row>
    <row r="170" spans="1:9" ht="18" x14ac:dyDescent="0.35">
      <c r="A170" t="s">
        <v>298</v>
      </c>
      <c r="B170" s="71">
        <f t="shared" ca="1" si="4"/>
        <v>5.9523025464290943E-3</v>
      </c>
      <c r="D170" t="s">
        <v>299</v>
      </c>
      <c r="E170" s="71">
        <f t="shared" ca="1" si="5"/>
        <v>2.2447266066533016E-2</v>
      </c>
    </row>
    <row r="171" spans="1:9" ht="18" x14ac:dyDescent="0.35">
      <c r="A171" t="s">
        <v>300</v>
      </c>
      <c r="B171" s="71">
        <f t="shared" ca="1" si="4"/>
        <v>6.7300510565999972E-3</v>
      </c>
      <c r="D171" t="s">
        <v>301</v>
      </c>
      <c r="E171" s="71">
        <f t="shared" ca="1" si="5"/>
        <v>3.8556314841768372E-2</v>
      </c>
    </row>
    <row r="172" spans="1:9" ht="18" x14ac:dyDescent="0.35">
      <c r="B172" s="175">
        <f ca="1">SUM(B162:B171)</f>
        <v>1.0000000000000002</v>
      </c>
      <c r="D172" t="s">
        <v>302</v>
      </c>
      <c r="E172" s="71">
        <f t="shared" ca="1" si="5"/>
        <v>9.1745779905480565E-2</v>
      </c>
    </row>
    <row r="173" spans="1:9" ht="18" x14ac:dyDescent="0.35">
      <c r="B173" s="71"/>
      <c r="D173" t="s">
        <v>303</v>
      </c>
      <c r="E173" s="71">
        <f t="shared" ca="1" si="5"/>
        <v>5.1536153433999747E-2</v>
      </c>
    </row>
    <row r="174" spans="1:9" ht="18" x14ac:dyDescent="0.35">
      <c r="B174" s="71"/>
      <c r="D174" t="s">
        <v>304</v>
      </c>
      <c r="E174" s="71">
        <f t="shared" ca="1" si="5"/>
        <v>7.3695598781305993E-2</v>
      </c>
    </row>
    <row r="175" spans="1:9" ht="18" x14ac:dyDescent="0.35">
      <c r="B175" s="71"/>
      <c r="D175" t="s">
        <v>305</v>
      </c>
      <c r="E175" s="71">
        <f t="shared" ca="1" si="5"/>
        <v>0</v>
      </c>
    </row>
    <row r="176" spans="1:9" ht="18" x14ac:dyDescent="0.35">
      <c r="B176" s="71"/>
      <c r="D176" t="s">
        <v>306</v>
      </c>
      <c r="E176" s="71">
        <f t="shared" ca="1" si="5"/>
        <v>0.23086385167581194</v>
      </c>
    </row>
    <row r="177" spans="1:5" ht="18" x14ac:dyDescent="0.35">
      <c r="B177" s="71"/>
      <c r="D177" t="s">
        <v>307</v>
      </c>
      <c r="E177" s="71">
        <f t="shared" ca="1" si="5"/>
        <v>7.882255536523752E-3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421.1433454109183</v>
      </c>
      <c r="C193" s="19"/>
      <c r="D193" t="s">
        <v>311</v>
      </c>
      <c r="E193" s="5">
        <f t="shared" ref="E193:E208" ca="1" si="7">$E162*$D$8</f>
        <v>2.6742464280855933</v>
      </c>
    </row>
    <row r="194" spans="1:5" ht="18" x14ac:dyDescent="0.35">
      <c r="A194" t="s">
        <v>312</v>
      </c>
      <c r="B194" s="6">
        <f t="shared" ca="1" si="6"/>
        <v>6.2636142941086241</v>
      </c>
      <c r="D194" t="s">
        <v>313</v>
      </c>
      <c r="E194" s="5">
        <f t="shared" ca="1" si="7"/>
        <v>54.135988795414811</v>
      </c>
    </row>
    <row r="195" spans="1:5" ht="18" x14ac:dyDescent="0.35">
      <c r="A195" t="s">
        <v>314</v>
      </c>
      <c r="B195" s="6">
        <f t="shared" ca="1" si="6"/>
        <v>482.00887994365183</v>
      </c>
      <c r="D195" t="s">
        <v>315</v>
      </c>
      <c r="E195" s="5">
        <f t="shared" ca="1" si="7"/>
        <v>78.744954305293319</v>
      </c>
    </row>
    <row r="196" spans="1:5" ht="18" x14ac:dyDescent="0.35">
      <c r="A196" t="s">
        <v>316</v>
      </c>
      <c r="B196" s="6">
        <f t="shared" ca="1" si="6"/>
        <v>10.925859162918714</v>
      </c>
      <c r="D196" t="s">
        <v>317</v>
      </c>
      <c r="E196" s="5">
        <f t="shared" ca="1" si="7"/>
        <v>11.978082415430508</v>
      </c>
    </row>
    <row r="197" spans="1:5" ht="18" x14ac:dyDescent="0.35">
      <c r="A197" t="s">
        <v>318</v>
      </c>
      <c r="B197" s="6">
        <f t="shared" ca="1" si="6"/>
        <v>0</v>
      </c>
      <c r="D197" t="s">
        <v>319</v>
      </c>
      <c r="E197" s="5">
        <f t="shared" ca="1" si="7"/>
        <v>81.273654803694583</v>
      </c>
    </row>
    <row r="198" spans="1:5" ht="18" x14ac:dyDescent="0.35">
      <c r="A198" t="s">
        <v>320</v>
      </c>
      <c r="B198" s="6">
        <f t="shared" ca="1" si="6"/>
        <v>0</v>
      </c>
      <c r="D198" t="s">
        <v>321</v>
      </c>
      <c r="E198" s="5">
        <f t="shared" ca="1" si="7"/>
        <v>31.189325427645908</v>
      </c>
    </row>
    <row r="199" spans="1:5" ht="18" x14ac:dyDescent="0.35">
      <c r="A199" t="s">
        <v>322</v>
      </c>
      <c r="B199" s="6">
        <f t="shared" ca="1" si="6"/>
        <v>371.8404376968075</v>
      </c>
      <c r="D199" t="s">
        <v>323</v>
      </c>
      <c r="E199" s="5">
        <f t="shared" ca="1" si="7"/>
        <v>29.128622763333407</v>
      </c>
    </row>
    <row r="200" spans="1:5" ht="18" x14ac:dyDescent="0.35">
      <c r="A200" t="s">
        <v>324</v>
      </c>
      <c r="B200" s="6">
        <f t="shared" ca="1" si="6"/>
        <v>112.69320367756832</v>
      </c>
      <c r="D200" t="s">
        <v>325</v>
      </c>
      <c r="E200" s="5">
        <f t="shared" ca="1" si="7"/>
        <v>5.5861882028551282</v>
      </c>
    </row>
    <row r="201" spans="1:5" ht="18" x14ac:dyDescent="0.35">
      <c r="A201" t="s">
        <v>326</v>
      </c>
      <c r="B201" s="6">
        <f t="shared" ca="1" si="6"/>
        <v>8.4696582658284623</v>
      </c>
      <c r="D201" t="s">
        <v>327</v>
      </c>
      <c r="E201" s="5">
        <f t="shared" ca="1" si="7"/>
        <v>13.688868738683272</v>
      </c>
    </row>
    <row r="202" spans="1:5" ht="18" x14ac:dyDescent="0.35">
      <c r="A202" t="s">
        <v>328</v>
      </c>
      <c r="B202" s="6">
        <f t="shared" ca="1" si="6"/>
        <v>9.576333211620085</v>
      </c>
      <c r="D202" t="s">
        <v>329</v>
      </c>
      <c r="E202" s="5">
        <f t="shared" ca="1" si="7"/>
        <v>23.512544082292806</v>
      </c>
    </row>
    <row r="203" spans="1:5" ht="18" x14ac:dyDescent="0.35">
      <c r="B203" s="6">
        <f ca="1">SUM(B193:B202)</f>
        <v>1422.9213316634218</v>
      </c>
      <c r="D203" t="s">
        <v>330</v>
      </c>
      <c r="E203" s="5">
        <f t="shared" ca="1" si="7"/>
        <v>55.948725993259551</v>
      </c>
    </row>
    <row r="204" spans="1:5" ht="18" x14ac:dyDescent="0.35">
      <c r="B204" s="6"/>
      <c r="D204" t="s">
        <v>331</v>
      </c>
      <c r="E204" s="5">
        <f t="shared" ca="1" si="7"/>
        <v>31.427953745621721</v>
      </c>
    </row>
    <row r="205" spans="1:5" ht="18" x14ac:dyDescent="0.35">
      <c r="B205" s="6"/>
      <c r="D205" t="s">
        <v>332</v>
      </c>
      <c r="E205" s="5">
        <f t="shared" ca="1" si="7"/>
        <v>44.94130266669822</v>
      </c>
    </row>
    <row r="206" spans="1:5" ht="18" x14ac:dyDescent="0.35">
      <c r="B206" s="6"/>
      <c r="D206" t="s">
        <v>333</v>
      </c>
      <c r="E206" s="5">
        <f t="shared" ca="1" si="7"/>
        <v>0</v>
      </c>
    </row>
    <row r="207" spans="1:5" ht="18" x14ac:dyDescent="0.35">
      <c r="B207" s="6"/>
      <c r="D207" t="s">
        <v>334</v>
      </c>
      <c r="E207" s="5">
        <f t="shared" ca="1" si="7"/>
        <v>140.78618539692559</v>
      </c>
    </row>
    <row r="208" spans="1:5" ht="18" x14ac:dyDescent="0.35">
      <c r="B208" s="6"/>
      <c r="D208" t="s">
        <v>335</v>
      </c>
      <c r="E208" s="5">
        <f t="shared" ca="1" si="7"/>
        <v>4.8067840905178958</v>
      </c>
    </row>
    <row r="209" spans="1:5" x14ac:dyDescent="0.25">
      <c r="B209" s="6"/>
      <c r="E209" s="5">
        <f ca="1">SUM(E193:E208)</f>
        <v>609.82342785575236</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IFERROR($B193/$G24*1000000," ")</f>
        <v>2.7811543888295653</v>
      </c>
      <c r="D226" s="77"/>
      <c r="E226" s="7"/>
      <c r="F226" s="7"/>
      <c r="G226" s="78"/>
      <c r="H226" s="20" t="s">
        <v>343</v>
      </c>
      <c r="I226" s="20" t="str">
        <f t="shared" ref="I226:I241" si="9">B41</f>
        <v>NTS MG 1</v>
      </c>
      <c r="J226" s="11">
        <f t="shared" ref="J226:J241" ca="1" si="10">IFERROR($E193/$G41*1000000," ")</f>
        <v>2.339404489296951</v>
      </c>
      <c r="L226" s="12"/>
      <c r="M226" s="79"/>
      <c r="Q226" s="7"/>
      <c r="R226" s="80"/>
      <c r="S226" s="81"/>
      <c r="T226" s="81"/>
      <c r="U226" s="81"/>
    </row>
    <row r="227" spans="1:22" ht="18" x14ac:dyDescent="0.25">
      <c r="A227" s="20" t="s">
        <v>344</v>
      </c>
      <c r="B227" s="20" t="str">
        <f t="shared" ref="B227:B235" si="11">B25</f>
        <v>PR-GNLBGB</v>
      </c>
      <c r="C227" s="11">
        <f t="shared" ca="1" si="8"/>
        <v>2.3002124228650169</v>
      </c>
      <c r="D227" s="77"/>
      <c r="E227" s="7"/>
      <c r="F227" s="7"/>
      <c r="G227" s="78"/>
      <c r="H227" s="20" t="s">
        <v>345</v>
      </c>
      <c r="I227" s="20" t="str">
        <f t="shared" si="9"/>
        <v>NTS MG 2</v>
      </c>
      <c r="J227" s="11">
        <f t="shared" ca="1" si="10"/>
        <v>2.9266375338177304</v>
      </c>
      <c r="L227" s="12"/>
      <c r="M227" s="79"/>
      <c r="Q227" s="7"/>
      <c r="R227" s="80"/>
      <c r="S227" s="81"/>
      <c r="T227" s="81"/>
      <c r="U227" s="81"/>
    </row>
    <row r="228" spans="1:22" ht="18" x14ac:dyDescent="0.25">
      <c r="A228" s="20" t="s">
        <v>346</v>
      </c>
      <c r="B228" s="20" t="str">
        <f t="shared" si="11"/>
        <v>PR-ITABORAÍ</v>
      </c>
      <c r="C228" s="11">
        <f t="shared" ca="1" si="8"/>
        <v>2.609998104170038</v>
      </c>
      <c r="D228" s="77"/>
      <c r="E228" s="7"/>
      <c r="F228" s="7"/>
      <c r="G228" s="78"/>
      <c r="H228" s="20" t="s">
        <v>347</v>
      </c>
      <c r="I228" s="20" t="str">
        <f t="shared" si="9"/>
        <v>NTS MG 3</v>
      </c>
      <c r="J228" s="11">
        <f t="shared" ca="1" si="10"/>
        <v>3.6347524437420442</v>
      </c>
      <c r="L228" s="12"/>
      <c r="M228" s="79"/>
      <c r="Q228" s="7"/>
      <c r="R228" s="80"/>
      <c r="S228" s="81"/>
      <c r="T228" s="81"/>
      <c r="U228" s="81"/>
    </row>
    <row r="229" spans="1:22" ht="18" x14ac:dyDescent="0.25">
      <c r="A229" s="20" t="s">
        <v>348</v>
      </c>
      <c r="B229" s="20" t="str">
        <f t="shared" si="11"/>
        <v>PR-GASPAJ (INTERCONEXÃO)</v>
      </c>
      <c r="C229" s="11">
        <f t="shared" ca="1" si="8"/>
        <v>3.1103468773299512</v>
      </c>
      <c r="D229" s="77"/>
      <c r="E229" s="7"/>
      <c r="F229" s="7"/>
      <c r="G229" s="78"/>
      <c r="H229" s="20" t="s">
        <v>349</v>
      </c>
      <c r="I229" s="20" t="str">
        <f t="shared" si="9"/>
        <v>NTS MG 4</v>
      </c>
      <c r="J229" s="11">
        <f t="shared" ca="1" si="10"/>
        <v>3.4111420943843811</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1.4511044163775946</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1.3704663136260442</v>
      </c>
      <c r="L231" s="12"/>
      <c r="M231" s="79"/>
      <c r="Q231" s="7"/>
      <c r="R231" s="80"/>
      <c r="S231" s="81"/>
      <c r="T231" s="81"/>
      <c r="U231" s="81"/>
    </row>
    <row r="232" spans="1:22" ht="18" x14ac:dyDescent="0.25">
      <c r="A232" s="20" t="s">
        <v>354</v>
      </c>
      <c r="B232" s="20" t="str">
        <f t="shared" si="11"/>
        <v>PR-TECAB</v>
      </c>
      <c r="C232" s="11">
        <f t="shared" ca="1" si="8"/>
        <v>3.5167555958197969</v>
      </c>
      <c r="D232" s="77"/>
      <c r="E232" s="7"/>
      <c r="F232" s="7"/>
      <c r="G232" s="78"/>
      <c r="H232" s="20" t="s">
        <v>355</v>
      </c>
      <c r="I232" s="20" t="str">
        <f t="shared" si="9"/>
        <v>NTS RJ 3</v>
      </c>
      <c r="J232" s="11">
        <f t="shared" ca="1" si="10"/>
        <v>1.4287688132897554</v>
      </c>
      <c r="L232" s="12"/>
      <c r="M232" s="79"/>
      <c r="Q232" s="7"/>
      <c r="R232" s="80"/>
      <c r="S232" s="81"/>
      <c r="T232" s="81"/>
      <c r="U232" s="81"/>
    </row>
    <row r="233" spans="1:22" ht="18" x14ac:dyDescent="0.25">
      <c r="A233" s="20" t="s">
        <v>356</v>
      </c>
      <c r="B233" s="20" t="str">
        <f t="shared" si="11"/>
        <v>PR-GUARAREMA (INTERCONEXÃO)</v>
      </c>
      <c r="C233" s="11">
        <f t="shared" ca="1" si="8"/>
        <v>2.4356876428623258</v>
      </c>
      <c r="D233" s="77"/>
      <c r="E233" s="7"/>
      <c r="F233" s="7"/>
      <c r="G233" s="78"/>
      <c r="H233" s="20" t="s">
        <v>357</v>
      </c>
      <c r="I233" s="20" t="str">
        <f t="shared" si="9"/>
        <v>NTS RJ 4</v>
      </c>
      <c r="J233" s="11">
        <f t="shared" ca="1" si="10"/>
        <v>1.4913559607423545</v>
      </c>
      <c r="L233" s="12"/>
      <c r="M233" s="79"/>
      <c r="Q233" s="7"/>
      <c r="R233" s="80"/>
      <c r="S233" s="81"/>
      <c r="T233" s="81"/>
      <c r="U233" s="81"/>
    </row>
    <row r="234" spans="1:22" ht="18" x14ac:dyDescent="0.25">
      <c r="A234" s="20" t="s">
        <v>358</v>
      </c>
      <c r="B234" s="20" t="str">
        <f t="shared" si="11"/>
        <v>PR-REPLAN (INTERCONEXÃO)</v>
      </c>
      <c r="C234" s="11">
        <f t="shared" ca="1" si="8"/>
        <v>3.1103468773299516</v>
      </c>
      <c r="D234" s="72"/>
      <c r="E234" s="7"/>
      <c r="F234" s="7"/>
      <c r="G234" s="72"/>
      <c r="H234" s="20" t="s">
        <v>359</v>
      </c>
      <c r="I234" s="20" t="str">
        <f t="shared" si="9"/>
        <v>NTS RJ 5</v>
      </c>
      <c r="J234" s="11">
        <f t="shared" ca="1" si="10"/>
        <v>1.4445459821133204</v>
      </c>
      <c r="L234" s="12"/>
      <c r="Q234" s="7"/>
      <c r="R234" s="80"/>
      <c r="S234" s="81"/>
      <c r="T234" s="81"/>
      <c r="U234" s="81"/>
    </row>
    <row r="235" spans="1:22" ht="18" x14ac:dyDescent="0.25">
      <c r="A235" s="20" t="s">
        <v>360</v>
      </c>
      <c r="B235" s="20" t="str">
        <f t="shared" si="11"/>
        <v>PR-TECAB (INTERCONEXÃO)</v>
      </c>
      <c r="C235" s="11">
        <f t="shared" ca="1" si="8"/>
        <v>3.5167555958197965</v>
      </c>
      <c r="D235" s="72"/>
      <c r="E235" s="7"/>
      <c r="F235" s="7"/>
      <c r="G235" s="72"/>
      <c r="H235" s="20" t="s">
        <v>361</v>
      </c>
      <c r="I235" s="20" t="str">
        <f t="shared" si="9"/>
        <v>NTS SP 1</v>
      </c>
      <c r="J235" s="11">
        <f t="shared" ca="1" si="10"/>
        <v>1.7362921035545171</v>
      </c>
      <c r="L235" s="12"/>
      <c r="Q235" s="7"/>
      <c r="R235" s="80"/>
      <c r="S235" s="81"/>
      <c r="T235" s="81"/>
      <c r="U235" s="81"/>
    </row>
    <row r="236" spans="1:22" ht="18" x14ac:dyDescent="0.25">
      <c r="D236" s="72"/>
      <c r="E236" s="7"/>
      <c r="F236" s="7"/>
      <c r="G236" s="72"/>
      <c r="H236" s="20" t="s">
        <v>362</v>
      </c>
      <c r="I236" s="20" t="str">
        <f t="shared" si="9"/>
        <v>NTS SP 2</v>
      </c>
      <c r="J236" s="11">
        <f t="shared" ca="1" si="10"/>
        <v>1.670189458956395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2.2891261137377041</v>
      </c>
      <c r="L237" s="12"/>
      <c r="Q237" s="7"/>
      <c r="R237" s="80"/>
      <c r="S237" s="81"/>
      <c r="T237" s="81"/>
      <c r="U237" s="81"/>
    </row>
    <row r="238" spans="1:22" ht="18" x14ac:dyDescent="0.25">
      <c r="D238" s="72"/>
      <c r="E238" s="7"/>
      <c r="F238" s="7"/>
      <c r="G238" s="72"/>
      <c r="H238" s="20" t="s">
        <v>364</v>
      </c>
      <c r="I238" s="20" t="str">
        <f t="shared" si="9"/>
        <v>NTS SP 4</v>
      </c>
      <c r="J238" s="11">
        <f t="shared" ca="1" si="10"/>
        <v>2.5042648004293344</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2.8444456465998575</v>
      </c>
      <c r="L240" s="12"/>
      <c r="Q240" s="7"/>
      <c r="R240" s="82"/>
      <c r="S240" s="9"/>
      <c r="T240" s="9"/>
      <c r="U240" s="9"/>
      <c r="V240" s="72"/>
    </row>
    <row r="241" spans="1:22" ht="18" x14ac:dyDescent="0.25">
      <c r="E241" s="7"/>
      <c r="F241" s="7"/>
      <c r="G241" s="72"/>
      <c r="H241" s="20" t="s">
        <v>367</v>
      </c>
      <c r="I241" s="20" t="str">
        <f t="shared" si="9"/>
        <v>PE-TECAB (INTERCONEXÃO)</v>
      </c>
      <c r="J241" s="11">
        <f t="shared" ca="1" si="10"/>
        <v>1.7652147721545899</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IF(G24=0," ",C226*(1-$C$11))</f>
        <v>0</v>
      </c>
      <c r="D245" s="11">
        <f t="shared" ref="D245:D254" si="14">$F$7*$C$11</f>
        <v>2.8470453948483878</v>
      </c>
      <c r="E245" s="11">
        <f ca="1">IFERROR(C245+D245," ")</f>
        <v>2.8470453948483878</v>
      </c>
      <c r="G245" s="79"/>
      <c r="H245" s="20" t="s">
        <v>343</v>
      </c>
      <c r="I245" s="20" t="str">
        <f t="shared" ref="I245:I260" si="15">I226</f>
        <v>NTS MG 1</v>
      </c>
      <c r="J245" s="11">
        <f t="shared" ref="J245:J260" ca="1" si="16">IF(G41=0," ",J226*(1-$C$11))</f>
        <v>0</v>
      </c>
      <c r="K245" s="11">
        <f t="shared" ref="K245:K260" si="17">$F$10*$C$11</f>
        <v>2.1165180318563572</v>
      </c>
      <c r="L245" s="11">
        <f ca="1">IFERROR(J245+K245," ")</f>
        <v>2.1165180318563572</v>
      </c>
    </row>
    <row r="246" spans="1:22" ht="18" x14ac:dyDescent="0.25">
      <c r="A246" s="20" t="s">
        <v>344</v>
      </c>
      <c r="B246" s="20" t="str">
        <f t="shared" si="12"/>
        <v>PR-GNLBGB</v>
      </c>
      <c r="C246" s="11">
        <f t="shared" ca="1" si="13"/>
        <v>0</v>
      </c>
      <c r="D246" s="11">
        <f t="shared" si="14"/>
        <v>2.8470453948483878</v>
      </c>
      <c r="E246" s="11">
        <f t="shared" ref="E246:E254" ca="1" si="18">IFERROR(C246+D246," ")</f>
        <v>2.8470453948483878</v>
      </c>
      <c r="G246" s="79"/>
      <c r="H246" s="20" t="s">
        <v>345</v>
      </c>
      <c r="I246" s="20" t="str">
        <f t="shared" si="15"/>
        <v>NTS MG 2</v>
      </c>
      <c r="J246" s="11">
        <f t="shared" ca="1" si="16"/>
        <v>0</v>
      </c>
      <c r="K246" s="11">
        <f t="shared" si="17"/>
        <v>2.1165180318563572</v>
      </c>
      <c r="L246" s="11">
        <f t="shared" ref="L246:L260" ca="1" si="19">IFERROR(J246+K246," ")</f>
        <v>2.1165180318563572</v>
      </c>
    </row>
    <row r="247" spans="1:22" ht="18" x14ac:dyDescent="0.25">
      <c r="A247" s="20" t="s">
        <v>346</v>
      </c>
      <c r="B247" s="20" t="str">
        <f t="shared" si="12"/>
        <v>PR-ITABORAÍ</v>
      </c>
      <c r="C247" s="11">
        <f t="shared" ca="1" si="13"/>
        <v>0</v>
      </c>
      <c r="D247" s="11">
        <f t="shared" si="14"/>
        <v>2.8470453948483878</v>
      </c>
      <c r="E247" s="11">
        <f t="shared" ca="1" si="18"/>
        <v>2.8470453948483878</v>
      </c>
      <c r="G247" s="79"/>
      <c r="H247" s="20" t="s">
        <v>347</v>
      </c>
      <c r="I247" s="20" t="str">
        <f t="shared" si="15"/>
        <v>NTS MG 3</v>
      </c>
      <c r="J247" s="11">
        <f t="shared" ca="1" si="16"/>
        <v>0</v>
      </c>
      <c r="K247" s="11">
        <f t="shared" si="17"/>
        <v>2.1165180318563572</v>
      </c>
      <c r="L247" s="11">
        <f t="shared" ca="1" si="19"/>
        <v>2.1165180318563572</v>
      </c>
    </row>
    <row r="248" spans="1:22" ht="18" x14ac:dyDescent="0.25">
      <c r="A248" s="20" t="s">
        <v>348</v>
      </c>
      <c r="B248" s="20" t="str">
        <f t="shared" si="12"/>
        <v>PR-GASPAJ (INTERCONEXÃO)</v>
      </c>
      <c r="C248" s="11">
        <f t="shared" ca="1" si="13"/>
        <v>0</v>
      </c>
      <c r="D248" s="11">
        <f t="shared" si="14"/>
        <v>2.8470453948483878</v>
      </c>
      <c r="E248" s="11">
        <f t="shared" ca="1" si="18"/>
        <v>2.8470453948483878</v>
      </c>
      <c r="G248" s="79"/>
      <c r="H248" s="20" t="s">
        <v>349</v>
      </c>
      <c r="I248" s="20" t="str">
        <f t="shared" si="15"/>
        <v>NTS MG 4</v>
      </c>
      <c r="J248" s="11">
        <f t="shared" ca="1" si="16"/>
        <v>0</v>
      </c>
      <c r="K248" s="11">
        <f t="shared" si="17"/>
        <v>2.1165180318563572</v>
      </c>
      <c r="L248" s="11">
        <f t="shared" ca="1" si="19"/>
        <v>2.1165180318563572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2.1165180318563572</v>
      </c>
      <c r="L249" s="11">
        <f t="shared" ca="1" si="19"/>
        <v>2.1165180318563572</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2.1165180318563572</v>
      </c>
      <c r="L250" s="11">
        <f t="shared" ca="1" si="19"/>
        <v>2.1165180318563572</v>
      </c>
    </row>
    <row r="251" spans="1:22" ht="18" x14ac:dyDescent="0.25">
      <c r="A251" s="20" t="s">
        <v>354</v>
      </c>
      <c r="B251" s="20" t="str">
        <f t="shared" si="12"/>
        <v>PR-TECAB</v>
      </c>
      <c r="C251" s="11">
        <f t="shared" ca="1" si="13"/>
        <v>0</v>
      </c>
      <c r="D251" s="11">
        <f t="shared" si="14"/>
        <v>2.8470453948483878</v>
      </c>
      <c r="E251" s="11">
        <f t="shared" ca="1" si="18"/>
        <v>2.8470453948483878</v>
      </c>
      <c r="G251" s="79"/>
      <c r="H251" s="20" t="s">
        <v>355</v>
      </c>
      <c r="I251" s="20" t="str">
        <f t="shared" si="15"/>
        <v>NTS RJ 3</v>
      </c>
      <c r="J251" s="11">
        <f t="shared" ca="1" si="16"/>
        <v>0</v>
      </c>
      <c r="K251" s="11">
        <f t="shared" si="17"/>
        <v>2.1165180318563572</v>
      </c>
      <c r="L251" s="11">
        <f t="shared" ca="1" si="19"/>
        <v>2.1165180318563572</v>
      </c>
    </row>
    <row r="252" spans="1:22" ht="18" x14ac:dyDescent="0.25">
      <c r="A252" s="20" t="s">
        <v>356</v>
      </c>
      <c r="B252" s="20" t="str">
        <f t="shared" si="12"/>
        <v>PR-GUARAREMA (INTERCONEXÃO)</v>
      </c>
      <c r="C252" s="11">
        <f t="shared" ca="1" si="13"/>
        <v>0</v>
      </c>
      <c r="D252" s="11">
        <f t="shared" si="14"/>
        <v>2.8470453948483878</v>
      </c>
      <c r="E252" s="11">
        <f t="shared" ca="1" si="18"/>
        <v>2.8470453948483878</v>
      </c>
      <c r="G252" s="79"/>
      <c r="H252" s="20" t="s">
        <v>357</v>
      </c>
      <c r="I252" s="20" t="str">
        <f t="shared" si="15"/>
        <v>NTS RJ 4</v>
      </c>
      <c r="J252" s="11">
        <f t="shared" ca="1" si="16"/>
        <v>0</v>
      </c>
      <c r="K252" s="11">
        <f t="shared" si="17"/>
        <v>2.1165180318563572</v>
      </c>
      <c r="L252" s="11">
        <f t="shared" ca="1" si="19"/>
        <v>2.1165180318563572</v>
      </c>
    </row>
    <row r="253" spans="1:22" ht="18" x14ac:dyDescent="0.25">
      <c r="A253" s="20" t="s">
        <v>358</v>
      </c>
      <c r="B253" s="20" t="str">
        <f t="shared" si="12"/>
        <v>PR-REPLAN (INTERCONEXÃO)</v>
      </c>
      <c r="C253" s="11">
        <f t="shared" ca="1" si="13"/>
        <v>0</v>
      </c>
      <c r="D253" s="11">
        <f t="shared" si="14"/>
        <v>2.8470453948483878</v>
      </c>
      <c r="E253" s="11">
        <f t="shared" ca="1" si="18"/>
        <v>2.8470453948483878</v>
      </c>
      <c r="G253" s="79"/>
      <c r="H253" s="20" t="s">
        <v>359</v>
      </c>
      <c r="I253" s="20" t="str">
        <f t="shared" si="15"/>
        <v>NTS RJ 5</v>
      </c>
      <c r="J253" s="11">
        <f t="shared" ca="1" si="16"/>
        <v>0</v>
      </c>
      <c r="K253" s="11">
        <f t="shared" si="17"/>
        <v>2.1165180318563572</v>
      </c>
      <c r="L253" s="11">
        <f t="shared" ca="1" si="19"/>
        <v>2.1165180318563572</v>
      </c>
    </row>
    <row r="254" spans="1:22" ht="18" x14ac:dyDescent="0.25">
      <c r="A254" s="20" t="s">
        <v>360</v>
      </c>
      <c r="B254" s="20" t="str">
        <f t="shared" si="12"/>
        <v>PR-TECAB (INTERCONEXÃO)</v>
      </c>
      <c r="C254" s="11">
        <f t="shared" ca="1" si="13"/>
        <v>0</v>
      </c>
      <c r="D254" s="11">
        <f t="shared" si="14"/>
        <v>2.8470453948483878</v>
      </c>
      <c r="E254" s="11">
        <f t="shared" ca="1" si="18"/>
        <v>2.8470453948483878</v>
      </c>
      <c r="G254" s="79"/>
      <c r="H254" s="20" t="s">
        <v>361</v>
      </c>
      <c r="I254" s="20" t="str">
        <f t="shared" si="15"/>
        <v>NTS SP 1</v>
      </c>
      <c r="J254" s="11">
        <f t="shared" ca="1" si="16"/>
        <v>0</v>
      </c>
      <c r="K254" s="11">
        <f t="shared" si="17"/>
        <v>2.1165180318563572</v>
      </c>
      <c r="L254" s="11">
        <f t="shared" ca="1" si="19"/>
        <v>2.1165180318563572</v>
      </c>
    </row>
    <row r="255" spans="1:22" ht="18" x14ac:dyDescent="0.25">
      <c r="H255" s="20" t="s">
        <v>362</v>
      </c>
      <c r="I255" s="20" t="str">
        <f t="shared" si="15"/>
        <v>NTS SP 2</v>
      </c>
      <c r="J255" s="11">
        <f t="shared" ca="1" si="16"/>
        <v>0</v>
      </c>
      <c r="K255" s="11">
        <f t="shared" si="17"/>
        <v>2.1165180318563572</v>
      </c>
      <c r="L255" s="11">
        <f t="shared" ca="1" si="19"/>
        <v>2.1165180318563572</v>
      </c>
    </row>
    <row r="256" spans="1:22" ht="18" x14ac:dyDescent="0.25">
      <c r="H256" s="20" t="s">
        <v>363</v>
      </c>
      <c r="I256" s="20" t="str">
        <f t="shared" si="15"/>
        <v>NTS SP 3</v>
      </c>
      <c r="J256" s="11">
        <f t="shared" ca="1" si="16"/>
        <v>0</v>
      </c>
      <c r="K256" s="11">
        <f t="shared" si="17"/>
        <v>2.1165180318563572</v>
      </c>
      <c r="L256" s="11">
        <f t="shared" ca="1" si="19"/>
        <v>2.1165180318563572</v>
      </c>
    </row>
    <row r="257" spans="1:13" ht="18" x14ac:dyDescent="0.25">
      <c r="H257" s="20" t="s">
        <v>364</v>
      </c>
      <c r="I257" s="20" t="str">
        <f t="shared" si="15"/>
        <v>NTS SP 4</v>
      </c>
      <c r="J257" s="11">
        <f t="shared" ca="1" si="16"/>
        <v>0</v>
      </c>
      <c r="K257" s="11">
        <f t="shared" si="17"/>
        <v>2.1165180318563572</v>
      </c>
      <c r="L257" s="11">
        <f t="shared" ca="1" si="19"/>
        <v>2.1165180318563572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2.1165180318563572</v>
      </c>
      <c r="L259" s="11">
        <f t="shared" ca="1" si="19"/>
        <v>2.1165180318563572</v>
      </c>
    </row>
    <row r="260" spans="1:13" ht="18" x14ac:dyDescent="0.25">
      <c r="H260" s="20" t="s">
        <v>367</v>
      </c>
      <c r="I260" s="20" t="str">
        <f t="shared" si="15"/>
        <v>PE-TECAB (INTERCONEXÃO)</v>
      </c>
      <c r="J260" s="11">
        <f t="shared" ca="1" si="16"/>
        <v>0</v>
      </c>
      <c r="K260" s="11">
        <f t="shared" si="17"/>
        <v>2.1165180318563572</v>
      </c>
      <c r="L260" s="11">
        <f t="shared" ca="1" si="19"/>
        <v>2.1165180318563572</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(BRA)'!C11</f>
        <v>200</v>
      </c>
      <c r="D267" s="207">
        <f ca="1">E253</f>
        <v>2.8470453948483878</v>
      </c>
      <c r="E267" s="210">
        <f ca="1">D267*(1-$C$262)</f>
        <v>0.2847045394848387</v>
      </c>
      <c r="F267" s="208">
        <f ca="1">C267*E267*'Premissas (BRA)'!$C$35*'Premissas (BRA)'!$F$20*1000</f>
        <v>775267.2776602495</v>
      </c>
      <c r="L267" s="84"/>
    </row>
    <row r="268" spans="1:13" ht="18.75" x14ac:dyDescent="0.3">
      <c r="B268" s="189" t="s">
        <v>376</v>
      </c>
      <c r="C268" s="213">
        <f>'Oferta (BRA)'!C10</f>
        <v>3398.2010229822185</v>
      </c>
      <c r="D268" s="207">
        <f ca="1">E252</f>
        <v>2.8470453948483878</v>
      </c>
      <c r="E268" s="210">
        <f t="shared" ref="E268:E270" ca="1" si="20">D268*(1-$C$262)</f>
        <v>0.2847045394848387</v>
      </c>
      <c r="F268" s="208">
        <f ca="1">C268*E268*'Premissas (BRA)'!$C$35*'Premissas (BRA)'!$F$20*1000</f>
        <v>13172570.280148499</v>
      </c>
      <c r="G268" s="85"/>
      <c r="K268" s="85"/>
      <c r="L268" s="84"/>
    </row>
    <row r="269" spans="1:13" ht="18.75" x14ac:dyDescent="0.3">
      <c r="B269" s="190" t="s">
        <v>377</v>
      </c>
      <c r="C269" s="213">
        <f>'Oferta (BRA)'!C12</f>
        <v>200</v>
      </c>
      <c r="D269" s="207">
        <f ca="1">E254</f>
        <v>2.8470453948483878</v>
      </c>
      <c r="E269" s="210">
        <f t="shared" ca="1" si="20"/>
        <v>0.2847045394848387</v>
      </c>
      <c r="F269" s="208">
        <f ca="1">C269*E269*'Premissas (BRA)'!$C$35*'Premissas (BRA)'!$F$20*1000</f>
        <v>775267.2776602495</v>
      </c>
      <c r="K269" s="85"/>
      <c r="L269" s="84"/>
    </row>
    <row r="270" spans="1:13" ht="18.75" x14ac:dyDescent="0.3">
      <c r="B270" s="190" t="s">
        <v>185</v>
      </c>
      <c r="C270" s="213">
        <f>'Oferta (BRA)'!C6</f>
        <v>258</v>
      </c>
      <c r="D270" s="207">
        <f ca="1">E248</f>
        <v>2.8470453948483878</v>
      </c>
      <c r="E270" s="210">
        <f t="shared" ca="1" si="20"/>
        <v>0.2847045394848387</v>
      </c>
      <c r="F270" s="208">
        <f ca="1">C270*E270*'Premissas (BRA)'!$C$35*'Premissas (BRA)'!$F$20*1000</f>
        <v>1000094.7881817219</v>
      </c>
      <c r="K270" s="85"/>
      <c r="L270" s="84"/>
    </row>
    <row r="271" spans="1:13" ht="18.75" x14ac:dyDescent="0.3">
      <c r="B271" s="188" t="s">
        <v>378</v>
      </c>
      <c r="C271" s="213">
        <f>'Demanda (BRA)'!C17</f>
        <v>3635.2588149970047</v>
      </c>
      <c r="D271" s="207">
        <f ca="1">L259</f>
        <v>2.1165180318563572</v>
      </c>
      <c r="E271" s="210">
        <f ca="1">D271*(1-$C$262)</f>
        <v>0.21165180318563567</v>
      </c>
      <c r="F271" s="208">
        <f ca="1">C271*E271*'Premissas (BRA)'!$C$35*'Premissas (BRA)'!$F$20*1000</f>
        <v>10475731.901752274</v>
      </c>
      <c r="K271" s="85"/>
      <c r="L271" s="84"/>
    </row>
    <row r="272" spans="1:13" ht="18.75" x14ac:dyDescent="0.3">
      <c r="B272" s="190" t="s">
        <v>379</v>
      </c>
      <c r="C272" s="213">
        <f>'Demanda (BRA)'!C18</f>
        <v>200</v>
      </c>
      <c r="D272" s="207">
        <f ca="1">L260</f>
        <v>2.1165180318563572</v>
      </c>
      <c r="E272" s="210">
        <f ca="1">D272*(1-$C$262)</f>
        <v>0.21165180318563567</v>
      </c>
      <c r="F272" s="208">
        <f ca="1">C272*E272*'Premissas (BRA)'!$C$35*'Premissas (BRA)'!$F$20*1000</f>
        <v>576340.36171154468</v>
      </c>
      <c r="K272" s="85"/>
      <c r="L272" s="84"/>
    </row>
    <row r="273" spans="2:13" ht="19.5" thickBot="1" x14ac:dyDescent="0.35">
      <c r="B273" s="190"/>
      <c r="C273" s="190"/>
      <c r="D273" s="190"/>
      <c r="E273" s="190"/>
      <c r="F273" s="209">
        <f ca="1">SUM(F267:F272)</f>
        <v>26775271.887114536</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3E99-DCE3-4BBB-B8D7-665779EFB50D}">
  <sheetPr codeName="Planilha32">
    <tabColor theme="5"/>
  </sheetPr>
  <dimension ref="A2:AA303"/>
  <sheetViews>
    <sheetView showGridLines="0" topLeftCell="A250" zoomScale="70" zoomScaleNormal="70" workbookViewId="0">
      <selection activeCell="C268" sqref="C268:C272"/>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101</v>
      </c>
    </row>
    <row r="3" spans="1:9" ht="15.75" thickBot="1" x14ac:dyDescent="0.3">
      <c r="G3" s="147">
        <v>2026</v>
      </c>
    </row>
    <row r="4" spans="1:9" ht="18.75" thickBot="1" x14ac:dyDescent="0.3">
      <c r="A4" s="162"/>
      <c r="B4" s="163" t="s">
        <v>102</v>
      </c>
      <c r="C4" s="164" t="s">
        <v>200</v>
      </c>
      <c r="D4" s="306">
        <f>'Premissas (BRA)'!B33/1000</f>
        <v>2032.7447595191738</v>
      </c>
      <c r="E4" s="166" t="s">
        <v>103</v>
      </c>
      <c r="F4" s="162"/>
      <c r="G4" s="162"/>
      <c r="H4" s="177"/>
      <c r="I4" s="177"/>
    </row>
    <row r="5" spans="1:9" ht="15.75" thickBot="1" x14ac:dyDescent="0.3">
      <c r="A5" s="153"/>
      <c r="B5" s="197" t="s">
        <v>385</v>
      </c>
      <c r="C5" s="150"/>
      <c r="D5" s="307">
        <f ca="1">D6+D9</f>
        <v>2005.9694876320591</v>
      </c>
      <c r="E5" s="166" t="s">
        <v>103</v>
      </c>
      <c r="F5" s="215" t="s">
        <v>390</v>
      </c>
      <c r="G5" s="153"/>
      <c r="H5" s="177"/>
      <c r="I5" s="177"/>
    </row>
    <row r="6" spans="1:9" ht="18" x14ac:dyDescent="0.25">
      <c r="A6" s="148">
        <f>HLOOKUP($G$3,'Premissas (BRA)'!$B$5:$F$13,9,FALSE)</f>
        <v>0.7</v>
      </c>
      <c r="B6" s="149" t="s">
        <v>104</v>
      </c>
      <c r="C6" s="150" t="s">
        <v>201</v>
      </c>
      <c r="D6" s="307">
        <f ca="1">($A$6*$D$4)-(SUM($F$268:$F$271)/10^6)</f>
        <v>1407.1981320397708</v>
      </c>
      <c r="E6" s="152" t="s">
        <v>105</v>
      </c>
      <c r="F6" s="215" t="s">
        <v>383</v>
      </c>
      <c r="G6" s="153"/>
      <c r="H6" s="177"/>
    </row>
    <row r="7" spans="1:9" ht="30" x14ac:dyDescent="0.25">
      <c r="A7" s="48"/>
      <c r="B7" s="154" t="s">
        <v>106</v>
      </c>
      <c r="C7" s="155" t="s">
        <v>202</v>
      </c>
      <c r="D7" s="308">
        <f>$C$35*'Premissas (BRA)'!$B$20</f>
        <v>11917866.798791388</v>
      </c>
      <c r="E7" s="154" t="s">
        <v>107</v>
      </c>
      <c r="F7" s="172">
        <f>G35</f>
        <v>444562400.62667334</v>
      </c>
      <c r="G7" s="40" t="s">
        <v>108</v>
      </c>
    </row>
    <row r="8" spans="1:9" ht="18.75" thickBot="1" x14ac:dyDescent="0.3">
      <c r="A8" s="157"/>
      <c r="B8" s="158" t="s">
        <v>109</v>
      </c>
      <c r="C8" s="159" t="s">
        <v>203</v>
      </c>
      <c r="D8" s="160">
        <f ca="1">$D$6/$D$7*1000</f>
        <v>0.1180746651894513</v>
      </c>
      <c r="E8" s="161" t="s">
        <v>110</v>
      </c>
      <c r="F8" s="309">
        <f ca="1">$D$6/$F$7*1000000</f>
        <v>3.1653557072215888</v>
      </c>
      <c r="G8" s="170" t="s">
        <v>15</v>
      </c>
      <c r="I8" s="177"/>
    </row>
    <row r="9" spans="1:9" ht="18" x14ac:dyDescent="0.25">
      <c r="A9" s="148">
        <f>1-A6</f>
        <v>0.30000000000000004</v>
      </c>
      <c r="B9" s="149" t="s">
        <v>111</v>
      </c>
      <c r="C9" s="150" t="s">
        <v>204</v>
      </c>
      <c r="D9" s="307">
        <f ca="1">($A$9*$D$4)-(SUM($F$272:$F$273)/10^6)</f>
        <v>598.77135559228839</v>
      </c>
      <c r="E9" s="152" t="s">
        <v>105</v>
      </c>
      <c r="F9" s="215" t="s">
        <v>384</v>
      </c>
      <c r="G9" s="171"/>
    </row>
    <row r="10" spans="1:9" ht="30" x14ac:dyDescent="0.25">
      <c r="B10" s="154" t="s">
        <v>112</v>
      </c>
      <c r="C10" s="155" t="s">
        <v>205</v>
      </c>
      <c r="D10" s="308">
        <f>$C$58*'Premissas (BRA)'!$B$20</f>
        <v>6324231.2880706908</v>
      </c>
      <c r="E10" s="154" t="s">
        <v>107</v>
      </c>
      <c r="F10" s="172">
        <f>G58</f>
        <v>235907607.54501358</v>
      </c>
      <c r="G10" s="40" t="s">
        <v>108</v>
      </c>
    </row>
    <row r="11" spans="1:9" ht="18.75" thickBot="1" x14ac:dyDescent="0.3">
      <c r="A11" s="167"/>
      <c r="B11" s="158" t="s">
        <v>113</v>
      </c>
      <c r="C11" s="159" t="s">
        <v>206</v>
      </c>
      <c r="D11" s="160">
        <f ca="1">$D$9/$D$10*1000</f>
        <v>9.4678914846416579E-2</v>
      </c>
      <c r="E11" s="161" t="s">
        <v>110</v>
      </c>
      <c r="F11" s="309">
        <f ca="1">$D$9/$F$10*1000000</f>
        <v>2.5381604341777604</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v>37.302179000000002</v>
      </c>
      <c r="I19" s="49"/>
    </row>
    <row r="20" spans="1:9" ht="18" x14ac:dyDescent="0.35">
      <c r="A20" t="s">
        <v>210</v>
      </c>
      <c r="B20" t="s">
        <v>122</v>
      </c>
      <c r="C20" s="19"/>
      <c r="H20" s="55">
        <v>3.7302178999999998E-2</v>
      </c>
      <c r="I20" s="49"/>
    </row>
    <row r="21" spans="1:9" x14ac:dyDescent="0.25">
      <c r="C21" s="19"/>
      <c r="H21" s="55"/>
      <c r="I21" s="49"/>
    </row>
    <row r="22" spans="1:9" x14ac:dyDescent="0.25">
      <c r="C22" s="376">
        <v>2026</v>
      </c>
      <c r="F22" s="377"/>
      <c r="G22" s="382">
        <v>2026</v>
      </c>
      <c r="H22" s="49"/>
    </row>
    <row r="23" spans="1:9" ht="15.95" customHeight="1" x14ac:dyDescent="0.25">
      <c r="C23" s="376" t="s">
        <v>180</v>
      </c>
      <c r="F23" s="377"/>
      <c r="G23" s="382" t="s">
        <v>181</v>
      </c>
      <c r="H23" s="49"/>
    </row>
    <row r="24" spans="1:9" ht="34.5" x14ac:dyDescent="0.25">
      <c r="A24" s="56" t="s">
        <v>123</v>
      </c>
      <c r="B24" s="57" t="s">
        <v>124</v>
      </c>
      <c r="C24" s="59" t="s">
        <v>211</v>
      </c>
      <c r="F24" s="378"/>
      <c r="G24" s="381" t="s">
        <v>213</v>
      </c>
      <c r="H24" s="49"/>
    </row>
    <row r="25" spans="1:9" x14ac:dyDescent="0.25">
      <c r="A25" s="2" t="s">
        <v>182</v>
      </c>
      <c r="B25" s="16" t="s">
        <v>28</v>
      </c>
      <c r="C25" s="231">
        <f>'Oferta (BRA)'!C3</f>
        <v>11121.869070475715</v>
      </c>
      <c r="E25" s="60"/>
      <c r="F25" s="379"/>
      <c r="G25" s="15">
        <f>IFERROR($C25*$H$20*'Premissas (BRA)'!$B$20*1000," ")</f>
        <v>151427532.0717288</v>
      </c>
      <c r="H25" s="49"/>
    </row>
    <row r="26" spans="1:9" x14ac:dyDescent="0.25">
      <c r="A26" s="2" t="s">
        <v>125</v>
      </c>
      <c r="B26" s="16" t="s">
        <v>26</v>
      </c>
      <c r="C26" s="231">
        <f>'Oferta (BRA)'!C4</f>
        <v>200</v>
      </c>
      <c r="E26" s="60"/>
      <c r="F26" s="379"/>
      <c r="G26" s="15">
        <f>IFERROR($C26*$H$20*'Premissas (BRA)'!$B$20*1000," ")</f>
        <v>2723059.0670000003</v>
      </c>
      <c r="H26" s="49"/>
    </row>
    <row r="27" spans="1:9" x14ac:dyDescent="0.25">
      <c r="A27" s="2" t="s">
        <v>126</v>
      </c>
      <c r="B27" s="16" t="s">
        <v>411</v>
      </c>
      <c r="C27" s="231">
        <f>'Oferta (BRA)'!C5</f>
        <v>13564</v>
      </c>
      <c r="D27" s="18"/>
      <c r="E27" s="60"/>
      <c r="F27" s="379"/>
      <c r="G27" s="15">
        <f>IFERROR($C27*$H$20*'Premissas (BRA)'!$B$20*1000," ")</f>
        <v>184677865.92394</v>
      </c>
      <c r="H27" s="49"/>
    </row>
    <row r="28" spans="1:9" x14ac:dyDescent="0.25">
      <c r="A28" s="2" t="s">
        <v>127</v>
      </c>
      <c r="B28" s="16" t="s">
        <v>388</v>
      </c>
      <c r="C28" s="234"/>
      <c r="D28" s="216" t="s">
        <v>386</v>
      </c>
      <c r="E28" s="60"/>
      <c r="F28" s="379"/>
      <c r="G28" s="15">
        <f>IFERROR($C28*$H$20*'Premissas (BRA)'!$B$20*1000," ")</f>
        <v>0</v>
      </c>
      <c r="H28" s="49"/>
    </row>
    <row r="29" spans="1:9" x14ac:dyDescent="0.25">
      <c r="A29" s="2" t="s">
        <v>128</v>
      </c>
      <c r="B29" s="16" t="s">
        <v>27</v>
      </c>
      <c r="C29" s="231">
        <f>'Oferta (BRA)'!C7</f>
        <v>0</v>
      </c>
      <c r="D29" s="18"/>
      <c r="E29" s="60"/>
      <c r="F29" s="379"/>
      <c r="G29" s="15">
        <f>IFERROR($C29*$H$20*'Premissas (BRA)'!$B$20*1000," ")</f>
        <v>0</v>
      </c>
      <c r="H29" s="49"/>
    </row>
    <row r="30" spans="1:9" x14ac:dyDescent="0.25">
      <c r="A30" s="2" t="s">
        <v>183</v>
      </c>
      <c r="B30" s="16" t="s">
        <v>29</v>
      </c>
      <c r="C30" s="231">
        <f>'Oferta (BRA)'!C8</f>
        <v>0</v>
      </c>
      <c r="D30" s="18"/>
      <c r="E30" s="60"/>
      <c r="F30" s="379"/>
      <c r="G30" s="15">
        <f>IFERROR($C30*$H$20*'Premissas (BRA)'!$B$20*1000," ")</f>
        <v>0</v>
      </c>
      <c r="H30" s="49"/>
    </row>
    <row r="31" spans="1:9" x14ac:dyDescent="0.25">
      <c r="A31" s="2" t="s">
        <v>129</v>
      </c>
      <c r="B31" s="16" t="s">
        <v>24</v>
      </c>
      <c r="C31" s="231">
        <f>'Oferta (BRA)'!C9</f>
        <v>7765.8207892267164</v>
      </c>
      <c r="D31" s="18"/>
      <c r="E31" s="60"/>
      <c r="F31" s="379"/>
      <c r="G31" s="15">
        <f>IFERROR($C31*$H$20*'Premissas (BRA)'!$B$20*1000," ")</f>
        <v>105733943.56400453</v>
      </c>
      <c r="H31" s="49"/>
    </row>
    <row r="32" spans="1:9" x14ac:dyDescent="0.25">
      <c r="A32" s="2" t="s">
        <v>184</v>
      </c>
      <c r="B32" s="16" t="s">
        <v>194</v>
      </c>
      <c r="C32" s="191"/>
      <c r="D32" s="216" t="s">
        <v>386</v>
      </c>
      <c r="E32" s="60"/>
      <c r="F32" s="379"/>
      <c r="G32" s="15">
        <f>IFERROR($C32*$H$20*'Premissas (BRA)'!$B$20*1000," ")</f>
        <v>0</v>
      </c>
      <c r="H32" s="49"/>
    </row>
    <row r="33" spans="1:9" x14ac:dyDescent="0.25">
      <c r="A33" s="2" t="s">
        <v>130</v>
      </c>
      <c r="B33" s="16" t="s">
        <v>196</v>
      </c>
      <c r="C33" s="191"/>
      <c r="D33" s="216" t="s">
        <v>386</v>
      </c>
      <c r="E33" s="60"/>
      <c r="F33" s="379"/>
      <c r="G33" s="15">
        <f>IFERROR($C33*$H$20*'Premissas (BRA)'!$B$20*1000," ")</f>
        <v>0</v>
      </c>
      <c r="H33" s="49"/>
    </row>
    <row r="34" spans="1:9" x14ac:dyDescent="0.25">
      <c r="A34" s="2" t="s">
        <v>131</v>
      </c>
      <c r="B34" s="16" t="s">
        <v>195</v>
      </c>
      <c r="C34" s="191"/>
      <c r="D34" s="216" t="s">
        <v>386</v>
      </c>
      <c r="E34" s="60"/>
      <c r="F34" s="379"/>
      <c r="G34" s="15">
        <f>IFERROR($C34*$H$20*'Premissas (BRA)'!$B$20*1000," ")</f>
        <v>0</v>
      </c>
      <c r="H34" s="49"/>
    </row>
    <row r="35" spans="1:9" x14ac:dyDescent="0.25">
      <c r="C35" s="61">
        <f>SUM(C25:C34)</f>
        <v>32651.689859702434</v>
      </c>
      <c r="D35" s="61"/>
      <c r="E35" s="60"/>
      <c r="F35" s="61"/>
      <c r="G35" s="61">
        <f>SUM(G25:G34)</f>
        <v>444562400.62667334</v>
      </c>
      <c r="H35" s="49"/>
    </row>
    <row r="36" spans="1:9" x14ac:dyDescent="0.25">
      <c r="C36" s="60"/>
      <c r="D36" s="60"/>
      <c r="E36" s="60"/>
      <c r="F36" s="60"/>
      <c r="G36" s="60"/>
      <c r="H36" s="49"/>
    </row>
    <row r="37" spans="1:9" x14ac:dyDescent="0.25">
      <c r="C37" s="60"/>
      <c r="D37" s="60"/>
      <c r="E37" s="60"/>
      <c r="F37" s="60"/>
      <c r="G37" s="60"/>
      <c r="H37" s="49"/>
    </row>
    <row r="38" spans="1:9" x14ac:dyDescent="0.25">
      <c r="C38" s="60"/>
      <c r="E38" s="60"/>
      <c r="F38" s="60"/>
      <c r="G38" s="60"/>
      <c r="H38" s="49"/>
    </row>
    <row r="39" spans="1:9" x14ac:dyDescent="0.25">
      <c r="C39" s="376">
        <v>2026</v>
      </c>
      <c r="F39" s="377"/>
      <c r="G39" s="382">
        <v>2026</v>
      </c>
      <c r="I39" s="49"/>
    </row>
    <row r="40" spans="1:9" ht="15.95" customHeight="1" x14ac:dyDescent="0.25">
      <c r="C40" s="376" t="s">
        <v>180</v>
      </c>
      <c r="F40" s="377"/>
      <c r="G40" s="382" t="s">
        <v>181</v>
      </c>
      <c r="H40" s="49"/>
    </row>
    <row r="41" spans="1:9" ht="34.5" x14ac:dyDescent="0.25">
      <c r="A41" s="56" t="s">
        <v>123</v>
      </c>
      <c r="B41" s="57" t="s">
        <v>132</v>
      </c>
      <c r="C41" s="59" t="s">
        <v>214</v>
      </c>
      <c r="F41" s="378"/>
      <c r="G41" s="381" t="s">
        <v>216</v>
      </c>
      <c r="H41" s="49"/>
    </row>
    <row r="42" spans="1:9" x14ac:dyDescent="0.25">
      <c r="A42" s="2" t="s">
        <v>37</v>
      </c>
      <c r="B42" s="16" t="s">
        <v>160</v>
      </c>
      <c r="C42" s="231">
        <f>'Demanda (BRA)'!C3</f>
        <v>83.95934449000282</v>
      </c>
      <c r="F42" s="379"/>
      <c r="G42" s="15">
        <f>IFERROR($C42*$H$20*'Premissas (BRA)'!$F$20*1000," ")</f>
        <v>1143131.2713643934</v>
      </c>
      <c r="H42" s="49"/>
    </row>
    <row r="43" spans="1:9" x14ac:dyDescent="0.25">
      <c r="A43" s="2" t="s">
        <v>38</v>
      </c>
      <c r="B43" s="16" t="s">
        <v>161</v>
      </c>
      <c r="C43" s="231">
        <f>'Demanda (BRA)'!C4</f>
        <v>1358.5951793648003</v>
      </c>
      <c r="D43" s="18"/>
      <c r="F43" s="379"/>
      <c r="G43" s="15">
        <f>IFERROR($C43*$H$20*'Premissas (BRA)'!$F$20*1000," ")</f>
        <v>18497674.607759055</v>
      </c>
      <c r="H43" s="49"/>
    </row>
    <row r="44" spans="1:9" x14ac:dyDescent="0.25">
      <c r="A44" s="2" t="s">
        <v>39</v>
      </c>
      <c r="B44" s="16" t="s">
        <v>162</v>
      </c>
      <c r="C44" s="231">
        <f>'Demanda (BRA)'!C5</f>
        <v>1591.1855708262167</v>
      </c>
      <c r="D44" s="18"/>
      <c r="F44" s="379"/>
      <c r="G44" s="15">
        <f>IFERROR($C44*$H$20*'Premissas (BRA)'!$F$20*1000," ")</f>
        <v>21664461.4795895</v>
      </c>
      <c r="H44" s="49"/>
    </row>
    <row r="45" spans="1:9" x14ac:dyDescent="0.25">
      <c r="A45" s="2" t="s">
        <v>40</v>
      </c>
      <c r="B45" s="16" t="s">
        <v>163</v>
      </c>
      <c r="C45" s="231">
        <f>'Demanda (BRA)'!C6</f>
        <v>257.90539079715882</v>
      </c>
      <c r="D45" s="18"/>
      <c r="F45" s="379"/>
      <c r="G45" s="15">
        <f>IFERROR($C45*$H$20*'Premissas (BRA)'!$F$20*1000," ")</f>
        <v>3511458.0641919076</v>
      </c>
      <c r="H45" s="49"/>
    </row>
    <row r="46" spans="1:9" x14ac:dyDescent="0.25">
      <c r="A46" s="2" t="s">
        <v>41</v>
      </c>
      <c r="B46" s="16" t="s">
        <v>164</v>
      </c>
      <c r="C46" s="231">
        <f>'Demanda (BRA)'!C7</f>
        <v>4113.6189497552796</v>
      </c>
      <c r="D46" s="18"/>
      <c r="F46" s="379"/>
      <c r="G46" s="15">
        <f>IFERROR($C46*$H$20*'Premissas (BRA)'!$F$20*1000," ")</f>
        <v>56008136.89657066</v>
      </c>
      <c r="H46" s="49"/>
    </row>
    <row r="47" spans="1:9" x14ac:dyDescent="0.25">
      <c r="A47" s="2" t="s">
        <v>42</v>
      </c>
      <c r="B47" s="16" t="s">
        <v>165</v>
      </c>
      <c r="C47" s="231">
        <f>'Demanda (BRA)'!C8</f>
        <v>1671.5160482445838</v>
      </c>
      <c r="D47" s="18"/>
      <c r="F47" s="379"/>
      <c r="G47" s="15">
        <f>IFERROR($C47*$H$20*'Premissas (BRA)'!$F$20*1000," ")</f>
        <v>22758184.654042114</v>
      </c>
      <c r="H47" s="49"/>
    </row>
    <row r="48" spans="1:9" x14ac:dyDescent="0.25">
      <c r="A48" s="2" t="s">
        <v>43</v>
      </c>
      <c r="B48" s="16" t="s">
        <v>166</v>
      </c>
      <c r="C48" s="231">
        <f>'Demanda (BRA)'!C9</f>
        <v>1497.3761894156601</v>
      </c>
      <c r="D48" s="18"/>
      <c r="F48" s="379"/>
      <c r="G48" s="15">
        <f>IFERROR($C48*$H$20*'Premissas (BRA)'!$F$20*1000," ")</f>
        <v>20387219.046491113</v>
      </c>
      <c r="H48" s="49"/>
    </row>
    <row r="49" spans="1:9" x14ac:dyDescent="0.25">
      <c r="A49" s="2" t="s">
        <v>44</v>
      </c>
      <c r="B49" s="16" t="s">
        <v>167</v>
      </c>
      <c r="C49" s="231">
        <f>'Demanda (BRA)'!C10</f>
        <v>275.11051045873194</v>
      </c>
      <c r="D49" s="18"/>
      <c r="F49" s="379"/>
      <c r="G49" s="15">
        <f>IFERROR($C49*$H$20*'Premissas (BRA)'!$F$20*1000," ")</f>
        <v>3745710.8496582415</v>
      </c>
      <c r="H49" s="49"/>
    </row>
    <row r="50" spans="1:9" x14ac:dyDescent="0.25">
      <c r="A50" s="2" t="s">
        <v>45</v>
      </c>
      <c r="B50" s="16" t="s">
        <v>168</v>
      </c>
      <c r="C50" s="231">
        <f>'Demanda (BRA)'!C11</f>
        <v>695.99981184318472</v>
      </c>
      <c r="D50" s="18"/>
      <c r="F50" s="379"/>
      <c r="G50" s="15">
        <f>IFERROR($C50*$H$20*'Premissas (BRA)'!$F$20*1000," ")</f>
        <v>9476242.9913493898</v>
      </c>
      <c r="H50" s="49"/>
    </row>
    <row r="51" spans="1:9" x14ac:dyDescent="0.25">
      <c r="A51" s="2" t="s">
        <v>46</v>
      </c>
      <c r="B51" s="16" t="s">
        <v>169</v>
      </c>
      <c r="C51" s="231">
        <f>'Demanda (BRA)'!C12</f>
        <v>994.60300359473592</v>
      </c>
      <c r="D51" s="18"/>
      <c r="F51" s="379"/>
      <c r="G51" s="15">
        <f>IFERROR($C51*$H$20*'Premissas (BRA)'!$F$20*1000," ")</f>
        <v>13541813.635020396</v>
      </c>
      <c r="H51" s="49"/>
    </row>
    <row r="52" spans="1:9" x14ac:dyDescent="0.25">
      <c r="A52" s="2" t="s">
        <v>47</v>
      </c>
      <c r="B52" s="16" t="s">
        <v>170</v>
      </c>
      <c r="C52" s="231">
        <f>'Demanda (BRA)'!C13</f>
        <v>2460.3528578351988</v>
      </c>
      <c r="D52" s="18"/>
      <c r="F52" s="379"/>
      <c r="G52" s="15">
        <f>IFERROR($C52*$H$20*'Premissas (BRA)'!$F$20*1000," ")</f>
        <v>33498430.787737504</v>
      </c>
      <c r="H52" s="49"/>
    </row>
    <row r="53" spans="1:9" x14ac:dyDescent="0.25">
      <c r="A53" s="2" t="s">
        <v>48</v>
      </c>
      <c r="B53" s="16" t="s">
        <v>171</v>
      </c>
      <c r="C53" s="231">
        <f>'Demanda (BRA)'!C14</f>
        <v>1008.3686134701056</v>
      </c>
      <c r="D53" s="18"/>
      <c r="F53" s="379"/>
      <c r="G53" s="15">
        <f>IFERROR($C53*$H$20*'Premissas (BRA)'!$F$20*1000," ")</f>
        <v>13729236.478939947</v>
      </c>
      <c r="H53" s="49"/>
    </row>
    <row r="54" spans="1:9" x14ac:dyDescent="0.25">
      <c r="A54" s="2" t="s">
        <v>49</v>
      </c>
      <c r="B54" s="16" t="s">
        <v>172</v>
      </c>
      <c r="C54" s="231">
        <f>'Demanda (BRA)'!C15</f>
        <v>1318.069593111717</v>
      </c>
      <c r="D54" s="18"/>
      <c r="F54" s="379"/>
      <c r="G54" s="15">
        <f>IFERROR($C54*$H$20*'Premissas (BRA)'!$F$20*1000," ")</f>
        <v>17945906.78229931</v>
      </c>
      <c r="H54" s="49"/>
    </row>
    <row r="55" spans="1:9" x14ac:dyDescent="0.25">
      <c r="A55" s="2" t="s">
        <v>50</v>
      </c>
      <c r="B55" s="16" t="s">
        <v>199</v>
      </c>
      <c r="C55" s="191"/>
      <c r="D55" s="216" t="s">
        <v>386</v>
      </c>
      <c r="F55" s="379"/>
      <c r="G55" s="15">
        <f>IFERROR($C55*$H$20*'Premissas (BRA)'!$F$20*1000," ")</f>
        <v>0</v>
      </c>
      <c r="H55" s="49"/>
    </row>
    <row r="56" spans="1:9" x14ac:dyDescent="0.25">
      <c r="A56" s="2" t="s">
        <v>51</v>
      </c>
      <c r="B56" s="16" t="s">
        <v>198</v>
      </c>
      <c r="C56" s="191"/>
      <c r="D56" s="216" t="s">
        <v>386</v>
      </c>
      <c r="F56" s="379"/>
      <c r="G56" s="15">
        <f>IFERROR($C56*$H$20*'Premissas (BRA)'!$F$20*1000," ")</f>
        <v>0</v>
      </c>
      <c r="H56" s="49"/>
    </row>
    <row r="57" spans="1:9" x14ac:dyDescent="0.25">
      <c r="A57" s="2" t="s">
        <v>52</v>
      </c>
      <c r="B57" s="16" t="s">
        <v>197</v>
      </c>
      <c r="C57" s="191"/>
      <c r="D57" s="216" t="s">
        <v>386</v>
      </c>
      <c r="F57" s="379"/>
      <c r="G57" s="15">
        <f>IFERROR($C57*$H$20*'Premissas (BRA)'!$F$20*1000," ")</f>
        <v>0</v>
      </c>
      <c r="H57" s="49"/>
    </row>
    <row r="58" spans="1:9" x14ac:dyDescent="0.25">
      <c r="C58" s="61">
        <f>SUM(C42:C57)</f>
        <v>17326.661063207372</v>
      </c>
      <c r="D58" s="61"/>
      <c r="F58" s="61"/>
      <c r="G58" s="61">
        <f>SUM(G42:G57)</f>
        <v>235907607.54501358</v>
      </c>
      <c r="H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G25/$G$35</f>
        <v>0.34062154572287345</v>
      </c>
      <c r="C100" s="8"/>
      <c r="D100" t="s">
        <v>232</v>
      </c>
      <c r="E100" s="66">
        <f t="shared" ref="E100:E115" si="2">G42/$G$58</f>
        <v>4.845673623078358E-3</v>
      </c>
      <c r="G100" s="65" t="s">
        <v>140</v>
      </c>
      <c r="H100" s="67">
        <f>G25/$G$35</f>
        <v>0.34062154572287345</v>
      </c>
      <c r="I100" s="67">
        <f>G26/$G$35</f>
        <v>6.1252572488394537E-3</v>
      </c>
      <c r="J100" s="67">
        <f>$G27/$G$35</f>
        <v>0.41541494661629175</v>
      </c>
      <c r="K100" s="67">
        <f>$G28/$G$35</f>
        <v>0</v>
      </c>
      <c r="L100" s="67">
        <f>$G29/$G$35</f>
        <v>0</v>
      </c>
      <c r="M100" s="67">
        <f>$G30/$G$35</f>
        <v>0</v>
      </c>
      <c r="N100" s="67">
        <f>$G31/$G$35</f>
        <v>0.23783825041199533</v>
      </c>
      <c r="O100" s="67">
        <f>$G32/$G$35</f>
        <v>0</v>
      </c>
      <c r="P100" s="67">
        <f>$G33/$G$35</f>
        <v>0</v>
      </c>
      <c r="Q100" s="67">
        <f>$G34/$G$35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7.8410674417227127E-2</v>
      </c>
      <c r="W101" s="69"/>
    </row>
    <row r="102" spans="1:27" ht="18" x14ac:dyDescent="0.35">
      <c r="A102" t="s">
        <v>224</v>
      </c>
      <c r="B102" s="66">
        <f t="shared" si="1"/>
        <v>0.41541494661629175</v>
      </c>
      <c r="C102" s="4"/>
      <c r="D102" t="s">
        <v>234</v>
      </c>
      <c r="E102" s="66">
        <f t="shared" si="2"/>
        <v>9.1834518204147786E-2</v>
      </c>
      <c r="G102" s="66"/>
    </row>
    <row r="103" spans="1:27" ht="18" x14ac:dyDescent="0.35">
      <c r="A103" t="s">
        <v>225</v>
      </c>
      <c r="B103" s="66">
        <f t="shared" si="1"/>
        <v>0</v>
      </c>
      <c r="C103" s="4"/>
      <c r="D103" t="s">
        <v>235</v>
      </c>
      <c r="E103" s="66">
        <f t="shared" si="2"/>
        <v>1.4884886929820124E-2</v>
      </c>
      <c r="G103" s="66"/>
      <c r="H103" s="68"/>
      <c r="I103" s="68"/>
    </row>
    <row r="104" spans="1:27" ht="18" x14ac:dyDescent="0.35">
      <c r="A104" t="s">
        <v>226</v>
      </c>
      <c r="B104" s="66">
        <f t="shared" si="1"/>
        <v>0</v>
      </c>
      <c r="C104" s="4"/>
      <c r="D104" t="s">
        <v>236</v>
      </c>
      <c r="E104" s="66">
        <f t="shared" si="2"/>
        <v>0.2374155606062163</v>
      </c>
      <c r="G104" s="66"/>
      <c r="H104" s="68"/>
      <c r="I104" s="68"/>
    </row>
    <row r="105" spans="1:27" ht="18" x14ac:dyDescent="0.35">
      <c r="A105" t="s">
        <v>227</v>
      </c>
      <c r="B105" s="66">
        <f t="shared" si="1"/>
        <v>0</v>
      </c>
      <c r="C105" s="4"/>
      <c r="D105" t="s">
        <v>237</v>
      </c>
      <c r="E105" s="66">
        <f t="shared" si="2"/>
        <v>9.6470753490641964E-2</v>
      </c>
      <c r="G105" s="66"/>
      <c r="H105" s="68"/>
      <c r="I105" s="68"/>
    </row>
    <row r="106" spans="1:27" ht="18" x14ac:dyDescent="0.35">
      <c r="A106" t="s">
        <v>228</v>
      </c>
      <c r="B106" s="66">
        <f t="shared" si="1"/>
        <v>0.23783825041199533</v>
      </c>
      <c r="C106" s="4"/>
      <c r="D106" t="s">
        <v>238</v>
      </c>
      <c r="E106" s="66">
        <f t="shared" si="2"/>
        <v>8.642035438641385E-2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4.0169298014440788E-2</v>
      </c>
      <c r="G108" s="66"/>
      <c r="H108" s="68"/>
      <c r="I108" s="68"/>
    </row>
    <row r="109" spans="1:27" ht="18" x14ac:dyDescent="0.35">
      <c r="A109" t="s">
        <v>231</v>
      </c>
      <c r="B109" s="66">
        <f t="shared" si="1"/>
        <v>0</v>
      </c>
      <c r="D109" t="s">
        <v>241</v>
      </c>
      <c r="E109" s="66">
        <f t="shared" si="2"/>
        <v>5.7403039164120553E-2</v>
      </c>
      <c r="G109" s="66"/>
    </row>
    <row r="110" spans="1:27" ht="18" x14ac:dyDescent="0.35">
      <c r="B110" s="66">
        <f>SUM(B100:B109)</f>
        <v>1</v>
      </c>
      <c r="D110" t="s">
        <v>242</v>
      </c>
      <c r="E110" s="66">
        <f t="shared" si="2"/>
        <v>0.14199809466231675</v>
      </c>
      <c r="G110" s="66"/>
    </row>
    <row r="111" spans="1:27" ht="18" x14ac:dyDescent="0.35">
      <c r="B111" s="68"/>
      <c r="D111" t="s">
        <v>243</v>
      </c>
      <c r="E111" s="66">
        <f t="shared" si="2"/>
        <v>5.8197514789005984E-2</v>
      </c>
      <c r="G111" s="66"/>
    </row>
    <row r="112" spans="1:27" ht="18" x14ac:dyDescent="0.35">
      <c r="B112" s="68"/>
      <c r="D112" t="s">
        <v>244</v>
      </c>
      <c r="E112" s="66">
        <f t="shared" si="2"/>
        <v>7.6071759486921367E-2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416</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348.00559018731281</v>
      </c>
      <c r="C131" s="70"/>
      <c r="D131" t="s">
        <v>253</v>
      </c>
      <c r="E131" s="4">
        <f ca="1">SUMPRODUCT($H$100:$Q$100,$C68:$L68)</f>
        <v>381.82480233545687</v>
      </c>
    </row>
    <row r="132" spans="1:5" ht="18" x14ac:dyDescent="0.35">
      <c r="A132" t="s">
        <v>254</v>
      </c>
      <c r="B132" s="66">
        <f ca="1">SUMPRODUCT($E$100:$E$115,D$68:D$83)</f>
        <v>238.07443165879414</v>
      </c>
      <c r="C132" s="70"/>
      <c r="D132" t="s">
        <v>255</v>
      </c>
      <c r="E132" s="4">
        <f t="shared" ref="E132:E146" ca="1" si="3">SUMPRODUCT($H$100:$Q$100,$C69:$L69)</f>
        <v>478.98880233545691</v>
      </c>
    </row>
    <row r="133" spans="1:5" ht="18" x14ac:dyDescent="0.35">
      <c r="A133" t="s">
        <v>256</v>
      </c>
      <c r="B133" s="66">
        <f ca="1">SUMPRODUCT($E$100:$E$115,E$68:E$83)</f>
        <v>274.56161386783606</v>
      </c>
      <c r="C133" s="70"/>
      <c r="D133" t="s">
        <v>257</v>
      </c>
      <c r="E133" s="4">
        <f t="shared" ca="1" si="3"/>
        <v>596.15400233545688</v>
      </c>
    </row>
    <row r="134" spans="1:5" ht="18" x14ac:dyDescent="0.35">
      <c r="A134" t="s">
        <v>258</v>
      </c>
      <c r="B134" s="66">
        <f ca="1">SUMPRODUCT($E$100:$E$115,F$68:F$83)</f>
        <v>459.39338604153431</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213.98004830229473</v>
      </c>
    </row>
    <row r="137" spans="1:5" ht="18" x14ac:dyDescent="0.35">
      <c r="A137" t="s">
        <v>264</v>
      </c>
      <c r="B137" s="66">
        <f ca="1">SUMPRODUCT($E$100:$E$115,I$68:I$83)</f>
        <v>385.09157515500448</v>
      </c>
      <c r="D137" t="s">
        <v>265</v>
      </c>
      <c r="E137" s="4">
        <f t="shared" ca="1" si="3"/>
        <v>229.34466796296684</v>
      </c>
    </row>
    <row r="138" spans="1:5" ht="18" x14ac:dyDescent="0.35">
      <c r="A138" t="s">
        <v>266</v>
      </c>
      <c r="B138" s="66">
        <f ca="1">SUMPRODUCT($E$100:$E$115,J$68:J$83)</f>
        <v>303.67115177082843</v>
      </c>
      <c r="D138" t="s">
        <v>267</v>
      </c>
      <c r="E138" s="4">
        <f t="shared" ca="1" si="3"/>
        <v>248.57032826686191</v>
      </c>
    </row>
    <row r="139" spans="1:5" ht="18" x14ac:dyDescent="0.35">
      <c r="A139" t="s">
        <v>268</v>
      </c>
      <c r="B139" s="66">
        <f ca="1">SUMPRODUCT($E$100:$E$115,K$68:K$83)</f>
        <v>459.39338604153431</v>
      </c>
      <c r="D139" t="s">
        <v>269</v>
      </c>
      <c r="E139" s="4">
        <f t="shared" ca="1" si="3"/>
        <v>223.14240453800076</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445.66464244190945</v>
      </c>
    </row>
    <row r="144" spans="1:5" ht="18" x14ac:dyDescent="0.35">
      <c r="B144" s="66"/>
      <c r="D144" t="s">
        <v>275</v>
      </c>
      <c r="E144" s="4">
        <f t="shared" si="3"/>
        <v>340.32764244190946</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($G25*$B131)/SUMPRODUCT($G$25:$G$34,$B$131:$B$140)</f>
        <v>0.36401277341349386</v>
      </c>
      <c r="C163" s="13"/>
      <c r="D163" t="s">
        <v>283</v>
      </c>
      <c r="E163" s="71">
        <f t="shared" ref="E163:E178" ca="1" si="5">($G42*$E131)/SUMPRODUCT($G$42:$G$57,$E$131:$E$146)</f>
        <v>5.6816775485780445E-3</v>
      </c>
    </row>
    <row r="164" spans="1:9" ht="18" x14ac:dyDescent="0.35">
      <c r="A164" t="s">
        <v>284</v>
      </c>
      <c r="B164" s="71">
        <f t="shared" ca="1" si="4"/>
        <v>4.4781163895208434E-3</v>
      </c>
      <c r="C164" s="4"/>
      <c r="D164" t="s">
        <v>285</v>
      </c>
      <c r="E164" s="71">
        <f t="shared" ca="1" si="5"/>
        <v>0.11533439394266103</v>
      </c>
    </row>
    <row r="165" spans="1:9" ht="18" x14ac:dyDescent="0.35">
      <c r="A165" t="s">
        <v>286</v>
      </c>
      <c r="B165" s="71">
        <f t="shared" ca="1" si="4"/>
        <v>0.35025167846591204</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2.7011397732216613E-2</v>
      </c>
    </row>
    <row r="167" spans="1:9" ht="18" x14ac:dyDescent="0.35">
      <c r="A167" t="s">
        <v>290</v>
      </c>
      <c r="B167" s="71">
        <f t="shared" ca="1" si="4"/>
        <v>0</v>
      </c>
      <c r="C167" s="4"/>
      <c r="D167" t="s">
        <v>291</v>
      </c>
      <c r="E167" s="71">
        <f t="shared" ca="1" si="5"/>
        <v>0.1583219009048818</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1.2119923438785544E-2</v>
      </c>
    </row>
    <row r="171" spans="1:9" ht="18" x14ac:dyDescent="0.35">
      <c r="A171" t="s">
        <v>298</v>
      </c>
      <c r="B171" s="71">
        <f t="shared" ca="1" si="4"/>
        <v>0</v>
      </c>
      <c r="D171" t="s">
        <v>299</v>
      </c>
      <c r="E171" s="71">
        <f t="shared" ca="1" si="5"/>
        <v>2.7525463368276427E-2</v>
      </c>
    </row>
    <row r="172" spans="1:9" ht="18" x14ac:dyDescent="0.35">
      <c r="A172" t="s">
        <v>300</v>
      </c>
      <c r="B172" s="71">
        <f t="shared" ca="1" si="4"/>
        <v>0</v>
      </c>
      <c r="D172" t="s">
        <v>301</v>
      </c>
      <c r="E172" s="71">
        <f t="shared" ca="1" si="5"/>
        <v>5.3526533245923026E-2</v>
      </c>
    </row>
    <row r="173" spans="1:9" ht="18" x14ac:dyDescent="0.35">
      <c r="B173" s="175">
        <f ca="1">SUM(B163:B172)</f>
        <v>1</v>
      </c>
      <c r="D173" t="s">
        <v>302</v>
      </c>
      <c r="E173" s="71">
        <f t="shared" ca="1" si="5"/>
        <v>0.13071969216727208</v>
      </c>
    </row>
    <row r="174" spans="1:9" ht="18" x14ac:dyDescent="0.35">
      <c r="B174" s="71"/>
      <c r="D174" t="s">
        <v>303</v>
      </c>
      <c r="E174" s="71">
        <f t="shared" ca="1" si="5"/>
        <v>7.3273039393892847E-2</v>
      </c>
    </row>
    <row r="175" spans="1:9" ht="18" x14ac:dyDescent="0.35">
      <c r="B175" s="71"/>
      <c r="D175" t="s">
        <v>304</v>
      </c>
      <c r="E175" s="71">
        <f t="shared" ca="1" si="5"/>
        <v>0.10410939653318835</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512.23809478608496</v>
      </c>
      <c r="C194" s="19"/>
      <c r="D194" t="s">
        <v>311</v>
      </c>
      <c r="E194" s="5">
        <f t="shared" ref="E194:E209" ca="1" si="7">$E163*$D$9</f>
        <v>3.4020257678003456</v>
      </c>
    </row>
    <row r="195" spans="1:5" ht="18" x14ac:dyDescent="0.35">
      <c r="A195" t="s">
        <v>312</v>
      </c>
      <c r="B195" s="6">
        <f t="shared" ca="1" si="6"/>
        <v>6.3015970183904138</v>
      </c>
      <c r="D195" t="s">
        <v>313</v>
      </c>
      <c r="E195" s="5">
        <f t="shared" ca="1" si="7"/>
        <v>69.058931407462154</v>
      </c>
    </row>
    <row r="196" spans="1:5" ht="18" x14ac:dyDescent="0.35">
      <c r="A196" t="s">
        <v>314</v>
      </c>
      <c r="B196" s="6">
        <f t="shared" ca="1" si="6"/>
        <v>492.87350768102584</v>
      </c>
      <c r="D196" t="s">
        <v>315</v>
      </c>
      <c r="E196" s="5">
        <f t="shared" ca="1" si="7"/>
        <v>100.66621039798747</v>
      </c>
    </row>
    <row r="197" spans="1:5" ht="18" x14ac:dyDescent="0.35">
      <c r="A197" t="s">
        <v>316</v>
      </c>
      <c r="B197" s="6">
        <f t="shared" ca="1" si="6"/>
        <v>0</v>
      </c>
      <c r="D197" t="s">
        <v>317</v>
      </c>
      <c r="E197" s="5">
        <f t="shared" ca="1" si="7"/>
        <v>16.173651236561806</v>
      </c>
    </row>
    <row r="198" spans="1:5" ht="18" x14ac:dyDescent="0.35">
      <c r="A198" t="s">
        <v>318</v>
      </c>
      <c r="B198" s="6">
        <f t="shared" ca="1" si="6"/>
        <v>0</v>
      </c>
      <c r="D198" t="s">
        <v>319</v>
      </c>
      <c r="E198" s="5">
        <f t="shared" ca="1" si="7"/>
        <v>94.798619224764025</v>
      </c>
    </row>
    <row r="199" spans="1:5" ht="18" x14ac:dyDescent="0.35">
      <c r="A199" t="s">
        <v>320</v>
      </c>
      <c r="B199" s="6">
        <f t="shared" ca="1" si="6"/>
        <v>0</v>
      </c>
      <c r="D199" t="s">
        <v>321</v>
      </c>
      <c r="E199" s="5">
        <f t="shared" ca="1" si="7"/>
        <v>37.956683260347496</v>
      </c>
    </row>
    <row r="200" spans="1:5" ht="18" x14ac:dyDescent="0.35">
      <c r="A200" t="s">
        <v>322</v>
      </c>
      <c r="B200" s="6">
        <f t="shared" ca="1" si="6"/>
        <v>395.78493255426952</v>
      </c>
      <c r="D200" t="s">
        <v>323</v>
      </c>
      <c r="E200" s="5">
        <f t="shared" ca="1" si="7"/>
        <v>36.443828524178194</v>
      </c>
    </row>
    <row r="201" spans="1:5" ht="18" x14ac:dyDescent="0.35">
      <c r="A201" t="s">
        <v>324</v>
      </c>
      <c r="B201" s="6">
        <f t="shared" ca="1" si="6"/>
        <v>0</v>
      </c>
      <c r="D201" t="s">
        <v>325</v>
      </c>
      <c r="E201" s="5">
        <f t="shared" ca="1" si="7"/>
        <v>7.2570629871163694</v>
      </c>
    </row>
    <row r="202" spans="1:5" ht="18" x14ac:dyDescent="0.35">
      <c r="A202" t="s">
        <v>326</v>
      </c>
      <c r="B202" s="6">
        <f t="shared" ca="1" si="6"/>
        <v>0</v>
      </c>
      <c r="D202" t="s">
        <v>327</v>
      </c>
      <c r="E202" s="5">
        <f t="shared" ca="1" si="7"/>
        <v>16.481459014328752</v>
      </c>
    </row>
    <row r="203" spans="1:5" ht="18" x14ac:dyDescent="0.35">
      <c r="A203" t="s">
        <v>328</v>
      </c>
      <c r="B203" s="6">
        <f t="shared" ca="1" si="6"/>
        <v>0</v>
      </c>
      <c r="D203" t="s">
        <v>329</v>
      </c>
      <c r="E203" s="5">
        <f t="shared" ca="1" si="7"/>
        <v>32.050154871817021</v>
      </c>
    </row>
    <row r="204" spans="1:5" ht="18" x14ac:dyDescent="0.35">
      <c r="B204" s="6">
        <f ca="1">SUM(B194:B203)</f>
        <v>1407.1981320397708</v>
      </c>
      <c r="D204" t="s">
        <v>330</v>
      </c>
      <c r="E204" s="5">
        <f t="shared" ca="1" si="7"/>
        <v>78.271207281604148</v>
      </c>
    </row>
    <row r="205" spans="1:5" ht="18" x14ac:dyDescent="0.35">
      <c r="B205" s="6"/>
      <c r="D205" t="s">
        <v>331</v>
      </c>
      <c r="E205" s="5">
        <f t="shared" ca="1" si="7"/>
        <v>43.87379712624837</v>
      </c>
    </row>
    <row r="206" spans="1:5" ht="18" x14ac:dyDescent="0.35">
      <c r="B206" s="6"/>
      <c r="D206" t="s">
        <v>332</v>
      </c>
      <c r="E206" s="5">
        <f t="shared" ca="1" si="7"/>
        <v>62.337724492072276</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598.7713555922885</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IFERROR($B194/$G25*1000000," ")</f>
        <v>3.3827276174813834</v>
      </c>
      <c r="D227" s="77"/>
      <c r="E227" s="7"/>
      <c r="F227" s="7"/>
      <c r="G227" s="78"/>
      <c r="H227" s="20" t="s">
        <v>343</v>
      </c>
      <c r="I227" s="20" t="str">
        <f t="shared" ref="I227:I242" si="9">B42</f>
        <v>NTS MG 1</v>
      </c>
      <c r="J227" s="11">
        <f t="shared" ref="J227:J242" ca="1" si="10">IFERROR($E194/$G42*1000000," ")</f>
        <v>2.97605870211199</v>
      </c>
      <c r="L227" s="12"/>
      <c r="M227" s="79"/>
      <c r="Q227" s="7"/>
      <c r="R227" s="80"/>
      <c r="S227" s="81"/>
      <c r="T227" s="81"/>
      <c r="U227" s="81"/>
    </row>
    <row r="228" spans="1:21" ht="18" x14ac:dyDescent="0.25">
      <c r="A228" s="20" t="s">
        <v>344</v>
      </c>
      <c r="B228" s="20" t="str">
        <f t="shared" ref="B228:B236" si="11">B26</f>
        <v>PR-GNLBGB</v>
      </c>
      <c r="C228" s="11">
        <f t="shared" ca="1" si="8"/>
        <v>2.3141609723996535</v>
      </c>
      <c r="D228" s="77"/>
      <c r="E228" s="7"/>
      <c r="F228" s="7"/>
      <c r="G228" s="78"/>
      <c r="H228" s="20" t="s">
        <v>345</v>
      </c>
      <c r="I228" s="20" t="str">
        <f t="shared" si="9"/>
        <v>NTS MG 2</v>
      </c>
      <c r="J228" s="11">
        <f t="shared" ca="1" si="10"/>
        <v>3.7333844859880183</v>
      </c>
      <c r="L228" s="12"/>
      <c r="M228" s="79"/>
      <c r="Q228" s="7"/>
      <c r="R228" s="80"/>
      <c r="S228" s="81"/>
      <c r="T228" s="81"/>
      <c r="U228" s="81"/>
    </row>
    <row r="229" spans="1:21" ht="18" x14ac:dyDescent="0.25">
      <c r="A229" s="20" t="s">
        <v>346</v>
      </c>
      <c r="B229" s="20" t="str">
        <f t="shared" si="11"/>
        <v>PR-ITABORAÍ</v>
      </c>
      <c r="C229" s="11">
        <f t="shared" ca="1" si="8"/>
        <v>2.6688282605778912</v>
      </c>
      <c r="D229" s="77"/>
      <c r="E229" s="7"/>
      <c r="F229" s="7"/>
      <c r="G229" s="78"/>
      <c r="H229" s="20" t="s">
        <v>347</v>
      </c>
      <c r="I229" s="20" t="str">
        <f t="shared" si="9"/>
        <v>NTS MG 3</v>
      </c>
      <c r="J229" s="11">
        <f t="shared" ca="1" si="10"/>
        <v>4.6466057092084663</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4.6059645141408945</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1.6925865504119004</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1.667825612514571</v>
      </c>
      <c r="L232" s="12"/>
      <c r="M232" s="79"/>
      <c r="Q232" s="7"/>
      <c r="R232" s="80"/>
      <c r="S232" s="81"/>
      <c r="T232" s="81"/>
      <c r="U232" s="81"/>
    </row>
    <row r="233" spans="1:21" ht="18" x14ac:dyDescent="0.25">
      <c r="A233" s="20" t="s">
        <v>354</v>
      </c>
      <c r="B233" s="20" t="str">
        <f t="shared" si="11"/>
        <v>PR-TECAB</v>
      </c>
      <c r="C233" s="11">
        <f t="shared" ca="1" si="8"/>
        <v>3.7432154633926693</v>
      </c>
      <c r="D233" s="77"/>
      <c r="E233" s="7"/>
      <c r="F233" s="7"/>
      <c r="G233" s="78"/>
      <c r="H233" s="20" t="s">
        <v>355</v>
      </c>
      <c r="I233" s="20" t="str">
        <f t="shared" si="9"/>
        <v>NTS RJ 3</v>
      </c>
      <c r="J233" s="11">
        <f t="shared" ca="1" si="10"/>
        <v>1.7875821337413167</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1.9374327806906142</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1.7392398052027831</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2.3667549809526491</v>
      </c>
      <c r="L236" s="12"/>
      <c r="Q236" s="7"/>
      <c r="R236" s="80"/>
      <c r="S236" s="81"/>
      <c r="T236" s="81"/>
      <c r="U236" s="81"/>
    </row>
    <row r="237" spans="1:21" ht="18" x14ac:dyDescent="0.25">
      <c r="D237" s="72"/>
      <c r="E237" s="7"/>
      <c r="F237" s="7"/>
      <c r="G237" s="72"/>
      <c r="H237" s="20" t="s">
        <v>362</v>
      </c>
      <c r="I237" s="20" t="str">
        <f t="shared" si="9"/>
        <v>NTS SP 2</v>
      </c>
      <c r="J237" s="11">
        <f t="shared" ca="1" si="10"/>
        <v>2.3365633983743574</v>
      </c>
      <c r="K237" s="72"/>
      <c r="L237" s="12"/>
      <c r="Q237" s="7"/>
      <c r="R237" s="80"/>
      <c r="S237" s="81"/>
      <c r="T237" s="81"/>
      <c r="U237" s="81"/>
    </row>
    <row r="238" spans="1:21" ht="18" x14ac:dyDescent="0.25">
      <c r="D238" s="72"/>
      <c r="E238" s="7"/>
      <c r="F238" s="7"/>
      <c r="G238" s="72"/>
      <c r="H238" s="20" t="s">
        <v>363</v>
      </c>
      <c r="I238" s="20" t="str">
        <f t="shared" si="9"/>
        <v>NTS SP 3</v>
      </c>
      <c r="J238" s="11">
        <f t="shared" ca="1" si="10"/>
        <v>3.195647273870537</v>
      </c>
      <c r="L238" s="12"/>
      <c r="Q238" s="7"/>
      <c r="R238" s="80"/>
      <c r="S238" s="81"/>
      <c r="T238" s="81"/>
      <c r="U238" s="81"/>
    </row>
    <row r="239" spans="1:21" ht="18" x14ac:dyDescent="0.25">
      <c r="D239" s="72"/>
      <c r="E239" s="7"/>
      <c r="F239" s="7"/>
      <c r="G239" s="72"/>
      <c r="H239" s="20" t="s">
        <v>364</v>
      </c>
      <c r="I239" s="20" t="str">
        <f t="shared" si="9"/>
        <v>NTS SP 4</v>
      </c>
      <c r="J239" s="11">
        <f t="shared" ca="1" si="10"/>
        <v>3.4736458429371875</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IF(G25=0," ",C227*(1-$C$12))</f>
        <v>0</v>
      </c>
      <c r="D246" s="11">
        <f t="shared" ref="D246:D252" ca="1" si="14">$F$8*$C$12</f>
        <v>3.1653557072215888</v>
      </c>
      <c r="E246" s="11">
        <f ca="1">IFERROR(C246+D246," ")</f>
        <v>3.1653557072215888</v>
      </c>
      <c r="F246" s="198">
        <f ca="1">E246*G25</f>
        <v>479322002.8737269</v>
      </c>
      <c r="G246" s="79"/>
      <c r="H246" s="20" t="s">
        <v>343</v>
      </c>
      <c r="I246" s="20" t="str">
        <f t="shared" ref="I246:I261" si="15">I227</f>
        <v>NTS MG 1</v>
      </c>
      <c r="J246" s="11">
        <f t="shared" ref="J246:J261" ca="1" si="16">IF(G42=0," ",J227*(1-$C$12))</f>
        <v>0</v>
      </c>
      <c r="K246" s="11">
        <f t="shared" ref="K246:K258" ca="1" si="17">$F$11*$C$12</f>
        <v>2.5381604341777604</v>
      </c>
      <c r="L246" s="11">
        <f ca="1">IFERROR(J246+K246," ")</f>
        <v>2.5381604341777604</v>
      </c>
      <c r="M246" s="198">
        <f t="shared" ref="M246:M258" ca="1" si="18">L246*G42</f>
        <v>2901450.5640484239</v>
      </c>
      <c r="N246" s="87"/>
    </row>
    <row r="247" spans="1:22" ht="18" x14ac:dyDescent="0.25">
      <c r="A247" s="20" t="s">
        <v>344</v>
      </c>
      <c r="B247" s="20" t="str">
        <f t="shared" si="12"/>
        <v>PR-GNLBGB</v>
      </c>
      <c r="C247" s="11">
        <f t="shared" ca="1" si="13"/>
        <v>0</v>
      </c>
      <c r="D247" s="11">
        <f t="shared" ca="1" si="14"/>
        <v>3.1653557072215888</v>
      </c>
      <c r="E247" s="11">
        <f t="shared" ref="E247:E252" ca="1" si="19">IFERROR(C247+D247," ")</f>
        <v>3.1653557072215888</v>
      </c>
      <c r="F247" s="198">
        <f ca="1">E247*G26</f>
        <v>8619450.5588299464</v>
      </c>
      <c r="G247" s="79"/>
      <c r="H247" s="20" t="s">
        <v>345</v>
      </c>
      <c r="I247" s="20" t="str">
        <f t="shared" si="15"/>
        <v>NTS MG 2</v>
      </c>
      <c r="J247" s="11">
        <f t="shared" ca="1" si="16"/>
        <v>0</v>
      </c>
      <c r="K247" s="11">
        <f t="shared" ca="1" si="17"/>
        <v>2.5381604341777604</v>
      </c>
      <c r="L247" s="11">
        <f t="shared" ref="L247:L258" ca="1" si="20">IFERROR(J247+K247," ")</f>
        <v>2.5381604341777604</v>
      </c>
      <c r="M247" s="198">
        <f t="shared" ca="1" si="18"/>
        <v>46950065.813708656</v>
      </c>
    </row>
    <row r="248" spans="1:22" ht="18" x14ac:dyDescent="0.25">
      <c r="A248" s="20" t="s">
        <v>346</v>
      </c>
      <c r="B248" s="20" t="str">
        <f t="shared" si="12"/>
        <v>PR-ITABORAÍ</v>
      </c>
      <c r="C248" s="11">
        <f t="shared" ca="1" si="13"/>
        <v>0</v>
      </c>
      <c r="D248" s="11">
        <f t="shared" ca="1" si="14"/>
        <v>3.1653557072215888</v>
      </c>
      <c r="E248" s="11">
        <f t="shared" ca="1" si="19"/>
        <v>3.1653557072215888</v>
      </c>
      <c r="F248" s="198">
        <f ca="1">E248*G27</f>
        <v>584571136.89984691</v>
      </c>
      <c r="G248" s="79"/>
      <c r="H248" s="20" t="s">
        <v>347</v>
      </c>
      <c r="I248" s="20" t="str">
        <f t="shared" si="15"/>
        <v>NTS MG 3</v>
      </c>
      <c r="J248" s="11">
        <f t="shared" ca="1" si="16"/>
        <v>0</v>
      </c>
      <c r="K248" s="11">
        <f t="shared" ca="1" si="17"/>
        <v>2.5381604341777604</v>
      </c>
      <c r="L248" s="11">
        <f t="shared" ca="1" si="20"/>
        <v>2.5381604341777604</v>
      </c>
      <c r="M248" s="198">
        <f t="shared" ca="1" si="18"/>
        <v>54987878.955262251</v>
      </c>
    </row>
    <row r="249" spans="1:22" ht="18" x14ac:dyDescent="0.25">
      <c r="A249" s="20" t="s">
        <v>348</v>
      </c>
      <c r="B249" s="20" t="str">
        <f t="shared" si="12"/>
        <v>PR-GASPAJ (INTERCONEXÃO)</v>
      </c>
      <c r="C249" s="11" t="str">
        <f t="shared" si="13"/>
        <v xml:space="preserve"> </v>
      </c>
      <c r="D249" s="11">
        <f t="shared" ca="1" si="14"/>
        <v>3.1653557072215888</v>
      </c>
      <c r="E249" s="83">
        <f ca="1">E271</f>
        <v>0.2847045394848387</v>
      </c>
      <c r="F249" s="198">
        <f ca="1">E249*G28</f>
        <v>0</v>
      </c>
      <c r="G249" s="79"/>
      <c r="H249" s="20" t="s">
        <v>349</v>
      </c>
      <c r="I249" s="20" t="str">
        <f t="shared" si="15"/>
        <v>NTS MG 4</v>
      </c>
      <c r="J249" s="11">
        <f t="shared" ca="1" si="16"/>
        <v>0</v>
      </c>
      <c r="K249" s="11">
        <f t="shared" ca="1" si="17"/>
        <v>2.5381604341777604</v>
      </c>
      <c r="L249" s="11">
        <f t="shared" ca="1" si="20"/>
        <v>2.5381604341777604</v>
      </c>
      <c r="M249" s="198">
        <f t="shared" ca="1" si="18"/>
        <v>8912643.9248063304</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2.5381604341777604</v>
      </c>
      <c r="L250" s="11">
        <f t="shared" ca="1" si="20"/>
        <v>2.5381604341777604</v>
      </c>
      <c r="M250" s="198">
        <f t="shared" ca="1" si="18"/>
        <v>142157637.06288722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2.5381604341777604</v>
      </c>
      <c r="L251" s="11">
        <f t="shared" ca="1" si="20"/>
        <v>2.5381604341777604</v>
      </c>
      <c r="M251" s="198">
        <f t="shared" ca="1" si="18"/>
        <v>57763923.842601173</v>
      </c>
    </row>
    <row r="252" spans="1:22" ht="18" x14ac:dyDescent="0.25">
      <c r="A252" s="20" t="s">
        <v>354</v>
      </c>
      <c r="B252" s="20" t="str">
        <f t="shared" si="12"/>
        <v>PR-TECAB</v>
      </c>
      <c r="C252" s="11">
        <f t="shared" ca="1" si="13"/>
        <v>0</v>
      </c>
      <c r="D252" s="11">
        <f t="shared" ca="1" si="14"/>
        <v>3.1653557072215888</v>
      </c>
      <c r="E252" s="11">
        <f t="shared" ca="1" si="19"/>
        <v>3.1653557072215888</v>
      </c>
      <c r="F252" s="198">
        <f ca="1">E252*G31</f>
        <v>334685541.70736712</v>
      </c>
      <c r="G252" s="79"/>
      <c r="H252" s="20" t="s">
        <v>355</v>
      </c>
      <c r="I252" s="20" t="str">
        <f t="shared" si="15"/>
        <v>NTS RJ 3</v>
      </c>
      <c r="J252" s="11">
        <f t="shared" ca="1" si="16"/>
        <v>0</v>
      </c>
      <c r="K252" s="11">
        <f t="shared" ca="1" si="17"/>
        <v>2.5381604341777604</v>
      </c>
      <c r="L252" s="11">
        <f t="shared" ca="1" si="20"/>
        <v>2.5381604341777604</v>
      </c>
      <c r="M252" s="198">
        <f t="shared" ca="1" si="18"/>
        <v>51746032.746718988</v>
      </c>
    </row>
    <row r="253" spans="1:22" ht="18" x14ac:dyDescent="0.25">
      <c r="A253" s="20" t="s">
        <v>356</v>
      </c>
      <c r="B253" s="20" t="str">
        <f t="shared" si="12"/>
        <v>PR-GUARAREMA (INTERCONEXÃO)</v>
      </c>
      <c r="C253" s="11" t="str">
        <f t="shared" si="13"/>
        <v xml:space="preserve"> </v>
      </c>
      <c r="D253" s="11"/>
      <c r="E253" s="83">
        <f ca="1">E269</f>
        <v>0.2847045394848387</v>
      </c>
      <c r="F253" s="199"/>
      <c r="G253" s="79"/>
      <c r="H253" s="20" t="s">
        <v>357</v>
      </c>
      <c r="I253" s="20" t="str">
        <f t="shared" si="15"/>
        <v>NTS RJ 4</v>
      </c>
      <c r="J253" s="11">
        <f t="shared" ca="1" si="16"/>
        <v>0</v>
      </c>
      <c r="K253" s="11">
        <f t="shared" ca="1" si="17"/>
        <v>2.5381604341777604</v>
      </c>
      <c r="L253" s="11">
        <f t="shared" ca="1" si="20"/>
        <v>2.5381604341777604</v>
      </c>
      <c r="M253" s="198">
        <f t="shared" ca="1" si="18"/>
        <v>9507215.0764729101</v>
      </c>
    </row>
    <row r="254" spans="1:22" ht="18" x14ac:dyDescent="0.25">
      <c r="A254" s="20" t="s">
        <v>358</v>
      </c>
      <c r="B254" s="20" t="str">
        <f t="shared" si="12"/>
        <v>PR-REPLAN (INTERCONEXÃO)</v>
      </c>
      <c r="C254" s="11" t="str">
        <f t="shared" si="13"/>
        <v xml:space="preserve"> </v>
      </c>
      <c r="D254" s="11"/>
      <c r="E254" s="83">
        <f ca="1">E268</f>
        <v>0.2847045394848387</v>
      </c>
      <c r="F254" s="200">
        <f ca="1">SUM(F246:F252)</f>
        <v>1407198132.0397708</v>
      </c>
      <c r="G254" s="79"/>
      <c r="H254" s="20" t="s">
        <v>359</v>
      </c>
      <c r="I254" s="20" t="str">
        <f t="shared" si="15"/>
        <v>NTS RJ 5</v>
      </c>
      <c r="J254" s="11">
        <f t="shared" ca="1" si="16"/>
        <v>0</v>
      </c>
      <c r="K254" s="11">
        <f t="shared" ca="1" si="17"/>
        <v>2.5381604341777604</v>
      </c>
      <c r="L254" s="11">
        <f t="shared" ca="1" si="20"/>
        <v>2.5381604341777604</v>
      </c>
      <c r="M254" s="198">
        <f t="shared" ca="1" si="18"/>
        <v>24052225.025297325</v>
      </c>
    </row>
    <row r="255" spans="1:22" ht="18" x14ac:dyDescent="0.25">
      <c r="A255" s="20" t="s">
        <v>360</v>
      </c>
      <c r="B255" s="20" t="str">
        <f t="shared" si="12"/>
        <v>PR-TECAB (INTERCONEXÃO)</v>
      </c>
      <c r="C255" s="11" t="str">
        <f t="shared" si="13"/>
        <v xml:space="preserve"> </v>
      </c>
      <c r="D255" s="11"/>
      <c r="E255" s="83">
        <f ca="1">E270</f>
        <v>0.2847045394848387</v>
      </c>
      <c r="G255" s="79"/>
      <c r="H255" s="20" t="s">
        <v>361</v>
      </c>
      <c r="I255" s="20" t="str">
        <f t="shared" si="15"/>
        <v>NTS SP 1</v>
      </c>
      <c r="J255" s="11">
        <f t="shared" ca="1" si="16"/>
        <v>0</v>
      </c>
      <c r="K255" s="11">
        <f t="shared" ca="1" si="17"/>
        <v>2.5381604341777604</v>
      </c>
      <c r="L255" s="11">
        <f t="shared" ca="1" si="20"/>
        <v>2.5381604341777604</v>
      </c>
      <c r="M255" s="198">
        <f t="shared" ca="1" si="18"/>
        <v>34371295.575417683</v>
      </c>
    </row>
    <row r="256" spans="1:22" ht="18" x14ac:dyDescent="0.25">
      <c r="F256" s="87"/>
      <c r="H256" s="20" t="s">
        <v>362</v>
      </c>
      <c r="I256" s="20" t="str">
        <f t="shared" si="15"/>
        <v>NTS SP 2</v>
      </c>
      <c r="J256" s="11">
        <f t="shared" ca="1" si="16"/>
        <v>0</v>
      </c>
      <c r="K256" s="11">
        <f t="shared" ca="1" si="17"/>
        <v>2.5381604341777604</v>
      </c>
      <c r="L256" s="11">
        <f t="shared" ca="1" si="20"/>
        <v>2.5381604341777604</v>
      </c>
      <c r="M256" s="198">
        <f t="shared" ca="1" si="18"/>
        <v>85024391.632477477</v>
      </c>
    </row>
    <row r="257" spans="1:13" ht="18" x14ac:dyDescent="0.25">
      <c r="H257" s="20" t="s">
        <v>363</v>
      </c>
      <c r="I257" s="20" t="str">
        <f t="shared" si="15"/>
        <v>NTS SP 3</v>
      </c>
      <c r="J257" s="11">
        <f t="shared" ca="1" si="16"/>
        <v>0</v>
      </c>
      <c r="K257" s="11">
        <f t="shared" ca="1" si="17"/>
        <v>2.5381604341777604</v>
      </c>
      <c r="L257" s="11">
        <f t="shared" ca="1" si="20"/>
        <v>2.5381604341777604</v>
      </c>
      <c r="M257" s="198">
        <f t="shared" ca="1" si="18"/>
        <v>34847004.822315365</v>
      </c>
    </row>
    <row r="258" spans="1:13" ht="18" x14ac:dyDescent="0.25">
      <c r="H258" s="20" t="s">
        <v>364</v>
      </c>
      <c r="I258" s="20" t="str">
        <f t="shared" si="15"/>
        <v>NTS SP 4</v>
      </c>
      <c r="J258" s="11">
        <f t="shared" ca="1" si="16"/>
        <v>0</v>
      </c>
      <c r="K258" s="11">
        <f t="shared" ca="1" si="17"/>
        <v>2.5381604341777604</v>
      </c>
      <c r="L258" s="11">
        <f t="shared" ca="1" si="20"/>
        <v>2.5381604341777604</v>
      </c>
      <c r="M258" s="198">
        <f t="shared" ca="1" si="18"/>
        <v>45549590.550274432</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0.21165180318563567</v>
      </c>
      <c r="M260" s="200">
        <f ca="1">SUM(M246:M258)</f>
        <v>598771355.59228826</v>
      </c>
    </row>
    <row r="261" spans="1:13" ht="18" x14ac:dyDescent="0.25">
      <c r="H261" s="20" t="s">
        <v>367</v>
      </c>
      <c r="I261" s="20" t="str">
        <f t="shared" si="15"/>
        <v>PE-TECAB (INTERCONEXÃO)</v>
      </c>
      <c r="J261" s="11" t="str">
        <f t="shared" si="16"/>
        <v xml:space="preserve"> </v>
      </c>
      <c r="K261" s="11"/>
      <c r="L261" s="83">
        <f ca="1">E273</f>
        <v>0.21165180318563567</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(BRA)'!C11</f>
        <v>200</v>
      </c>
      <c r="D268" s="207">
        <f ca="1">'CWD 2026 BRA (sem desc.)'!D267</f>
        <v>2.8470453948483878</v>
      </c>
      <c r="E268" s="210">
        <f ca="1">D268*(1-$C$263)</f>
        <v>0.2847045394848387</v>
      </c>
      <c r="F268" s="208">
        <f ca="1">C268*E268*'Premissas (BRA)'!$C$35*'Premissas (BRA)'!$F$20*1000</f>
        <v>775267.2776602495</v>
      </c>
      <c r="L268" s="84"/>
    </row>
    <row r="269" spans="1:13" ht="18.75" x14ac:dyDescent="0.3">
      <c r="B269" s="189" t="s">
        <v>376</v>
      </c>
      <c r="C269" s="213">
        <f>'Oferta (BRA)'!C10</f>
        <v>3398.2010229822185</v>
      </c>
      <c r="D269" s="207">
        <f ca="1">'CWD 2026 BRA (sem desc.)'!D268</f>
        <v>2.8470453948483878</v>
      </c>
      <c r="E269" s="210">
        <f t="shared" ref="E269:E271" ca="1" si="21">D269*(1-$C$263)</f>
        <v>0.2847045394848387</v>
      </c>
      <c r="F269" s="208">
        <f ca="1">C269*E269*'Premissas (BRA)'!$C$35*'Premissas (BRA)'!$F$20*1000</f>
        <v>13172570.280148499</v>
      </c>
      <c r="G269" s="85"/>
      <c r="K269" s="85"/>
      <c r="L269" s="84"/>
    </row>
    <row r="270" spans="1:13" ht="18.75" x14ac:dyDescent="0.3">
      <c r="B270" s="190" t="s">
        <v>377</v>
      </c>
      <c r="C270" s="213">
        <f>'Oferta (BRA)'!C12</f>
        <v>200</v>
      </c>
      <c r="D270" s="207">
        <f ca="1">'CWD 2026 BRA (sem desc.)'!D269</f>
        <v>2.8470453948483878</v>
      </c>
      <c r="E270" s="210">
        <f t="shared" ca="1" si="21"/>
        <v>0.2847045394848387</v>
      </c>
      <c r="F270" s="208">
        <f ca="1">C270*E270*'Premissas (BRA)'!$C$35*'Premissas (BRA)'!$F$20*1000</f>
        <v>775267.2776602495</v>
      </c>
      <c r="K270" s="85"/>
      <c r="L270" s="84"/>
    </row>
    <row r="271" spans="1:13" ht="18.75" x14ac:dyDescent="0.3">
      <c r="B271" s="190" t="s">
        <v>185</v>
      </c>
      <c r="C271" s="213">
        <f>'Oferta (BRA)'!C6</f>
        <v>258</v>
      </c>
      <c r="D271" s="207">
        <f ca="1">'CWD 2026 BRA (sem desc.)'!D270</f>
        <v>2.8470453948483878</v>
      </c>
      <c r="E271" s="210">
        <f t="shared" ca="1" si="21"/>
        <v>0.2847045394848387</v>
      </c>
      <c r="F271" s="208">
        <f ca="1">C271*E271*'Premissas (BRA)'!$C$35*'Premissas (BRA)'!$F$20*1000</f>
        <v>1000094.7881817219</v>
      </c>
      <c r="K271" s="85"/>
      <c r="L271" s="84"/>
    </row>
    <row r="272" spans="1:13" ht="18.75" x14ac:dyDescent="0.3">
      <c r="B272" s="188" t="s">
        <v>378</v>
      </c>
      <c r="C272" s="213">
        <f>'Demanda (BRA)'!C17</f>
        <v>3635.2588149970047</v>
      </c>
      <c r="D272" s="207">
        <f ca="1">'CWD 2026 BRA (sem desc.)'!D271</f>
        <v>2.1165180318563572</v>
      </c>
      <c r="E272" s="210">
        <f ca="1">D272*(1-$C$263)</f>
        <v>0.21165180318563567</v>
      </c>
      <c r="F272" s="208">
        <f ca="1">C272*E272*'Premissas (BRA)'!$C$35*'Premissas (BRA)'!$F$20*1000</f>
        <v>10475731.901752274</v>
      </c>
      <c r="K272" s="85"/>
      <c r="L272" s="84"/>
    </row>
    <row r="273" spans="2:13" ht="18.75" x14ac:dyDescent="0.3">
      <c r="B273" s="190" t="s">
        <v>379</v>
      </c>
      <c r="C273" s="213">
        <f>'Demanda (BRA)'!C18</f>
        <v>200</v>
      </c>
      <c r="D273" s="207">
        <f ca="1">'CWD 2026 BRA (sem desc.)'!D272</f>
        <v>2.1165180318563572</v>
      </c>
      <c r="E273" s="210">
        <f ca="1">D273*(1-$C$263)</f>
        <v>0.21165180318563567</v>
      </c>
      <c r="F273" s="208">
        <f ca="1">C273*E273*'Premissas (BRA)'!$C$35*'Premissas (BRA)'!$F$20*1000</f>
        <v>576340.36171154468</v>
      </c>
      <c r="K273" s="85"/>
      <c r="L273" s="84"/>
    </row>
    <row r="274" spans="2:13" ht="19.5" thickBot="1" x14ac:dyDescent="0.35">
      <c r="B274" s="190"/>
      <c r="C274" s="211"/>
      <c r="D274" s="211"/>
      <c r="E274" s="211"/>
      <c r="F274" s="209">
        <f ca="1">SUM(F268:F273)</f>
        <v>26775271.887114536</v>
      </c>
      <c r="K274" s="85"/>
      <c r="L274" s="84"/>
    </row>
    <row r="275" spans="2:13" ht="15.75" thickTop="1" x14ac:dyDescent="0.25">
      <c r="K275" s="85"/>
      <c r="L275" s="84"/>
    </row>
    <row r="276" spans="2:13" x14ac:dyDescent="0.25">
      <c r="E276" t="s">
        <v>102</v>
      </c>
      <c r="F276" s="177">
        <f ca="1">F254+M260+F274</f>
        <v>2032744759.5191736</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60B6-7B1F-4209-8D77-8B54CFA0301F}">
  <sheetPr codeName="Planilha33">
    <tabColor theme="5"/>
  </sheetPr>
  <dimension ref="A1:V39"/>
  <sheetViews>
    <sheetView showGridLines="0" zoomScale="110" zoomScaleNormal="110" workbookViewId="0">
      <selection activeCell="E9" sqref="E9"/>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24.85546875" style="30" bestFit="1" customWidth="1"/>
    <col min="8" max="8" width="10.85546875" style="30"/>
    <col min="9" max="9" width="17.140625" style="30" customWidth="1"/>
    <col min="10"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2026 BRA (com desc.)'!A246</f>
        <v>TEN1</v>
      </c>
      <c r="B2" s="261" t="str">
        <f>'CWD 2026 BRA (com desc.)'!B246</f>
        <v>PR-CARAGUATATUBA</v>
      </c>
      <c r="C2" s="262">
        <f>'CWD 2026 BRA (sem desc.)'!G24</f>
        <v>151427532.0717288</v>
      </c>
      <c r="D2" s="263">
        <f ca="1">'CWD 2026 BRA (com desc.)'!E246</f>
        <v>3.1653557072215888</v>
      </c>
      <c r="E2" s="264">
        <f t="shared" ref="E2:E11" ca="1" si="0">IFERROR(C2*D2," ")</f>
        <v>479322002.8737269</v>
      </c>
      <c r="F2" s="310"/>
      <c r="G2" s="311"/>
      <c r="L2" s="39" t="s">
        <v>53</v>
      </c>
      <c r="M2" s="38">
        <f ca="1">IFERROR($D$2+$C34," ")</f>
        <v>5.7035161413993496</v>
      </c>
      <c r="N2" s="38">
        <f ca="1">IFERROR($D$3+$C34," ")</f>
        <v>5.7035161413993496</v>
      </c>
      <c r="O2" s="38">
        <f ca="1">IFERROR($D$4+$C34," ")</f>
        <v>5.7035161413993496</v>
      </c>
      <c r="P2" s="38">
        <f ca="1">IFERROR($D$5+$C34," ")</f>
        <v>2.822864973662599</v>
      </c>
      <c r="Q2" s="38" t="str">
        <f ca="1">IFERROR($D$6+$C34," ")</f>
        <v xml:space="preserve"> </v>
      </c>
      <c r="R2" s="38" t="str">
        <f ca="1">IFERROR($D$7+$C34," ")</f>
        <v xml:space="preserve"> </v>
      </c>
      <c r="S2" s="38">
        <f ca="1">IFERROR($D$8+$C34," ")</f>
        <v>5.7035161413993496</v>
      </c>
      <c r="T2" s="38">
        <f ca="1">IFERROR($D$9+$C34," ")</f>
        <v>2.822864973662599</v>
      </c>
      <c r="U2" s="38">
        <f ca="1">IFERROR($D$10+$C34," ")</f>
        <v>2.822864973662599</v>
      </c>
      <c r="V2" s="38">
        <f ca="1">IFERROR($D$11+$C34," ")</f>
        <v>2.822864973662599</v>
      </c>
    </row>
    <row r="3" spans="1:22" s="33" customFormat="1" x14ac:dyDescent="0.25">
      <c r="A3" s="233" t="str">
        <f>'CWD 2026 BRA (com desc.)'!A247</f>
        <v>TEN2</v>
      </c>
      <c r="B3" s="236" t="str">
        <f>'CWD 2026 BRA (com desc.)'!B247</f>
        <v>PR-GNLBGB</v>
      </c>
      <c r="C3" s="237">
        <f>'CWD 2026 BRA (sem desc.)'!G25</f>
        <v>2723059.0670000003</v>
      </c>
      <c r="D3" s="238">
        <f ca="1">'CWD 2026 BRA (com desc.)'!E247</f>
        <v>3.1653557072215888</v>
      </c>
      <c r="E3" s="239">
        <f t="shared" ca="1" si="0"/>
        <v>8619450.5588299464</v>
      </c>
      <c r="F3" s="310"/>
      <c r="G3" s="311"/>
      <c r="L3" s="39" t="s">
        <v>64</v>
      </c>
      <c r="M3" s="38">
        <f t="shared" ref="M3:M7" ca="1" si="1">IFERROR($D$2+$C35," ")</f>
        <v>5.7035161413993496</v>
      </c>
      <c r="N3" s="38">
        <f t="shared" ref="N3:N7" ca="1" si="2">IFERROR($D$3+$C35," ")</f>
        <v>5.7035161413993496</v>
      </c>
      <c r="O3" s="38">
        <f t="shared" ref="O3:O7" ca="1" si="3">IFERROR($D$4+$C35," ")</f>
        <v>5.7035161413993496</v>
      </c>
      <c r="P3" s="38">
        <f t="shared" ref="P3:P7" ca="1" si="4">IFERROR($D$5+$C35," ")</f>
        <v>2.822864973662599</v>
      </c>
      <c r="Q3" s="38" t="str">
        <f t="shared" ref="Q3:Q7" ca="1" si="5">IFERROR($D$6+$C35," ")</f>
        <v xml:space="preserve"> </v>
      </c>
      <c r="R3" s="38" t="str">
        <f t="shared" ref="R3:R7" ca="1" si="6">IFERROR($D$7+$C35," ")</f>
        <v xml:space="preserve"> </v>
      </c>
      <c r="S3" s="38">
        <f t="shared" ref="S3:S7" ca="1" si="7">IFERROR($D$8+$C35," ")</f>
        <v>5.7035161413993496</v>
      </c>
      <c r="T3" s="38">
        <f t="shared" ref="T3:T7" ca="1" si="8">IFERROR($D$9+$C35," ")</f>
        <v>2.822864973662599</v>
      </c>
      <c r="U3" s="38">
        <f t="shared" ref="U3:U7" ca="1" si="9">IFERROR($D$10+$C35," ")</f>
        <v>2.822864973662599</v>
      </c>
      <c r="V3" s="38">
        <f t="shared" ref="V3:V7" ca="1" si="10">IFERROR($D$11+$C35," ")</f>
        <v>2.822864973662599</v>
      </c>
    </row>
    <row r="4" spans="1:22" x14ac:dyDescent="0.25">
      <c r="A4" s="233" t="str">
        <f>'CWD 2026 BRA (com desc.)'!A248</f>
        <v>TEN3</v>
      </c>
      <c r="B4" s="236" t="str">
        <f>'CWD 2026 BRA (com desc.)'!B248</f>
        <v>PR-ITABORAÍ</v>
      </c>
      <c r="C4" s="237">
        <f>'CWD 2026 BRA (sem desc.)'!G26</f>
        <v>184677865.92394</v>
      </c>
      <c r="D4" s="238">
        <f ca="1">'CWD 2026 BRA (com desc.)'!E248</f>
        <v>3.1653557072215888</v>
      </c>
      <c r="E4" s="237">
        <f t="shared" ca="1" si="0"/>
        <v>584571136.89984691</v>
      </c>
      <c r="F4" s="310"/>
      <c r="G4" s="311"/>
      <c r="I4" s="298"/>
      <c r="L4" s="39" t="s">
        <v>193</v>
      </c>
      <c r="M4" s="38">
        <f t="shared" ca="1" si="1"/>
        <v>5.7035161413993496</v>
      </c>
      <c r="N4" s="38">
        <f t="shared" ca="1" si="2"/>
        <v>5.7035161413993496</v>
      </c>
      <c r="O4" s="38">
        <f t="shared" ca="1" si="3"/>
        <v>5.7035161413993496</v>
      </c>
      <c r="P4" s="38">
        <f t="shared" ca="1" si="4"/>
        <v>2.822864973662599</v>
      </c>
      <c r="Q4" s="38" t="str">
        <f t="shared" ca="1" si="5"/>
        <v xml:space="preserve"> </v>
      </c>
      <c r="R4" s="38" t="str">
        <f t="shared" ca="1" si="6"/>
        <v xml:space="preserve"> </v>
      </c>
      <c r="S4" s="38">
        <f t="shared" ca="1" si="7"/>
        <v>5.7035161413993496</v>
      </c>
      <c r="T4" s="38">
        <f t="shared" ca="1" si="8"/>
        <v>2.822864973662599</v>
      </c>
      <c r="U4" s="38">
        <f t="shared" ca="1" si="9"/>
        <v>2.822864973662599</v>
      </c>
      <c r="V4" s="38">
        <f t="shared" ca="1" si="10"/>
        <v>2.822864973662599</v>
      </c>
    </row>
    <row r="5" spans="1:22" ht="24" x14ac:dyDescent="0.25">
      <c r="A5" s="233" t="str">
        <f>'CWD 2026 BRA (com desc.)'!A249</f>
        <v>TEN4</v>
      </c>
      <c r="B5" s="236" t="str">
        <f>'CWD 2026 BRA (com desc.)'!B249</f>
        <v>PR-GASPAJ (INTERCONEXÃO)</v>
      </c>
      <c r="C5" s="237">
        <f>'CWD 2026 BRA (sem desc.)'!G27</f>
        <v>3512746.19643</v>
      </c>
      <c r="D5" s="238">
        <f ca="1">'CWD 2026 BRA (com desc.)'!E249</f>
        <v>0.2847045394848387</v>
      </c>
      <c r="E5" s="237">
        <f t="shared" ca="1" si="0"/>
        <v>1000094.7881817219</v>
      </c>
      <c r="F5" s="310"/>
      <c r="G5" s="311"/>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2026 BRA (com desc.)'!A250</f>
        <v>TEN5</v>
      </c>
      <c r="B6" s="236" t="str">
        <f>'CWD 2026 BRA (com desc.)'!B250</f>
        <v>PR-REDUC</v>
      </c>
      <c r="C6" s="237">
        <f>'CWD 2026 BRA (sem desc.)'!G28</f>
        <v>0</v>
      </c>
      <c r="D6" s="238" t="str">
        <f>'CWD 2026 BRA (com desc.)'!E250</f>
        <v xml:space="preserve"> </v>
      </c>
      <c r="E6" s="237" t="str">
        <f t="shared" si="0"/>
        <v xml:space="preserve"> </v>
      </c>
      <c r="F6" s="310"/>
      <c r="G6" s="311"/>
      <c r="L6" s="88" t="str">
        <f t="shared" ref="L6:L7" si="11">B29</f>
        <v>PE-REPLAN (INTERCONEXÃO)</v>
      </c>
      <c r="M6" s="38">
        <f t="shared" ca="1" si="1"/>
        <v>3.3770075104072244</v>
      </c>
      <c r="N6" s="38">
        <f t="shared" ca="1" si="2"/>
        <v>3.3770075104072244</v>
      </c>
      <c r="O6" s="38">
        <f t="shared" ca="1" si="3"/>
        <v>3.3770075104072244</v>
      </c>
      <c r="P6" s="38">
        <f t="shared" ca="1" si="4"/>
        <v>0.49635634267047435</v>
      </c>
      <c r="Q6" s="38" t="str">
        <f t="shared" ca="1" si="5"/>
        <v xml:space="preserve"> </v>
      </c>
      <c r="R6" s="38" t="str">
        <f t="shared" ca="1" si="6"/>
        <v xml:space="preserve"> </v>
      </c>
      <c r="S6" s="38">
        <f t="shared" ca="1" si="7"/>
        <v>3.3770075104072244</v>
      </c>
      <c r="T6" s="38">
        <f t="shared" ca="1" si="8"/>
        <v>0.49635634267047435</v>
      </c>
      <c r="U6" s="38">
        <f t="shared" ca="1" si="9"/>
        <v>0.49635634267047435</v>
      </c>
      <c r="V6" s="38">
        <f t="shared" ca="1" si="10"/>
        <v>0.49635634267047435</v>
      </c>
    </row>
    <row r="7" spans="1:22" x14ac:dyDescent="0.25">
      <c r="A7" s="233" t="str">
        <f>'CWD 2026 BRA (com desc.)'!A251</f>
        <v>TEN6</v>
      </c>
      <c r="B7" s="236" t="str">
        <f>'CWD 2026 BRA (com desc.)'!B251</f>
        <v>PR-RPBC</v>
      </c>
      <c r="C7" s="237">
        <f>'CWD 2026 BRA (sem desc.)'!G29</f>
        <v>0</v>
      </c>
      <c r="D7" s="238" t="str">
        <f>'CWD 2026 BRA (com desc.)'!E251</f>
        <v xml:space="preserve"> </v>
      </c>
      <c r="E7" s="237" t="str">
        <f t="shared" si="0"/>
        <v xml:space="preserve"> </v>
      </c>
      <c r="F7" s="310"/>
      <c r="G7" s="311"/>
      <c r="L7" s="88" t="str">
        <f t="shared" si="11"/>
        <v>PE-TECAB (INTERCONEXÃO)</v>
      </c>
      <c r="M7" s="38">
        <f t="shared" ca="1" si="1"/>
        <v>3.3770075104072244</v>
      </c>
      <c r="N7" s="38">
        <f t="shared" ca="1" si="2"/>
        <v>3.3770075104072244</v>
      </c>
      <c r="O7" s="38">
        <f t="shared" ca="1" si="3"/>
        <v>3.3770075104072244</v>
      </c>
      <c r="P7" s="38">
        <f t="shared" ca="1" si="4"/>
        <v>0.4963563426704744</v>
      </c>
      <c r="Q7" s="38" t="str">
        <f t="shared" ca="1" si="5"/>
        <v xml:space="preserve"> </v>
      </c>
      <c r="R7" s="38" t="str">
        <f t="shared" ca="1" si="6"/>
        <v xml:space="preserve"> </v>
      </c>
      <c r="S7" s="38">
        <f t="shared" ca="1" si="7"/>
        <v>3.3770075104072244</v>
      </c>
      <c r="T7" s="38">
        <f t="shared" ca="1" si="8"/>
        <v>0.4963563426704744</v>
      </c>
      <c r="U7" s="38">
        <f t="shared" ca="1" si="9"/>
        <v>0.4963563426704744</v>
      </c>
      <c r="V7" s="38">
        <f t="shared" ca="1" si="10"/>
        <v>0.4963563426704744</v>
      </c>
    </row>
    <row r="8" spans="1:22" x14ac:dyDescent="0.25">
      <c r="A8" s="233" t="str">
        <f>'CWD 2026 BRA (com desc.)'!A252</f>
        <v>TEN7</v>
      </c>
      <c r="B8" s="236" t="str">
        <f>'CWD 2026 BRA (com desc.)'!B252</f>
        <v>PR-TECAB</v>
      </c>
      <c r="C8" s="237">
        <f>'CWD 2026 BRA (sem desc.)'!G30</f>
        <v>105733943.56400453</v>
      </c>
      <c r="D8" s="238">
        <f ca="1">'CWD 2026 BRA (com desc.)'!E252</f>
        <v>3.1653557072215888</v>
      </c>
      <c r="E8" s="237">
        <f t="shared" ca="1" si="0"/>
        <v>334685541.70736712</v>
      </c>
      <c r="F8" s="310"/>
      <c r="G8" s="311"/>
      <c r="L8" s="32"/>
    </row>
    <row r="9" spans="1:22" x14ac:dyDescent="0.25">
      <c r="A9" s="233" t="str">
        <f>'CWD 2026 BRA (com desc.)'!A253</f>
        <v>TEN8</v>
      </c>
      <c r="B9" s="236" t="str">
        <f>'CWD 2026 BRA (com desc.)'!B253</f>
        <v>PR-GUARAREMA (INTERCONEXÃO)</v>
      </c>
      <c r="C9" s="237">
        <f>'CWD 2026 BRA (sem desc.)'!G31</f>
        <v>46267510.535602026</v>
      </c>
      <c r="D9" s="238">
        <f ca="1">'CWD 2026 BRA (com desc.)'!E253</f>
        <v>0.2847045394848387</v>
      </c>
      <c r="E9" s="237">
        <f t="shared" ca="1" si="0"/>
        <v>13172570.280148497</v>
      </c>
      <c r="F9" s="310"/>
      <c r="G9" s="311"/>
      <c r="L9" s="32"/>
    </row>
    <row r="10" spans="1:22" x14ac:dyDescent="0.25">
      <c r="A10" s="233" t="str">
        <f>'CWD 2026 BRA (com desc.)'!A254</f>
        <v>TEN9</v>
      </c>
      <c r="B10" s="236" t="str">
        <f>'CWD 2026 BRA (com desc.)'!B254</f>
        <v>PR-REPLAN (INTERCONEXÃO)</v>
      </c>
      <c r="C10" s="237">
        <f>'CWD 2026 BRA (sem desc.)'!G32</f>
        <v>2723059.0670000003</v>
      </c>
      <c r="D10" s="238">
        <f ca="1">'CWD 2026 BRA (com desc.)'!E254</f>
        <v>0.2847045394848387</v>
      </c>
      <c r="E10" s="237">
        <f t="shared" ca="1" si="0"/>
        <v>775267.27766024962</v>
      </c>
      <c r="F10" s="310"/>
      <c r="G10" s="311"/>
      <c r="L10" s="32"/>
    </row>
    <row r="11" spans="1:22" x14ac:dyDescent="0.25">
      <c r="A11" s="233" t="str">
        <f>'CWD 2026 BRA (com desc.)'!A255</f>
        <v>TEN10</v>
      </c>
      <c r="B11" s="236" t="str">
        <f>'CWD 2026 BRA (com desc.)'!B255</f>
        <v>PR-TECAB (INTERCONEXÃO)</v>
      </c>
      <c r="C11" s="237">
        <f>'CWD 2026 BRA (sem desc.)'!G33</f>
        <v>2723059.0670000003</v>
      </c>
      <c r="D11" s="238">
        <f ca="1">'CWD 2026 BRA (com desc.)'!E255</f>
        <v>0.2847045394848387</v>
      </c>
      <c r="E11" s="237">
        <f t="shared" ca="1" si="0"/>
        <v>775267.27766024962</v>
      </c>
      <c r="F11" s="310"/>
      <c r="G11" s="311"/>
      <c r="L11" s="32"/>
    </row>
    <row r="12" spans="1:22" x14ac:dyDescent="0.25">
      <c r="E12" s="36">
        <f ca="1">SUM(E2:E11)</f>
        <v>1422921331.6634214</v>
      </c>
      <c r="F12" s="310"/>
      <c r="G12" s="311"/>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2026 BRA (com desc.)'!H246</f>
        <v>TEX1</v>
      </c>
      <c r="B15" s="237" t="str">
        <f>'CWD 2026 BRA (com desc.)'!I246</f>
        <v>NTS MG 1</v>
      </c>
      <c r="C15" s="237">
        <f>'CWD 2026 BRA (sem desc.)'!G41</f>
        <v>1143131.2713643934</v>
      </c>
      <c r="D15" s="237"/>
      <c r="E15" s="240">
        <f ca="1">'CWD 2026 BRA (com desc.)'!L246</f>
        <v>2.5381604341777604</v>
      </c>
      <c r="F15" s="246">
        <f ca="1">IFERROR(C15*E15," ")</f>
        <v>2901450.5640484239</v>
      </c>
      <c r="G15" s="249"/>
      <c r="H15" s="255" t="str">
        <f>IFERROR(G15/D15," ")</f>
        <v xml:space="preserve"> </v>
      </c>
      <c r="I15" s="310"/>
      <c r="J15" s="37"/>
      <c r="L15" s="30"/>
    </row>
    <row r="16" spans="1:22" x14ac:dyDescent="0.25">
      <c r="A16" s="237" t="str">
        <f>'CWD 2026 BRA (com desc.)'!H247</f>
        <v>TEX2</v>
      </c>
      <c r="B16" s="237" t="str">
        <f>'CWD 2026 BRA (com desc.)'!I247</f>
        <v>NTS MG 2</v>
      </c>
      <c r="C16" s="237">
        <f>'CWD 2026 BRA (sem desc.)'!G42</f>
        <v>18497674.607759055</v>
      </c>
      <c r="D16" s="237"/>
      <c r="E16" s="240">
        <f ca="1">'CWD 2026 BRA (com desc.)'!L247</f>
        <v>2.5381604341777604</v>
      </c>
      <c r="F16" s="246">
        <f t="shared" ref="F16:F30" ca="1" si="12">IFERROR(C16*E16," ")</f>
        <v>46950065.813708656</v>
      </c>
      <c r="G16" s="258"/>
      <c r="H16" s="256" t="str">
        <f t="shared" ref="H16:H30" si="13">IFERROR(G16/D16," ")</f>
        <v xml:space="preserve"> </v>
      </c>
      <c r="I16" s="37"/>
      <c r="J16" s="37"/>
      <c r="L16" s="30"/>
    </row>
    <row r="17" spans="1:12" x14ac:dyDescent="0.25">
      <c r="A17" s="237" t="str">
        <f>'CWD 2026 BRA (com desc.)'!H248</f>
        <v>TEX3</v>
      </c>
      <c r="B17" s="237" t="str">
        <f>'CWD 2026 BRA (com desc.)'!I248</f>
        <v>NTS MG 3</v>
      </c>
      <c r="C17" s="237">
        <f>'CWD 2026 BRA (sem desc.)'!G43</f>
        <v>21664461.4795895</v>
      </c>
      <c r="D17" s="237"/>
      <c r="E17" s="240">
        <f ca="1">'CWD 2026 BRA (com desc.)'!L248</f>
        <v>2.5381604341777604</v>
      </c>
      <c r="F17" s="246">
        <f ca="1">IFERROR(C17*E17," ")</f>
        <v>54987878.955262251</v>
      </c>
      <c r="G17" s="251"/>
      <c r="H17" s="257" t="str">
        <f t="shared" si="13"/>
        <v xml:space="preserve"> </v>
      </c>
      <c r="I17" s="37"/>
      <c r="J17" s="37"/>
      <c r="L17" s="30"/>
    </row>
    <row r="18" spans="1:12" x14ac:dyDescent="0.25">
      <c r="A18" s="242" t="str">
        <f>'CWD 2026 BRA (com desc.)'!H249</f>
        <v>TEX4</v>
      </c>
      <c r="B18" s="242" t="str">
        <f>'CWD 2026 BRA (com desc.)'!I249</f>
        <v>NTS MG 4</v>
      </c>
      <c r="C18" s="242">
        <f>'CWD 2026 BRA (sem desc.)'!G44</f>
        <v>3511458.0641919076</v>
      </c>
      <c r="D18" s="242">
        <f>SUM(C15:C18)</f>
        <v>44816725.422904857</v>
      </c>
      <c r="E18" s="243">
        <f ca="1">'CWD 2026 BRA (com desc.)'!L249</f>
        <v>2.5381604341777604</v>
      </c>
      <c r="F18" s="242">
        <f ca="1">IFERROR(C18*E18," ")</f>
        <v>8912643.9248063304</v>
      </c>
      <c r="G18" s="254">
        <f ca="1">SUM(F15:F18)</f>
        <v>113752039.25782566</v>
      </c>
      <c r="H18" s="252">
        <f t="shared" ca="1" si="13"/>
        <v>2.5381604341777604</v>
      </c>
      <c r="I18" s="298"/>
      <c r="J18" s="10"/>
      <c r="L18" s="298"/>
    </row>
    <row r="19" spans="1:12" x14ac:dyDescent="0.25">
      <c r="A19" s="237" t="str">
        <f>'CWD 2026 BRA (com desc.)'!H250</f>
        <v>TEX5</v>
      </c>
      <c r="B19" s="237" t="str">
        <f>'CWD 2026 BRA (com desc.)'!I250</f>
        <v>NTS RJ 1</v>
      </c>
      <c r="C19" s="237">
        <f>'CWD 2026 BRA (sem desc.)'!G45</f>
        <v>56008136.89657066</v>
      </c>
      <c r="D19" s="237"/>
      <c r="E19" s="240">
        <f ca="1">'CWD 2026 BRA (com desc.)'!L250</f>
        <v>2.5381604341777604</v>
      </c>
      <c r="F19" s="246">
        <f t="shared" ca="1" si="12"/>
        <v>142157637.06288722</v>
      </c>
      <c r="G19" s="249"/>
      <c r="H19" s="255" t="str">
        <f t="shared" si="13"/>
        <v xml:space="preserve"> </v>
      </c>
      <c r="I19"/>
      <c r="J19"/>
      <c r="L19" s="298"/>
    </row>
    <row r="20" spans="1:12" x14ac:dyDescent="0.25">
      <c r="A20" s="237" t="str">
        <f>'CWD 2026 BRA (com desc.)'!H251</f>
        <v>TEX6</v>
      </c>
      <c r="B20" s="237" t="str">
        <f>'CWD 2026 BRA (com desc.)'!I251</f>
        <v>NTS RJ 2</v>
      </c>
      <c r="C20" s="237">
        <f>'CWD 2026 BRA (sem desc.)'!G46</f>
        <v>22758184.654042114</v>
      </c>
      <c r="D20" s="237"/>
      <c r="E20" s="240">
        <f ca="1">'CWD 2026 BRA (com desc.)'!L251</f>
        <v>2.5381604341777604</v>
      </c>
      <c r="F20" s="246">
        <f t="shared" ca="1" si="12"/>
        <v>57763923.842601173</v>
      </c>
      <c r="G20" s="250"/>
      <c r="H20" s="256" t="str">
        <f t="shared" si="13"/>
        <v xml:space="preserve"> </v>
      </c>
      <c r="I20"/>
      <c r="J20"/>
      <c r="L20" s="298"/>
    </row>
    <row r="21" spans="1:12" x14ac:dyDescent="0.25">
      <c r="A21" s="237" t="str">
        <f>'CWD 2026 BRA (com desc.)'!H252</f>
        <v>TEX7</v>
      </c>
      <c r="B21" s="237" t="str">
        <f>'CWD 2026 BRA (com desc.)'!I252</f>
        <v>NTS RJ 3</v>
      </c>
      <c r="C21" s="237">
        <f>'CWD 2026 BRA (sem desc.)'!G47</f>
        <v>20387219.046491113</v>
      </c>
      <c r="D21" s="245"/>
      <c r="E21" s="240">
        <f ca="1">'CWD 2026 BRA (com desc.)'!L252</f>
        <v>2.5381604341777604</v>
      </c>
      <c r="F21" s="246">
        <f t="shared" ca="1" si="12"/>
        <v>51746032.746718988</v>
      </c>
      <c r="G21" s="253"/>
      <c r="H21" s="256" t="str">
        <f t="shared" si="13"/>
        <v xml:space="preserve"> </v>
      </c>
      <c r="I21" s="272"/>
      <c r="J21"/>
      <c r="L21" s="298"/>
    </row>
    <row r="22" spans="1:12" x14ac:dyDescent="0.25">
      <c r="A22" s="237" t="str">
        <f>'CWD 2026 BRA (com desc.)'!H253</f>
        <v>TEX8</v>
      </c>
      <c r="B22" s="237" t="str">
        <f>'CWD 2026 BRA (com desc.)'!I253</f>
        <v>NTS RJ 4</v>
      </c>
      <c r="C22" s="237">
        <f>'CWD 2026 BRA (sem desc.)'!G48</f>
        <v>3745710.8496582415</v>
      </c>
      <c r="D22" s="237"/>
      <c r="E22" s="240">
        <f ca="1">'CWD 2026 BRA (com desc.)'!L253</f>
        <v>2.5381604341777604</v>
      </c>
      <c r="F22" s="246">
        <f t="shared" ca="1" si="12"/>
        <v>9507215.0764729101</v>
      </c>
      <c r="G22" s="251"/>
      <c r="H22" s="257" t="str">
        <f t="shared" si="13"/>
        <v xml:space="preserve"> </v>
      </c>
      <c r="I22" s="272"/>
      <c r="J22"/>
      <c r="L22" s="298"/>
    </row>
    <row r="23" spans="1:12" x14ac:dyDescent="0.25">
      <c r="A23" s="242" t="str">
        <f>'CWD 2026 BRA (com desc.)'!H254</f>
        <v>TEX9</v>
      </c>
      <c r="B23" s="242" t="str">
        <f>'CWD 2026 BRA (com desc.)'!I254</f>
        <v>NTS RJ 5</v>
      </c>
      <c r="C23" s="242">
        <f>'CWD 2026 BRA (sem desc.)'!G49</f>
        <v>9476242.9913493898</v>
      </c>
      <c r="D23" s="242">
        <f>SUM(C19:C23)</f>
        <v>112375494.43811151</v>
      </c>
      <c r="E23" s="243">
        <f ca="1">'CWD 2026 BRA (com desc.)'!L254</f>
        <v>2.5381604341777604</v>
      </c>
      <c r="F23" s="242">
        <f t="shared" ca="1" si="12"/>
        <v>24052225.025297325</v>
      </c>
      <c r="G23" s="254">
        <f ca="1">SUM(F19:F23)</f>
        <v>285227033.7539776</v>
      </c>
      <c r="H23" s="252">
        <f t="shared" ca="1" si="13"/>
        <v>2.5381604341777604</v>
      </c>
      <c r="I23" s="298"/>
      <c r="J23" s="10"/>
    </row>
    <row r="24" spans="1:12" x14ac:dyDescent="0.25">
      <c r="A24" s="237" t="str">
        <f>'CWD 2026 BRA (com desc.)'!H255</f>
        <v>TEX10</v>
      </c>
      <c r="B24" s="237" t="str">
        <f>'CWD 2026 BRA (com desc.)'!I255</f>
        <v>NTS SP 1</v>
      </c>
      <c r="C24" s="237">
        <f>'CWD 2026 BRA (sem desc.)'!G50</f>
        <v>13541813.635020396</v>
      </c>
      <c r="D24" s="237"/>
      <c r="E24" s="240">
        <f ca="1">'CWD 2026 BRA (com desc.)'!L255</f>
        <v>2.5381604341777604</v>
      </c>
      <c r="F24" s="246">
        <f t="shared" ca="1" si="12"/>
        <v>34371295.575417683</v>
      </c>
      <c r="G24" s="249"/>
      <c r="H24" s="255" t="str">
        <f t="shared" si="13"/>
        <v xml:space="preserve"> </v>
      </c>
      <c r="I24" s="272"/>
      <c r="J24" s="272"/>
    </row>
    <row r="25" spans="1:12" x14ac:dyDescent="0.25">
      <c r="A25" s="237" t="str">
        <f>'CWD 2026 BRA (com desc.)'!H256</f>
        <v>TEX11</v>
      </c>
      <c r="B25" s="237" t="str">
        <f>'CWD 2026 BRA (com desc.)'!I256</f>
        <v>NTS SP 2</v>
      </c>
      <c r="C25" s="237">
        <f>'CWD 2026 BRA (sem desc.)'!G51</f>
        <v>33498430.787737504</v>
      </c>
      <c r="D25" s="237"/>
      <c r="E25" s="240">
        <f ca="1">'CWD 2026 BRA (com desc.)'!L256</f>
        <v>2.5381604341777604</v>
      </c>
      <c r="F25" s="246">
        <f t="shared" ca="1" si="12"/>
        <v>85024391.632477477</v>
      </c>
      <c r="G25" s="250"/>
      <c r="H25" s="256" t="str">
        <f t="shared" si="13"/>
        <v xml:space="preserve"> </v>
      </c>
      <c r="I25" s="272"/>
      <c r="J25" s="272"/>
    </row>
    <row r="26" spans="1:12" x14ac:dyDescent="0.25">
      <c r="A26" s="237" t="str">
        <f>'CWD 2026 BRA (com desc.)'!H257</f>
        <v>TEX12</v>
      </c>
      <c r="B26" s="237" t="str">
        <f>'CWD 2026 BRA (com desc.)'!I257</f>
        <v>NTS SP 3</v>
      </c>
      <c r="C26" s="237">
        <f>'CWD 2026 BRA (sem desc.)'!G52</f>
        <v>13729236.478939947</v>
      </c>
      <c r="D26" s="245"/>
      <c r="E26" s="240">
        <f ca="1">'CWD 2026 BRA (com desc.)'!L257</f>
        <v>2.5381604341777604</v>
      </c>
      <c r="F26" s="246">
        <f t="shared" ca="1" si="12"/>
        <v>34847004.822315365</v>
      </c>
      <c r="G26" s="259"/>
      <c r="H26" s="257" t="str">
        <f t="shared" si="13"/>
        <v xml:space="preserve"> </v>
      </c>
      <c r="I26" s="272"/>
      <c r="J26" s="272"/>
    </row>
    <row r="27" spans="1:12" x14ac:dyDescent="0.25">
      <c r="A27" s="242" t="str">
        <f>'CWD 2026 BRA (com desc.)'!H258</f>
        <v>TEX13</v>
      </c>
      <c r="B27" s="242" t="str">
        <f>'CWD 2026 BRA (com desc.)'!I258</f>
        <v>NTS SP 4</v>
      </c>
      <c r="C27" s="242">
        <f>'CWD 2026 BRA (sem desc.)'!G53</f>
        <v>17945906.78229931</v>
      </c>
      <c r="D27" s="242">
        <f>SUM(C24:C27)</f>
        <v>78715387.683997154</v>
      </c>
      <c r="E27" s="243">
        <f ca="1">'CWD 2026 BRA (com desc.)'!L258</f>
        <v>2.5381604341777604</v>
      </c>
      <c r="F27" s="242">
        <f t="shared" ca="1" si="12"/>
        <v>45549590.550274432</v>
      </c>
      <c r="G27" s="247">
        <f ca="1">SUM(F24:F27)</f>
        <v>199792282.58048496</v>
      </c>
      <c r="H27" s="248">
        <f t="shared" ca="1" si="13"/>
        <v>2.5381604341777604</v>
      </c>
      <c r="I27" s="298"/>
      <c r="J27" s="10"/>
    </row>
    <row r="28" spans="1:12" x14ac:dyDescent="0.25">
      <c r="A28" s="237" t="str">
        <f>'CWD 2026 BRA (com desc.)'!H259</f>
        <v>TEX14</v>
      </c>
      <c r="B28" s="237" t="str">
        <f>'CWD 2026 BRA (com desc.)'!I259</f>
        <v>PE-GUARAREMA (INTERCONEXÃO)</v>
      </c>
      <c r="C28" s="237">
        <f>'CWD 2026 BRA (sem desc.)'!G54</f>
        <v>0</v>
      </c>
      <c r="D28" s="237">
        <f>C28</f>
        <v>0</v>
      </c>
      <c r="E28" s="240">
        <f>'CWD 2026 BRA (com desc.)'!L259</f>
        <v>0</v>
      </c>
      <c r="F28" s="237">
        <f t="shared" si="12"/>
        <v>0</v>
      </c>
      <c r="G28" s="237">
        <f>F28</f>
        <v>0</v>
      </c>
      <c r="H28" s="241" t="str">
        <f t="shared" si="13"/>
        <v xml:space="preserve"> </v>
      </c>
      <c r="I28" s="272"/>
      <c r="J28" s="272"/>
    </row>
    <row r="29" spans="1:12" x14ac:dyDescent="0.25">
      <c r="A29" s="242" t="str">
        <f>'CWD 2026 BRA (com desc.)'!H260</f>
        <v>TEX15</v>
      </c>
      <c r="B29" s="242" t="str">
        <f>'CWD 2026 BRA (com desc.)'!I260</f>
        <v>PE-REPLAN (INTERCONEXÃO)</v>
      </c>
      <c r="C29" s="242">
        <f>'CWD 2026 BRA (sem desc.)'!G55</f>
        <v>49495122.385346346</v>
      </c>
      <c r="D29" s="242">
        <f t="shared" ref="D29:D30" si="14">C29</f>
        <v>49495122.385346346</v>
      </c>
      <c r="E29" s="243">
        <f ca="1">'CWD 2026 BRA (com desc.)'!L260</f>
        <v>0.21165180318563567</v>
      </c>
      <c r="F29" s="242">
        <f t="shared" ca="1" si="12"/>
        <v>10475731.901752274</v>
      </c>
      <c r="G29" s="242">
        <f t="shared" ref="G29:G30" ca="1" si="15">F29</f>
        <v>10475731.901752274</v>
      </c>
      <c r="H29" s="244">
        <f t="shared" ca="1" si="13"/>
        <v>0.21165180318563565</v>
      </c>
      <c r="I29" s="298"/>
      <c r="J29" s="10"/>
    </row>
    <row r="30" spans="1:12" x14ac:dyDescent="0.25">
      <c r="A30" s="237" t="str">
        <f>'CWD 2026 BRA (com desc.)'!H261</f>
        <v>TEX16</v>
      </c>
      <c r="B30" s="237" t="str">
        <f>'CWD 2026 BRA (com desc.)'!I261</f>
        <v>PE-TECAB (INTERCONEXÃO)</v>
      </c>
      <c r="C30" s="237">
        <f>'CWD 2026 BRA (sem desc.)'!G56</f>
        <v>2723059.0670000003</v>
      </c>
      <c r="D30" s="237">
        <f t="shared" si="14"/>
        <v>2723059.0670000003</v>
      </c>
      <c r="E30" s="240">
        <f ca="1">'CWD 2026 BRA (com desc.)'!L261</f>
        <v>0.21165180318563567</v>
      </c>
      <c r="F30" s="237">
        <f t="shared" ca="1" si="12"/>
        <v>576340.3617115448</v>
      </c>
      <c r="G30" s="237">
        <f t="shared" ca="1" si="15"/>
        <v>576340.3617115448</v>
      </c>
      <c r="H30" s="241">
        <f t="shared" ca="1" si="13"/>
        <v>0.2116518031856357</v>
      </c>
      <c r="I30" s="298"/>
      <c r="J30" s="10"/>
    </row>
    <row r="31" spans="1:12" x14ac:dyDescent="0.25">
      <c r="A31" s="30" t="s">
        <v>178</v>
      </c>
      <c r="C31" s="36">
        <f>SUM(C15:C30)</f>
        <v>288125788.99735987</v>
      </c>
      <c r="D31" s="36">
        <f>SUM(D15:D30)</f>
        <v>288125788.99735981</v>
      </c>
      <c r="F31" s="36">
        <f ca="1">SUM(F15:F30)</f>
        <v>609823427.85575199</v>
      </c>
      <c r="G31" s="36">
        <f ca="1">SUM(G15:G30)</f>
        <v>609823427.85575199</v>
      </c>
      <c r="I31" s="298"/>
      <c r="J31" s="10"/>
    </row>
    <row r="32" spans="1:12" x14ac:dyDescent="0.25">
      <c r="C32" s="36"/>
      <c r="D32" s="36"/>
      <c r="F32" s="36"/>
      <c r="G32" s="36"/>
    </row>
    <row r="33" spans="2:3" x14ac:dyDescent="0.25">
      <c r="C33" s="34" t="s">
        <v>192</v>
      </c>
    </row>
    <row r="34" spans="2:3" x14ac:dyDescent="0.25">
      <c r="B34" s="39" t="s">
        <v>53</v>
      </c>
      <c r="C34" s="37">
        <f ca="1">H18</f>
        <v>2.5381604341777604</v>
      </c>
    </row>
    <row r="35" spans="2:3" x14ac:dyDescent="0.25">
      <c r="B35" s="39" t="s">
        <v>64</v>
      </c>
      <c r="C35" s="37">
        <f ca="1">H23</f>
        <v>2.5381604341777604</v>
      </c>
    </row>
    <row r="36" spans="2:3" x14ac:dyDescent="0.25">
      <c r="B36" s="39" t="s">
        <v>193</v>
      </c>
      <c r="C36" s="37">
        <f ca="1">H27</f>
        <v>2.5381604341777604</v>
      </c>
    </row>
    <row r="37" spans="2:3" x14ac:dyDescent="0.25">
      <c r="B37" s="88" t="s">
        <v>199</v>
      </c>
      <c r="C37" s="37" t="str">
        <f>H28</f>
        <v xml:space="preserve"> </v>
      </c>
    </row>
    <row r="38" spans="2:3" x14ac:dyDescent="0.25">
      <c r="B38" s="88" t="s">
        <v>198</v>
      </c>
      <c r="C38" s="37">
        <f t="shared" ref="C38:C39" ca="1" si="16">H29</f>
        <v>0.21165180318563565</v>
      </c>
    </row>
    <row r="39" spans="2:3" x14ac:dyDescent="0.25">
      <c r="B39" s="88" t="s">
        <v>197</v>
      </c>
      <c r="C39" s="37">
        <f t="shared" ca="1" si="16"/>
        <v>0.2116518031856357</v>
      </c>
    </row>
  </sheetData>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FED5-6623-43C8-9703-DEA26EB1D152}">
  <sheetPr codeName="Planilha11">
    <tabColor theme="1" tint="0.499984740745262"/>
  </sheetPr>
  <dimension ref="A2:AA302"/>
  <sheetViews>
    <sheetView showGridLines="0" topLeftCell="A241" zoomScale="70" zoomScaleNormal="70" workbookViewId="0">
      <selection activeCell="O285" sqref="O285"/>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101</v>
      </c>
    </row>
    <row r="3" spans="1:9" ht="15.75" thickBot="1" x14ac:dyDescent="0.3">
      <c r="G3" s="147">
        <v>2026</v>
      </c>
    </row>
    <row r="4" spans="1:9" ht="18.75" thickBot="1" x14ac:dyDescent="0.3">
      <c r="A4" s="162"/>
      <c r="B4" s="163" t="s">
        <v>102</v>
      </c>
      <c r="C4" s="164" t="s">
        <v>200</v>
      </c>
      <c r="D4" s="165">
        <f>'Premissas (Legados)'!D37/1000</f>
        <v>5217.0100810818731</v>
      </c>
      <c r="E4" s="166" t="s">
        <v>103</v>
      </c>
      <c r="F4" s="162"/>
      <c r="G4" s="162"/>
      <c r="H4" s="177"/>
      <c r="I4" s="177"/>
    </row>
    <row r="5" spans="1:9" ht="18" x14ac:dyDescent="0.25">
      <c r="A5" s="148">
        <f>HLOOKUP($G$3,'Premissas (Legados)'!$B$5:$F$13,9,FALSE)</f>
        <v>0.7</v>
      </c>
      <c r="B5" s="149" t="s">
        <v>104</v>
      </c>
      <c r="C5" s="150" t="s">
        <v>201</v>
      </c>
      <c r="D5" s="151">
        <f>$A$5*$D$4</f>
        <v>3651.9070567573108</v>
      </c>
      <c r="E5" s="152" t="s">
        <v>105</v>
      </c>
      <c r="F5" s="153"/>
      <c r="G5" s="153"/>
      <c r="H5" s="177"/>
    </row>
    <row r="6" spans="1:9" ht="30" x14ac:dyDescent="0.25">
      <c r="A6" s="48"/>
      <c r="B6" s="154" t="s">
        <v>106</v>
      </c>
      <c r="C6" s="155" t="s">
        <v>202</v>
      </c>
      <c r="D6" s="156">
        <f>$C$34*'Premissas (Legados)'!$B$20</f>
        <v>29819405</v>
      </c>
      <c r="E6" s="154" t="s">
        <v>107</v>
      </c>
      <c r="F6" s="172">
        <f>G34</f>
        <v>1112328782.9834948</v>
      </c>
      <c r="G6" s="40" t="s">
        <v>108</v>
      </c>
    </row>
    <row r="7" spans="1:9" ht="18.75" thickBot="1" x14ac:dyDescent="0.3">
      <c r="A7" s="157"/>
      <c r="B7" s="158" t="s">
        <v>109</v>
      </c>
      <c r="C7" s="159" t="s">
        <v>203</v>
      </c>
      <c r="D7" s="160">
        <f>$D$5/$D$6*1000</f>
        <v>0.12246746897724185</v>
      </c>
      <c r="E7" s="161" t="s">
        <v>110</v>
      </c>
      <c r="F7" s="174">
        <f>$D$5/$F$6*1000000</f>
        <v>3.2831183662820846</v>
      </c>
      <c r="G7" s="170" t="s">
        <v>15</v>
      </c>
      <c r="I7" s="177"/>
    </row>
    <row r="8" spans="1:9" ht="18" x14ac:dyDescent="0.25">
      <c r="A8" s="148">
        <f>1-A5</f>
        <v>0.30000000000000004</v>
      </c>
      <c r="B8" s="149" t="s">
        <v>111</v>
      </c>
      <c r="C8" s="150" t="s">
        <v>204</v>
      </c>
      <c r="D8" s="151">
        <f>$A$8*$D$4</f>
        <v>1565.1030243245621</v>
      </c>
      <c r="E8" s="152" t="s">
        <v>105</v>
      </c>
      <c r="F8" s="173"/>
      <c r="G8" s="171"/>
    </row>
    <row r="9" spans="1:9" ht="30" x14ac:dyDescent="0.25">
      <c r="B9" s="154" t="s">
        <v>112</v>
      </c>
      <c r="C9" s="155" t="s">
        <v>205</v>
      </c>
      <c r="D9" s="156">
        <f>$C$57*'Premissas (Legados)'!$B$20</f>
        <v>24399520</v>
      </c>
      <c r="E9" s="154" t="s">
        <v>107</v>
      </c>
      <c r="F9" s="172">
        <f>G57</f>
        <v>910155262.55408001</v>
      </c>
      <c r="G9" s="40" t="s">
        <v>108</v>
      </c>
    </row>
    <row r="10" spans="1:9" ht="18.75" thickBot="1" x14ac:dyDescent="0.3">
      <c r="A10" s="167"/>
      <c r="B10" s="158" t="s">
        <v>113</v>
      </c>
      <c r="C10" s="159" t="s">
        <v>206</v>
      </c>
      <c r="D10" s="160">
        <f>$D$8/$D$9*1000</f>
        <v>6.4144828436156209E-2</v>
      </c>
      <c r="E10" s="161" t="s">
        <v>110</v>
      </c>
      <c r="F10" s="174">
        <f>$D$8/$F$9*1000000</f>
        <v>1.7196000382754102</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69">
        <v>2026</v>
      </c>
      <c r="F21" s="377"/>
      <c r="G21" s="380">
        <v>2026</v>
      </c>
      <c r="H21" s="49"/>
    </row>
    <row r="22" spans="1:9" ht="15.95" customHeight="1" x14ac:dyDescent="0.25">
      <c r="A22" s="204"/>
      <c r="B22" s="204"/>
      <c r="C22" s="371" t="s">
        <v>180</v>
      </c>
      <c r="F22" s="377"/>
      <c r="G22" s="380" t="s">
        <v>181</v>
      </c>
      <c r="H22" s="49"/>
    </row>
    <row r="23" spans="1:9" ht="34.5" x14ac:dyDescent="0.25">
      <c r="A23" s="205" t="s">
        <v>123</v>
      </c>
      <c r="B23" s="205" t="s">
        <v>124</v>
      </c>
      <c r="C23" s="59" t="s">
        <v>211</v>
      </c>
      <c r="F23" s="378"/>
      <c r="G23" s="381" t="s">
        <v>213</v>
      </c>
      <c r="H23" s="49"/>
    </row>
    <row r="24" spans="1:9" x14ac:dyDescent="0.25">
      <c r="A24" s="2" t="s">
        <v>182</v>
      </c>
      <c r="B24" s="16" t="s">
        <v>28</v>
      </c>
      <c r="C24" s="231">
        <f>'Oferta (Legados)'!C3</f>
        <v>14956</v>
      </c>
      <c r="E24" s="60"/>
      <c r="F24" s="379"/>
      <c r="G24" s="15">
        <f>IFERROR($C24*$H$19*'Premissas (Legados)'!$B$20*1000," ")</f>
        <v>203630357.03025997</v>
      </c>
      <c r="H24" s="49"/>
    </row>
    <row r="25" spans="1:9" x14ac:dyDescent="0.25">
      <c r="A25" s="2" t="s">
        <v>125</v>
      </c>
      <c r="B25" s="16" t="s">
        <v>26</v>
      </c>
      <c r="C25" s="231">
        <f>'Oferta (Legados)'!C4</f>
        <v>20000</v>
      </c>
      <c r="E25" s="60"/>
      <c r="F25" s="379"/>
      <c r="G25" s="15">
        <f>IFERROR($C25*$H$19*'Premissas (Legados)'!$B$20*1000," ")</f>
        <v>272305906.69999999</v>
      </c>
      <c r="H25" s="49"/>
    </row>
    <row r="26" spans="1:9" x14ac:dyDescent="0.25">
      <c r="A26" s="2" t="s">
        <v>126</v>
      </c>
      <c r="B26" s="16" t="s">
        <v>411</v>
      </c>
      <c r="C26" s="231">
        <f>'Oferta (Legados)'!C5</f>
        <v>13564</v>
      </c>
      <c r="D26" s="18"/>
      <c r="E26" s="60"/>
      <c r="F26" s="379"/>
      <c r="G26" s="15">
        <f>IFERROR($C26*$H$19*'Premissas (Legados)'!$B$20*1000," ")</f>
        <v>184677865.92394</v>
      </c>
      <c r="H26" s="49"/>
    </row>
    <row r="27" spans="1:9" x14ac:dyDescent="0.25">
      <c r="A27" s="2" t="s">
        <v>127</v>
      </c>
      <c r="B27" s="16" t="s">
        <v>388</v>
      </c>
      <c r="C27" s="231">
        <f>'Oferta (Legados)'!C6</f>
        <v>383</v>
      </c>
      <c r="D27" s="18"/>
      <c r="E27" s="60"/>
      <c r="F27" s="379"/>
      <c r="G27" s="15">
        <f>IFERROR($C27*$H$19*'Premissas (Legados)'!$B$20*1000," ")</f>
        <v>5214658.1133049997</v>
      </c>
      <c r="H27" s="49"/>
    </row>
    <row r="28" spans="1:9" x14ac:dyDescent="0.25">
      <c r="A28" s="2" t="s">
        <v>128</v>
      </c>
      <c r="B28" s="16" t="s">
        <v>27</v>
      </c>
      <c r="C28" s="231">
        <f>'Oferta (Legados)'!C7</f>
        <v>0</v>
      </c>
      <c r="D28" s="18"/>
      <c r="E28" s="60"/>
      <c r="F28" s="379"/>
      <c r="G28" s="15">
        <f>IFERROR($C28*$H$19*'Premissas (Legados)'!$B$20*1000," ")</f>
        <v>0</v>
      </c>
      <c r="H28" s="49"/>
    </row>
    <row r="29" spans="1:9" x14ac:dyDescent="0.25">
      <c r="A29" s="2" t="s">
        <v>183</v>
      </c>
      <c r="B29" s="16" t="s">
        <v>29</v>
      </c>
      <c r="C29" s="231">
        <f>'Oferta (Legados)'!C8</f>
        <v>0</v>
      </c>
      <c r="D29" s="18"/>
      <c r="E29" s="60"/>
      <c r="F29" s="379"/>
      <c r="G29" s="15">
        <f>IFERROR($C29*$H$19*'Premissas (Legados)'!$B$20*1000," ")</f>
        <v>0</v>
      </c>
      <c r="H29" s="49"/>
    </row>
    <row r="30" spans="1:9" x14ac:dyDescent="0.25">
      <c r="A30" s="2" t="s">
        <v>129</v>
      </c>
      <c r="B30" s="16" t="s">
        <v>24</v>
      </c>
      <c r="C30" s="231">
        <f>'Oferta (Legados)'!C9</f>
        <v>24869</v>
      </c>
      <c r="D30" s="18"/>
      <c r="E30" s="60"/>
      <c r="F30" s="379"/>
      <c r="G30" s="15">
        <f>IFERROR($C30*$H$19*'Premissas (Legados)'!$B$20*1000," ")</f>
        <v>338598779.68611497</v>
      </c>
      <c r="H30" s="49"/>
    </row>
    <row r="31" spans="1:9" x14ac:dyDescent="0.25">
      <c r="A31" s="2" t="s">
        <v>184</v>
      </c>
      <c r="B31" s="16" t="s">
        <v>194</v>
      </c>
      <c r="C31" s="231">
        <f>'Oferta (Legados)'!C10</f>
        <v>7525</v>
      </c>
      <c r="D31" s="18"/>
      <c r="E31" s="60"/>
      <c r="F31" s="379"/>
      <c r="G31" s="15">
        <f>IFERROR($C31*$H$19*'Premissas (Legados)'!$B$20*1000," ")</f>
        <v>102455097.39587498</v>
      </c>
      <c r="H31" s="49"/>
    </row>
    <row r="32" spans="1:9" x14ac:dyDescent="0.25">
      <c r="A32" s="2" t="s">
        <v>130</v>
      </c>
      <c r="B32" s="16" t="s">
        <v>196</v>
      </c>
      <c r="C32" s="231">
        <f>'Oferta (Legados)'!C11</f>
        <v>200</v>
      </c>
      <c r="D32" s="18"/>
      <c r="E32" s="60"/>
      <c r="F32" s="379"/>
      <c r="G32" s="15">
        <f>IFERROR($C32*$H$19*'Premissas (Legados)'!$B$20*1000," ")</f>
        <v>2723059.0670000003</v>
      </c>
      <c r="H32" s="49"/>
    </row>
    <row r="33" spans="1:9" x14ac:dyDescent="0.25">
      <c r="A33" s="2" t="s">
        <v>131</v>
      </c>
      <c r="B33" s="16" t="s">
        <v>195</v>
      </c>
      <c r="C33" s="231">
        <f>'Oferta (Legados)'!C12</f>
        <v>200</v>
      </c>
      <c r="D33" s="18"/>
      <c r="E33" s="60"/>
      <c r="F33" s="379"/>
      <c r="G33" s="15">
        <f>IFERROR($C33*$H$19*'Premissas (Legados)'!$B$20*1000," ")</f>
        <v>2723059.0670000003</v>
      </c>
      <c r="H33" s="49"/>
    </row>
    <row r="34" spans="1:9" x14ac:dyDescent="0.25">
      <c r="C34" s="61">
        <f>SUM(C24:C33)</f>
        <v>81697</v>
      </c>
      <c r="D34" s="61"/>
      <c r="E34" s="60"/>
      <c r="F34" s="61"/>
      <c r="G34" s="61">
        <f>SUM(G24:G33)</f>
        <v>1112328782.9834948</v>
      </c>
      <c r="H34" s="49"/>
    </row>
    <row r="35" spans="1:9" x14ac:dyDescent="0.25">
      <c r="C35" s="60"/>
      <c r="D35" s="60"/>
      <c r="E35" s="60"/>
      <c r="F35" s="60"/>
      <c r="G35" s="60"/>
      <c r="H35" s="49"/>
    </row>
    <row r="36" spans="1:9" x14ac:dyDescent="0.25">
      <c r="C36" s="60"/>
      <c r="D36" s="60"/>
      <c r="E36" s="60"/>
      <c r="F36" s="60"/>
      <c r="G36" s="60"/>
      <c r="H36" s="49"/>
    </row>
    <row r="37" spans="1:9" x14ac:dyDescent="0.25">
      <c r="C37" s="60"/>
      <c r="D37" s="60"/>
      <c r="E37" s="60"/>
      <c r="F37" s="60"/>
      <c r="G37" s="60"/>
      <c r="H37" s="49"/>
    </row>
    <row r="38" spans="1:9" x14ac:dyDescent="0.25">
      <c r="A38" s="203"/>
      <c r="B38" s="203"/>
      <c r="C38" s="367">
        <v>2026</v>
      </c>
      <c r="F38" s="377"/>
      <c r="G38" s="380">
        <v>2026</v>
      </c>
      <c r="I38" s="49"/>
    </row>
    <row r="39" spans="1:9" ht="15.95" customHeight="1" x14ac:dyDescent="0.25">
      <c r="A39" s="204"/>
      <c r="B39" s="204"/>
      <c r="C39" s="367" t="s">
        <v>180</v>
      </c>
      <c r="F39" s="377"/>
      <c r="G39" s="380" t="s">
        <v>181</v>
      </c>
      <c r="H39" s="49"/>
    </row>
    <row r="40" spans="1:9" ht="34.5" x14ac:dyDescent="0.25">
      <c r="A40" s="56" t="s">
        <v>123</v>
      </c>
      <c r="B40" s="205" t="s">
        <v>132</v>
      </c>
      <c r="C40" s="59" t="s">
        <v>214</v>
      </c>
      <c r="F40" s="378"/>
      <c r="G40" s="381" t="s">
        <v>216</v>
      </c>
      <c r="H40" s="49"/>
    </row>
    <row r="41" spans="1:9" x14ac:dyDescent="0.25">
      <c r="A41" s="2" t="s">
        <v>37</v>
      </c>
      <c r="B41" s="16" t="s">
        <v>160</v>
      </c>
      <c r="C41" s="231">
        <f>'Demanda (Legados)'!C3</f>
        <v>668</v>
      </c>
      <c r="F41" s="379"/>
      <c r="G41" s="15">
        <f>IFERROR($C41*$H$19*'Premissas (Legados)'!$B$20*1000," ")</f>
        <v>9095017.2837799974</v>
      </c>
      <c r="H41" s="49"/>
    </row>
    <row r="42" spans="1:9" x14ac:dyDescent="0.25">
      <c r="A42" s="2" t="s">
        <v>38</v>
      </c>
      <c r="B42" s="16" t="s">
        <v>161</v>
      </c>
      <c r="C42" s="231">
        <f>'Demanda (Legados)'!C4</f>
        <v>1824</v>
      </c>
      <c r="F42" s="379"/>
      <c r="G42" s="15">
        <f>IFERROR($C42*$H$19*'Premissas (Legados)'!$B$20*1000," ")</f>
        <v>24834298.691039998</v>
      </c>
      <c r="H42" s="49"/>
    </row>
    <row r="43" spans="1:9" x14ac:dyDescent="0.25">
      <c r="A43" s="2" t="s">
        <v>39</v>
      </c>
      <c r="B43" s="16" t="s">
        <v>162</v>
      </c>
      <c r="C43" s="231">
        <f>'Demanda (Legados)'!C5</f>
        <v>3002</v>
      </c>
      <c r="D43" s="18"/>
      <c r="F43" s="379"/>
      <c r="G43" s="15">
        <f>IFERROR($C43*$H$19*'Premissas (Legados)'!$B$20*1000," ")</f>
        <v>40873116.59567</v>
      </c>
      <c r="H43" s="49"/>
    </row>
    <row r="44" spans="1:9" x14ac:dyDescent="0.25">
      <c r="A44" s="2" t="s">
        <v>40</v>
      </c>
      <c r="B44" s="16" t="s">
        <v>163</v>
      </c>
      <c r="C44" s="231">
        <f>'Demanda (Legados)'!C6</f>
        <v>351</v>
      </c>
      <c r="D44" s="18"/>
      <c r="F44" s="379"/>
      <c r="G44" s="15">
        <f>IFERROR($C44*$H$19*'Premissas (Legados)'!$B$20*1000," ")</f>
        <v>4778968.6625849996</v>
      </c>
      <c r="H44" s="49"/>
    </row>
    <row r="45" spans="1:9" x14ac:dyDescent="0.25">
      <c r="A45" s="2" t="s">
        <v>41</v>
      </c>
      <c r="B45" s="16" t="s">
        <v>164</v>
      </c>
      <c r="C45" s="231">
        <f>'Demanda (Legados)'!C7</f>
        <v>17575</v>
      </c>
      <c r="D45" s="18"/>
      <c r="F45" s="379"/>
      <c r="G45" s="15">
        <f>IFERROR($C45*$H$19*'Premissas (Legados)'!$B$20*1000," ")</f>
        <v>239288815.51262498</v>
      </c>
      <c r="H45" s="49"/>
    </row>
    <row r="46" spans="1:9" x14ac:dyDescent="0.25">
      <c r="A46" s="2" t="s">
        <v>42</v>
      </c>
      <c r="B46" s="16" t="s">
        <v>165</v>
      </c>
      <c r="C46" s="231">
        <f>'Demanda (Legados)'!C8</f>
        <v>11227</v>
      </c>
      <c r="D46" s="18"/>
      <c r="F46" s="379"/>
      <c r="G46" s="15">
        <f>IFERROR($C46*$H$19*'Premissas (Legados)'!$B$20*1000," ")</f>
        <v>152858920.72604498</v>
      </c>
      <c r="H46" s="49"/>
    </row>
    <row r="47" spans="1:9" x14ac:dyDescent="0.25">
      <c r="A47" s="2" t="s">
        <v>43</v>
      </c>
      <c r="B47" s="16" t="s">
        <v>166</v>
      </c>
      <c r="C47" s="231">
        <f>'Demanda (Legados)'!C9</f>
        <v>2083</v>
      </c>
      <c r="D47" s="18"/>
      <c r="F47" s="379"/>
      <c r="G47" s="15">
        <f>IFERROR($C47*$H$19*'Premissas (Legados)'!$B$20*1000," ")</f>
        <v>28360660.182804998</v>
      </c>
      <c r="H47" s="49"/>
    </row>
    <row r="48" spans="1:9" x14ac:dyDescent="0.25">
      <c r="A48" s="2" t="s">
        <v>44</v>
      </c>
      <c r="B48" s="16" t="s">
        <v>167</v>
      </c>
      <c r="C48" s="231">
        <f>'Demanda (Legados)'!C10</f>
        <v>340</v>
      </c>
      <c r="D48" s="18"/>
      <c r="F48" s="379"/>
      <c r="G48" s="15">
        <f>IFERROR($C48*$H$19*'Premissas (Legados)'!$B$20*1000," ")</f>
        <v>4629200.4139</v>
      </c>
      <c r="H48" s="49"/>
    </row>
    <row r="49" spans="1:9" x14ac:dyDescent="0.25">
      <c r="A49" s="2" t="s">
        <v>45</v>
      </c>
      <c r="B49" s="16" t="s">
        <v>168</v>
      </c>
      <c r="C49" s="231">
        <f>'Demanda (Legados)'!C11</f>
        <v>2249</v>
      </c>
      <c r="D49" s="18"/>
      <c r="F49" s="379"/>
      <c r="G49" s="15">
        <f>IFERROR($C49*$H$19*'Premissas (Legados)'!$B$20*1000," ")</f>
        <v>30620799.208414994</v>
      </c>
      <c r="H49" s="49"/>
    </row>
    <row r="50" spans="1:9" x14ac:dyDescent="0.25">
      <c r="A50" s="2" t="s">
        <v>46</v>
      </c>
      <c r="B50" s="16" t="s">
        <v>169</v>
      </c>
      <c r="C50" s="231">
        <f>'Demanda (Legados)'!C12</f>
        <v>1161</v>
      </c>
      <c r="D50" s="18"/>
      <c r="F50" s="379"/>
      <c r="G50" s="15">
        <f>IFERROR($C50*$H$19*'Premissas (Legados)'!$B$20*1000," ")</f>
        <v>15807357.883934999</v>
      </c>
      <c r="H50" s="49"/>
    </row>
    <row r="51" spans="1:9" x14ac:dyDescent="0.25">
      <c r="A51" s="2" t="s">
        <v>47</v>
      </c>
      <c r="B51" s="16" t="s">
        <v>170</v>
      </c>
      <c r="C51" s="231">
        <f>'Demanda (Legados)'!C13</f>
        <v>3064</v>
      </c>
      <c r="D51" s="18"/>
      <c r="F51" s="379"/>
      <c r="G51" s="15">
        <f>IFERROR($C51*$H$19*'Premissas (Legados)'!$B$20*1000," ")</f>
        <v>41717264.906439997</v>
      </c>
      <c r="H51" s="49"/>
    </row>
    <row r="52" spans="1:9" x14ac:dyDescent="0.25">
      <c r="A52" s="2" t="s">
        <v>48</v>
      </c>
      <c r="B52" s="16" t="s">
        <v>171</v>
      </c>
      <c r="C52" s="231">
        <f>'Demanda (Legados)'!C14</f>
        <v>9481</v>
      </c>
      <c r="D52" s="18"/>
      <c r="F52" s="379"/>
      <c r="G52" s="15">
        <f>IFERROR($C52*$H$19*'Premissas (Legados)'!$B$20*1000," ")</f>
        <v>129086615.071135</v>
      </c>
      <c r="H52" s="49"/>
    </row>
    <row r="53" spans="1:9" x14ac:dyDescent="0.25">
      <c r="A53" s="2" t="s">
        <v>49</v>
      </c>
      <c r="B53" s="16" t="s">
        <v>172</v>
      </c>
      <c r="C53" s="231">
        <f>'Demanda (Legados)'!C15</f>
        <v>3920</v>
      </c>
      <c r="D53" s="18"/>
      <c r="F53" s="379"/>
      <c r="G53" s="15">
        <f>IFERROR($C53*$H$19*'Premissas (Legados)'!$B$20*1000," ")</f>
        <v>53371957.713199995</v>
      </c>
      <c r="H53" s="49"/>
    </row>
    <row r="54" spans="1:9" x14ac:dyDescent="0.25">
      <c r="A54" s="2" t="s">
        <v>50</v>
      </c>
      <c r="B54" s="16" t="s">
        <v>199</v>
      </c>
      <c r="C54" s="231">
        <f>'Demanda (Legados)'!C16</f>
        <v>0</v>
      </c>
      <c r="D54" s="18"/>
      <c r="F54" s="379"/>
      <c r="G54" s="15">
        <f>IFERROR($C54*$H$19*'Premissas (Legados)'!$B$20*1000," ")</f>
        <v>0</v>
      </c>
      <c r="H54" s="49"/>
    </row>
    <row r="55" spans="1:9" x14ac:dyDescent="0.25">
      <c r="A55" s="2" t="s">
        <v>51</v>
      </c>
      <c r="B55" s="16" t="s">
        <v>198</v>
      </c>
      <c r="C55" s="231">
        <f>'Demanda (Legados)'!C17</f>
        <v>9703</v>
      </c>
      <c r="D55" s="18"/>
      <c r="F55" s="379"/>
      <c r="G55" s="15">
        <f>IFERROR($C55*$H$19*'Premissas (Legados)'!$B$20*1000," ")</f>
        <v>132109210.63550498</v>
      </c>
      <c r="H55" s="49"/>
    </row>
    <row r="56" spans="1:9" x14ac:dyDescent="0.25">
      <c r="A56" s="2" t="s">
        <v>52</v>
      </c>
      <c r="B56" s="16" t="s">
        <v>197</v>
      </c>
      <c r="C56" s="231">
        <f>'Demanda (Legados)'!C18</f>
        <v>200</v>
      </c>
      <c r="D56" s="18"/>
      <c r="F56" s="379"/>
      <c r="G56" s="15">
        <f>IFERROR($C56*$H$19*'Premissas (Legados)'!$B$20*1000," ")</f>
        <v>2723059.0670000003</v>
      </c>
      <c r="H56" s="49"/>
    </row>
    <row r="57" spans="1:9" x14ac:dyDescent="0.25">
      <c r="C57" s="61">
        <f>SUM(C41:C56)</f>
        <v>66848</v>
      </c>
      <c r="D57" s="61"/>
      <c r="F57" s="61"/>
      <c r="G57" s="61">
        <f>SUM(G41:G56)</f>
        <v>910155262.55408001</v>
      </c>
      <c r="H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G24/$G$34</f>
        <v>0.18306669767555725</v>
      </c>
      <c r="C99" s="8"/>
      <c r="D99" t="s">
        <v>232</v>
      </c>
      <c r="E99" s="66">
        <f t="shared" ref="E99:E114" si="2">G41/$G$57</f>
        <v>9.992819530876015E-3</v>
      </c>
      <c r="G99" s="65" t="s">
        <v>140</v>
      </c>
      <c r="H99" s="67">
        <f>G24/$G$34</f>
        <v>0.18306669767555725</v>
      </c>
      <c r="I99" s="67">
        <f>G25/$G$34</f>
        <v>0.24480703085792629</v>
      </c>
      <c r="J99" s="67">
        <f>$G26/$G$34</f>
        <v>0.16602812832784561</v>
      </c>
      <c r="K99" s="67">
        <f>$G27/$G$34</f>
        <v>4.6880546409292885E-3</v>
      </c>
      <c r="L99" s="67">
        <f>$G28/$G$34</f>
        <v>0</v>
      </c>
      <c r="M99" s="67">
        <f>$G29/$G$34</f>
        <v>0</v>
      </c>
      <c r="N99" s="67">
        <f>$G30/$G$34</f>
        <v>0.30440530252028841</v>
      </c>
      <c r="O99" s="67">
        <f>$G31/$G$34</f>
        <v>9.2108645360294741E-2</v>
      </c>
      <c r="P99" s="67">
        <f>$G32/$G$34</f>
        <v>2.4480703085792634E-3</v>
      </c>
      <c r="Q99" s="67">
        <f>$G33/$G$34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c r="W100" s="69"/>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($G24*$B130)/SUMPRODUCT($G$24:$G$33,$B$130:$B$139)</f>
        <v>0.19558683701185306</v>
      </c>
      <c r="C162" s="13"/>
      <c r="D162" t="s">
        <v>283</v>
      </c>
      <c r="E162" s="71">
        <f t="shared" ref="E162:E177" ca="1" si="5">($G41*$E130)/SUMPRODUCT($G$41:$G$56,$E$130:$E$145)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714.26495029242813</v>
      </c>
      <c r="C193" s="19"/>
      <c r="D193" t="s">
        <v>311</v>
      </c>
      <c r="E193" s="5">
        <f t="shared" ref="E193:E208" ca="1" si="7">$E162*$D$8</f>
        <v>17.836248224548765</v>
      </c>
    </row>
    <row r="194" spans="1:5" ht="18" x14ac:dyDescent="0.35">
      <c r="A194" t="s">
        <v>312</v>
      </c>
      <c r="B194" s="6">
        <f t="shared" ca="1" si="6"/>
        <v>689.64544689294166</v>
      </c>
      <c r="D194" t="s">
        <v>313</v>
      </c>
      <c r="E194" s="5">
        <f t="shared" ca="1" si="7"/>
        <v>61.5563741408588</v>
      </c>
    </row>
    <row r="195" spans="1:5" ht="18" x14ac:dyDescent="0.35">
      <c r="A195" t="s">
        <v>314</v>
      </c>
      <c r="B195" s="6">
        <f t="shared" ca="1" si="6"/>
        <v>538.76807750657508</v>
      </c>
      <c r="D195" t="s">
        <v>315</v>
      </c>
      <c r="E195" s="5">
        <f t="shared" ca="1" si="7"/>
        <v>126.82155160003506</v>
      </c>
    </row>
    <row r="196" spans="1:5" ht="18" x14ac:dyDescent="0.35">
      <c r="A196" t="s">
        <v>316</v>
      </c>
      <c r="B196" s="6">
        <f t="shared" ca="1" si="6"/>
        <v>21.272513575395894</v>
      </c>
      <c r="D196" t="s">
        <v>317</v>
      </c>
      <c r="E196" s="5">
        <f t="shared" ca="1" si="7"/>
        <v>15.210988343731421</v>
      </c>
    </row>
    <row r="197" spans="1:5" ht="18" x14ac:dyDescent="0.35">
      <c r="A197" t="s">
        <v>318</v>
      </c>
      <c r="B197" s="6">
        <f t="shared" ca="1" si="6"/>
        <v>0</v>
      </c>
      <c r="D197" t="s">
        <v>319</v>
      </c>
      <c r="E197" s="5">
        <f t="shared" ca="1" si="7"/>
        <v>245.37121493005645</v>
      </c>
    </row>
    <row r="198" spans="1:5" ht="18" x14ac:dyDescent="0.35">
      <c r="A198" t="s">
        <v>320</v>
      </c>
      <c r="B198" s="6">
        <f t="shared" ca="1" si="6"/>
        <v>0</v>
      </c>
      <c r="D198" t="s">
        <v>321</v>
      </c>
      <c r="E198" s="5">
        <f t="shared" ca="1" si="7"/>
        <v>157.80816139196449</v>
      </c>
    </row>
    <row r="199" spans="1:5" ht="18" x14ac:dyDescent="0.35">
      <c r="A199" t="s">
        <v>322</v>
      </c>
      <c r="B199" s="6">
        <f t="shared" ca="1" si="6"/>
        <v>1357.9868612224959</v>
      </c>
      <c r="D199" t="s">
        <v>323</v>
      </c>
      <c r="E199" s="5">
        <f t="shared" ca="1" si="7"/>
        <v>32.4497082557711</v>
      </c>
    </row>
    <row r="200" spans="1:5" ht="18" x14ac:dyDescent="0.35">
      <c r="A200" t="s">
        <v>324</v>
      </c>
      <c r="B200" s="6">
        <f t="shared" ca="1" si="6"/>
        <v>307.93972352032085</v>
      </c>
      <c r="D200" t="s">
        <v>325</v>
      </c>
      <c r="E200" s="5">
        <f t="shared" ca="1" si="7"/>
        <v>5.9443141441272678</v>
      </c>
    </row>
    <row r="201" spans="1:5" ht="18" x14ac:dyDescent="0.35">
      <c r="A201" t="s">
        <v>326</v>
      </c>
      <c r="B201" s="6">
        <f t="shared" ca="1" si="6"/>
        <v>11.108362180363395</v>
      </c>
      <c r="D201" t="s">
        <v>327</v>
      </c>
      <c r="E201" s="5">
        <f t="shared" ca="1" si="7"/>
        <v>32.511477588791898</v>
      </c>
    </row>
    <row r="202" spans="1:5" ht="18" x14ac:dyDescent="0.35">
      <c r="A202" t="s">
        <v>328</v>
      </c>
      <c r="B202" s="6">
        <f t="shared" ca="1" si="6"/>
        <v>10.921121566789949</v>
      </c>
      <c r="D202" t="s">
        <v>329</v>
      </c>
      <c r="E202" s="5">
        <f t="shared" ca="1" si="7"/>
        <v>27.198817543012332</v>
      </c>
    </row>
    <row r="203" spans="1:5" ht="18" x14ac:dyDescent="0.35">
      <c r="B203" s="6">
        <f ca="1">SUM(B193:B202)</f>
        <v>3651.9070567573108</v>
      </c>
      <c r="D203" t="s">
        <v>330</v>
      </c>
      <c r="E203" s="5">
        <f t="shared" ca="1" si="7"/>
        <v>69.39531922132511</v>
      </c>
    </row>
    <row r="204" spans="1:5" ht="18" x14ac:dyDescent="0.35">
      <c r="B204" s="6"/>
      <c r="D204" t="s">
        <v>331</v>
      </c>
      <c r="E204" s="5">
        <f t="shared" ca="1" si="7"/>
        <v>286.57436134431055</v>
      </c>
    </row>
    <row r="205" spans="1:5" ht="18" x14ac:dyDescent="0.35">
      <c r="B205" s="6"/>
      <c r="D205" t="s">
        <v>332</v>
      </c>
      <c r="E205" s="5">
        <f t="shared" ca="1" si="7"/>
        <v>128.57324796396355</v>
      </c>
    </row>
    <row r="206" spans="1:5" ht="18" x14ac:dyDescent="0.35">
      <c r="B206" s="6"/>
      <c r="D206" t="s">
        <v>333</v>
      </c>
      <c r="E206" s="5">
        <f t="shared" ca="1" si="7"/>
        <v>0</v>
      </c>
    </row>
    <row r="207" spans="1:5" ht="18" x14ac:dyDescent="0.35">
      <c r="B207" s="6"/>
      <c r="D207" t="s">
        <v>334</v>
      </c>
      <c r="E207" s="5">
        <f t="shared" ca="1" si="7"/>
        <v>354.50449133959432</v>
      </c>
    </row>
    <row r="208" spans="1:5" ht="18" x14ac:dyDescent="0.35">
      <c r="B208" s="6"/>
      <c r="D208" t="s">
        <v>335</v>
      </c>
      <c r="E208" s="5">
        <f t="shared" ca="1" si="7"/>
        <v>3.3467482924709664</v>
      </c>
    </row>
    <row r="209" spans="1:5" x14ac:dyDescent="0.25">
      <c r="B209" s="6"/>
      <c r="E209" s="5">
        <f ca="1">SUM(E193:E208)</f>
        <v>1565.1030243245621</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IFERROR($B193/$G24*1000000," ")</f>
        <v>3.5076545595128854</v>
      </c>
      <c r="D226" s="77"/>
      <c r="E226" s="7"/>
      <c r="F226" s="7"/>
      <c r="G226" s="78"/>
      <c r="H226" s="20" t="s">
        <v>343</v>
      </c>
      <c r="I226" s="20" t="str">
        <f t="shared" ref="I226:I241" si="9">B41</f>
        <v>NTS MG 1</v>
      </c>
      <c r="J226" s="11">
        <f t="shared" ref="J226:J241" ca="1" si="10">IFERROR($E193/$G41*1000000," ")</f>
        <v>1.9611010807376728</v>
      </c>
      <c r="L226" s="12"/>
      <c r="M226" s="79"/>
      <c r="Q226" s="7"/>
      <c r="R226" s="80"/>
      <c r="S226" s="81"/>
      <c r="T226" s="81"/>
      <c r="U226" s="81"/>
    </row>
    <row r="227" spans="1:22" ht="18" x14ac:dyDescent="0.25">
      <c r="A227" s="20" t="s">
        <v>344</v>
      </c>
      <c r="B227" s="20" t="str">
        <f t="shared" ref="B227:B235" si="11">B25</f>
        <v>PR-GNLBGB</v>
      </c>
      <c r="C227" s="11">
        <f t="shared" ca="1" si="8"/>
        <v>2.5326128810445732</v>
      </c>
      <c r="D227" s="77"/>
      <c r="E227" s="7"/>
      <c r="F227" s="7"/>
      <c r="G227" s="78"/>
      <c r="H227" s="20" t="s">
        <v>345</v>
      </c>
      <c r="I227" s="20" t="str">
        <f t="shared" si="9"/>
        <v>NTS MG 2</v>
      </c>
      <c r="J227" s="11">
        <f t="shared" ca="1" si="10"/>
        <v>2.4786838117183398</v>
      </c>
      <c r="L227" s="12"/>
      <c r="M227" s="79"/>
      <c r="Q227" s="7"/>
      <c r="R227" s="80"/>
      <c r="S227" s="81"/>
      <c r="T227" s="81"/>
      <c r="U227" s="81"/>
    </row>
    <row r="228" spans="1:22" ht="18" x14ac:dyDescent="0.25">
      <c r="A228" s="20" t="s">
        <v>346</v>
      </c>
      <c r="B228" s="20" t="str">
        <f t="shared" si="11"/>
        <v>PR-ITABORAÍ</v>
      </c>
      <c r="C228" s="11">
        <f t="shared" ca="1" si="8"/>
        <v>2.9173397408028743</v>
      </c>
      <c r="D228" s="77"/>
      <c r="E228" s="7"/>
      <c r="F228" s="7"/>
      <c r="G228" s="78"/>
      <c r="H228" s="20" t="s">
        <v>347</v>
      </c>
      <c r="I228" s="20" t="str">
        <f t="shared" si="9"/>
        <v>NTS MG 3</v>
      </c>
      <c r="J228" s="11">
        <f t="shared" ca="1" si="10"/>
        <v>3.1028108977985358</v>
      </c>
      <c r="L228" s="12"/>
      <c r="M228" s="79"/>
      <c r="Q228" s="7"/>
      <c r="R228" s="80"/>
      <c r="S228" s="81"/>
      <c r="T228" s="81"/>
      <c r="U228" s="81"/>
    </row>
    <row r="229" spans="1:22" ht="18" x14ac:dyDescent="0.25">
      <c r="A229" s="20" t="s">
        <v>348</v>
      </c>
      <c r="B229" s="20" t="str">
        <f t="shared" si="11"/>
        <v>PR-GASPAJ (INTERCONEXÃO)</v>
      </c>
      <c r="C229" s="11">
        <f t="shared" ca="1" si="8"/>
        <v>4.0793687933480998</v>
      </c>
      <c r="D229" s="77"/>
      <c r="E229" s="7"/>
      <c r="F229" s="7"/>
      <c r="G229" s="78"/>
      <c r="H229" s="20" t="s">
        <v>349</v>
      </c>
      <c r="I229" s="20" t="str">
        <f t="shared" si="9"/>
        <v>NTS MG 4</v>
      </c>
      <c r="J229" s="11">
        <f t="shared" ca="1" si="10"/>
        <v>3.1829018806546472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1.025418653205338</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1.0323778333800326</v>
      </c>
      <c r="L231" s="12"/>
      <c r="M231" s="79"/>
      <c r="Q231" s="7"/>
      <c r="R231" s="80"/>
      <c r="S231" s="81"/>
      <c r="T231" s="81"/>
      <c r="U231" s="81"/>
    </row>
    <row r="232" spans="1:22" ht="18" x14ac:dyDescent="0.25">
      <c r="A232" s="20" t="s">
        <v>354</v>
      </c>
      <c r="B232" s="20" t="str">
        <f t="shared" si="11"/>
        <v>PR-TECAB</v>
      </c>
      <c r="C232" s="11">
        <f t="shared" ca="1" si="8"/>
        <v>4.0106076651586449</v>
      </c>
      <c r="D232" s="77"/>
      <c r="E232" s="7"/>
      <c r="F232" s="7"/>
      <c r="G232" s="78"/>
      <c r="H232" s="20" t="s">
        <v>355</v>
      </c>
      <c r="I232" s="20" t="str">
        <f t="shared" si="9"/>
        <v>NTS RJ 3</v>
      </c>
      <c r="J232" s="11">
        <f t="shared" ca="1" si="10"/>
        <v>1.1441802851770455</v>
      </c>
      <c r="L232" s="12"/>
      <c r="M232" s="79"/>
      <c r="Q232" s="7"/>
      <c r="R232" s="80"/>
      <c r="S232" s="81"/>
      <c r="T232" s="81"/>
      <c r="U232" s="81"/>
    </row>
    <row r="233" spans="1:22" ht="18" x14ac:dyDescent="0.25">
      <c r="A233" s="20" t="s">
        <v>356</v>
      </c>
      <c r="B233" s="20" t="str">
        <f t="shared" si="11"/>
        <v>PR-GUARAREMA (INTERCONEXÃO)</v>
      </c>
      <c r="C233" s="11">
        <f t="shared" ca="1" si="8"/>
        <v>3.0056066642587469</v>
      </c>
      <c r="D233" s="77"/>
      <c r="E233" s="7"/>
      <c r="F233" s="7"/>
      <c r="G233" s="78"/>
      <c r="H233" s="20" t="s">
        <v>357</v>
      </c>
      <c r="I233" s="20" t="str">
        <f t="shared" si="9"/>
        <v>NTS RJ 4</v>
      </c>
      <c r="J233" s="11">
        <f t="shared" ca="1" si="10"/>
        <v>1.2840909039665693</v>
      </c>
      <c r="L233" s="12"/>
      <c r="M233" s="79"/>
      <c r="Q233" s="7"/>
      <c r="R233" s="80"/>
      <c r="S233" s="81"/>
      <c r="T233" s="81"/>
      <c r="U233" s="81"/>
    </row>
    <row r="234" spans="1:22" ht="18" x14ac:dyDescent="0.25">
      <c r="A234" s="20" t="s">
        <v>358</v>
      </c>
      <c r="B234" s="20" t="str">
        <f t="shared" si="11"/>
        <v>PR-REPLAN (INTERCONEXÃO)</v>
      </c>
      <c r="C234" s="11">
        <f t="shared" ca="1" si="8"/>
        <v>4.0793687933480998</v>
      </c>
      <c r="D234" s="72"/>
      <c r="E234" s="7"/>
      <c r="F234" s="7"/>
      <c r="G234" s="72"/>
      <c r="H234" s="20" t="s">
        <v>359</v>
      </c>
      <c r="I234" s="20" t="str">
        <f t="shared" si="9"/>
        <v>NTS RJ 5</v>
      </c>
      <c r="J234" s="11">
        <f t="shared" ca="1" si="10"/>
        <v>1.0617449063791033</v>
      </c>
      <c r="L234" s="12"/>
      <c r="Q234" s="7"/>
      <c r="R234" s="80"/>
      <c r="S234" s="81"/>
      <c r="T234" s="81"/>
      <c r="U234" s="81"/>
    </row>
    <row r="235" spans="1:22" ht="18" x14ac:dyDescent="0.25">
      <c r="A235" s="20" t="s">
        <v>360</v>
      </c>
      <c r="B235" s="20" t="str">
        <f t="shared" si="11"/>
        <v>PR-TECAB (INTERCONEXÃO)</v>
      </c>
      <c r="C235" s="11">
        <f t="shared" ca="1" si="8"/>
        <v>4.0106076651586458</v>
      </c>
      <c r="D235" s="72"/>
      <c r="E235" s="7"/>
      <c r="F235" s="7"/>
      <c r="G235" s="72"/>
      <c r="H235" s="20" t="s">
        <v>361</v>
      </c>
      <c r="I235" s="20" t="str">
        <f t="shared" si="9"/>
        <v>NTS SP 1</v>
      </c>
      <c r="J235" s="11">
        <f t="shared" ca="1" si="10"/>
        <v>1.7206428640838491</v>
      </c>
      <c r="L235" s="12"/>
      <c r="Q235" s="7"/>
      <c r="R235" s="80"/>
      <c r="S235" s="81"/>
      <c r="T235" s="81"/>
      <c r="U235" s="81"/>
    </row>
    <row r="236" spans="1:22" ht="18" x14ac:dyDescent="0.25">
      <c r="D236" s="72"/>
      <c r="E236" s="7"/>
      <c r="F236" s="7"/>
      <c r="G236" s="72"/>
      <c r="H236" s="20" t="s">
        <v>362</v>
      </c>
      <c r="I236" s="20" t="str">
        <f t="shared" si="9"/>
        <v>NTS SP 2</v>
      </c>
      <c r="J236" s="11">
        <f t="shared" ca="1" si="10"/>
        <v>1.6634676165122315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2.2200160813449923</v>
      </c>
      <c r="L237" s="12"/>
      <c r="Q237" s="7"/>
      <c r="R237" s="80"/>
      <c r="S237" s="81"/>
      <c r="T237" s="81"/>
      <c r="U237" s="81"/>
    </row>
    <row r="238" spans="1:22" ht="18" x14ac:dyDescent="0.25">
      <c r="D238" s="72"/>
      <c r="E238" s="7"/>
      <c r="F238" s="7"/>
      <c r="G238" s="72"/>
      <c r="H238" s="20" t="s">
        <v>364</v>
      </c>
      <c r="I238" s="20" t="str">
        <f t="shared" si="9"/>
        <v>NTS SP 4</v>
      </c>
      <c r="J238" s="11">
        <f t="shared" ca="1" si="10"/>
        <v>2.4090037816275327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2.6834199495573969</v>
      </c>
      <c r="L240" s="12"/>
      <c r="Q240" s="7"/>
      <c r="R240" s="82"/>
      <c r="S240" s="9"/>
      <c r="T240" s="9"/>
      <c r="U240" s="9"/>
      <c r="V240" s="72"/>
    </row>
    <row r="241" spans="1:22" ht="18" x14ac:dyDescent="0.25">
      <c r="E241" s="7"/>
      <c r="F241" s="7"/>
      <c r="G241" s="72"/>
      <c r="H241" s="20" t="s">
        <v>367</v>
      </c>
      <c r="I241" s="20" t="str">
        <f t="shared" si="9"/>
        <v>PE-TECAB (INTERCONEXÃO)</v>
      </c>
      <c r="J241" s="11">
        <f t="shared" ca="1" si="10"/>
        <v>1.2290399180206126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IF(G24=0," ",C226*(1-$C$11))</f>
        <v>0</v>
      </c>
      <c r="D245" s="11">
        <f t="shared" ref="D245:D254" si="14">$F$7*$C$11</f>
        <v>3.2831183662820846</v>
      </c>
      <c r="E245" s="11">
        <f ca="1">IFERROR(C245+D245," ")</f>
        <v>3.2831183662820846</v>
      </c>
      <c r="G245" s="79"/>
      <c r="H245" s="20" t="s">
        <v>343</v>
      </c>
      <c r="I245" s="20" t="str">
        <f t="shared" ref="I245:I260" si="15">I226</f>
        <v>NTS MG 1</v>
      </c>
      <c r="J245" s="11">
        <f t="shared" ref="J245:J260" ca="1" si="16">IF(G41=0," ",J226*(1-$C$11))</f>
        <v>0</v>
      </c>
      <c r="K245" s="11">
        <f t="shared" ref="K245:K260" si="17">$F$10*$C$11</f>
        <v>1.7196000382754102</v>
      </c>
      <c r="L245" s="11">
        <f ca="1">IFERROR(J245+K245," ")</f>
        <v>1.7196000382754102</v>
      </c>
    </row>
    <row r="246" spans="1:22" ht="18" x14ac:dyDescent="0.25">
      <c r="A246" s="20" t="s">
        <v>344</v>
      </c>
      <c r="B246" s="20" t="str">
        <f t="shared" si="12"/>
        <v>PR-GNLBGB</v>
      </c>
      <c r="C246" s="11">
        <f t="shared" ca="1" si="13"/>
        <v>0</v>
      </c>
      <c r="D246" s="11">
        <f t="shared" si="14"/>
        <v>3.2831183662820846</v>
      </c>
      <c r="E246" s="11">
        <f t="shared" ref="E246:E254" ca="1" si="18">IFERROR(C246+D246," ")</f>
        <v>3.2831183662820846</v>
      </c>
      <c r="G246" s="79"/>
      <c r="H246" s="20" t="s">
        <v>345</v>
      </c>
      <c r="I246" s="20" t="str">
        <f t="shared" si="15"/>
        <v>NTS MG 2</v>
      </c>
      <c r="J246" s="11">
        <f t="shared" ca="1" si="16"/>
        <v>0</v>
      </c>
      <c r="K246" s="11">
        <f t="shared" si="17"/>
        <v>1.7196000382754102</v>
      </c>
      <c r="L246" s="11">
        <f t="shared" ref="L246:L260" ca="1" si="19">IFERROR(J246+K246," ")</f>
        <v>1.7196000382754102</v>
      </c>
    </row>
    <row r="247" spans="1:22" ht="18" x14ac:dyDescent="0.25">
      <c r="A247" s="20" t="s">
        <v>346</v>
      </c>
      <c r="B247" s="20" t="str">
        <f t="shared" si="12"/>
        <v>PR-ITABORAÍ</v>
      </c>
      <c r="C247" s="11">
        <f t="shared" ca="1" si="13"/>
        <v>0</v>
      </c>
      <c r="D247" s="11">
        <f t="shared" si="14"/>
        <v>3.2831183662820846</v>
      </c>
      <c r="E247" s="11">
        <f t="shared" ca="1" si="18"/>
        <v>3.2831183662820846</v>
      </c>
      <c r="G247" s="79"/>
      <c r="H247" s="20" t="s">
        <v>347</v>
      </c>
      <c r="I247" s="20" t="str">
        <f t="shared" si="15"/>
        <v>NTS MG 3</v>
      </c>
      <c r="J247" s="11">
        <f t="shared" ca="1" si="16"/>
        <v>0</v>
      </c>
      <c r="K247" s="11">
        <f t="shared" si="17"/>
        <v>1.7196000382754102</v>
      </c>
      <c r="L247" s="11">
        <f t="shared" ca="1" si="19"/>
        <v>1.7196000382754102</v>
      </c>
    </row>
    <row r="248" spans="1:22" ht="18" x14ac:dyDescent="0.25">
      <c r="A248" s="20" t="s">
        <v>348</v>
      </c>
      <c r="B248" s="20" t="str">
        <f t="shared" si="12"/>
        <v>PR-GASPAJ (INTERCONEXÃO)</v>
      </c>
      <c r="C248" s="11">
        <f t="shared" ca="1" si="13"/>
        <v>0</v>
      </c>
      <c r="D248" s="11">
        <f t="shared" si="14"/>
        <v>3.2831183662820846</v>
      </c>
      <c r="E248" s="11">
        <f t="shared" ca="1" si="18"/>
        <v>3.2831183662820846</v>
      </c>
      <c r="G248" s="79"/>
      <c r="H248" s="20" t="s">
        <v>349</v>
      </c>
      <c r="I248" s="20" t="str">
        <f t="shared" si="15"/>
        <v>NTS MG 4</v>
      </c>
      <c r="J248" s="11">
        <f t="shared" ca="1" si="16"/>
        <v>0</v>
      </c>
      <c r="K248" s="11">
        <f t="shared" si="17"/>
        <v>1.7196000382754102</v>
      </c>
      <c r="L248" s="11">
        <f t="shared" ca="1" si="19"/>
        <v>1.7196000382754102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1.7196000382754102</v>
      </c>
      <c r="L249" s="11">
        <f t="shared" ca="1" si="19"/>
        <v>1.7196000382754102</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1.7196000382754102</v>
      </c>
      <c r="L250" s="11">
        <f t="shared" ca="1" si="19"/>
        <v>1.7196000382754102</v>
      </c>
    </row>
    <row r="251" spans="1:22" ht="18" x14ac:dyDescent="0.25">
      <c r="A251" s="20" t="s">
        <v>354</v>
      </c>
      <c r="B251" s="20" t="str">
        <f t="shared" si="12"/>
        <v>PR-TECAB</v>
      </c>
      <c r="C251" s="11">
        <f t="shared" ca="1" si="13"/>
        <v>0</v>
      </c>
      <c r="D251" s="11">
        <f t="shared" si="14"/>
        <v>3.2831183662820846</v>
      </c>
      <c r="E251" s="11">
        <f t="shared" ca="1" si="18"/>
        <v>3.2831183662820846</v>
      </c>
      <c r="G251" s="79"/>
      <c r="H251" s="20" t="s">
        <v>355</v>
      </c>
      <c r="I251" s="20" t="str">
        <f t="shared" si="15"/>
        <v>NTS RJ 3</v>
      </c>
      <c r="J251" s="11">
        <f t="shared" ca="1" si="16"/>
        <v>0</v>
      </c>
      <c r="K251" s="11">
        <f t="shared" si="17"/>
        <v>1.7196000382754102</v>
      </c>
      <c r="L251" s="11">
        <f t="shared" ca="1" si="19"/>
        <v>1.7196000382754102</v>
      </c>
    </row>
    <row r="252" spans="1:22" ht="18" x14ac:dyDescent="0.25">
      <c r="A252" s="20" t="s">
        <v>356</v>
      </c>
      <c r="B252" s="20" t="str">
        <f t="shared" si="12"/>
        <v>PR-GUARAREMA (INTERCONEXÃO)</v>
      </c>
      <c r="C252" s="11">
        <f t="shared" ca="1" si="13"/>
        <v>0</v>
      </c>
      <c r="D252" s="11">
        <f t="shared" si="14"/>
        <v>3.2831183662820846</v>
      </c>
      <c r="E252" s="11">
        <f t="shared" ca="1" si="18"/>
        <v>3.2831183662820846</v>
      </c>
      <c r="G252" s="79"/>
      <c r="H252" s="20" t="s">
        <v>357</v>
      </c>
      <c r="I252" s="20" t="str">
        <f t="shared" si="15"/>
        <v>NTS RJ 4</v>
      </c>
      <c r="J252" s="11">
        <f t="shared" ca="1" si="16"/>
        <v>0</v>
      </c>
      <c r="K252" s="11">
        <f t="shared" si="17"/>
        <v>1.7196000382754102</v>
      </c>
      <c r="L252" s="11">
        <f t="shared" ca="1" si="19"/>
        <v>1.7196000382754102</v>
      </c>
    </row>
    <row r="253" spans="1:22" ht="18" x14ac:dyDescent="0.25">
      <c r="A253" s="20" t="s">
        <v>358</v>
      </c>
      <c r="B253" s="20" t="str">
        <f t="shared" si="12"/>
        <v>PR-REPLAN (INTERCONEXÃO)</v>
      </c>
      <c r="C253" s="11">
        <f t="shared" ca="1" si="13"/>
        <v>0</v>
      </c>
      <c r="D253" s="11">
        <f t="shared" si="14"/>
        <v>3.2831183662820846</v>
      </c>
      <c r="E253" s="11">
        <f t="shared" ca="1" si="18"/>
        <v>3.2831183662820846</v>
      </c>
      <c r="G253" s="79"/>
      <c r="H253" s="20" t="s">
        <v>359</v>
      </c>
      <c r="I253" s="20" t="str">
        <f t="shared" si="15"/>
        <v>NTS RJ 5</v>
      </c>
      <c r="J253" s="11">
        <f t="shared" ca="1" si="16"/>
        <v>0</v>
      </c>
      <c r="K253" s="11">
        <f t="shared" si="17"/>
        <v>1.7196000382754102</v>
      </c>
      <c r="L253" s="11">
        <f t="shared" ca="1" si="19"/>
        <v>1.7196000382754102</v>
      </c>
    </row>
    <row r="254" spans="1:22" ht="18" x14ac:dyDescent="0.25">
      <c r="A254" s="20" t="s">
        <v>360</v>
      </c>
      <c r="B254" s="20" t="str">
        <f t="shared" si="12"/>
        <v>PR-TECAB (INTERCONEXÃO)</v>
      </c>
      <c r="C254" s="11">
        <f t="shared" ca="1" si="13"/>
        <v>0</v>
      </c>
      <c r="D254" s="11">
        <f t="shared" si="14"/>
        <v>3.2831183662820846</v>
      </c>
      <c r="E254" s="11">
        <f t="shared" ca="1" si="18"/>
        <v>3.2831183662820846</v>
      </c>
      <c r="G254" s="79"/>
      <c r="H254" s="20" t="s">
        <v>361</v>
      </c>
      <c r="I254" s="20" t="str">
        <f t="shared" si="15"/>
        <v>NTS SP 1</v>
      </c>
      <c r="J254" s="11">
        <f t="shared" ca="1" si="16"/>
        <v>0</v>
      </c>
      <c r="K254" s="11">
        <f t="shared" si="17"/>
        <v>1.7196000382754102</v>
      </c>
      <c r="L254" s="11">
        <f t="shared" ca="1" si="19"/>
        <v>1.7196000382754102</v>
      </c>
    </row>
    <row r="255" spans="1:22" ht="18" x14ac:dyDescent="0.25">
      <c r="H255" s="20" t="s">
        <v>362</v>
      </c>
      <c r="I255" s="20" t="str">
        <f t="shared" si="15"/>
        <v>NTS SP 2</v>
      </c>
      <c r="J255" s="11">
        <f t="shared" ca="1" si="16"/>
        <v>0</v>
      </c>
      <c r="K255" s="11">
        <f t="shared" si="17"/>
        <v>1.7196000382754102</v>
      </c>
      <c r="L255" s="11">
        <f t="shared" ca="1" si="19"/>
        <v>1.7196000382754102</v>
      </c>
    </row>
    <row r="256" spans="1:22" ht="18" x14ac:dyDescent="0.25">
      <c r="H256" s="20" t="s">
        <v>363</v>
      </c>
      <c r="I256" s="20" t="str">
        <f t="shared" si="15"/>
        <v>NTS SP 3</v>
      </c>
      <c r="J256" s="11">
        <f t="shared" ca="1" si="16"/>
        <v>0</v>
      </c>
      <c r="K256" s="11">
        <f t="shared" si="17"/>
        <v>1.7196000382754102</v>
      </c>
      <c r="L256" s="11">
        <f t="shared" ca="1" si="19"/>
        <v>1.7196000382754102</v>
      </c>
    </row>
    <row r="257" spans="1:13" ht="18" x14ac:dyDescent="0.25">
      <c r="H257" s="20" t="s">
        <v>364</v>
      </c>
      <c r="I257" s="20" t="str">
        <f t="shared" si="15"/>
        <v>NTS SP 4</v>
      </c>
      <c r="J257" s="11">
        <f t="shared" ca="1" si="16"/>
        <v>0</v>
      </c>
      <c r="K257" s="11">
        <f t="shared" si="17"/>
        <v>1.7196000382754102</v>
      </c>
      <c r="L257" s="11">
        <f t="shared" ca="1" si="19"/>
        <v>1.7196000382754102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1.7196000382754102</v>
      </c>
      <c r="L259" s="11">
        <f t="shared" ca="1" si="19"/>
        <v>1.7196000382754102</v>
      </c>
    </row>
    <row r="260" spans="1:13" ht="18" x14ac:dyDescent="0.25">
      <c r="H260" s="20" t="s">
        <v>367</v>
      </c>
      <c r="I260" s="20" t="str">
        <f t="shared" si="15"/>
        <v>PE-TECAB (INTERCONEXÃO)</v>
      </c>
      <c r="J260" s="11">
        <f t="shared" ca="1" si="16"/>
        <v>0</v>
      </c>
      <c r="K260" s="11">
        <f t="shared" si="17"/>
        <v>1.7196000382754102</v>
      </c>
      <c r="L260" s="11">
        <f t="shared" ca="1" si="19"/>
        <v>1.7196000382754102</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(Legados)'!C11</f>
        <v>200</v>
      </c>
      <c r="D267" s="207">
        <f ca="1">E253</f>
        <v>3.2831183662820846</v>
      </c>
      <c r="E267" s="210">
        <f ca="1">D267*(1-$C$262)</f>
        <v>0.3283118366282084</v>
      </c>
      <c r="F267" s="208">
        <f ca="1">C267*E267*'Premissas (Legados)'!$C$54*'Premissas (Legados)'!$F$20*1000</f>
        <v>894012.52353386558</v>
      </c>
      <c r="L267" s="84"/>
    </row>
    <row r="268" spans="1:13" ht="18.75" x14ac:dyDescent="0.3">
      <c r="B268" s="189" t="s">
        <v>376</v>
      </c>
      <c r="C268" s="213">
        <f>'Oferta (Legados)'!C10</f>
        <v>7525</v>
      </c>
      <c r="D268" s="207">
        <f ca="1">E252</f>
        <v>3.2831183662820846</v>
      </c>
      <c r="E268" s="210">
        <f t="shared" ref="E268:E270" ca="1" si="20">D268*(1-$C$262)</f>
        <v>0.3283118366282084</v>
      </c>
      <c r="F268" s="208">
        <f ca="1">C268*E268*'Premissas (Legados)'!$C$54*'Premissas (Legados)'!$F$20*1000</f>
        <v>33637221.197961688</v>
      </c>
      <c r="G268" s="85"/>
      <c r="K268" s="85"/>
      <c r="L268" s="84"/>
    </row>
    <row r="269" spans="1:13" ht="18.75" x14ac:dyDescent="0.3">
      <c r="B269" s="190" t="s">
        <v>377</v>
      </c>
      <c r="C269" s="213">
        <f>'Oferta (Legados)'!C12</f>
        <v>200</v>
      </c>
      <c r="D269" s="207">
        <f ca="1">E254</f>
        <v>3.2831183662820846</v>
      </c>
      <c r="E269" s="210">
        <f t="shared" ca="1" si="20"/>
        <v>0.3283118366282084</v>
      </c>
      <c r="F269" s="208">
        <f ca="1">C269*E269*'Premissas (Legados)'!$C$54*'Premissas (Legados)'!$F$20*1000</f>
        <v>894012.52353386558</v>
      </c>
      <c r="K269" s="85"/>
      <c r="L269" s="84"/>
    </row>
    <row r="270" spans="1:13" ht="18.75" x14ac:dyDescent="0.3">
      <c r="B270" s="190" t="s">
        <v>185</v>
      </c>
      <c r="C270" s="213">
        <f>'Oferta (Legados)'!C6</f>
        <v>383</v>
      </c>
      <c r="D270" s="207">
        <f ca="1">E248</f>
        <v>3.2831183662820846</v>
      </c>
      <c r="E270" s="210">
        <f t="shared" ca="1" si="20"/>
        <v>0.3283118366282084</v>
      </c>
      <c r="F270" s="208">
        <f ca="1">C270*E270*'Premissas (Legados)'!$C$54*'Premissas (Legados)'!$F$20*1000</f>
        <v>1712033.9825673527</v>
      </c>
      <c r="K270" s="85"/>
      <c r="L270" s="84"/>
    </row>
    <row r="271" spans="1:13" ht="18.75" x14ac:dyDescent="0.3">
      <c r="B271" s="188" t="s">
        <v>378</v>
      </c>
      <c r="C271" s="213">
        <f>'Demanda (Legados)'!C17</f>
        <v>9703</v>
      </c>
      <c r="D271" s="207">
        <f ca="1">L259</f>
        <v>1.7196000382754102</v>
      </c>
      <c r="E271" s="210">
        <f ca="1">D271*(1-$C$262)</f>
        <v>0.17196000382754098</v>
      </c>
      <c r="F271" s="208">
        <f ca="1">C271*E271*'Premissas (Legados)'!$C$54*'Premissas (Legados)'!$F$20*1000</f>
        <v>22717500.366534855</v>
      </c>
      <c r="K271" s="85"/>
      <c r="L271" s="84"/>
    </row>
    <row r="272" spans="1:13" ht="18.75" x14ac:dyDescent="0.3">
      <c r="B272" s="190" t="s">
        <v>379</v>
      </c>
      <c r="C272" s="213">
        <f>'Demanda (Legados)'!C18</f>
        <v>200</v>
      </c>
      <c r="D272" s="207">
        <f ca="1">L260</f>
        <v>1.7196000382754102</v>
      </c>
      <c r="E272" s="210">
        <f ca="1">D272*(1-$C$262)</f>
        <v>0.17196000382754098</v>
      </c>
      <c r="F272" s="208">
        <f ca="1">C272*E272*'Premissas (Legados)'!$C$54*'Premissas (Legados)'!$F$20*1000</f>
        <v>468257.24758394004</v>
      </c>
      <c r="K272" s="85"/>
      <c r="L272" s="84"/>
    </row>
    <row r="273" spans="2:13" ht="19.5" thickBot="1" x14ac:dyDescent="0.35">
      <c r="B273" s="190"/>
      <c r="C273" s="190"/>
      <c r="D273" s="190"/>
      <c r="E273" s="190"/>
      <c r="F273" s="209">
        <f ca="1">SUM(F267:F272)</f>
        <v>60323037.841715574</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909-5FE2-482B-ABC9-F2B6B608D554}">
  <sheetPr codeName="Planilha12">
    <tabColor theme="1" tint="0.499984740745262"/>
  </sheetPr>
  <dimension ref="A2:AA303"/>
  <sheetViews>
    <sheetView showGridLines="0" topLeftCell="A257" zoomScale="70" zoomScaleNormal="70" workbookViewId="0">
      <selection activeCell="C272" sqref="C272"/>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101</v>
      </c>
    </row>
    <row r="3" spans="1:9" ht="15.75" thickBot="1" x14ac:dyDescent="0.3">
      <c r="G3" s="147">
        <v>2026</v>
      </c>
    </row>
    <row r="4" spans="1:9" ht="18.75" thickBot="1" x14ac:dyDescent="0.3">
      <c r="A4" s="162"/>
      <c r="B4" s="163" t="s">
        <v>102</v>
      </c>
      <c r="C4" s="164" t="s">
        <v>200</v>
      </c>
      <c r="D4" s="165">
        <f>'Premissas (Legados)'!D37/1000</f>
        <v>5217.0100810818731</v>
      </c>
      <c r="E4" s="166" t="s">
        <v>103</v>
      </c>
      <c r="F4" s="162"/>
      <c r="G4" s="162"/>
      <c r="H4" s="177"/>
      <c r="I4" s="177"/>
    </row>
    <row r="5" spans="1:9" ht="15.75" thickBot="1" x14ac:dyDescent="0.3">
      <c r="A5" s="153"/>
      <c r="B5" s="197" t="s">
        <v>385</v>
      </c>
      <c r="C5" s="150"/>
      <c r="D5" s="151">
        <f ca="1">D6+D9</f>
        <v>5156.6870432401574</v>
      </c>
      <c r="E5" s="166" t="s">
        <v>103</v>
      </c>
      <c r="F5" s="215" t="s">
        <v>390</v>
      </c>
      <c r="G5" s="153"/>
      <c r="H5" s="177"/>
      <c r="I5" s="177"/>
    </row>
    <row r="6" spans="1:9" ht="18" x14ac:dyDescent="0.25">
      <c r="A6" s="148">
        <f>HLOOKUP($G$3,'Premissas (Legados)'!$B$5:$F$13,9,FALSE)</f>
        <v>0.7</v>
      </c>
      <c r="B6" s="149" t="s">
        <v>104</v>
      </c>
      <c r="C6" s="150" t="s">
        <v>201</v>
      </c>
      <c r="D6" s="151">
        <f ca="1">($A$6*$D$4)-(SUM($F$268:$F$271)/10^6)</f>
        <v>3614.7697765297139</v>
      </c>
      <c r="E6" s="152" t="s">
        <v>105</v>
      </c>
      <c r="F6" s="215" t="s">
        <v>383</v>
      </c>
      <c r="G6" s="153"/>
      <c r="H6" s="177"/>
    </row>
    <row r="7" spans="1:9" ht="30" x14ac:dyDescent="0.25">
      <c r="A7" s="48"/>
      <c r="B7" s="154" t="s">
        <v>106</v>
      </c>
      <c r="C7" s="155" t="s">
        <v>202</v>
      </c>
      <c r="D7" s="156">
        <f>$C$35*'Premissas (Legados)'!$B$20</f>
        <v>26786985</v>
      </c>
      <c r="E7" s="154" t="s">
        <v>107</v>
      </c>
      <c r="F7" s="172">
        <f>F35</f>
        <v>999212909.34031487</v>
      </c>
      <c r="G7" s="40" t="s">
        <v>108</v>
      </c>
    </row>
    <row r="8" spans="1:9" ht="18.75" thickBot="1" x14ac:dyDescent="0.3">
      <c r="A8" s="157"/>
      <c r="B8" s="158" t="s">
        <v>109</v>
      </c>
      <c r="C8" s="159" t="s">
        <v>203</v>
      </c>
      <c r="D8" s="160">
        <f ca="1">$D$6/$D$7*1000</f>
        <v>0.13494500319949085</v>
      </c>
      <c r="E8" s="161" t="s">
        <v>110</v>
      </c>
      <c r="F8" s="174">
        <f ca="1">$D$6/$F$7*1000000</f>
        <v>3.617617169213919</v>
      </c>
      <c r="G8" s="170" t="s">
        <v>15</v>
      </c>
      <c r="I8" s="177"/>
    </row>
    <row r="9" spans="1:9" ht="18" x14ac:dyDescent="0.25">
      <c r="A9" s="148">
        <f>1-A6</f>
        <v>0.30000000000000004</v>
      </c>
      <c r="B9" s="149" t="s">
        <v>111</v>
      </c>
      <c r="C9" s="150" t="s">
        <v>204</v>
      </c>
      <c r="D9" s="151">
        <f ca="1">($A$9*$D$4)-(SUM($F$272:$F$273)/10^6)</f>
        <v>1541.9172667104433</v>
      </c>
      <c r="E9" s="152" t="s">
        <v>105</v>
      </c>
      <c r="F9" s="215" t="s">
        <v>384</v>
      </c>
      <c r="G9" s="171"/>
    </row>
    <row r="10" spans="1:9" ht="30" x14ac:dyDescent="0.25">
      <c r="B10" s="154" t="s">
        <v>112</v>
      </c>
      <c r="C10" s="155" t="s">
        <v>205</v>
      </c>
      <c r="D10" s="156">
        <f>$C$58*'Premissas (Legados)'!$B$20</f>
        <v>20784925</v>
      </c>
      <c r="E10" s="154" t="s">
        <v>107</v>
      </c>
      <c r="F10" s="172">
        <f>F58</f>
        <v>775322992.85157502</v>
      </c>
      <c r="G10" s="40" t="s">
        <v>108</v>
      </c>
    </row>
    <row r="11" spans="1:9" ht="18.75" thickBot="1" x14ac:dyDescent="0.3">
      <c r="A11" s="167"/>
      <c r="B11" s="158" t="s">
        <v>113</v>
      </c>
      <c r="C11" s="159" t="s">
        <v>206</v>
      </c>
      <c r="D11" s="160">
        <f ca="1">$D$9/$D$10*1000</f>
        <v>7.4184403682497929E-2</v>
      </c>
      <c r="E11" s="161" t="s">
        <v>110</v>
      </c>
      <c r="F11" s="174">
        <f ca="1">$D$9/$F$10*1000000</f>
        <v>1.9887418287949863</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v>37.302179000000002</v>
      </c>
      <c r="I19" s="49"/>
    </row>
    <row r="20" spans="1:9" ht="18" x14ac:dyDescent="0.35">
      <c r="A20" t="s">
        <v>210</v>
      </c>
      <c r="B20" t="s">
        <v>122</v>
      </c>
      <c r="C20" s="19"/>
      <c r="H20" s="55">
        <v>3.7302178999999998E-2</v>
      </c>
      <c r="I20" s="49"/>
    </row>
    <row r="21" spans="1:9" x14ac:dyDescent="0.25">
      <c r="C21" s="19"/>
      <c r="H21" s="55"/>
      <c r="I21" s="49"/>
    </row>
    <row r="22" spans="1:9" x14ac:dyDescent="0.25">
      <c r="C22" s="367">
        <v>2026</v>
      </c>
      <c r="F22" s="380">
        <v>2026</v>
      </c>
      <c r="G22" s="49"/>
    </row>
    <row r="23" spans="1:9" ht="15.95" customHeight="1" x14ac:dyDescent="0.25">
      <c r="C23" s="367" t="s">
        <v>180</v>
      </c>
      <c r="F23" s="380" t="s">
        <v>181</v>
      </c>
      <c r="G23" s="49"/>
    </row>
    <row r="24" spans="1:9" ht="34.5" x14ac:dyDescent="0.25">
      <c r="A24" s="56" t="s">
        <v>123</v>
      </c>
      <c r="B24" s="57" t="s">
        <v>124</v>
      </c>
      <c r="C24" s="59" t="s">
        <v>211</v>
      </c>
      <c r="F24" s="381" t="s">
        <v>213</v>
      </c>
      <c r="G24" s="49"/>
    </row>
    <row r="25" spans="1:9" x14ac:dyDescent="0.25">
      <c r="A25" s="2" t="s">
        <v>182</v>
      </c>
      <c r="B25" s="16" t="s">
        <v>28</v>
      </c>
      <c r="C25" s="231">
        <f>'Oferta (Legados)'!C3</f>
        <v>14956</v>
      </c>
      <c r="E25" s="60"/>
      <c r="F25" s="15">
        <f>IFERROR($C25*$H$20*'Premissas (Legados)'!$B$20*1000," ")</f>
        <v>203630357.03025997</v>
      </c>
      <c r="G25" s="49"/>
    </row>
    <row r="26" spans="1:9" x14ac:dyDescent="0.25">
      <c r="A26" s="2" t="s">
        <v>125</v>
      </c>
      <c r="B26" s="16" t="s">
        <v>26</v>
      </c>
      <c r="C26" s="231">
        <f>'Oferta (Legados)'!C4</f>
        <v>20000</v>
      </c>
      <c r="E26" s="60"/>
      <c r="F26" s="15">
        <f>IFERROR($C26*$H$20*'Premissas (Legados)'!$B$20*1000," ")</f>
        <v>272305906.69999999</v>
      </c>
      <c r="G26" s="49"/>
    </row>
    <row r="27" spans="1:9" x14ac:dyDescent="0.25">
      <c r="A27" s="2" t="s">
        <v>126</v>
      </c>
      <c r="B27" s="16" t="s">
        <v>411</v>
      </c>
      <c r="C27" s="231">
        <f>'Oferta (Legados)'!C5</f>
        <v>13564</v>
      </c>
      <c r="D27" s="18"/>
      <c r="E27" s="60"/>
      <c r="F27" s="15">
        <f>IFERROR($C27*$H$20*'Premissas (Legados)'!$B$20*1000," ")</f>
        <v>184677865.92394</v>
      </c>
      <c r="G27" s="49"/>
    </row>
    <row r="28" spans="1:9" x14ac:dyDescent="0.25">
      <c r="A28" s="2" t="s">
        <v>127</v>
      </c>
      <c r="B28" s="16" t="s">
        <v>388</v>
      </c>
      <c r="C28" s="234"/>
      <c r="D28" s="216" t="s">
        <v>386</v>
      </c>
      <c r="E28" s="60"/>
      <c r="F28" s="15">
        <f>IFERROR($C28*$H$20*'Premissas (Legados)'!$B$20*1000," ")</f>
        <v>0</v>
      </c>
      <c r="G28" s="49"/>
    </row>
    <row r="29" spans="1:9" x14ac:dyDescent="0.25">
      <c r="A29" s="2" t="s">
        <v>128</v>
      </c>
      <c r="B29" s="16" t="s">
        <v>27</v>
      </c>
      <c r="C29" s="231">
        <f>'Oferta (Legados)'!C7</f>
        <v>0</v>
      </c>
      <c r="D29" s="18"/>
      <c r="E29" s="60"/>
      <c r="F29" s="15">
        <f>IFERROR($C29*$H$20*'Premissas (Legados)'!$B$20*1000," ")</f>
        <v>0</v>
      </c>
      <c r="G29" s="49"/>
    </row>
    <row r="30" spans="1:9" x14ac:dyDescent="0.25">
      <c r="A30" s="2" t="s">
        <v>183</v>
      </c>
      <c r="B30" s="16" t="s">
        <v>29</v>
      </c>
      <c r="C30" s="231">
        <f>'Oferta (Legados)'!C8</f>
        <v>0</v>
      </c>
      <c r="D30" s="18"/>
      <c r="E30" s="60"/>
      <c r="F30" s="15">
        <f>IFERROR($C30*$H$20*'Premissas (Legados)'!$B$20*1000," ")</f>
        <v>0</v>
      </c>
      <c r="G30" s="49"/>
    </row>
    <row r="31" spans="1:9" x14ac:dyDescent="0.25">
      <c r="A31" s="2" t="s">
        <v>129</v>
      </c>
      <c r="B31" s="16" t="s">
        <v>24</v>
      </c>
      <c r="C31" s="231">
        <f>'Oferta (Legados)'!C9</f>
        <v>24869</v>
      </c>
      <c r="D31" s="18"/>
      <c r="E31" s="60"/>
      <c r="F31" s="15">
        <f>IFERROR($C31*$H$20*'Premissas (Legados)'!$B$20*1000," ")</f>
        <v>338598779.68611497</v>
      </c>
      <c r="G31" s="49"/>
    </row>
    <row r="32" spans="1:9" x14ac:dyDescent="0.25">
      <c r="A32" s="2" t="s">
        <v>184</v>
      </c>
      <c r="B32" s="16" t="s">
        <v>194</v>
      </c>
      <c r="C32" s="191"/>
      <c r="D32" s="216" t="s">
        <v>386</v>
      </c>
      <c r="E32" s="60"/>
      <c r="F32" s="15">
        <f>IFERROR($C32*$H$20*'Premissas (Legados)'!$B$20*1000," ")</f>
        <v>0</v>
      </c>
      <c r="G32" s="49"/>
    </row>
    <row r="33" spans="1:8" x14ac:dyDescent="0.25">
      <c r="A33" s="2" t="s">
        <v>130</v>
      </c>
      <c r="B33" s="16" t="s">
        <v>196</v>
      </c>
      <c r="C33" s="191"/>
      <c r="D33" s="216" t="s">
        <v>386</v>
      </c>
      <c r="E33" s="60"/>
      <c r="F33" s="15">
        <f>IFERROR($C33*$H$20*'Premissas (Legados)'!$B$20*1000," ")</f>
        <v>0</v>
      </c>
      <c r="G33" s="49"/>
    </row>
    <row r="34" spans="1:8" x14ac:dyDescent="0.25">
      <c r="A34" s="2" t="s">
        <v>131</v>
      </c>
      <c r="B34" s="16" t="s">
        <v>195</v>
      </c>
      <c r="C34" s="191"/>
      <c r="D34" s="216" t="s">
        <v>386</v>
      </c>
      <c r="E34" s="60"/>
      <c r="F34" s="15">
        <f>IFERROR($C34*$H$20*'Premissas (Legados)'!$B$20*1000,"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67">
        <v>2026</v>
      </c>
      <c r="F39" s="380">
        <v>2026</v>
      </c>
      <c r="H39" s="49"/>
    </row>
    <row r="40" spans="1:8" ht="15.95" customHeight="1" x14ac:dyDescent="0.25">
      <c r="C40" s="367" t="s">
        <v>180</v>
      </c>
      <c r="F40" s="380" t="s">
        <v>181</v>
      </c>
      <c r="G40" s="49"/>
    </row>
    <row r="41" spans="1:8" ht="34.5" x14ac:dyDescent="0.25">
      <c r="A41" s="56" t="s">
        <v>123</v>
      </c>
      <c r="B41" s="57" t="s">
        <v>132</v>
      </c>
      <c r="C41" s="59" t="s">
        <v>214</v>
      </c>
      <c r="F41" s="381" t="s">
        <v>216</v>
      </c>
      <c r="G41" s="49"/>
    </row>
    <row r="42" spans="1:8" x14ac:dyDescent="0.25">
      <c r="A42" s="2" t="s">
        <v>37</v>
      </c>
      <c r="B42" s="16" t="s">
        <v>160</v>
      </c>
      <c r="C42" s="231">
        <f>'Demanda (Legados)'!C3</f>
        <v>668</v>
      </c>
      <c r="F42" s="15">
        <f>IFERROR($C42*$H$20*'Premissas (Legados)'!$B$20*1000," ")</f>
        <v>9095017.2837799974</v>
      </c>
      <c r="G42" s="49"/>
    </row>
    <row r="43" spans="1:8" x14ac:dyDescent="0.25">
      <c r="A43" s="2" t="s">
        <v>38</v>
      </c>
      <c r="B43" s="16" t="s">
        <v>161</v>
      </c>
      <c r="C43" s="231">
        <f>'Demanda (Legados)'!C4</f>
        <v>1824</v>
      </c>
      <c r="D43" s="18"/>
      <c r="F43" s="15">
        <f>IFERROR($C43*$H$20*'Premissas (Legados)'!$B$20*1000," ")</f>
        <v>24834298.691039998</v>
      </c>
      <c r="G43" s="49"/>
    </row>
    <row r="44" spans="1:8" x14ac:dyDescent="0.25">
      <c r="A44" s="2" t="s">
        <v>39</v>
      </c>
      <c r="B44" s="16" t="s">
        <v>162</v>
      </c>
      <c r="C44" s="231">
        <f>'Demanda (Legados)'!C5</f>
        <v>3002</v>
      </c>
      <c r="D44" s="18"/>
      <c r="F44" s="15">
        <f>IFERROR($C44*$H$20*'Premissas (Legados)'!$B$20*1000," ")</f>
        <v>40873116.59567</v>
      </c>
      <c r="G44" s="49"/>
    </row>
    <row r="45" spans="1:8" x14ac:dyDescent="0.25">
      <c r="A45" s="2" t="s">
        <v>40</v>
      </c>
      <c r="B45" s="16" t="s">
        <v>163</v>
      </c>
      <c r="C45" s="231">
        <f>'Demanda (Legados)'!C6</f>
        <v>351</v>
      </c>
      <c r="D45" s="18"/>
      <c r="F45" s="15">
        <f>IFERROR($C45*$H$20*'Premissas (Legados)'!$B$20*1000," ")</f>
        <v>4778968.6625849996</v>
      </c>
      <c r="G45" s="49"/>
    </row>
    <row r="46" spans="1:8" x14ac:dyDescent="0.25">
      <c r="A46" s="2" t="s">
        <v>41</v>
      </c>
      <c r="B46" s="16" t="s">
        <v>164</v>
      </c>
      <c r="C46" s="231">
        <f>'Demanda (Legados)'!C7</f>
        <v>17575</v>
      </c>
      <c r="D46" s="18"/>
      <c r="F46" s="15">
        <f>IFERROR($C46*$H$20*'Premissas (Legados)'!$B$20*1000," ")</f>
        <v>239288815.51262498</v>
      </c>
      <c r="G46" s="49"/>
    </row>
    <row r="47" spans="1:8" x14ac:dyDescent="0.25">
      <c r="A47" s="2" t="s">
        <v>42</v>
      </c>
      <c r="B47" s="16" t="s">
        <v>165</v>
      </c>
      <c r="C47" s="231">
        <f>'Demanda (Legados)'!C8</f>
        <v>11227</v>
      </c>
      <c r="D47" s="18"/>
      <c r="F47" s="15">
        <f>IFERROR($C47*$H$20*'Premissas (Legados)'!$B$20*1000," ")</f>
        <v>152858920.72604498</v>
      </c>
      <c r="G47" s="49"/>
    </row>
    <row r="48" spans="1:8" x14ac:dyDescent="0.25">
      <c r="A48" s="2" t="s">
        <v>43</v>
      </c>
      <c r="B48" s="16" t="s">
        <v>166</v>
      </c>
      <c r="C48" s="231">
        <f>'Demanda (Legados)'!C9</f>
        <v>2083</v>
      </c>
      <c r="D48" s="18"/>
      <c r="F48" s="15">
        <f>IFERROR($C48*$H$20*'Premissas (Legados)'!$B$20*1000," ")</f>
        <v>28360660.182804998</v>
      </c>
      <c r="G48" s="49"/>
    </row>
    <row r="49" spans="1:9" x14ac:dyDescent="0.25">
      <c r="A49" s="2" t="s">
        <v>44</v>
      </c>
      <c r="B49" s="16" t="s">
        <v>167</v>
      </c>
      <c r="C49" s="231">
        <f>'Demanda (Legados)'!C10</f>
        <v>340</v>
      </c>
      <c r="D49" s="18"/>
      <c r="F49" s="15">
        <f>IFERROR($C49*$H$20*'Premissas (Legados)'!$B$20*1000," ")</f>
        <v>4629200.4139</v>
      </c>
      <c r="G49" s="49"/>
    </row>
    <row r="50" spans="1:9" x14ac:dyDescent="0.25">
      <c r="A50" s="2" t="s">
        <v>45</v>
      </c>
      <c r="B50" s="16" t="s">
        <v>168</v>
      </c>
      <c r="C50" s="231">
        <f>'Demanda (Legados)'!C11</f>
        <v>2249</v>
      </c>
      <c r="D50" s="18"/>
      <c r="F50" s="15">
        <f>IFERROR($C50*$H$20*'Premissas (Legados)'!$B$20*1000," ")</f>
        <v>30620799.208414994</v>
      </c>
      <c r="G50" s="49"/>
    </row>
    <row r="51" spans="1:9" x14ac:dyDescent="0.25">
      <c r="A51" s="2" t="s">
        <v>46</v>
      </c>
      <c r="B51" s="16" t="s">
        <v>169</v>
      </c>
      <c r="C51" s="231">
        <f>'Demanda (Legados)'!C12</f>
        <v>1161</v>
      </c>
      <c r="D51" s="18"/>
      <c r="F51" s="15">
        <f>IFERROR($C51*$H$20*'Premissas (Legados)'!$B$20*1000," ")</f>
        <v>15807357.883934999</v>
      </c>
      <c r="G51" s="49"/>
    </row>
    <row r="52" spans="1:9" x14ac:dyDescent="0.25">
      <c r="A52" s="2" t="s">
        <v>47</v>
      </c>
      <c r="B52" s="16" t="s">
        <v>170</v>
      </c>
      <c r="C52" s="231">
        <f>'Demanda (Legados)'!C13</f>
        <v>3064</v>
      </c>
      <c r="D52" s="18"/>
      <c r="F52" s="15">
        <f>IFERROR($C52*$H$20*'Premissas (Legados)'!$B$20*1000," ")</f>
        <v>41717264.906439997</v>
      </c>
      <c r="G52" s="49"/>
    </row>
    <row r="53" spans="1:9" x14ac:dyDescent="0.25">
      <c r="A53" s="2" t="s">
        <v>48</v>
      </c>
      <c r="B53" s="16" t="s">
        <v>171</v>
      </c>
      <c r="C53" s="231">
        <f>'Demanda (Legados)'!C14</f>
        <v>9481</v>
      </c>
      <c r="D53" s="18"/>
      <c r="F53" s="15">
        <f>IFERROR($C53*$H$20*'Premissas (Legados)'!$B$20*1000," ")</f>
        <v>129086615.071135</v>
      </c>
      <c r="G53" s="49"/>
    </row>
    <row r="54" spans="1:9" x14ac:dyDescent="0.25">
      <c r="A54" s="2" t="s">
        <v>49</v>
      </c>
      <c r="B54" s="16" t="s">
        <v>172</v>
      </c>
      <c r="C54" s="231">
        <f>'Demanda (Legados)'!C15</f>
        <v>3920</v>
      </c>
      <c r="D54" s="18"/>
      <c r="F54" s="15">
        <f>IFERROR($C54*$H$20*'Premissas (Legados)'!$B$20*1000," ")</f>
        <v>53371957.713199995</v>
      </c>
      <c r="G54" s="49"/>
    </row>
    <row r="55" spans="1:9" x14ac:dyDescent="0.25">
      <c r="A55" s="2" t="s">
        <v>50</v>
      </c>
      <c r="B55" s="16" t="s">
        <v>199</v>
      </c>
      <c r="C55" s="191"/>
      <c r="D55" s="216" t="s">
        <v>386</v>
      </c>
      <c r="F55" s="15">
        <f>IFERROR($C55*$H$20*'Premissas (Legados)'!$B$20*1000," ")</f>
        <v>0</v>
      </c>
      <c r="G55" s="49"/>
    </row>
    <row r="56" spans="1:9" x14ac:dyDescent="0.25">
      <c r="A56" s="2" t="s">
        <v>51</v>
      </c>
      <c r="B56" s="16" t="s">
        <v>198</v>
      </c>
      <c r="C56" s="191"/>
      <c r="D56" s="216" t="s">
        <v>386</v>
      </c>
      <c r="F56" s="15">
        <f>IFERROR($C56*$H$20*'Premissas (Legados)'!$B$20*1000," ")</f>
        <v>0</v>
      </c>
      <c r="G56" s="49"/>
    </row>
    <row r="57" spans="1:9" x14ac:dyDescent="0.25">
      <c r="A57" s="2" t="s">
        <v>52</v>
      </c>
      <c r="B57" s="16" t="s">
        <v>197</v>
      </c>
      <c r="C57" s="191"/>
      <c r="D57" s="216" t="s">
        <v>386</v>
      </c>
      <c r="F57" s="15">
        <f>IFERROR($C57*$H$20*'Premissas (Legados)'!$B$20*1000,"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416</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893.00592528463244</v>
      </c>
      <c r="C194" s="19"/>
      <c r="D194" t="s">
        <v>311</v>
      </c>
      <c r="E194" s="5">
        <f t="shared" ref="E194:E209" ca="1" si="7">$E163*$D$9</f>
        <v>22.573264247372006</v>
      </c>
    </row>
    <row r="195" spans="1:5" ht="18" x14ac:dyDescent="0.35">
      <c r="A195" t="s">
        <v>312</v>
      </c>
      <c r="B195" s="6">
        <f t="shared" ca="1" si="6"/>
        <v>700.01054478258254</v>
      </c>
      <c r="D195" t="s">
        <v>313</v>
      </c>
      <c r="E195" s="5">
        <f t="shared" ca="1" si="7"/>
        <v>78.183930976906254</v>
      </c>
    </row>
    <row r="196" spans="1:5" ht="18" x14ac:dyDescent="0.35">
      <c r="A196" t="s">
        <v>314</v>
      </c>
      <c r="B196" s="6">
        <f t="shared" ca="1" si="6"/>
        <v>557.86757861440856</v>
      </c>
      <c r="D196" t="s">
        <v>315</v>
      </c>
      <c r="E196" s="5">
        <f t="shared" ca="1" si="7"/>
        <v>161.51687115737488</v>
      </c>
    </row>
    <row r="197" spans="1:5" ht="18" x14ac:dyDescent="0.35">
      <c r="A197" t="s">
        <v>316</v>
      </c>
      <c r="B197" s="6">
        <f t="shared" ca="1" si="6"/>
        <v>0</v>
      </c>
      <c r="D197" t="s">
        <v>317</v>
      </c>
      <c r="E197" s="5">
        <f t="shared" ca="1" si="7"/>
        <v>20.492915939412832</v>
      </c>
    </row>
    <row r="198" spans="1:5" ht="18" x14ac:dyDescent="0.35">
      <c r="A198" t="s">
        <v>318</v>
      </c>
      <c r="B198" s="6">
        <f t="shared" ca="1" si="6"/>
        <v>0</v>
      </c>
      <c r="D198" t="s">
        <v>319</v>
      </c>
      <c r="E198" s="5">
        <f t="shared" ca="1" si="7"/>
        <v>272.40485324472587</v>
      </c>
    </row>
    <row r="199" spans="1:5" ht="18" x14ac:dyDescent="0.35">
      <c r="A199" t="s">
        <v>320</v>
      </c>
      <c r="B199" s="6">
        <f t="shared" ca="1" si="6"/>
        <v>0</v>
      </c>
      <c r="D199" t="s">
        <v>321</v>
      </c>
      <c r="E199" s="5">
        <f t="shared" ca="1" si="7"/>
        <v>187.45300230493439</v>
      </c>
    </row>
    <row r="200" spans="1:5" ht="18" x14ac:dyDescent="0.35">
      <c r="A200" t="s">
        <v>322</v>
      </c>
      <c r="B200" s="6">
        <f t="shared" ca="1" si="6"/>
        <v>1463.8857278480903</v>
      </c>
      <c r="D200" t="s">
        <v>323</v>
      </c>
      <c r="E200" s="5">
        <f t="shared" ca="1" si="7"/>
        <v>40.210464645661318</v>
      </c>
    </row>
    <row r="201" spans="1:5" ht="18" x14ac:dyDescent="0.35">
      <c r="A201" t="s">
        <v>324</v>
      </c>
      <c r="B201" s="6">
        <f t="shared" ca="1" si="6"/>
        <v>0</v>
      </c>
      <c r="D201" t="s">
        <v>325</v>
      </c>
      <c r="E201" s="5">
        <f t="shared" ca="1" si="7"/>
        <v>7.7163513935353336</v>
      </c>
    </row>
    <row r="202" spans="1:5" ht="18" x14ac:dyDescent="0.35">
      <c r="A202" t="s">
        <v>326</v>
      </c>
      <c r="B202" s="6">
        <f t="shared" ca="1" si="6"/>
        <v>0</v>
      </c>
      <c r="D202" t="s">
        <v>327</v>
      </c>
      <c r="E202" s="5">
        <f t="shared" ca="1" si="7"/>
        <v>37.931033375951458</v>
      </c>
    </row>
    <row r="203" spans="1:5" ht="18" x14ac:dyDescent="0.35">
      <c r="A203" t="s">
        <v>328</v>
      </c>
      <c r="B203" s="6">
        <f t="shared" ca="1" si="6"/>
        <v>0</v>
      </c>
      <c r="D203" t="s">
        <v>329</v>
      </c>
      <c r="E203" s="5">
        <f t="shared" ca="1" si="7"/>
        <v>37.219549726148038</v>
      </c>
    </row>
    <row r="204" spans="1:5" ht="18" x14ac:dyDescent="0.35">
      <c r="B204" s="6">
        <f ca="1">SUM(B194:B203)</f>
        <v>3614.7697765297135</v>
      </c>
      <c r="D204" t="s">
        <v>330</v>
      </c>
      <c r="E204" s="5">
        <f t="shared" ca="1" si="7"/>
        <v>97.216749906557894</v>
      </c>
    </row>
    <row r="205" spans="1:5" ht="18" x14ac:dyDescent="0.35">
      <c r="B205" s="6"/>
      <c r="D205" t="s">
        <v>331</v>
      </c>
      <c r="E205" s="5">
        <f t="shared" ca="1" si="7"/>
        <v>400.43215383932494</v>
      </c>
    </row>
    <row r="206" spans="1:5" ht="18" x14ac:dyDescent="0.35">
      <c r="B206" s="6"/>
      <c r="D206" t="s">
        <v>332</v>
      </c>
      <c r="E206" s="5">
        <f t="shared" ca="1" si="7"/>
        <v>178.5661259525383</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1541.9172667104435</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4.385426310242778</v>
      </c>
      <c r="D227" s="77"/>
      <c r="E227" s="7"/>
      <c r="F227" s="7"/>
      <c r="G227" s="78"/>
      <c r="H227" s="20" t="s">
        <v>343</v>
      </c>
      <c r="I227" s="20" t="str">
        <f t="shared" ref="I227:I242" si="9">B42</f>
        <v>NTS MG 1</v>
      </c>
      <c r="J227" s="11">
        <f t="shared" ref="J227:J242" ca="1" si="10">IFERROR($E194/$F42*1000000," ")</f>
        <v>2.4819374766476843</v>
      </c>
      <c r="L227" s="12"/>
      <c r="M227" s="79"/>
      <c r="Q227" s="7"/>
      <c r="R227" s="80"/>
      <c r="S227" s="81"/>
      <c r="T227" s="81"/>
      <c r="U227" s="81"/>
    </row>
    <row r="228" spans="1:21" ht="18" x14ac:dyDescent="0.25">
      <c r="A228" s="20" t="s">
        <v>344</v>
      </c>
      <c r="B228" s="20" t="str">
        <f t="shared" ref="B228:B236" si="11">B26</f>
        <v>PR-GNLBGB</v>
      </c>
      <c r="C228" s="11">
        <f t="shared" ca="1" si="8"/>
        <v>2.5706770494471343</v>
      </c>
      <c r="D228" s="77"/>
      <c r="E228" s="7"/>
      <c r="F228" s="7"/>
      <c r="G228" s="78"/>
      <c r="H228" s="20" t="s">
        <v>345</v>
      </c>
      <c r="I228" s="20" t="str">
        <f t="shared" si="9"/>
        <v>NTS MG 2</v>
      </c>
      <c r="J228" s="11">
        <f t="shared" ca="1" si="10"/>
        <v>3.1482238314671775</v>
      </c>
      <c r="L228" s="12"/>
      <c r="M228" s="79"/>
      <c r="Q228" s="7"/>
      <c r="R228" s="80"/>
      <c r="S228" s="81"/>
      <c r="T228" s="81"/>
      <c r="U228" s="81"/>
    </row>
    <row r="229" spans="1:21" ht="18" x14ac:dyDescent="0.25">
      <c r="A229" s="20" t="s">
        <v>346</v>
      </c>
      <c r="B229" s="20" t="str">
        <f t="shared" si="11"/>
        <v>PR-ITABORAÍ</v>
      </c>
      <c r="C229" s="11">
        <f t="shared" ca="1" si="8"/>
        <v>3.0207603700822903</v>
      </c>
      <c r="D229" s="77"/>
      <c r="E229" s="7"/>
      <c r="F229" s="7"/>
      <c r="G229" s="78"/>
      <c r="H229" s="20" t="s">
        <v>347</v>
      </c>
      <c r="I229" s="20" t="str">
        <f t="shared" si="9"/>
        <v>NTS MG 3</v>
      </c>
      <c r="J229" s="11">
        <f t="shared" ca="1" si="10"/>
        <v>3.9516651679672887</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4.2881461223744397</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1.1383935879374758</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1.2263137893069991</v>
      </c>
      <c r="L232" s="12"/>
      <c r="M232" s="79"/>
      <c r="Q232" s="7"/>
      <c r="R232" s="80"/>
      <c r="S232" s="81"/>
      <c r="T232" s="81"/>
      <c r="U232" s="81"/>
    </row>
    <row r="233" spans="1:21" ht="18" x14ac:dyDescent="0.25">
      <c r="A233" s="20" t="s">
        <v>354</v>
      </c>
      <c r="B233" s="20" t="str">
        <f t="shared" si="11"/>
        <v>PR-TECAB</v>
      </c>
      <c r="C233" s="11">
        <f t="shared" ca="1" si="8"/>
        <v>4.3233638621058512</v>
      </c>
      <c r="D233" s="77"/>
      <c r="E233" s="7"/>
      <c r="F233" s="7"/>
      <c r="G233" s="78"/>
      <c r="H233" s="20" t="s">
        <v>355</v>
      </c>
      <c r="I233" s="20" t="str">
        <f t="shared" si="9"/>
        <v>NTS RJ 3</v>
      </c>
      <c r="J233" s="11">
        <f t="shared" ca="1" si="10"/>
        <v>1.4178254097921468</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1.666886439041527</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1.2387342707086337</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2.3545712066134863</v>
      </c>
      <c r="L236" s="12"/>
      <c r="Q236" s="7"/>
      <c r="R236" s="80"/>
      <c r="S236" s="81"/>
      <c r="T236" s="81"/>
      <c r="U236" s="81"/>
    </row>
    <row r="237" spans="1:21" ht="18" x14ac:dyDescent="0.25">
      <c r="D237" s="72"/>
      <c r="E237" s="7"/>
      <c r="F237" s="7"/>
      <c r="G237" s="72"/>
      <c r="H237" s="20" t="s">
        <v>362</v>
      </c>
      <c r="I237" s="20" t="str">
        <f t="shared" si="9"/>
        <v>NTS SP 2</v>
      </c>
      <c r="J237" s="11">
        <f t="shared" ca="1" si="10"/>
        <v>2.3303720923360514</v>
      </c>
      <c r="K237" s="72"/>
      <c r="L237" s="12"/>
      <c r="Q237" s="7"/>
      <c r="R237" s="80"/>
      <c r="S237" s="81"/>
      <c r="T237" s="81"/>
      <c r="U237" s="81"/>
    </row>
    <row r="238" spans="1:21" ht="18" x14ac:dyDescent="0.25">
      <c r="D238" s="72"/>
      <c r="E238" s="7"/>
      <c r="F238" s="7"/>
      <c r="G238" s="72"/>
      <c r="H238" s="20" t="s">
        <v>363</v>
      </c>
      <c r="I238" s="20" t="str">
        <f t="shared" si="9"/>
        <v>NTS SP 3</v>
      </c>
      <c r="J238" s="11">
        <f t="shared" ca="1" si="10"/>
        <v>3.1020424047734241</v>
      </c>
      <c r="L238" s="12"/>
      <c r="Q238" s="7"/>
      <c r="R238" s="80"/>
      <c r="S238" s="81"/>
      <c r="T238" s="81"/>
      <c r="U238" s="81"/>
    </row>
    <row r="239" spans="1:21" ht="18" x14ac:dyDescent="0.25">
      <c r="D239" s="72"/>
      <c r="E239" s="7"/>
      <c r="F239" s="7"/>
      <c r="G239" s="72"/>
      <c r="H239" s="20" t="s">
        <v>364</v>
      </c>
      <c r="I239" s="20" t="str">
        <f t="shared" si="9"/>
        <v>NTS SP 4</v>
      </c>
      <c r="J239" s="11">
        <f t="shared" ca="1" si="10"/>
        <v>3.3456918877153194</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3.617617169213919</v>
      </c>
      <c r="E246" s="11">
        <f ca="1">IFERROR(C246+D246," ")</f>
        <v>3.617617169213919</v>
      </c>
      <c r="F246" s="198">
        <f ca="1">E246*F25</f>
        <v>736656675.76582873</v>
      </c>
      <c r="G246" s="79"/>
      <c r="H246" s="20" t="s">
        <v>343</v>
      </c>
      <c r="I246" s="20" t="str">
        <f t="shared" ref="I246:I261" si="15">I227</f>
        <v>NTS MG 1</v>
      </c>
      <c r="J246" s="11">
        <f t="shared" ref="J246:J261" ca="1" si="16">IF(F42=0," ",J227*(1-$C$12))</f>
        <v>0</v>
      </c>
      <c r="K246" s="11">
        <f t="shared" ref="K246:K258" ca="1" si="17">$F$11*$C$12</f>
        <v>1.9887418287949863</v>
      </c>
      <c r="L246" s="11">
        <f ca="1">IFERROR(J246+K246," ")</f>
        <v>1.9887418287949863</v>
      </c>
      <c r="M246" s="198">
        <f t="shared" ref="M246:M258" ca="1" si="18">L246*F42</f>
        <v>18087641.30586664</v>
      </c>
      <c r="N246" s="87"/>
    </row>
    <row r="247" spans="1:22" ht="18" x14ac:dyDescent="0.25">
      <c r="A247" s="20" t="s">
        <v>344</v>
      </c>
      <c r="B247" s="20" t="str">
        <f t="shared" si="12"/>
        <v>PR-GNLBGB</v>
      </c>
      <c r="C247" s="11">
        <f t="shared" ca="1" si="13"/>
        <v>0</v>
      </c>
      <c r="D247" s="11">
        <f t="shared" ca="1" si="14"/>
        <v>3.617617169213919</v>
      </c>
      <c r="E247" s="11">
        <f t="shared" ref="E247:E252" ca="1" si="19">IFERROR(C247+D247," ")</f>
        <v>3.617617169213919</v>
      </c>
      <c r="F247" s="198">
        <f ca="1">E247*F26</f>
        <v>985098523.35628343</v>
      </c>
      <c r="G247" s="79"/>
      <c r="H247" s="20" t="s">
        <v>345</v>
      </c>
      <c r="I247" s="20" t="str">
        <f t="shared" si="15"/>
        <v>NTS MG 2</v>
      </c>
      <c r="J247" s="11">
        <f t="shared" ca="1" si="16"/>
        <v>0</v>
      </c>
      <c r="K247" s="11">
        <f t="shared" ca="1" si="17"/>
        <v>1.9887418287949863</v>
      </c>
      <c r="L247" s="11">
        <f t="shared" ref="L247:L258" ca="1" si="20">IFERROR(J247+K247," ")</f>
        <v>1.9887418287949863</v>
      </c>
      <c r="M247" s="198">
        <f t="shared" ca="1" si="18"/>
        <v>49389008.595659822</v>
      </c>
    </row>
    <row r="248" spans="1:22" ht="18" x14ac:dyDescent="0.25">
      <c r="A248" s="20" t="s">
        <v>346</v>
      </c>
      <c r="B248" s="20" t="str">
        <f t="shared" si="12"/>
        <v>PR-ITABORAÍ</v>
      </c>
      <c r="C248" s="11">
        <f t="shared" ca="1" si="13"/>
        <v>0</v>
      </c>
      <c r="D248" s="11">
        <f t="shared" ca="1" si="14"/>
        <v>3.617617169213919</v>
      </c>
      <c r="E248" s="11">
        <f t="shared" ca="1" si="19"/>
        <v>3.617617169213919</v>
      </c>
      <c r="F248" s="198">
        <f ca="1">E248*F27</f>
        <v>668093818.54023147</v>
      </c>
      <c r="G248" s="79"/>
      <c r="H248" s="20" t="s">
        <v>347</v>
      </c>
      <c r="I248" s="20" t="str">
        <f t="shared" si="15"/>
        <v>NTS MG 3</v>
      </c>
      <c r="J248" s="11">
        <f t="shared" ca="1" si="16"/>
        <v>0</v>
      </c>
      <c r="K248" s="11">
        <f t="shared" ca="1" si="17"/>
        <v>1.9887418287949863</v>
      </c>
      <c r="L248" s="11">
        <f t="shared" ca="1" si="20"/>
        <v>1.9887418287949863</v>
      </c>
      <c r="M248" s="198">
        <f t="shared" ca="1" si="18"/>
        <v>81286076.647023454</v>
      </c>
    </row>
    <row r="249" spans="1:22" ht="18" x14ac:dyDescent="0.25">
      <c r="A249" s="20" t="s">
        <v>348</v>
      </c>
      <c r="B249" s="20" t="str">
        <f t="shared" si="12"/>
        <v>PR-GASPAJ (INTERCONEXÃO)</v>
      </c>
      <c r="C249" s="11" t="str">
        <f t="shared" si="13"/>
        <v xml:space="preserve"> </v>
      </c>
      <c r="D249" s="11">
        <f t="shared" ca="1" si="14"/>
        <v>3.617617169213919</v>
      </c>
      <c r="E249" s="83">
        <f ca="1">E271</f>
        <v>0.3283118366282084</v>
      </c>
      <c r="F249" s="198">
        <f ca="1">E249*F28</f>
        <v>0</v>
      </c>
      <c r="G249" s="79"/>
      <c r="H249" s="20" t="s">
        <v>349</v>
      </c>
      <c r="I249" s="20" t="str">
        <f t="shared" si="15"/>
        <v>NTS MG 4</v>
      </c>
      <c r="J249" s="11">
        <f t="shared" ca="1" si="16"/>
        <v>0</v>
      </c>
      <c r="K249" s="11">
        <f t="shared" ca="1" si="17"/>
        <v>1.9887418287949863</v>
      </c>
      <c r="L249" s="11">
        <f t="shared" ca="1" si="20"/>
        <v>1.9887418287949863</v>
      </c>
      <c r="M249" s="198">
        <f t="shared" ca="1" si="18"/>
        <v>9504134.8777832221</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1.9887418287949863</v>
      </c>
      <c r="L250" s="11">
        <f t="shared" ca="1" si="20"/>
        <v>1.9887418287949863</v>
      </c>
      <c r="M250" s="198">
        <f t="shared" ca="1" si="18"/>
        <v>475883676.57276386</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1.9887418287949863</v>
      </c>
      <c r="L251" s="11">
        <f t="shared" ca="1" si="20"/>
        <v>1.9887418287949863</v>
      </c>
      <c r="M251" s="198">
        <f t="shared" ca="1" si="18"/>
        <v>303996929.55234253</v>
      </c>
    </row>
    <row r="252" spans="1:22" ht="18" x14ac:dyDescent="0.25">
      <c r="A252" s="20" t="s">
        <v>354</v>
      </c>
      <c r="B252" s="20" t="str">
        <f t="shared" si="12"/>
        <v>PR-TECAB</v>
      </c>
      <c r="C252" s="11">
        <f t="shared" ca="1" si="13"/>
        <v>0</v>
      </c>
      <c r="D252" s="11">
        <f t="shared" ca="1" si="14"/>
        <v>3.617617169213919</v>
      </c>
      <c r="E252" s="11">
        <f t="shared" ca="1" si="19"/>
        <v>3.617617169213919</v>
      </c>
      <c r="F252" s="198">
        <f ca="1">E252*F31</f>
        <v>1224920758.8673706</v>
      </c>
      <c r="G252" s="79"/>
      <c r="H252" s="20" t="s">
        <v>355</v>
      </c>
      <c r="I252" s="20" t="str">
        <f t="shared" si="15"/>
        <v>NTS RJ 3</v>
      </c>
      <c r="J252" s="11">
        <f t="shared" ca="1" si="16"/>
        <v>0</v>
      </c>
      <c r="K252" s="11">
        <f t="shared" ca="1" si="17"/>
        <v>1.9887418287949863</v>
      </c>
      <c r="L252" s="11">
        <f t="shared" ca="1" si="20"/>
        <v>1.9887418287949863</v>
      </c>
      <c r="M252" s="198">
        <f t="shared" ca="1" si="18"/>
        <v>56402031.197784759</v>
      </c>
    </row>
    <row r="253" spans="1:22" ht="18" x14ac:dyDescent="0.25">
      <c r="A253" s="20" t="s">
        <v>356</v>
      </c>
      <c r="B253" s="20" t="str">
        <f t="shared" si="12"/>
        <v>PR-GUARAREMA (INTERCONEXÃO)</v>
      </c>
      <c r="C253" s="11" t="str">
        <f t="shared" si="13"/>
        <v xml:space="preserve"> </v>
      </c>
      <c r="D253" s="11"/>
      <c r="E253" s="83">
        <f ca="1">E269</f>
        <v>0.3283118366282084</v>
      </c>
      <c r="F253" s="199"/>
      <c r="G253" s="79"/>
      <c r="H253" s="20" t="s">
        <v>357</v>
      </c>
      <c r="I253" s="20" t="str">
        <f t="shared" si="15"/>
        <v>NTS RJ 4</v>
      </c>
      <c r="J253" s="11">
        <f t="shared" ca="1" si="16"/>
        <v>0</v>
      </c>
      <c r="K253" s="11">
        <f t="shared" ca="1" si="17"/>
        <v>1.9887418287949863</v>
      </c>
      <c r="L253" s="11">
        <f t="shared" ca="1" si="20"/>
        <v>1.9887418287949863</v>
      </c>
      <c r="M253" s="198">
        <f t="shared" ca="1" si="18"/>
        <v>9206284.4969979934</v>
      </c>
    </row>
    <row r="254" spans="1:22" ht="18" x14ac:dyDescent="0.25">
      <c r="A254" s="20" t="s">
        <v>358</v>
      </c>
      <c r="B254" s="20" t="str">
        <f t="shared" si="12"/>
        <v>PR-REPLAN (INTERCONEXÃO)</v>
      </c>
      <c r="C254" s="11" t="str">
        <f t="shared" si="13"/>
        <v xml:space="preserve"> </v>
      </c>
      <c r="D254" s="11"/>
      <c r="E254" s="83">
        <f ca="1">E268</f>
        <v>0.3283118366282084</v>
      </c>
      <c r="F254" s="200">
        <f ca="1">SUM(F246:F252)</f>
        <v>3614769776.5297146</v>
      </c>
      <c r="G254" s="79"/>
      <c r="H254" s="20" t="s">
        <v>359</v>
      </c>
      <c r="I254" s="20" t="str">
        <f t="shared" si="15"/>
        <v>NTS RJ 5</v>
      </c>
      <c r="J254" s="11">
        <f t="shared" ca="1" si="16"/>
        <v>0</v>
      </c>
      <c r="K254" s="11">
        <f t="shared" ca="1" si="17"/>
        <v>1.9887418287949863</v>
      </c>
      <c r="L254" s="11">
        <f t="shared" ca="1" si="20"/>
        <v>1.9887418287949863</v>
      </c>
      <c r="M254" s="198">
        <f t="shared" ca="1" si="18"/>
        <v>60896864.216907308</v>
      </c>
    </row>
    <row r="255" spans="1:22" ht="18" x14ac:dyDescent="0.25">
      <c r="A255" s="20" t="s">
        <v>360</v>
      </c>
      <c r="B255" s="20" t="str">
        <f t="shared" si="12"/>
        <v>PR-TECAB (INTERCONEXÃO)</v>
      </c>
      <c r="C255" s="11" t="str">
        <f t="shared" si="13"/>
        <v xml:space="preserve"> </v>
      </c>
      <c r="D255" s="11"/>
      <c r="E255" s="83">
        <f ca="1">E270</f>
        <v>0.3283118366282084</v>
      </c>
      <c r="G255" s="79"/>
      <c r="H255" s="20" t="s">
        <v>361</v>
      </c>
      <c r="I255" s="20" t="str">
        <f t="shared" si="15"/>
        <v>NTS SP 1</v>
      </c>
      <c r="J255" s="11">
        <f t="shared" ca="1" si="16"/>
        <v>0</v>
      </c>
      <c r="K255" s="11">
        <f t="shared" ca="1" si="17"/>
        <v>1.9887418287949863</v>
      </c>
      <c r="L255" s="11">
        <f t="shared" ca="1" si="20"/>
        <v>1.9887418287949863</v>
      </c>
      <c r="M255" s="198">
        <f t="shared" ca="1" si="18"/>
        <v>31436753.826513734</v>
      </c>
    </row>
    <row r="256" spans="1:22" ht="18" x14ac:dyDescent="0.25">
      <c r="F256" s="87"/>
      <c r="H256" s="20" t="s">
        <v>362</v>
      </c>
      <c r="I256" s="20" t="str">
        <f t="shared" si="15"/>
        <v>NTS SP 2</v>
      </c>
      <c r="J256" s="11">
        <f t="shared" ca="1" si="16"/>
        <v>0</v>
      </c>
      <c r="K256" s="11">
        <f t="shared" ca="1" si="17"/>
        <v>1.9887418287949863</v>
      </c>
      <c r="L256" s="11">
        <f t="shared" ca="1" si="20"/>
        <v>1.9887418287949863</v>
      </c>
      <c r="M256" s="198">
        <f t="shared" ca="1" si="18"/>
        <v>82964869.70235838</v>
      </c>
    </row>
    <row r="257" spans="1:13" ht="18" x14ac:dyDescent="0.25">
      <c r="H257" s="20" t="s">
        <v>363</v>
      </c>
      <c r="I257" s="20" t="str">
        <f t="shared" si="15"/>
        <v>NTS SP 3</v>
      </c>
      <c r="J257" s="11">
        <f t="shared" ca="1" si="16"/>
        <v>0</v>
      </c>
      <c r="K257" s="11">
        <f t="shared" ca="1" si="17"/>
        <v>1.9887418287949863</v>
      </c>
      <c r="L257" s="11">
        <f t="shared" ca="1" si="20"/>
        <v>1.9887418287949863</v>
      </c>
      <c r="M257" s="198">
        <f t="shared" ca="1" si="18"/>
        <v>256719950.92952347</v>
      </c>
    </row>
    <row r="258" spans="1:13" ht="18" x14ac:dyDescent="0.25">
      <c r="H258" s="20" t="s">
        <v>364</v>
      </c>
      <c r="I258" s="20" t="str">
        <f t="shared" si="15"/>
        <v>NTS SP 4</v>
      </c>
      <c r="J258" s="11">
        <f t="shared" ca="1" si="16"/>
        <v>0</v>
      </c>
      <c r="K258" s="11">
        <f t="shared" ca="1" si="17"/>
        <v>1.9887418287949863</v>
      </c>
      <c r="L258" s="11">
        <f t="shared" ca="1" si="20"/>
        <v>1.9887418287949863</v>
      </c>
      <c r="M258" s="198">
        <f t="shared" ca="1" si="18"/>
        <v>106143044.78891803</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0.17196000382754098</v>
      </c>
      <c r="M260" s="200">
        <f ca="1">SUM(M246:M258)</f>
        <v>1541917266.7104433</v>
      </c>
    </row>
    <row r="261" spans="1:13" ht="18" x14ac:dyDescent="0.25">
      <c r="H261" s="20" t="s">
        <v>367</v>
      </c>
      <c r="I261" s="20" t="str">
        <f t="shared" si="15"/>
        <v>PE-TECAB (INTERCONEXÃO)</v>
      </c>
      <c r="J261" s="11" t="str">
        <f t="shared" si="16"/>
        <v xml:space="preserve"> </v>
      </c>
      <c r="K261" s="11"/>
      <c r="L261" s="83">
        <f ca="1">E273</f>
        <v>0.17196000382754098</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(Legados)'!C11</f>
        <v>200</v>
      </c>
      <c r="D268" s="207">
        <f ca="1">'CWD 2026 Legados (sem desc.)'!D267</f>
        <v>3.2831183662820846</v>
      </c>
      <c r="E268" s="210">
        <f ca="1">D268*(1-$C$263)</f>
        <v>0.3283118366282084</v>
      </c>
      <c r="F268" s="208">
        <f ca="1">C268*E268*'Premissas (Legados)'!$C$54*'Premissas (Legados)'!$F$20*1000</f>
        <v>894012.52353386558</v>
      </c>
      <c r="L268" s="84"/>
    </row>
    <row r="269" spans="1:13" ht="18.75" x14ac:dyDescent="0.3">
      <c r="B269" s="189" t="s">
        <v>376</v>
      </c>
      <c r="C269" s="213">
        <f>'Oferta (Legados)'!C10</f>
        <v>7525</v>
      </c>
      <c r="D269" s="207">
        <f ca="1">'CWD 2026 Legados (sem desc.)'!D268</f>
        <v>3.2831183662820846</v>
      </c>
      <c r="E269" s="210">
        <f t="shared" ref="E269:E271" ca="1" si="21">D269*(1-$C$263)</f>
        <v>0.3283118366282084</v>
      </c>
      <c r="F269" s="208">
        <f ca="1">C269*E269*'Premissas (Legados)'!$C$54*'Premissas (Legados)'!$F$20*1000</f>
        <v>33637221.197961688</v>
      </c>
      <c r="G269" s="85"/>
      <c r="K269" s="85"/>
      <c r="L269" s="84"/>
    </row>
    <row r="270" spans="1:13" ht="18.75" x14ac:dyDescent="0.3">
      <c r="B270" s="190" t="s">
        <v>377</v>
      </c>
      <c r="C270" s="213">
        <f>'Oferta (Legados)'!C12</f>
        <v>200</v>
      </c>
      <c r="D270" s="207">
        <f ca="1">'CWD 2026 Legados (sem desc.)'!D269</f>
        <v>3.2831183662820846</v>
      </c>
      <c r="E270" s="210">
        <f t="shared" ca="1" si="21"/>
        <v>0.3283118366282084</v>
      </c>
      <c r="F270" s="208">
        <f ca="1">C270*E270*'Premissas (Legados)'!$C$54*'Premissas (Legados)'!$F$20*1000</f>
        <v>894012.52353386558</v>
      </c>
      <c r="K270" s="85"/>
      <c r="L270" s="84"/>
    </row>
    <row r="271" spans="1:13" ht="18.75" x14ac:dyDescent="0.3">
      <c r="B271" s="190" t="s">
        <v>185</v>
      </c>
      <c r="C271" s="213">
        <f>'Oferta (Legados)'!C6</f>
        <v>383</v>
      </c>
      <c r="D271" s="207">
        <f ca="1">'CWD 2026 Legados (sem desc.)'!D270</f>
        <v>3.2831183662820846</v>
      </c>
      <c r="E271" s="210">
        <f t="shared" ca="1" si="21"/>
        <v>0.3283118366282084</v>
      </c>
      <c r="F271" s="208">
        <f ca="1">C271*E271*'Premissas (Legados)'!$C$54*'Premissas (Legados)'!$F$20*1000</f>
        <v>1712033.9825673527</v>
      </c>
      <c r="K271" s="85"/>
      <c r="L271" s="84"/>
    </row>
    <row r="272" spans="1:13" ht="18.75" x14ac:dyDescent="0.3">
      <c r="B272" s="188" t="s">
        <v>378</v>
      </c>
      <c r="C272" s="213">
        <f>'Demanda (Legados)'!C17</f>
        <v>9703</v>
      </c>
      <c r="D272" s="207">
        <f ca="1">'CWD 2026 Legados (sem desc.)'!D271</f>
        <v>1.7196000382754102</v>
      </c>
      <c r="E272" s="210">
        <f ca="1">D272*(1-$C$263)</f>
        <v>0.17196000382754098</v>
      </c>
      <c r="F272" s="208">
        <f ca="1">C272*E272*'Premissas (Legados)'!$C$54*'Premissas (Legados)'!$F$20*1000</f>
        <v>22717500.366534855</v>
      </c>
      <c r="K272" s="85"/>
      <c r="L272" s="84"/>
    </row>
    <row r="273" spans="2:13" ht="18.75" x14ac:dyDescent="0.3">
      <c r="B273" s="190" t="s">
        <v>379</v>
      </c>
      <c r="C273" s="213">
        <f>'Demanda (Legados)'!C18</f>
        <v>200</v>
      </c>
      <c r="D273" s="207">
        <f ca="1">'CWD 2026 Legados (sem desc.)'!D272</f>
        <v>1.7196000382754102</v>
      </c>
      <c r="E273" s="210">
        <f ca="1">D273*(1-$C$263)</f>
        <v>0.17196000382754098</v>
      </c>
      <c r="F273" s="208">
        <f ca="1">C273*E273*'Premissas (Legados)'!$C$54*'Premissas (Legados)'!$F$20*1000</f>
        <v>468257.24758394004</v>
      </c>
      <c r="K273" s="85"/>
      <c r="L273" s="84"/>
    </row>
    <row r="274" spans="2:13" ht="19.5" thickBot="1" x14ac:dyDescent="0.35">
      <c r="B274" s="190"/>
      <c r="C274" s="211"/>
      <c r="D274" s="211"/>
      <c r="E274" s="211"/>
      <c r="F274" s="209">
        <f ca="1">SUM(F268:F273)</f>
        <v>60323037.841715574</v>
      </c>
      <c r="K274" s="85"/>
      <c r="L274" s="84"/>
    </row>
    <row r="275" spans="2:13" ht="15.75" thickTop="1" x14ac:dyDescent="0.25">
      <c r="K275" s="85"/>
      <c r="L275" s="84"/>
    </row>
    <row r="276" spans="2:13" x14ac:dyDescent="0.25">
      <c r="E276" t="s">
        <v>102</v>
      </c>
      <c r="F276" s="177">
        <f ca="1">F254+M260+F274</f>
        <v>5217010081.0818739</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F671-8F03-4BD3-8382-6A8C2328A96C}">
  <sheetPr codeName="Planilha13">
    <tabColor theme="1" tint="0.499984740745262"/>
  </sheetPr>
  <dimension ref="A1:V39"/>
  <sheetViews>
    <sheetView showGridLines="0" zoomScale="110" zoomScaleNormal="110" workbookViewId="0">
      <selection activeCell="O41" sqref="O41"/>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2026 Legados (com desc.)'!A246</f>
        <v>TEN1</v>
      </c>
      <c r="B2" s="261" t="str">
        <f>'CWD 2026 Legados (com desc.)'!B246</f>
        <v>PR-CARAGUATATUBA</v>
      </c>
      <c r="C2" s="262">
        <f>'CWD 2026 Legados (sem desc.)'!G24</f>
        <v>203630357.03025997</v>
      </c>
      <c r="D2" s="263">
        <f ca="1">'CWD 2026 Legados (com desc.)'!E246</f>
        <v>3.617617169213919</v>
      </c>
      <c r="E2" s="264">
        <f t="shared" ref="E2:E11" ca="1" si="0">IFERROR(C2*D2," ")</f>
        <v>736656675.76582873</v>
      </c>
      <c r="F2" s="305"/>
      <c r="G2" s="298"/>
      <c r="L2" s="39" t="s">
        <v>53</v>
      </c>
      <c r="M2" s="38">
        <f ca="1">IFERROR($D$2+$C34," ")</f>
        <v>5.606358998008905</v>
      </c>
      <c r="N2" s="38">
        <f ca="1">IFERROR($D$3+$C34," ")</f>
        <v>5.606358998008905</v>
      </c>
      <c r="O2" s="38">
        <f ca="1">IFERROR($D$4+$C34," ")</f>
        <v>5.606358998008905</v>
      </c>
      <c r="P2" s="38">
        <f ca="1">IFERROR($D$5+$C34," ")</f>
        <v>2.3170536654231944</v>
      </c>
      <c r="Q2" s="38" t="str">
        <f ca="1">IFERROR($D$6+$C34," ")</f>
        <v xml:space="preserve"> </v>
      </c>
      <c r="R2" s="38" t="str">
        <f ca="1">IFERROR($D$7+$C34," ")</f>
        <v xml:space="preserve"> </v>
      </c>
      <c r="S2" s="38">
        <f ca="1">IFERROR($D$8+$C34," ")</f>
        <v>5.606358998008905</v>
      </c>
      <c r="T2" s="38">
        <f ca="1">IFERROR($D$9+$C34," ")</f>
        <v>2.3170536654231944</v>
      </c>
      <c r="U2" s="38">
        <f ca="1">IFERROR($D$10+$C34," ")</f>
        <v>2.3170536654231944</v>
      </c>
      <c r="V2" s="38">
        <f ca="1">IFERROR($D$11+$C34," ")</f>
        <v>2.3170536654231944</v>
      </c>
    </row>
    <row r="3" spans="1:22" s="33" customFormat="1" x14ac:dyDescent="0.25">
      <c r="A3" s="233" t="str">
        <f>'CWD 2026 Legados (com desc.)'!A247</f>
        <v>TEN2</v>
      </c>
      <c r="B3" s="236" t="str">
        <f>'CWD 2026 Legados (com desc.)'!B247</f>
        <v>PR-GNLBGB</v>
      </c>
      <c r="C3" s="237">
        <f>'CWD 2026 Legados (sem desc.)'!G25</f>
        <v>272305906.69999999</v>
      </c>
      <c r="D3" s="238">
        <f ca="1">'CWD 2026 Legados (com desc.)'!E247</f>
        <v>3.617617169213919</v>
      </c>
      <c r="E3" s="239">
        <f t="shared" ca="1" si="0"/>
        <v>985098523.35628343</v>
      </c>
      <c r="F3" s="305"/>
      <c r="G3" s="298"/>
      <c r="L3" s="39" t="s">
        <v>64</v>
      </c>
      <c r="M3" s="38">
        <f t="shared" ref="M3:M7" ca="1" si="1">IFERROR($D$2+$C35," ")</f>
        <v>5.606358998008905</v>
      </c>
      <c r="N3" s="38">
        <f t="shared" ref="N3:N7" ca="1" si="2">IFERROR($D$3+$C35," ")</f>
        <v>5.606358998008905</v>
      </c>
      <c r="O3" s="38">
        <f t="shared" ref="O3:O7" ca="1" si="3">IFERROR($D$4+$C35," ")</f>
        <v>5.606358998008905</v>
      </c>
      <c r="P3" s="38">
        <f t="shared" ref="P3:P7" ca="1" si="4">IFERROR($D$5+$C35," ")</f>
        <v>2.3170536654231944</v>
      </c>
      <c r="Q3" s="38" t="str">
        <f t="shared" ref="Q3:Q7" ca="1" si="5">IFERROR($D$6+$C35," ")</f>
        <v xml:space="preserve"> </v>
      </c>
      <c r="R3" s="38" t="str">
        <f t="shared" ref="R3:R7" ca="1" si="6">IFERROR($D$7+$C35," ")</f>
        <v xml:space="preserve"> </v>
      </c>
      <c r="S3" s="38">
        <f t="shared" ref="S3:S7" ca="1" si="7">IFERROR($D$8+$C35," ")</f>
        <v>5.606358998008905</v>
      </c>
      <c r="T3" s="38">
        <f t="shared" ref="T3:T7" ca="1" si="8">IFERROR($D$9+$C35," ")</f>
        <v>2.3170536654231944</v>
      </c>
      <c r="U3" s="38">
        <f t="shared" ref="U3:U7" ca="1" si="9">IFERROR($D$10+$C35," ")</f>
        <v>2.3170536654231944</v>
      </c>
      <c r="V3" s="38">
        <f t="shared" ref="V3:V7" ca="1" si="10">IFERROR($D$11+$C35," ")</f>
        <v>2.3170536654231944</v>
      </c>
    </row>
    <row r="4" spans="1:22" x14ac:dyDescent="0.25">
      <c r="A4" s="233" t="str">
        <f>'CWD 2026 Legados (com desc.)'!A248</f>
        <v>TEN3</v>
      </c>
      <c r="B4" s="236" t="str">
        <f>'CWD 2026 Legados (com desc.)'!B248</f>
        <v>PR-ITABORAÍ</v>
      </c>
      <c r="C4" s="237">
        <f>'CWD 2026 Legados (sem desc.)'!G26</f>
        <v>184677865.92394</v>
      </c>
      <c r="D4" s="238">
        <f ca="1">'CWD 2026 Legados (com desc.)'!E248</f>
        <v>3.617617169213919</v>
      </c>
      <c r="E4" s="237">
        <f t="shared" ca="1" si="0"/>
        <v>668093818.54023147</v>
      </c>
      <c r="F4" s="305"/>
      <c r="G4" s="298"/>
      <c r="L4" s="39" t="s">
        <v>193</v>
      </c>
      <c r="M4" s="38">
        <f t="shared" ca="1" si="1"/>
        <v>5.6063589980089059</v>
      </c>
      <c r="N4" s="38">
        <f t="shared" ca="1" si="2"/>
        <v>5.6063589980089059</v>
      </c>
      <c r="O4" s="38">
        <f t="shared" ca="1" si="3"/>
        <v>5.6063589980089059</v>
      </c>
      <c r="P4" s="38">
        <f t="shared" ca="1" si="4"/>
        <v>2.3170536654231948</v>
      </c>
      <c r="Q4" s="38" t="str">
        <f t="shared" ca="1" si="5"/>
        <v xml:space="preserve"> </v>
      </c>
      <c r="R4" s="38" t="str">
        <f t="shared" ca="1" si="6"/>
        <v xml:space="preserve"> </v>
      </c>
      <c r="S4" s="38">
        <f t="shared" ca="1" si="7"/>
        <v>5.6063589980089059</v>
      </c>
      <c r="T4" s="38">
        <f t="shared" ca="1" si="8"/>
        <v>2.3170536654231948</v>
      </c>
      <c r="U4" s="38">
        <f t="shared" ca="1" si="9"/>
        <v>2.3170536654231948</v>
      </c>
      <c r="V4" s="38">
        <f t="shared" ca="1" si="10"/>
        <v>2.3170536654231948</v>
      </c>
    </row>
    <row r="5" spans="1:22" ht="24" x14ac:dyDescent="0.25">
      <c r="A5" s="233" t="str">
        <f>'CWD 2026 Legados (com desc.)'!A249</f>
        <v>TEN4</v>
      </c>
      <c r="B5" s="236" t="str">
        <f>'CWD 2026 Legados (com desc.)'!B249</f>
        <v>PR-GASPAJ (INTERCONEXÃO)</v>
      </c>
      <c r="C5" s="237">
        <f>'CWD 2026 Legados (sem desc.)'!G27</f>
        <v>5214658.1133049997</v>
      </c>
      <c r="D5" s="238">
        <f ca="1">'CWD 2026 Legados (com desc.)'!E249</f>
        <v>0.3283118366282084</v>
      </c>
      <c r="E5" s="237">
        <f t="shared" ca="1" si="0"/>
        <v>1712033.9825673525</v>
      </c>
      <c r="F5" s="305"/>
      <c r="G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2026 Legados (com desc.)'!A250</f>
        <v>TEN5</v>
      </c>
      <c r="B6" s="236" t="str">
        <f>'CWD 2026 Legados (com desc.)'!B250</f>
        <v>PR-REDUC</v>
      </c>
      <c r="C6" s="237">
        <f>'CWD 2026 Legados (sem desc.)'!G28</f>
        <v>0</v>
      </c>
      <c r="D6" s="238" t="str">
        <f>'CWD 2026 Legados (com desc.)'!E250</f>
        <v xml:space="preserve"> </v>
      </c>
      <c r="E6" s="237" t="str">
        <f t="shared" si="0"/>
        <v xml:space="preserve"> </v>
      </c>
      <c r="F6" s="305"/>
      <c r="G6" s="298"/>
      <c r="L6" s="88" t="str">
        <f t="shared" ref="L6:L7" si="11">B29</f>
        <v>PE-REPLAN (INTERCONEXÃO)</v>
      </c>
      <c r="M6" s="38">
        <f t="shared" ca="1" si="1"/>
        <v>3.7895771730414598</v>
      </c>
      <c r="N6" s="38">
        <f t="shared" ca="1" si="2"/>
        <v>3.7895771730414598</v>
      </c>
      <c r="O6" s="38">
        <f t="shared" ca="1" si="3"/>
        <v>3.7895771730414598</v>
      </c>
      <c r="P6" s="38">
        <f t="shared" ca="1" si="4"/>
        <v>0.50027184045574935</v>
      </c>
      <c r="Q6" s="38" t="str">
        <f t="shared" ca="1" si="5"/>
        <v xml:space="preserve"> </v>
      </c>
      <c r="R6" s="38" t="str">
        <f t="shared" ca="1" si="6"/>
        <v xml:space="preserve"> </v>
      </c>
      <c r="S6" s="38">
        <f t="shared" ca="1" si="7"/>
        <v>3.7895771730414598</v>
      </c>
      <c r="T6" s="38">
        <f t="shared" ca="1" si="8"/>
        <v>0.50027184045574935</v>
      </c>
      <c r="U6" s="38">
        <f t="shared" ca="1" si="9"/>
        <v>0.50027184045574935</v>
      </c>
      <c r="V6" s="38">
        <f t="shared" ca="1" si="10"/>
        <v>0.50027184045574935</v>
      </c>
    </row>
    <row r="7" spans="1:22" x14ac:dyDescent="0.25">
      <c r="A7" s="233" t="str">
        <f>'CWD 2026 Legados (com desc.)'!A251</f>
        <v>TEN6</v>
      </c>
      <c r="B7" s="236" t="str">
        <f>'CWD 2026 Legados (com desc.)'!B251</f>
        <v>PR-RPBC</v>
      </c>
      <c r="C7" s="237">
        <f>'CWD 2026 Legados (sem desc.)'!G29</f>
        <v>0</v>
      </c>
      <c r="D7" s="238" t="str">
        <f>'CWD 2026 Legados (com desc.)'!E251</f>
        <v xml:space="preserve"> </v>
      </c>
      <c r="E7" s="237" t="str">
        <f t="shared" si="0"/>
        <v xml:space="preserve"> </v>
      </c>
      <c r="F7" s="305"/>
      <c r="G7" s="298"/>
      <c r="L7" s="88" t="str">
        <f t="shared" si="11"/>
        <v>PE-TECAB (INTERCONEXÃO)</v>
      </c>
      <c r="M7" s="38">
        <f t="shared" ca="1" si="1"/>
        <v>3.7895771730414598</v>
      </c>
      <c r="N7" s="38">
        <f t="shared" ca="1" si="2"/>
        <v>3.7895771730414598</v>
      </c>
      <c r="O7" s="38">
        <f t="shared" ca="1" si="3"/>
        <v>3.7895771730414598</v>
      </c>
      <c r="P7" s="38">
        <f t="shared" ca="1" si="4"/>
        <v>0.50027184045574935</v>
      </c>
      <c r="Q7" s="38" t="str">
        <f t="shared" ca="1" si="5"/>
        <v xml:space="preserve"> </v>
      </c>
      <c r="R7" s="38" t="str">
        <f t="shared" ca="1" si="6"/>
        <v xml:space="preserve"> </v>
      </c>
      <c r="S7" s="38">
        <f t="shared" ca="1" si="7"/>
        <v>3.7895771730414598</v>
      </c>
      <c r="T7" s="38">
        <f t="shared" ca="1" si="8"/>
        <v>0.50027184045574935</v>
      </c>
      <c r="U7" s="38">
        <f t="shared" ca="1" si="9"/>
        <v>0.50027184045574935</v>
      </c>
      <c r="V7" s="38">
        <f t="shared" ca="1" si="10"/>
        <v>0.50027184045574935</v>
      </c>
    </row>
    <row r="8" spans="1:22" x14ac:dyDescent="0.25">
      <c r="A8" s="233" t="str">
        <f>'CWD 2026 Legados (com desc.)'!A252</f>
        <v>TEN7</v>
      </c>
      <c r="B8" s="236" t="str">
        <f>'CWD 2026 Legados (com desc.)'!B252</f>
        <v>PR-TECAB</v>
      </c>
      <c r="C8" s="237">
        <f>'CWD 2026 Legados (sem desc.)'!G30</f>
        <v>338598779.68611497</v>
      </c>
      <c r="D8" s="238">
        <f ca="1">'CWD 2026 Legados (com desc.)'!E252</f>
        <v>3.617617169213919</v>
      </c>
      <c r="E8" s="237">
        <f t="shared" ca="1" si="0"/>
        <v>1224920758.8673706</v>
      </c>
      <c r="F8" s="305"/>
      <c r="G8" s="298"/>
      <c r="L8" s="32"/>
    </row>
    <row r="9" spans="1:22" x14ac:dyDescent="0.25">
      <c r="A9" s="233" t="str">
        <f>'CWD 2026 Legados (com desc.)'!A253</f>
        <v>TEN8</v>
      </c>
      <c r="B9" s="236" t="str">
        <f>'CWD 2026 Legados (com desc.)'!B253</f>
        <v>PR-GUARAREMA (INTERCONEXÃO)</v>
      </c>
      <c r="C9" s="237">
        <f>'CWD 2026 Legados (sem desc.)'!G31</f>
        <v>102455097.39587498</v>
      </c>
      <c r="D9" s="238">
        <f ca="1">'CWD 2026 Legados (com desc.)'!E253</f>
        <v>0.3283118366282084</v>
      </c>
      <c r="E9" s="237">
        <f t="shared" ca="1" si="0"/>
        <v>33637221.197961688</v>
      </c>
      <c r="F9" s="305"/>
      <c r="G9" s="298"/>
      <c r="L9" s="32"/>
    </row>
    <row r="10" spans="1:22" x14ac:dyDescent="0.25">
      <c r="A10" s="233" t="str">
        <f>'CWD 2026 Legados (com desc.)'!A254</f>
        <v>TEN9</v>
      </c>
      <c r="B10" s="236" t="str">
        <f>'CWD 2026 Legados (com desc.)'!B254</f>
        <v>PR-REPLAN (INTERCONEXÃO)</v>
      </c>
      <c r="C10" s="237">
        <f>'CWD 2026 Legados (sem desc.)'!G32</f>
        <v>2723059.0670000003</v>
      </c>
      <c r="D10" s="238">
        <f ca="1">'CWD 2026 Legados (com desc.)'!E254</f>
        <v>0.3283118366282084</v>
      </c>
      <c r="E10" s="237">
        <f t="shared" ca="1" si="0"/>
        <v>894012.52353386569</v>
      </c>
      <c r="F10" s="305"/>
      <c r="G10" s="298"/>
      <c r="L10" s="32"/>
    </row>
    <row r="11" spans="1:22" x14ac:dyDescent="0.25">
      <c r="A11" s="233" t="str">
        <f>'CWD 2026 Legados (com desc.)'!A255</f>
        <v>TEN10</v>
      </c>
      <c r="B11" s="236" t="str">
        <f>'CWD 2026 Legados (com desc.)'!B255</f>
        <v>PR-TECAB (INTERCONEXÃO)</v>
      </c>
      <c r="C11" s="237">
        <f>'CWD 2026 Legados (sem desc.)'!G33</f>
        <v>2723059.0670000003</v>
      </c>
      <c r="D11" s="238">
        <f ca="1">'CWD 2026 Legados (com desc.)'!E255</f>
        <v>0.3283118366282084</v>
      </c>
      <c r="E11" s="237">
        <f t="shared" ca="1" si="0"/>
        <v>894012.52353386569</v>
      </c>
      <c r="F11" s="297"/>
      <c r="G11" s="298"/>
      <c r="L11" s="32"/>
    </row>
    <row r="12" spans="1:22" x14ac:dyDescent="0.25">
      <c r="E12" s="36">
        <f ca="1">SUM(E2:E11)</f>
        <v>3651907056.7573113</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2026 Legados (com desc.)'!H246</f>
        <v>TEX1</v>
      </c>
      <c r="B15" s="237" t="str">
        <f>'CWD 2026 Legados (com desc.)'!I246</f>
        <v>NTS MG 1</v>
      </c>
      <c r="C15" s="237">
        <f>'CWD 2026 Legados (sem desc.)'!G41</f>
        <v>9095017.2837799974</v>
      </c>
      <c r="D15" s="237"/>
      <c r="E15" s="240">
        <f ca="1">'CWD 2026 Legados (com desc.)'!L246</f>
        <v>1.9887418287949863</v>
      </c>
      <c r="F15" s="246">
        <f ca="1">IFERROR(C15*E15," ")</f>
        <v>18087641.30586664</v>
      </c>
      <c r="G15" s="249"/>
      <c r="H15" s="255" t="str">
        <f>IFERROR(G15/D15," ")</f>
        <v xml:space="preserve"> </v>
      </c>
      <c r="I15" s="37"/>
      <c r="J15" s="37"/>
      <c r="L15" s="30"/>
    </row>
    <row r="16" spans="1:22" x14ac:dyDescent="0.25">
      <c r="A16" s="237" t="str">
        <f>'CWD 2026 Legados (com desc.)'!H247</f>
        <v>TEX2</v>
      </c>
      <c r="B16" s="237" t="str">
        <f>'CWD 2026 Legados (com desc.)'!I247</f>
        <v>NTS MG 2</v>
      </c>
      <c r="C16" s="237">
        <f>'CWD 2026 Legados (sem desc.)'!G42</f>
        <v>24834298.691039998</v>
      </c>
      <c r="D16" s="237"/>
      <c r="E16" s="240">
        <f ca="1">'CWD 2026 Legados (com desc.)'!L247</f>
        <v>1.9887418287949863</v>
      </c>
      <c r="F16" s="246">
        <f t="shared" ref="F16:F30" ca="1" si="12">IFERROR(C16*E16," ")</f>
        <v>49389008.595659822</v>
      </c>
      <c r="G16" s="258"/>
      <c r="H16" s="256" t="str">
        <f t="shared" ref="H16:H30" si="13">IFERROR(G16/D16," ")</f>
        <v xml:space="preserve"> </v>
      </c>
      <c r="I16" s="37"/>
      <c r="J16" s="37"/>
      <c r="L16" s="30"/>
    </row>
    <row r="17" spans="1:12" x14ac:dyDescent="0.25">
      <c r="A17" s="237" t="str">
        <f>'CWD 2026 Legados (com desc.)'!H248</f>
        <v>TEX3</v>
      </c>
      <c r="B17" s="237" t="str">
        <f>'CWD 2026 Legados (com desc.)'!I248</f>
        <v>NTS MG 3</v>
      </c>
      <c r="C17" s="237">
        <f>'CWD 2026 Legados (sem desc.)'!G43</f>
        <v>40873116.59567</v>
      </c>
      <c r="D17" s="237"/>
      <c r="E17" s="240">
        <f ca="1">'CWD 2026 Legados (com desc.)'!L248</f>
        <v>1.9887418287949863</v>
      </c>
      <c r="F17" s="246">
        <f ca="1">IFERROR(C17*E17," ")</f>
        <v>81286076.647023454</v>
      </c>
      <c r="G17" s="251"/>
      <c r="H17" s="257" t="str">
        <f t="shared" si="13"/>
        <v xml:space="preserve"> </v>
      </c>
      <c r="I17" s="37"/>
      <c r="J17" s="37"/>
      <c r="L17" s="30"/>
    </row>
    <row r="18" spans="1:12" x14ac:dyDescent="0.25">
      <c r="A18" s="242" t="str">
        <f>'CWD 2026 Legados (com desc.)'!H249</f>
        <v>TEX4</v>
      </c>
      <c r="B18" s="242" t="str">
        <f>'CWD 2026 Legados (com desc.)'!I249</f>
        <v>NTS MG 4</v>
      </c>
      <c r="C18" s="242">
        <f>'CWD 2026 Legados (sem desc.)'!G44</f>
        <v>4778968.6625849996</v>
      </c>
      <c r="D18" s="242">
        <f>SUM(C15:C18)</f>
        <v>79581401.233075008</v>
      </c>
      <c r="E18" s="243">
        <f ca="1">'CWD 2026 Legados (com desc.)'!L249</f>
        <v>1.9887418287949863</v>
      </c>
      <c r="F18" s="242">
        <f ca="1">IFERROR(C18*E18," ")</f>
        <v>9504134.8777832221</v>
      </c>
      <c r="G18" s="254">
        <f ca="1">SUM(F15:F18)</f>
        <v>158266861.42633313</v>
      </c>
      <c r="H18" s="252">
        <f t="shared" ca="1" si="13"/>
        <v>1.9887418287949858</v>
      </c>
      <c r="I18" s="298"/>
      <c r="J18"/>
      <c r="L18" s="30"/>
    </row>
    <row r="19" spans="1:12" x14ac:dyDescent="0.25">
      <c r="A19" s="237" t="str">
        <f>'CWD 2026 Legados (com desc.)'!H250</f>
        <v>TEX5</v>
      </c>
      <c r="B19" s="237" t="str">
        <f>'CWD 2026 Legados (com desc.)'!I250</f>
        <v>NTS RJ 1</v>
      </c>
      <c r="C19" s="237">
        <f>'CWD 2026 Legados (sem desc.)'!G45</f>
        <v>239288815.51262498</v>
      </c>
      <c r="D19" s="237"/>
      <c r="E19" s="240">
        <f ca="1">'CWD 2026 Legados (com desc.)'!L250</f>
        <v>1.9887418287949863</v>
      </c>
      <c r="F19" s="246">
        <f t="shared" ca="1" si="12"/>
        <v>475883676.57276386</v>
      </c>
      <c r="G19" s="249"/>
      <c r="H19" s="255" t="str">
        <f t="shared" si="13"/>
        <v xml:space="preserve"> </v>
      </c>
      <c r="I19"/>
      <c r="J19"/>
      <c r="L19" s="30"/>
    </row>
    <row r="20" spans="1:12" x14ac:dyDescent="0.25">
      <c r="A20" s="237" t="str">
        <f>'CWD 2026 Legados (com desc.)'!H251</f>
        <v>TEX6</v>
      </c>
      <c r="B20" s="237" t="str">
        <f>'CWD 2026 Legados (com desc.)'!I251</f>
        <v>NTS RJ 2</v>
      </c>
      <c r="C20" s="237">
        <f>'CWD 2026 Legados (sem desc.)'!G46</f>
        <v>152858920.72604498</v>
      </c>
      <c r="D20" s="237"/>
      <c r="E20" s="240">
        <f ca="1">'CWD 2026 Legados (com desc.)'!L251</f>
        <v>1.9887418287949863</v>
      </c>
      <c r="F20" s="246">
        <f t="shared" ca="1" si="12"/>
        <v>303996929.55234253</v>
      </c>
      <c r="G20" s="250"/>
      <c r="H20" s="256" t="str">
        <f t="shared" si="13"/>
        <v xml:space="preserve"> </v>
      </c>
      <c r="I20"/>
      <c r="J20" s="272"/>
      <c r="L20" s="30"/>
    </row>
    <row r="21" spans="1:12" x14ac:dyDescent="0.25">
      <c r="A21" s="237" t="str">
        <f>'CWD 2026 Legados (com desc.)'!H252</f>
        <v>TEX7</v>
      </c>
      <c r="B21" s="237" t="str">
        <f>'CWD 2026 Legados (com desc.)'!I252</f>
        <v>NTS RJ 3</v>
      </c>
      <c r="C21" s="237">
        <f>'CWD 2026 Legados (sem desc.)'!G47</f>
        <v>28360660.182804998</v>
      </c>
      <c r="D21" s="245"/>
      <c r="E21" s="240">
        <f ca="1">'CWD 2026 Legados (com desc.)'!L252</f>
        <v>1.9887418287949863</v>
      </c>
      <c r="F21" s="246">
        <f t="shared" ca="1" si="12"/>
        <v>56402031.197784759</v>
      </c>
      <c r="G21" s="253"/>
      <c r="H21" s="256" t="str">
        <f t="shared" si="13"/>
        <v xml:space="preserve"> </v>
      </c>
      <c r="I21" s="272"/>
      <c r="J21" s="272"/>
      <c r="L21" s="30"/>
    </row>
    <row r="22" spans="1:12" x14ac:dyDescent="0.25">
      <c r="A22" s="237" t="str">
        <f>'CWD 2026 Legados (com desc.)'!H253</f>
        <v>TEX8</v>
      </c>
      <c r="B22" s="237" t="str">
        <f>'CWD 2026 Legados (com desc.)'!I253</f>
        <v>NTS RJ 4</v>
      </c>
      <c r="C22" s="237">
        <f>'CWD 2026 Legados (sem desc.)'!G48</f>
        <v>4629200.4139</v>
      </c>
      <c r="D22" s="237"/>
      <c r="E22" s="240">
        <f ca="1">'CWD 2026 Legados (com desc.)'!L253</f>
        <v>1.9887418287949863</v>
      </c>
      <c r="F22" s="246">
        <f t="shared" ca="1" si="12"/>
        <v>9206284.4969979934</v>
      </c>
      <c r="G22" s="251"/>
      <c r="H22" s="257" t="str">
        <f t="shared" si="13"/>
        <v xml:space="preserve"> </v>
      </c>
      <c r="I22" s="272"/>
      <c r="J22" s="272"/>
      <c r="L22" s="30"/>
    </row>
    <row r="23" spans="1:12" x14ac:dyDescent="0.25">
      <c r="A23" s="242" t="str">
        <f>'CWD 2026 Legados (com desc.)'!H254</f>
        <v>TEX9</v>
      </c>
      <c r="B23" s="242" t="str">
        <f>'CWD 2026 Legados (com desc.)'!I254</f>
        <v>NTS RJ 5</v>
      </c>
      <c r="C23" s="242">
        <f>'CWD 2026 Legados (sem desc.)'!G49</f>
        <v>30620799.208414994</v>
      </c>
      <c r="D23" s="242">
        <f>SUM(C19:C23)</f>
        <v>455758396.04378998</v>
      </c>
      <c r="E23" s="243">
        <f ca="1">'CWD 2026 Legados (com desc.)'!L254</f>
        <v>1.9887418287949863</v>
      </c>
      <c r="F23" s="242">
        <f t="shared" ca="1" si="12"/>
        <v>60896864.216907308</v>
      </c>
      <c r="G23" s="254">
        <f ca="1">SUM(F19:F23)</f>
        <v>906385786.03679633</v>
      </c>
      <c r="H23" s="252">
        <f t="shared" ca="1" si="13"/>
        <v>1.9887418287949858</v>
      </c>
      <c r="I23" s="298"/>
      <c r="J23" s="272"/>
    </row>
    <row r="24" spans="1:12" x14ac:dyDescent="0.25">
      <c r="A24" s="237" t="str">
        <f>'CWD 2026 Legados (com desc.)'!H255</f>
        <v>TEX10</v>
      </c>
      <c r="B24" s="237" t="str">
        <f>'CWD 2026 Legados (com desc.)'!I255</f>
        <v>NTS SP 1</v>
      </c>
      <c r="C24" s="237">
        <f>'CWD 2026 Legados (sem desc.)'!G50</f>
        <v>15807357.883934999</v>
      </c>
      <c r="D24" s="237"/>
      <c r="E24" s="240">
        <f ca="1">'CWD 2026 Legados (com desc.)'!L255</f>
        <v>1.9887418287949863</v>
      </c>
      <c r="F24" s="246">
        <f t="shared" ca="1" si="12"/>
        <v>31436753.826513734</v>
      </c>
      <c r="G24" s="249"/>
      <c r="H24" s="255" t="str">
        <f t="shared" si="13"/>
        <v xml:space="preserve"> </v>
      </c>
      <c r="I24" s="272"/>
      <c r="J24" s="272"/>
    </row>
    <row r="25" spans="1:12" x14ac:dyDescent="0.25">
      <c r="A25" s="237" t="str">
        <f>'CWD 2026 Legados (com desc.)'!H256</f>
        <v>TEX11</v>
      </c>
      <c r="B25" s="237" t="str">
        <f>'CWD 2026 Legados (com desc.)'!I256</f>
        <v>NTS SP 2</v>
      </c>
      <c r="C25" s="237">
        <f>'CWD 2026 Legados (sem desc.)'!G51</f>
        <v>41717264.906439997</v>
      </c>
      <c r="D25" s="237"/>
      <c r="E25" s="240">
        <f ca="1">'CWD 2026 Legados (com desc.)'!L256</f>
        <v>1.9887418287949863</v>
      </c>
      <c r="F25" s="246">
        <f t="shared" ca="1" si="12"/>
        <v>82964869.70235838</v>
      </c>
      <c r="G25" s="250"/>
      <c r="H25" s="256" t="str">
        <f t="shared" si="13"/>
        <v xml:space="preserve"> </v>
      </c>
      <c r="I25" s="272"/>
      <c r="J25" s="272"/>
    </row>
    <row r="26" spans="1:12" x14ac:dyDescent="0.25">
      <c r="A26" s="237" t="str">
        <f>'CWD 2026 Legados (com desc.)'!H257</f>
        <v>TEX12</v>
      </c>
      <c r="B26" s="237" t="str">
        <f>'CWD 2026 Legados (com desc.)'!I257</f>
        <v>NTS SP 3</v>
      </c>
      <c r="C26" s="237">
        <f>'CWD 2026 Legados (sem desc.)'!G52</f>
        <v>129086615.071135</v>
      </c>
      <c r="D26" s="245"/>
      <c r="E26" s="240">
        <f ca="1">'CWD 2026 Legados (com desc.)'!L257</f>
        <v>1.9887418287949863</v>
      </c>
      <c r="F26" s="246">
        <f t="shared" ca="1" si="12"/>
        <v>256719950.92952347</v>
      </c>
      <c r="G26" s="259"/>
      <c r="H26" s="257" t="str">
        <f t="shared" si="13"/>
        <v xml:space="preserve"> </v>
      </c>
      <c r="I26" s="272"/>
      <c r="J26" s="272"/>
    </row>
    <row r="27" spans="1:12" x14ac:dyDescent="0.25">
      <c r="A27" s="242" t="str">
        <f>'CWD 2026 Legados (com desc.)'!H258</f>
        <v>TEX13</v>
      </c>
      <c r="B27" s="242" t="str">
        <f>'CWD 2026 Legados (com desc.)'!I258</f>
        <v>NTS SP 4</v>
      </c>
      <c r="C27" s="242">
        <f>'CWD 2026 Legados (sem desc.)'!G53</f>
        <v>53371957.713199995</v>
      </c>
      <c r="D27" s="242">
        <f>SUM(C24:C27)</f>
        <v>239983195.57470998</v>
      </c>
      <c r="E27" s="243">
        <f ca="1">'CWD 2026 Legados (com desc.)'!L258</f>
        <v>1.9887418287949863</v>
      </c>
      <c r="F27" s="242">
        <f t="shared" ca="1" si="12"/>
        <v>106143044.78891803</v>
      </c>
      <c r="G27" s="247">
        <f ca="1">SUM(F24:F27)</f>
        <v>477264619.24731362</v>
      </c>
      <c r="H27" s="248">
        <f t="shared" ca="1" si="13"/>
        <v>1.9887418287949865</v>
      </c>
      <c r="I27" s="298"/>
      <c r="J27" s="272"/>
    </row>
    <row r="28" spans="1:12" x14ac:dyDescent="0.25">
      <c r="A28" s="237" t="str">
        <f>'CWD 2026 Legados (com desc.)'!H259</f>
        <v>TEX14</v>
      </c>
      <c r="B28" s="237" t="str">
        <f>'CWD 2026 Legados (com desc.)'!I259</f>
        <v>PE-GUARAREMA (INTERCONEXÃO)</v>
      </c>
      <c r="C28" s="237">
        <f>'CWD 2026 Legados (sem desc.)'!G54</f>
        <v>0</v>
      </c>
      <c r="D28" s="237">
        <f>C28</f>
        <v>0</v>
      </c>
      <c r="E28" s="240">
        <f>'CWD 2026 Legados (com desc.)'!L259</f>
        <v>0</v>
      </c>
      <c r="F28" s="237">
        <f t="shared" si="12"/>
        <v>0</v>
      </c>
      <c r="G28" s="237">
        <f>F28</f>
        <v>0</v>
      </c>
      <c r="H28" s="241" t="str">
        <f t="shared" si="13"/>
        <v xml:space="preserve"> </v>
      </c>
      <c r="I28" s="272"/>
      <c r="J28" s="272"/>
    </row>
    <row r="29" spans="1:12" x14ac:dyDescent="0.25">
      <c r="A29" s="242" t="str">
        <f>'CWD 2026 Legados (com desc.)'!H260</f>
        <v>TEX15</v>
      </c>
      <c r="B29" s="242" t="str">
        <f>'CWD 2026 Legados (com desc.)'!I260</f>
        <v>PE-REPLAN (INTERCONEXÃO)</v>
      </c>
      <c r="C29" s="242">
        <f>'CWD 2026 Legados (sem desc.)'!G55</f>
        <v>132109210.63550498</v>
      </c>
      <c r="D29" s="242">
        <f t="shared" ref="D29:D30" si="14">C29</f>
        <v>132109210.63550498</v>
      </c>
      <c r="E29" s="243">
        <f ca="1">'CWD 2026 Legados (com desc.)'!L260</f>
        <v>0.17196000382754098</v>
      </c>
      <c r="F29" s="242">
        <f t="shared" ca="1" si="12"/>
        <v>22717500.366534851</v>
      </c>
      <c r="G29" s="242">
        <f t="shared" ref="G29:G30" ca="1" si="15">F29</f>
        <v>22717500.366534851</v>
      </c>
      <c r="H29" s="244">
        <f t="shared" ca="1" si="13"/>
        <v>0.17196000382754098</v>
      </c>
      <c r="I29" s="298"/>
      <c r="J29"/>
    </row>
    <row r="30" spans="1:12" x14ac:dyDescent="0.25">
      <c r="A30" s="237" t="str">
        <f>'CWD 2026 Legados (com desc.)'!H261</f>
        <v>TEX16</v>
      </c>
      <c r="B30" s="237" t="str">
        <f>'CWD 2026 Legados (com desc.)'!I261</f>
        <v>PE-TECAB (INTERCONEXÃO)</v>
      </c>
      <c r="C30" s="237">
        <f>'CWD 2026 Legados (sem desc.)'!G56</f>
        <v>2723059.0670000003</v>
      </c>
      <c r="D30" s="237">
        <f t="shared" si="14"/>
        <v>2723059.0670000003</v>
      </c>
      <c r="E30" s="240">
        <f ca="1">'CWD 2026 Legados (com desc.)'!L261</f>
        <v>0.17196000382754098</v>
      </c>
      <c r="F30" s="237">
        <f t="shared" ca="1" si="12"/>
        <v>468257.24758394022</v>
      </c>
      <c r="G30" s="237">
        <f t="shared" ca="1" si="15"/>
        <v>468257.24758394022</v>
      </c>
      <c r="H30" s="241">
        <f t="shared" ca="1" si="13"/>
        <v>0.17196000382754098</v>
      </c>
      <c r="I30" s="298"/>
      <c r="J30" s="37"/>
    </row>
    <row r="31" spans="1:12" x14ac:dyDescent="0.25">
      <c r="A31" s="30" t="s">
        <v>178</v>
      </c>
      <c r="C31" s="36">
        <f>SUM(C15:C30)</f>
        <v>910155262.55408001</v>
      </c>
      <c r="D31" s="36">
        <f>SUM(D15:D30)</f>
        <v>910155262.55408001</v>
      </c>
      <c r="F31" s="36">
        <f ca="1">SUM(F15:F30)</f>
        <v>1565103024.3245621</v>
      </c>
      <c r="G31" s="36">
        <f ca="1">SUM(G15:G30)</f>
        <v>1565103024.3245618</v>
      </c>
    </row>
    <row r="32" spans="1:12" x14ac:dyDescent="0.25">
      <c r="C32" s="36"/>
      <c r="D32" s="36"/>
      <c r="F32" s="36"/>
      <c r="G32" s="36"/>
    </row>
    <row r="33" spans="2:3" x14ac:dyDescent="0.25">
      <c r="C33" s="34" t="s">
        <v>192</v>
      </c>
    </row>
    <row r="34" spans="2:3" x14ac:dyDescent="0.25">
      <c r="B34" s="39" t="s">
        <v>53</v>
      </c>
      <c r="C34" s="37">
        <f ca="1">H18</f>
        <v>1.9887418287949858</v>
      </c>
    </row>
    <row r="35" spans="2:3" x14ac:dyDescent="0.25">
      <c r="B35" s="39" t="s">
        <v>64</v>
      </c>
      <c r="C35" s="37">
        <f ca="1">H23</f>
        <v>1.9887418287949858</v>
      </c>
    </row>
    <row r="36" spans="2:3" x14ac:dyDescent="0.25">
      <c r="B36" s="39" t="s">
        <v>193</v>
      </c>
      <c r="C36" s="37">
        <f ca="1">H27</f>
        <v>1.9887418287949865</v>
      </c>
    </row>
    <row r="37" spans="2:3" x14ac:dyDescent="0.25">
      <c r="B37" s="88" t="s">
        <v>199</v>
      </c>
      <c r="C37" s="37" t="str">
        <f>H28</f>
        <v xml:space="preserve"> </v>
      </c>
    </row>
    <row r="38" spans="2:3" x14ac:dyDescent="0.25">
      <c r="B38" s="88" t="s">
        <v>198</v>
      </c>
      <c r="C38" s="37">
        <f t="shared" ref="C38:C39" ca="1" si="16">H29</f>
        <v>0.17196000382754098</v>
      </c>
    </row>
    <row r="39" spans="2:3" x14ac:dyDescent="0.25">
      <c r="B39" s="88" t="s">
        <v>197</v>
      </c>
      <c r="C39" s="37">
        <f t="shared" ca="1" si="16"/>
        <v>0.17196000382754098</v>
      </c>
    </row>
  </sheetData>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E6E0-6FC3-4EC6-99EC-FB5808513212}">
  <sheetPr codeName="Planilha34">
    <tabColor theme="5"/>
  </sheetPr>
  <dimension ref="A2:AA302"/>
  <sheetViews>
    <sheetView showGridLines="0" zoomScale="70" zoomScaleNormal="70" zoomScalePageLayoutView="70" workbookViewId="0">
      <selection activeCell="C268" sqref="C268"/>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2027</v>
      </c>
    </row>
    <row r="4" spans="1:9" ht="18.75" thickBot="1" x14ac:dyDescent="0.3">
      <c r="A4" s="162"/>
      <c r="B4" s="163" t="s">
        <v>102</v>
      </c>
      <c r="C4" s="164" t="s">
        <v>200</v>
      </c>
      <c r="D4" s="306">
        <f>('Premissas (BRA)'!C33)/1000</f>
        <v>2059.8287153439614</v>
      </c>
      <c r="E4" s="166" t="s">
        <v>103</v>
      </c>
      <c r="F4" s="162"/>
      <c r="G4" s="162"/>
      <c r="H4" s="177"/>
      <c r="I4" s="177"/>
    </row>
    <row r="5" spans="1:9" ht="18" x14ac:dyDescent="0.25">
      <c r="A5" s="148">
        <f>HLOOKUP($G$3,'Premissas (BRA)'!$B$5:$F$13,9,FALSE)</f>
        <v>0.7</v>
      </c>
      <c r="B5" s="149" t="s">
        <v>104</v>
      </c>
      <c r="C5" s="150" t="s">
        <v>201</v>
      </c>
      <c r="D5" s="307">
        <f>$A$5*$D$4</f>
        <v>1441.8801007407728</v>
      </c>
      <c r="E5" s="152" t="s">
        <v>105</v>
      </c>
      <c r="F5" s="153"/>
      <c r="G5" s="153"/>
      <c r="H5" s="177"/>
    </row>
    <row r="6" spans="1:9" ht="30" x14ac:dyDescent="0.25">
      <c r="A6" s="48"/>
      <c r="B6" s="154" t="s">
        <v>106</v>
      </c>
      <c r="C6" s="155" t="s">
        <v>202</v>
      </c>
      <c r="D6" s="308">
        <f>$C$34*'Premissas (BRA)'!$C$20</f>
        <v>13398380.172179898</v>
      </c>
      <c r="E6" s="154" t="s">
        <v>107</v>
      </c>
      <c r="F6" s="172">
        <f>F34</f>
        <v>499788775.49270535</v>
      </c>
      <c r="G6" s="40" t="s">
        <v>108</v>
      </c>
    </row>
    <row r="7" spans="1:9" ht="18.75" thickBot="1" x14ac:dyDescent="0.3">
      <c r="A7" s="157"/>
      <c r="B7" s="158" t="s">
        <v>109</v>
      </c>
      <c r="C7" s="159" t="s">
        <v>203</v>
      </c>
      <c r="D7" s="160">
        <f>$D$5/$D$6*1000</f>
        <v>0.10761600150252947</v>
      </c>
      <c r="E7" s="161" t="s">
        <v>110</v>
      </c>
      <c r="F7" s="309">
        <f>$D$5/$F$6*1000000</f>
        <v>2.8849789579994636</v>
      </c>
      <c r="G7" s="170" t="s">
        <v>15</v>
      </c>
      <c r="I7" s="177"/>
    </row>
    <row r="8" spans="1:9" ht="18" x14ac:dyDescent="0.25">
      <c r="A8" s="148">
        <f>1-A5</f>
        <v>0.30000000000000004</v>
      </c>
      <c r="B8" s="149" t="s">
        <v>111</v>
      </c>
      <c r="C8" s="150" t="s">
        <v>204</v>
      </c>
      <c r="D8" s="307">
        <f>$A$8*$D$4</f>
        <v>617.9486146031885</v>
      </c>
      <c r="E8" s="152" t="s">
        <v>105</v>
      </c>
      <c r="F8" s="173"/>
      <c r="G8" s="171"/>
    </row>
    <row r="9" spans="1:9" ht="30" x14ac:dyDescent="0.25">
      <c r="B9" s="154" t="s">
        <v>112</v>
      </c>
      <c r="C9" s="155" t="s">
        <v>205</v>
      </c>
      <c r="D9" s="308">
        <f>$C$57*'Premissas (BRA)'!$C$20</f>
        <v>7724100.7555445973</v>
      </c>
      <c r="E9" s="154" t="s">
        <v>107</v>
      </c>
      <c r="F9" s="172">
        <f>F57</f>
        <v>288125788.99735987</v>
      </c>
      <c r="G9" s="40" t="s">
        <v>108</v>
      </c>
    </row>
    <row r="10" spans="1:9" ht="18.75" thickBot="1" x14ac:dyDescent="0.3">
      <c r="A10" s="167"/>
      <c r="B10" s="158" t="s">
        <v>113</v>
      </c>
      <c r="C10" s="159" t="s">
        <v>206</v>
      </c>
      <c r="D10" s="160">
        <f>$D$8/$D$9*1000</f>
        <v>8.0002661042401085E-2</v>
      </c>
      <c r="E10" s="161" t="s">
        <v>110</v>
      </c>
      <c r="F10" s="309">
        <f>$D$8/$F$9*1000000</f>
        <v>2.1447181689413122</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2027</v>
      </c>
      <c r="F21" s="376">
        <v>2027</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(BRA)'!D3</f>
        <v>11121.869070475715</v>
      </c>
      <c r="E24" s="60"/>
      <c r="F24" s="15">
        <f>IFERROR($C24*$H$19*'Premissas (BRA)'!$C$20*1000," ")</f>
        <v>151427532.0717288</v>
      </c>
      <c r="G24" s="49"/>
    </row>
    <row r="25" spans="1:9" x14ac:dyDescent="0.25">
      <c r="A25" s="2" t="s">
        <v>125</v>
      </c>
      <c r="B25" s="16" t="s">
        <v>26</v>
      </c>
      <c r="C25" s="231">
        <f>'Oferta (BRA)'!D4</f>
        <v>200</v>
      </c>
      <c r="E25" s="60"/>
      <c r="F25" s="15">
        <f>IFERROR($C25*$H$19*'Premissas (BRA)'!$C$20*1000," ")</f>
        <v>2723059.0670000003</v>
      </c>
      <c r="G25" s="49"/>
    </row>
    <row r="26" spans="1:9" x14ac:dyDescent="0.25">
      <c r="A26" s="2" t="s">
        <v>126</v>
      </c>
      <c r="B26" s="16" t="s">
        <v>411</v>
      </c>
      <c r="C26" s="231">
        <f>'Oferta (BRA)'!D5</f>
        <v>13564</v>
      </c>
      <c r="D26" s="18"/>
      <c r="E26" s="60"/>
      <c r="F26" s="15">
        <f>IFERROR($C26*$H$19*'Premissas (BRA)'!$C$20*1000," ")</f>
        <v>184677865.92394</v>
      </c>
      <c r="G26" s="49"/>
    </row>
    <row r="27" spans="1:9" x14ac:dyDescent="0.25">
      <c r="A27" s="2" t="s">
        <v>127</v>
      </c>
      <c r="B27" s="16" t="s">
        <v>388</v>
      </c>
      <c r="C27" s="231">
        <f>'Oferta (BRA)'!D6</f>
        <v>258</v>
      </c>
      <c r="D27" s="18"/>
      <c r="E27" s="60"/>
      <c r="F27" s="15">
        <f>IFERROR($C27*$H$19*'Premissas (BRA)'!$C$20*1000," ")</f>
        <v>3512746.19643</v>
      </c>
      <c r="G27" s="49"/>
    </row>
    <row r="28" spans="1:9" x14ac:dyDescent="0.25">
      <c r="A28" s="2" t="s">
        <v>128</v>
      </c>
      <c r="B28" s="16" t="s">
        <v>27</v>
      </c>
      <c r="C28" s="231">
        <f>'Oferta (BRA)'!D7</f>
        <v>0</v>
      </c>
      <c r="D28" s="18"/>
      <c r="E28" s="60"/>
      <c r="F28" s="15">
        <f>IFERROR($C28*$H$19*'Premissas (BRA)'!$C$20*1000," ")</f>
        <v>0</v>
      </c>
      <c r="G28" s="49"/>
    </row>
    <row r="29" spans="1:9" x14ac:dyDescent="0.25">
      <c r="A29" s="2" t="s">
        <v>183</v>
      </c>
      <c r="B29" s="16" t="s">
        <v>29</v>
      </c>
      <c r="C29" s="231">
        <f>'Oferta (BRA)'!D8</f>
        <v>0</v>
      </c>
      <c r="D29" s="18"/>
      <c r="E29" s="60"/>
      <c r="F29" s="15">
        <f>IFERROR($C29*$H$19*'Premissas (BRA)'!$C$20*1000," ")</f>
        <v>0</v>
      </c>
      <c r="G29" s="49"/>
    </row>
    <row r="30" spans="1:9" x14ac:dyDescent="0.25">
      <c r="A30" s="2" t="s">
        <v>129</v>
      </c>
      <c r="B30" s="16" t="s">
        <v>24</v>
      </c>
      <c r="C30" s="231">
        <f>'Oferta (BRA)'!D9</f>
        <v>7765.8207892267164</v>
      </c>
      <c r="D30" s="18"/>
      <c r="E30" s="60"/>
      <c r="F30" s="15">
        <f>IFERROR($C30*$H$19*'Premissas (BRA)'!$C$20*1000," ")</f>
        <v>105733943.56400453</v>
      </c>
      <c r="G30" s="49"/>
    </row>
    <row r="31" spans="1:9" x14ac:dyDescent="0.25">
      <c r="A31" s="2" t="s">
        <v>184</v>
      </c>
      <c r="B31" s="16" t="s">
        <v>194</v>
      </c>
      <c r="C31" s="231">
        <f>'Oferta (BRA)'!D10</f>
        <v>3398.2010229822185</v>
      </c>
      <c r="D31" s="18"/>
      <c r="E31" s="60"/>
      <c r="F31" s="15">
        <f>IFERROR($C31*$H$19*'Premissas (BRA)'!$C$20*1000," ")</f>
        <v>46267510.535602026</v>
      </c>
      <c r="G31" s="49"/>
    </row>
    <row r="32" spans="1:9" x14ac:dyDescent="0.25">
      <c r="A32" s="2" t="s">
        <v>130</v>
      </c>
      <c r="B32" s="16" t="s">
        <v>196</v>
      </c>
      <c r="C32" s="231">
        <f>'Oferta (BRA)'!D11</f>
        <v>200</v>
      </c>
      <c r="D32" s="18"/>
      <c r="E32" s="60"/>
      <c r="F32" s="15">
        <f>IFERROR($C32*$H$19*'Premissas (BRA)'!$C$20*1000," ")</f>
        <v>2723059.0670000003</v>
      </c>
      <c r="G32" s="49"/>
    </row>
    <row r="33" spans="1:8" x14ac:dyDescent="0.25">
      <c r="A33" s="2" t="s">
        <v>131</v>
      </c>
      <c r="B33" s="16" t="s">
        <v>195</v>
      </c>
      <c r="C33" s="231">
        <f>'Oferta (BRA)'!D12</f>
        <v>200</v>
      </c>
      <c r="D33" s="18"/>
      <c r="E33" s="60"/>
      <c r="F33" s="15">
        <f>IFERROR($C33*$H$19*'Premissas (BRA)'!$C$20*1000," ")</f>
        <v>2723059.0670000003</v>
      </c>
      <c r="G33" s="49"/>
    </row>
    <row r="34" spans="1:8" x14ac:dyDescent="0.25">
      <c r="C34" s="61">
        <f>SUM(C24:C33)</f>
        <v>36707.890882684653</v>
      </c>
      <c r="D34" s="61"/>
      <c r="E34" s="60"/>
      <c r="F34" s="61">
        <f>SUM(F24:F33)</f>
        <v>499788775.49270535</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2027</v>
      </c>
      <c r="F38" s="376">
        <v>2027</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(BRA)'!D3</f>
        <v>83.95934449000282</v>
      </c>
      <c r="F41" s="15">
        <f>IFERROR($C41*$H$19*'Premissas (BRA)'!$F$20*1000," ")</f>
        <v>1143131.2713643934</v>
      </c>
      <c r="G41" s="49"/>
    </row>
    <row r="42" spans="1:8" x14ac:dyDescent="0.25">
      <c r="A42" s="2" t="s">
        <v>38</v>
      </c>
      <c r="B42" s="16" t="s">
        <v>161</v>
      </c>
      <c r="C42" s="231">
        <f>'Demanda (BRA)'!D4</f>
        <v>1358.5951793648003</v>
      </c>
      <c r="F42" s="15">
        <f>IFERROR($C42*$H$19*'Premissas (BRA)'!$F$20*1000," ")</f>
        <v>18497674.607759055</v>
      </c>
      <c r="G42" s="49"/>
    </row>
    <row r="43" spans="1:8" x14ac:dyDescent="0.25">
      <c r="A43" s="2" t="s">
        <v>39</v>
      </c>
      <c r="B43" s="16" t="s">
        <v>162</v>
      </c>
      <c r="C43" s="231">
        <f>'Demanda (BRA)'!D5</f>
        <v>1591.1855708262167</v>
      </c>
      <c r="D43" s="18"/>
      <c r="F43" s="15">
        <f>IFERROR($C43*$H$19*'Premissas (BRA)'!$F$20*1000," ")</f>
        <v>21664461.4795895</v>
      </c>
      <c r="G43" s="49"/>
    </row>
    <row r="44" spans="1:8" x14ac:dyDescent="0.25">
      <c r="A44" s="2" t="s">
        <v>40</v>
      </c>
      <c r="B44" s="16" t="s">
        <v>163</v>
      </c>
      <c r="C44" s="231">
        <f>'Demanda (BRA)'!D6</f>
        <v>257.90539079715882</v>
      </c>
      <c r="D44" s="18"/>
      <c r="F44" s="15">
        <f>IFERROR($C44*$H$19*'Premissas (BRA)'!$F$20*1000," ")</f>
        <v>3511458.0641919076</v>
      </c>
      <c r="G44" s="49"/>
    </row>
    <row r="45" spans="1:8" x14ac:dyDescent="0.25">
      <c r="A45" s="2" t="s">
        <v>41</v>
      </c>
      <c r="B45" s="16" t="s">
        <v>164</v>
      </c>
      <c r="C45" s="231">
        <f>'Demanda (BRA)'!D7</f>
        <v>4113.6189497552796</v>
      </c>
      <c r="D45" s="18"/>
      <c r="F45" s="15">
        <f>IFERROR($C45*$H$19*'Premissas (BRA)'!$F$20*1000," ")</f>
        <v>56008136.89657066</v>
      </c>
      <c r="G45" s="49"/>
    </row>
    <row r="46" spans="1:8" x14ac:dyDescent="0.25">
      <c r="A46" s="2" t="s">
        <v>42</v>
      </c>
      <c r="B46" s="16" t="s">
        <v>165</v>
      </c>
      <c r="C46" s="231">
        <f>'Demanda (BRA)'!D8</f>
        <v>1671.5160482445838</v>
      </c>
      <c r="D46" s="18"/>
      <c r="F46" s="15">
        <f>IFERROR($C46*$H$19*'Premissas (BRA)'!$F$20*1000," ")</f>
        <v>22758184.654042114</v>
      </c>
      <c r="G46" s="49"/>
    </row>
    <row r="47" spans="1:8" x14ac:dyDescent="0.25">
      <c r="A47" s="2" t="s">
        <v>43</v>
      </c>
      <c r="B47" s="16" t="s">
        <v>166</v>
      </c>
      <c r="C47" s="231">
        <f>'Demanda (BRA)'!D9</f>
        <v>1497.3761894156601</v>
      </c>
      <c r="D47" s="18"/>
      <c r="F47" s="15">
        <f>IFERROR($C47*$H$19*'Premissas (BRA)'!$F$20*1000," ")</f>
        <v>20387219.046491113</v>
      </c>
      <c r="G47" s="49"/>
    </row>
    <row r="48" spans="1:8" x14ac:dyDescent="0.25">
      <c r="A48" s="2" t="s">
        <v>44</v>
      </c>
      <c r="B48" s="16" t="s">
        <v>167</v>
      </c>
      <c r="C48" s="231">
        <f>'Demanda (BRA)'!D10</f>
        <v>275.11051045873194</v>
      </c>
      <c r="D48" s="18"/>
      <c r="F48" s="15">
        <f>IFERROR($C48*$H$19*'Premissas (BRA)'!$F$20*1000," ")</f>
        <v>3745710.8496582415</v>
      </c>
      <c r="G48" s="49"/>
    </row>
    <row r="49" spans="1:9" x14ac:dyDescent="0.25">
      <c r="A49" s="2" t="s">
        <v>45</v>
      </c>
      <c r="B49" s="16" t="s">
        <v>168</v>
      </c>
      <c r="C49" s="231">
        <f>'Demanda (BRA)'!D11</f>
        <v>695.99981184318472</v>
      </c>
      <c r="D49" s="18"/>
      <c r="F49" s="15">
        <f>IFERROR($C49*$H$19*'Premissas (BRA)'!$F$20*1000," ")</f>
        <v>9476242.9913493898</v>
      </c>
      <c r="G49" s="49"/>
    </row>
    <row r="50" spans="1:9" x14ac:dyDescent="0.25">
      <c r="A50" s="2" t="s">
        <v>46</v>
      </c>
      <c r="B50" s="16" t="s">
        <v>169</v>
      </c>
      <c r="C50" s="231">
        <f>'Demanda (BRA)'!D12</f>
        <v>994.60300359473592</v>
      </c>
      <c r="D50" s="18"/>
      <c r="F50" s="15">
        <f>IFERROR($C50*$H$19*'Premissas (BRA)'!$F$20*1000," ")</f>
        <v>13541813.635020396</v>
      </c>
      <c r="G50" s="49"/>
    </row>
    <row r="51" spans="1:9" x14ac:dyDescent="0.25">
      <c r="A51" s="2" t="s">
        <v>47</v>
      </c>
      <c r="B51" s="16" t="s">
        <v>170</v>
      </c>
      <c r="C51" s="231">
        <f>'Demanda (BRA)'!D13</f>
        <v>2460.3528578351988</v>
      </c>
      <c r="D51" s="18"/>
      <c r="F51" s="15">
        <f>IFERROR($C51*$H$19*'Premissas (BRA)'!$F$20*1000," ")</f>
        <v>33498430.787737504</v>
      </c>
      <c r="G51" s="49"/>
    </row>
    <row r="52" spans="1:9" x14ac:dyDescent="0.25">
      <c r="A52" s="2" t="s">
        <v>48</v>
      </c>
      <c r="B52" s="16" t="s">
        <v>171</v>
      </c>
      <c r="C52" s="231">
        <f>'Demanda (BRA)'!D14</f>
        <v>1008.3686134701056</v>
      </c>
      <c r="D52" s="18"/>
      <c r="F52" s="15">
        <f>IFERROR($C52*$H$19*'Premissas (BRA)'!$F$20*1000," ")</f>
        <v>13729236.478939947</v>
      </c>
      <c r="G52" s="49"/>
    </row>
    <row r="53" spans="1:9" x14ac:dyDescent="0.25">
      <c r="A53" s="2" t="s">
        <v>49</v>
      </c>
      <c r="B53" s="16" t="s">
        <v>172</v>
      </c>
      <c r="C53" s="231">
        <f>'Demanda (BRA)'!D15</f>
        <v>1318.069593111717</v>
      </c>
      <c r="D53" s="18"/>
      <c r="F53" s="15">
        <f>IFERROR($C53*$H$19*'Premissas (BRA)'!$F$20*1000," ")</f>
        <v>17945906.78229931</v>
      </c>
      <c r="G53" s="49"/>
    </row>
    <row r="54" spans="1:9" x14ac:dyDescent="0.25">
      <c r="A54" s="2" t="s">
        <v>50</v>
      </c>
      <c r="B54" s="16" t="s">
        <v>199</v>
      </c>
      <c r="C54" s="231">
        <f>'Demanda (BRA)'!D16</f>
        <v>0</v>
      </c>
      <c r="D54" s="18"/>
      <c r="F54" s="15">
        <f>IFERROR($C54*$H$19*'Premissas (BRA)'!$F$20*1000," ")</f>
        <v>0</v>
      </c>
      <c r="G54" s="49"/>
    </row>
    <row r="55" spans="1:9" x14ac:dyDescent="0.25">
      <c r="A55" s="2" t="s">
        <v>51</v>
      </c>
      <c r="B55" s="16" t="s">
        <v>198</v>
      </c>
      <c r="C55" s="231">
        <f>'Demanda (BRA)'!D17</f>
        <v>3635.2588149970047</v>
      </c>
      <c r="D55" s="18"/>
      <c r="F55" s="15">
        <f>IFERROR($C55*$H$19*'Premissas (BRA)'!$F$20*1000," ")</f>
        <v>49495122.385346346</v>
      </c>
      <c r="G55" s="49"/>
    </row>
    <row r="56" spans="1:9" x14ac:dyDescent="0.25">
      <c r="A56" s="2" t="s">
        <v>52</v>
      </c>
      <c r="B56" s="16" t="s">
        <v>197</v>
      </c>
      <c r="C56" s="231">
        <f>'Demanda (BRA)'!D18</f>
        <v>200</v>
      </c>
      <c r="D56" s="18"/>
      <c r="F56" s="15">
        <f>IFERROR($C56*$H$19*'Premissas (BRA)'!$F$20*1000," ")</f>
        <v>2723059.0670000003</v>
      </c>
      <c r="G56" s="49"/>
    </row>
    <row r="57" spans="1:9" x14ac:dyDescent="0.25">
      <c r="C57" s="61">
        <f>SUM(C41:C56)</f>
        <v>21161.919878204375</v>
      </c>
      <c r="D57" s="61"/>
      <c r="F57" s="61">
        <f>SUM(F41:F56)</f>
        <v>288125788.99735987</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0.30298305903818551</v>
      </c>
      <c r="C99" s="8"/>
      <c r="D99" t="s">
        <v>232</v>
      </c>
      <c r="E99" s="66">
        <f t="shared" ref="E99:E114" si="2">F41/$F$57</f>
        <v>3.9674729406983696E-3</v>
      </c>
      <c r="G99" s="65" t="s">
        <v>140</v>
      </c>
      <c r="H99" s="67">
        <f>F24/$F$34</f>
        <v>0.30298305903818551</v>
      </c>
      <c r="I99" s="67">
        <f>F25/$F$34</f>
        <v>5.4484198135813173E-3</v>
      </c>
      <c r="J99" s="67">
        <f>$F26/$F$34</f>
        <v>0.36951183175708485</v>
      </c>
      <c r="K99" s="67">
        <f>$F27/$F$34</f>
        <v>7.028461559519898E-3</v>
      </c>
      <c r="L99" s="67">
        <f>$F28/$F$34</f>
        <v>0</v>
      </c>
      <c r="M99" s="67">
        <f>$F29/$F$34</f>
        <v>0</v>
      </c>
      <c r="N99" s="67">
        <f>$F30/$F$34</f>
        <v>0.21155725928372268</v>
      </c>
      <c r="O99" s="67">
        <f>$F31/$F$34</f>
        <v>9.2574128920743085E-2</v>
      </c>
      <c r="P99" s="67">
        <f>$F32/$F$34</f>
        <v>5.4484198135813173E-3</v>
      </c>
      <c r="Q99" s="67">
        <f>$F33/$F$34</f>
        <v>5.4484198135813173E-3</v>
      </c>
      <c r="R99" s="67">
        <f>SUM(H99:Q99)</f>
        <v>1</v>
      </c>
      <c r="S99" s="66"/>
      <c r="T99" s="66"/>
      <c r="U99" s="66"/>
      <c r="V99" s="66"/>
      <c r="W99" s="66"/>
    </row>
    <row r="100" spans="1:27" ht="18" x14ac:dyDescent="0.35">
      <c r="A100" t="s">
        <v>223</v>
      </c>
      <c r="B100" s="68">
        <f t="shared" si="1"/>
        <v>5.4484198135813173E-3</v>
      </c>
      <c r="C100" s="4"/>
      <c r="D100" t="s">
        <v>233</v>
      </c>
      <c r="E100" s="66">
        <f t="shared" si="2"/>
        <v>6.4199996370087345E-2</v>
      </c>
    </row>
    <row r="101" spans="1:27" ht="18" x14ac:dyDescent="0.35">
      <c r="A101" t="s">
        <v>224</v>
      </c>
      <c r="B101" s="68">
        <f t="shared" si="1"/>
        <v>0.36951183175708485</v>
      </c>
      <c r="C101" s="4"/>
      <c r="D101" t="s">
        <v>234</v>
      </c>
      <c r="E101" s="66">
        <f t="shared" si="2"/>
        <v>7.5190983615104345E-2</v>
      </c>
      <c r="G101" s="66"/>
    </row>
    <row r="102" spans="1:27" ht="18" x14ac:dyDescent="0.35">
      <c r="A102" t="s">
        <v>225</v>
      </c>
      <c r="B102" s="68">
        <f t="shared" si="1"/>
        <v>7.028461559519898E-3</v>
      </c>
      <c r="C102" s="4"/>
      <c r="D102" t="s">
        <v>235</v>
      </c>
      <c r="E102" s="66">
        <f t="shared" si="2"/>
        <v>1.218723973446224E-2</v>
      </c>
      <c r="G102" s="66"/>
      <c r="H102" s="68"/>
      <c r="I102" s="68"/>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7.8986975561047917E-2</v>
      </c>
      <c r="G104" s="66"/>
      <c r="H104" s="68"/>
      <c r="I104" s="68"/>
    </row>
    <row r="105" spans="1:27" ht="18" x14ac:dyDescent="0.35">
      <c r="A105" t="s">
        <v>228</v>
      </c>
      <c r="B105" s="68">
        <f t="shared" si="1"/>
        <v>0.21155725928372268</v>
      </c>
      <c r="C105" s="4"/>
      <c r="D105" t="s">
        <v>238</v>
      </c>
      <c r="E105" s="66">
        <f t="shared" si="2"/>
        <v>7.0758050216316884E-2</v>
      </c>
      <c r="G105" s="66"/>
      <c r="H105" s="68"/>
      <c r="I105" s="68"/>
    </row>
    <row r="106" spans="1:27" ht="18" x14ac:dyDescent="0.35">
      <c r="A106" t="s">
        <v>229</v>
      </c>
      <c r="B106" s="68">
        <f t="shared" si="1"/>
        <v>9.2574128920743085E-2</v>
      </c>
      <c r="C106" s="4"/>
      <c r="D106" t="s">
        <v>239</v>
      </c>
      <c r="E106" s="66">
        <f t="shared" si="2"/>
        <v>1.3000262360036657E-2</v>
      </c>
      <c r="G106" s="66"/>
      <c r="H106" s="68"/>
      <c r="I106" s="68"/>
    </row>
    <row r="107" spans="1:27" ht="18" x14ac:dyDescent="0.35">
      <c r="A107" t="s">
        <v>230</v>
      </c>
      <c r="B107" s="68">
        <f t="shared" si="1"/>
        <v>5.4484198135813173E-3</v>
      </c>
      <c r="C107" s="4"/>
      <c r="D107" t="s">
        <v>240</v>
      </c>
      <c r="E107" s="66">
        <f t="shared" si="2"/>
        <v>3.2889256544252697E-2</v>
      </c>
      <c r="G107" s="66"/>
      <c r="H107" s="68"/>
      <c r="I107" s="68"/>
    </row>
    <row r="108" spans="1:27" ht="18" x14ac:dyDescent="0.35">
      <c r="A108" t="s">
        <v>231</v>
      </c>
      <c r="B108" s="68">
        <f t="shared" si="1"/>
        <v>5.4484198135813173E-3</v>
      </c>
      <c r="D108" t="s">
        <v>241</v>
      </c>
      <c r="E108" s="66">
        <f t="shared" si="2"/>
        <v>4.6999658316404576E-2</v>
      </c>
      <c r="G108" s="66"/>
    </row>
    <row r="109" spans="1:27" ht="18" x14ac:dyDescent="0.35">
      <c r="B109" s="68">
        <f>SUM(B99:B108)</f>
        <v>1</v>
      </c>
      <c r="D109" t="s">
        <v>242</v>
      </c>
      <c r="E109" s="66">
        <f t="shared" si="2"/>
        <v>0.11626321581385571</v>
      </c>
      <c r="G109" s="66"/>
    </row>
    <row r="110" spans="1:27" ht="18" x14ac:dyDescent="0.35">
      <c r="B110" s="68"/>
      <c r="D110" t="s">
        <v>243</v>
      </c>
      <c r="E110" s="66">
        <f t="shared" si="2"/>
        <v>4.7650147967371811E-2</v>
      </c>
      <c r="G110" s="66"/>
    </row>
    <row r="111" spans="1:27" ht="18" x14ac:dyDescent="0.35">
      <c r="B111" s="68"/>
      <c r="D111" t="s">
        <v>244</v>
      </c>
      <c r="E111" s="66">
        <f t="shared" si="2"/>
        <v>6.228497228501733E-2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9.4509383435474152E-3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387.07954179170122</v>
      </c>
    </row>
    <row r="131" spans="1:5" ht="18" x14ac:dyDescent="0.35">
      <c r="A131" t="s">
        <v>254</v>
      </c>
      <c r="B131" s="66">
        <f ca="1">SUMPRODUCT($E$99:$E$114,D$67:D$82)</f>
        <v>282.93744338444242</v>
      </c>
      <c r="C131" s="70"/>
      <c r="D131" t="s">
        <v>255</v>
      </c>
      <c r="E131" s="4">
        <f t="shared" ref="E131:E145" ca="1" si="3">SUMPRODUCT($H$99:$Q$99,$C68:$L68)</f>
        <v>484.24354179170115</v>
      </c>
    </row>
    <row r="132" spans="1:5" ht="18" x14ac:dyDescent="0.35">
      <c r="A132" t="s">
        <v>256</v>
      </c>
      <c r="B132" s="66">
        <f ca="1">SUMPRODUCT($E$99:$E$114,E$67:E$82)</f>
        <v>321.04260610518725</v>
      </c>
      <c r="C132" s="70"/>
      <c r="D132" t="s">
        <v>257</v>
      </c>
      <c r="E132" s="4">
        <f t="shared" ca="1" si="3"/>
        <v>601.40874179170112</v>
      </c>
    </row>
    <row r="133" spans="1:5" ht="18" x14ac:dyDescent="0.35">
      <c r="A133" t="s">
        <v>258</v>
      </c>
      <c r="B133" s="66">
        <f ca="1">SUMPRODUCT($E$99:$E$114,F$67:F$82)</f>
        <v>382.5879665558885</v>
      </c>
      <c r="C133" s="70"/>
      <c r="D133" t="s">
        <v>259</v>
      </c>
      <c r="E133" s="4">
        <f t="shared" ca="1" si="3"/>
        <v>564.41001328397806</v>
      </c>
    </row>
    <row r="134" spans="1:5" ht="18" x14ac:dyDescent="0.35">
      <c r="A134" t="s">
        <v>260</v>
      </c>
      <c r="B134" s="66">
        <f ca="1">SUMPRODUCT($E$99:$E$114,G$67:G$82)</f>
        <v>263.66286997668777</v>
      </c>
      <c r="C134" s="70"/>
      <c r="D134" t="s">
        <v>261</v>
      </c>
      <c r="E134" s="4">
        <f t="shared" ca="1" si="3"/>
        <v>240.10077571158112</v>
      </c>
    </row>
    <row r="135" spans="1:5" ht="18" x14ac:dyDescent="0.35">
      <c r="A135" t="s">
        <v>262</v>
      </c>
      <c r="B135" s="66">
        <f ca="1">SUMPRODUCT($E$99:$E$114,H$67:H$82)</f>
        <v>386.36871750115944</v>
      </c>
      <c r="C135" s="70"/>
      <c r="D135" t="s">
        <v>263</v>
      </c>
      <c r="E135" s="4">
        <f t="shared" ca="1" si="3"/>
        <v>226.75833749415148</v>
      </c>
    </row>
    <row r="136" spans="1:5" ht="18" x14ac:dyDescent="0.35">
      <c r="A136" t="s">
        <v>264</v>
      </c>
      <c r="B136" s="66">
        <f ca="1">SUMPRODUCT($E$99:$E$114,I$67:I$82)</f>
        <v>432.57823816543032</v>
      </c>
      <c r="D136" t="s">
        <v>265</v>
      </c>
      <c r="E136" s="4">
        <f t="shared" ca="1" si="3"/>
        <v>236.40511083257584</v>
      </c>
    </row>
    <row r="137" spans="1:5" ht="18" x14ac:dyDescent="0.35">
      <c r="A137" t="s">
        <v>266</v>
      </c>
      <c r="B137" s="66">
        <f ca="1">SUMPRODUCT($E$99:$E$114,J$67:J$82)</f>
        <v>299.60156188365494</v>
      </c>
      <c r="D137" t="s">
        <v>267</v>
      </c>
      <c r="E137" s="4">
        <f t="shared" ca="1" si="3"/>
        <v>246.76082506191898</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276.35074371959456</v>
      </c>
    </row>
    <row r="141" spans="1:5" ht="18" x14ac:dyDescent="0.35">
      <c r="B141" s="66"/>
      <c r="D141" t="s">
        <v>273</v>
      </c>
      <c r="E141" s="4">
        <f t="shared" ca="1" si="3"/>
        <v>378.76044577280231</v>
      </c>
    </row>
    <row r="142" spans="1:5" ht="18" x14ac:dyDescent="0.35">
      <c r="B142" s="66"/>
      <c r="D142" t="s">
        <v>274</v>
      </c>
      <c r="E142" s="4">
        <f t="shared" ca="1" si="3"/>
        <v>414.35744691016907</v>
      </c>
    </row>
    <row r="143" spans="1:5" ht="18" x14ac:dyDescent="0.35">
      <c r="B143" s="66"/>
      <c r="D143" t="s">
        <v>275</v>
      </c>
      <c r="E143" s="4">
        <f t="shared" si="3"/>
        <v>309.02044691016908</v>
      </c>
    </row>
    <row r="144" spans="1:5" ht="18" x14ac:dyDescent="0.35">
      <c r="B144" s="66"/>
      <c r="D144" t="s">
        <v>276</v>
      </c>
      <c r="E144" s="4">
        <f t="shared" si="3"/>
        <v>470.6440132839781</v>
      </c>
    </row>
    <row r="145" spans="1:5" ht="18" x14ac:dyDescent="0.35">
      <c r="B145" s="66"/>
      <c r="D145" t="s">
        <v>277</v>
      </c>
      <c r="E145" s="4">
        <f t="shared" si="3"/>
        <v>292.07370007863966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0.29597092688082333</v>
      </c>
      <c r="C162" s="13"/>
      <c r="D162" t="s">
        <v>283</v>
      </c>
      <c r="E162" s="71">
        <f t="shared" ref="E162:E177" ca="1" si="5">($F41*$E130)/SUMPRODUCT($F$41:$F$56,$E$130:$E$145)</f>
        <v>4.3852799120701544E-3</v>
      </c>
    </row>
    <row r="163" spans="1:9" ht="18" x14ac:dyDescent="0.35">
      <c r="A163" t="s">
        <v>284</v>
      </c>
      <c r="B163" s="71">
        <f t="shared" ca="1" si="4"/>
        <v>4.4019399770937034E-3</v>
      </c>
      <c r="C163" s="4"/>
      <c r="D163" t="s">
        <v>285</v>
      </c>
      <c r="E163" s="71">
        <f t="shared" ca="1" si="5"/>
        <v>8.8773219136179443E-2</v>
      </c>
    </row>
    <row r="164" spans="1:9" ht="18" x14ac:dyDescent="0.35">
      <c r="A164" t="s">
        <v>286</v>
      </c>
      <c r="B164" s="71">
        <f t="shared" ca="1" si="4"/>
        <v>0.33874597928767747</v>
      </c>
      <c r="C164" s="4"/>
      <c r="D164" t="s">
        <v>287</v>
      </c>
      <c r="E164" s="71">
        <f t="shared" ca="1" si="5"/>
        <v>0.12912746658844282</v>
      </c>
      <c r="H164" s="72"/>
      <c r="I164" s="72"/>
    </row>
    <row r="165" spans="1:9" ht="18" x14ac:dyDescent="0.35">
      <c r="A165" t="s">
        <v>288</v>
      </c>
      <c r="B165" s="71">
        <f t="shared" ca="1" si="4"/>
        <v>7.6784702848935304E-3</v>
      </c>
      <c r="C165" s="4"/>
      <c r="D165" t="s">
        <v>289</v>
      </c>
      <c r="E165" s="71">
        <f t="shared" ca="1" si="5"/>
        <v>1.9641886271158159E-2</v>
      </c>
    </row>
    <row r="166" spans="1:9" ht="18" x14ac:dyDescent="0.35">
      <c r="A166" t="s">
        <v>290</v>
      </c>
      <c r="B166" s="71">
        <f t="shared" ca="1" si="4"/>
        <v>0</v>
      </c>
      <c r="C166" s="4"/>
      <c r="D166" t="s">
        <v>291</v>
      </c>
      <c r="E166" s="71">
        <f t="shared" ca="1" si="5"/>
        <v>0.13327407753006018</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7.9198477926975666E-2</v>
      </c>
      <c r="C169" s="4"/>
      <c r="D169" t="s">
        <v>297</v>
      </c>
      <c r="E169" s="71">
        <f t="shared" ca="1" si="5"/>
        <v>9.1603371528331742E-3</v>
      </c>
    </row>
    <row r="170" spans="1:9" ht="18" x14ac:dyDescent="0.35">
      <c r="A170" t="s">
        <v>298</v>
      </c>
      <c r="B170" s="71">
        <f t="shared" ca="1" si="4"/>
        <v>5.9523025464290943E-3</v>
      </c>
      <c r="D170" t="s">
        <v>299</v>
      </c>
      <c r="E170" s="71">
        <f t="shared" ca="1" si="5"/>
        <v>2.2447266066533016E-2</v>
      </c>
    </row>
    <row r="171" spans="1:9" ht="18" x14ac:dyDescent="0.35">
      <c r="A171" t="s">
        <v>300</v>
      </c>
      <c r="B171" s="71">
        <f t="shared" ca="1" si="4"/>
        <v>6.7300510565999972E-3</v>
      </c>
      <c r="D171" t="s">
        <v>301</v>
      </c>
      <c r="E171" s="71">
        <f t="shared" ca="1" si="5"/>
        <v>3.8556314841768372E-2</v>
      </c>
    </row>
    <row r="172" spans="1:9" ht="18" x14ac:dyDescent="0.35">
      <c r="B172" s="175">
        <f ca="1">SUM(B162:B171)</f>
        <v>1.0000000000000002</v>
      </c>
      <c r="D172" t="s">
        <v>302</v>
      </c>
      <c r="E172" s="71">
        <f t="shared" ca="1" si="5"/>
        <v>9.1745779905480565E-2</v>
      </c>
    </row>
    <row r="173" spans="1:9" ht="18" x14ac:dyDescent="0.35">
      <c r="B173" s="71"/>
      <c r="D173" t="s">
        <v>303</v>
      </c>
      <c r="E173" s="71">
        <f t="shared" ca="1" si="5"/>
        <v>5.1536153433999747E-2</v>
      </c>
    </row>
    <row r="174" spans="1:9" ht="18" x14ac:dyDescent="0.35">
      <c r="B174" s="71"/>
      <c r="D174" t="s">
        <v>304</v>
      </c>
      <c r="E174" s="71">
        <f t="shared" ca="1" si="5"/>
        <v>7.3695598781305993E-2</v>
      </c>
    </row>
    <row r="175" spans="1:9" ht="18" x14ac:dyDescent="0.35">
      <c r="B175" s="71"/>
      <c r="D175" t="s">
        <v>305</v>
      </c>
      <c r="E175" s="71">
        <f t="shared" ca="1" si="5"/>
        <v>0</v>
      </c>
    </row>
    <row r="176" spans="1:9" ht="18" x14ac:dyDescent="0.35">
      <c r="B176" s="71"/>
      <c r="D176" t="s">
        <v>306</v>
      </c>
      <c r="E176" s="71">
        <f t="shared" ca="1" si="5"/>
        <v>0.23086385167581194</v>
      </c>
    </row>
    <row r="177" spans="1:5" ht="18" x14ac:dyDescent="0.35">
      <c r="B177" s="71"/>
      <c r="D177" t="s">
        <v>307</v>
      </c>
      <c r="E177" s="71">
        <f t="shared" ca="1" si="5"/>
        <v>7.882255536523752E-3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426.75458986726147</v>
      </c>
      <c r="C193" s="19"/>
      <c r="D193" t="s">
        <v>311</v>
      </c>
      <c r="E193" s="5">
        <f t="shared" ref="E193:E208" ca="1" si="7">$E162*$D$8</f>
        <v>2.7098776463109444</v>
      </c>
    </row>
    <row r="194" spans="1:5" ht="18" x14ac:dyDescent="0.35">
      <c r="A194" t="s">
        <v>312</v>
      </c>
      <c r="B194" s="6">
        <f t="shared" ca="1" si="6"/>
        <v>6.3470696576267045</v>
      </c>
      <c r="D194" t="s">
        <v>313</v>
      </c>
      <c r="E194" s="5">
        <f t="shared" ca="1" si="7"/>
        <v>54.857287779067349</v>
      </c>
    </row>
    <row r="195" spans="1:5" ht="18" x14ac:dyDescent="0.35">
      <c r="A195" t="s">
        <v>314</v>
      </c>
      <c r="B195" s="6">
        <f t="shared" ca="1" si="6"/>
        <v>488.43108674084812</v>
      </c>
      <c r="D195" t="s">
        <v>315</v>
      </c>
      <c r="E195" s="5">
        <f t="shared" ca="1" si="7"/>
        <v>79.794139085547755</v>
      </c>
    </row>
    <row r="196" spans="1:5" ht="18" x14ac:dyDescent="0.35">
      <c r="A196" t="s">
        <v>316</v>
      </c>
      <c r="B196" s="6">
        <f t="shared" ca="1" si="6"/>
        <v>11.071433507917314</v>
      </c>
      <c r="D196" t="s">
        <v>317</v>
      </c>
      <c r="E196" s="5">
        <f t="shared" ca="1" si="7"/>
        <v>12.137676409455572</v>
      </c>
    </row>
    <row r="197" spans="1:5" ht="18" x14ac:dyDescent="0.35">
      <c r="A197" t="s">
        <v>318</v>
      </c>
      <c r="B197" s="6">
        <f t="shared" ca="1" si="6"/>
        <v>0</v>
      </c>
      <c r="D197" t="s">
        <v>319</v>
      </c>
      <c r="E197" s="5">
        <f t="shared" ca="1" si="7"/>
        <v>82.356531572218628</v>
      </c>
    </row>
    <row r="198" spans="1:5" ht="18" x14ac:dyDescent="0.35">
      <c r="A198" t="s">
        <v>320</v>
      </c>
      <c r="B198" s="6">
        <f t="shared" ca="1" si="6"/>
        <v>0</v>
      </c>
      <c r="D198" t="s">
        <v>321</v>
      </c>
      <c r="E198" s="5">
        <f t="shared" ca="1" si="7"/>
        <v>31.604886854200565</v>
      </c>
    </row>
    <row r="199" spans="1:5" ht="18" x14ac:dyDescent="0.35">
      <c r="A199" t="s">
        <v>322</v>
      </c>
      <c r="B199" s="6">
        <f t="shared" ca="1" si="6"/>
        <v>376.79477834449028</v>
      </c>
      <c r="D199" t="s">
        <v>323</v>
      </c>
      <c r="E199" s="5">
        <f t="shared" ca="1" si="7"/>
        <v>29.516727727552151</v>
      </c>
    </row>
    <row r="200" spans="1:5" ht="18" x14ac:dyDescent="0.35">
      <c r="A200" t="s">
        <v>324</v>
      </c>
      <c r="B200" s="6">
        <f t="shared" ca="1" si="6"/>
        <v>114.19470933186355</v>
      </c>
      <c r="D200" t="s">
        <v>325</v>
      </c>
      <c r="E200" s="5">
        <f t="shared" ca="1" si="7"/>
        <v>5.6606176528913759</v>
      </c>
    </row>
    <row r="201" spans="1:5" ht="18" x14ac:dyDescent="0.35">
      <c r="A201" t="s">
        <v>326</v>
      </c>
      <c r="B201" s="6">
        <f t="shared" ca="1" si="6"/>
        <v>8.582506595284741</v>
      </c>
      <c r="D201" t="s">
        <v>327</v>
      </c>
      <c r="E201" s="5">
        <f t="shared" ca="1" si="7"/>
        <v>13.871256967443241</v>
      </c>
    </row>
    <row r="202" spans="1:5" ht="18" x14ac:dyDescent="0.35">
      <c r="A202" t="s">
        <v>328</v>
      </c>
      <c r="B202" s="6">
        <f t="shared" ca="1" si="6"/>
        <v>9.7039266954809484</v>
      </c>
      <c r="D202" t="s">
        <v>329</v>
      </c>
      <c r="E202" s="5">
        <f t="shared" ca="1" si="7"/>
        <v>23.82582134067512</v>
      </c>
    </row>
    <row r="203" spans="1:5" ht="18" x14ac:dyDescent="0.35">
      <c r="B203" s="6">
        <f ca="1">SUM(B193:B202)</f>
        <v>1441.8801007407731</v>
      </c>
      <c r="D203" t="s">
        <v>330</v>
      </c>
      <c r="E203" s="5">
        <f t="shared" ca="1" si="7"/>
        <v>56.694177588280766</v>
      </c>
    </row>
    <row r="204" spans="1:5" ht="18" x14ac:dyDescent="0.35">
      <c r="B204" s="6"/>
      <c r="D204" t="s">
        <v>331</v>
      </c>
      <c r="E204" s="5">
        <f t="shared" ca="1" si="7"/>
        <v>31.8466946165175</v>
      </c>
    </row>
    <row r="205" spans="1:5" ht="18" x14ac:dyDescent="0.35">
      <c r="B205" s="6"/>
      <c r="D205" t="s">
        <v>332</v>
      </c>
      <c r="E205" s="5">
        <f t="shared" ca="1" si="7"/>
        <v>45.540093169260466</v>
      </c>
    </row>
    <row r="206" spans="1:5" ht="18" x14ac:dyDescent="0.35">
      <c r="B206" s="6"/>
      <c r="D206" t="s">
        <v>333</v>
      </c>
      <c r="E206" s="5">
        <f t="shared" ca="1" si="7"/>
        <v>0</v>
      </c>
    </row>
    <row r="207" spans="1:5" ht="18" x14ac:dyDescent="0.35">
      <c r="B207" s="6"/>
      <c r="D207" t="s">
        <v>334</v>
      </c>
      <c r="E207" s="5">
        <f t="shared" ca="1" si="7"/>
        <v>142.66199730502399</v>
      </c>
    </row>
    <row r="208" spans="1:5" ht="18" x14ac:dyDescent="0.35">
      <c r="B208" s="6"/>
      <c r="D208" t="s">
        <v>335</v>
      </c>
      <c r="E208" s="5">
        <f t="shared" ca="1" si="7"/>
        <v>4.8708288887431648</v>
      </c>
    </row>
    <row r="209" spans="1:5" x14ac:dyDescent="0.25">
      <c r="B209" s="6"/>
      <c r="E209" s="5">
        <f ca="1">SUM(E193:E208)</f>
        <v>617.94861460318862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2.8182100310867821</v>
      </c>
      <c r="D226" s="77"/>
      <c r="E226" s="7"/>
      <c r="F226" s="7"/>
      <c r="G226" s="78"/>
      <c r="H226" s="20" t="s">
        <v>343</v>
      </c>
      <c r="I226" s="20" t="str">
        <f t="shared" ref="I226:I241" si="9">B41</f>
        <v>NTS MG 1</v>
      </c>
      <c r="J226" s="11">
        <f t="shared" ref="J226:J241" ca="1" si="10">IFERROR($E193/$F41*1000000," ")</f>
        <v>2.3705743287702634</v>
      </c>
      <c r="L226" s="12"/>
      <c r="M226" s="79"/>
      <c r="Q226" s="7"/>
      <c r="R226" s="80"/>
      <c r="S226" s="81"/>
      <c r="T226" s="81"/>
      <c r="U226" s="81"/>
    </row>
    <row r="227" spans="1:22" ht="18" x14ac:dyDescent="0.25">
      <c r="A227" s="20" t="s">
        <v>344</v>
      </c>
      <c r="B227" s="20" t="str">
        <f t="shared" ref="B227:B235" si="11">B25</f>
        <v>PR-GNLBGB</v>
      </c>
      <c r="C227" s="11">
        <f t="shared" ca="1" si="8"/>
        <v>2.3308600737108813</v>
      </c>
      <c r="D227" s="77"/>
      <c r="E227" s="7"/>
      <c r="F227" s="7"/>
      <c r="G227" s="78"/>
      <c r="H227" s="20" t="s">
        <v>345</v>
      </c>
      <c r="I227" s="20" t="str">
        <f t="shared" si="9"/>
        <v>NTS MG 2</v>
      </c>
      <c r="J227" s="11">
        <f t="shared" ca="1" si="10"/>
        <v>2.9656315694977597</v>
      </c>
      <c r="L227" s="12"/>
      <c r="M227" s="79"/>
      <c r="Q227" s="7"/>
      <c r="R227" s="80"/>
      <c r="S227" s="81"/>
      <c r="T227" s="81"/>
      <c r="U227" s="81"/>
    </row>
    <row r="228" spans="1:22" ht="18" x14ac:dyDescent="0.25">
      <c r="A228" s="20" t="s">
        <v>346</v>
      </c>
      <c r="B228" s="20" t="str">
        <f t="shared" si="11"/>
        <v>PR-ITABORAÍ</v>
      </c>
      <c r="C228" s="11">
        <f t="shared" ca="1" si="8"/>
        <v>2.6447732883268729</v>
      </c>
      <c r="D228" s="77"/>
      <c r="E228" s="7"/>
      <c r="F228" s="7"/>
      <c r="G228" s="78"/>
      <c r="H228" s="20" t="s">
        <v>347</v>
      </c>
      <c r="I228" s="20" t="str">
        <f t="shared" si="9"/>
        <v>NTS MG 3</v>
      </c>
      <c r="J228" s="11">
        <f t="shared" ca="1" si="10"/>
        <v>3.683181285661004</v>
      </c>
      <c r="L228" s="12"/>
      <c r="M228" s="79"/>
      <c r="Q228" s="7"/>
      <c r="R228" s="80"/>
      <c r="S228" s="81"/>
      <c r="T228" s="81"/>
      <c r="U228" s="81"/>
    </row>
    <row r="229" spans="1:22" ht="18" x14ac:dyDescent="0.25">
      <c r="A229" s="20" t="s">
        <v>348</v>
      </c>
      <c r="B229" s="20" t="str">
        <f t="shared" si="11"/>
        <v>PR-GASPAJ (INTERCONEXÃO)</v>
      </c>
      <c r="C229" s="11">
        <f t="shared" ca="1" si="8"/>
        <v>3.1517886259955814</v>
      </c>
      <c r="D229" s="77"/>
      <c r="E229" s="7"/>
      <c r="F229" s="7"/>
      <c r="G229" s="78"/>
      <c r="H229" s="20" t="s">
        <v>349</v>
      </c>
      <c r="I229" s="20" t="str">
        <f t="shared" si="9"/>
        <v>NTS MG 4</v>
      </c>
      <c r="J229" s="11">
        <f t="shared" ca="1" si="10"/>
        <v>3.4565915888985042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1.4704386922261874</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1.3887261806968059</v>
      </c>
      <c r="L231" s="12"/>
      <c r="M231" s="79"/>
      <c r="Q231" s="7"/>
      <c r="R231" s="80"/>
      <c r="S231" s="81"/>
      <c r="T231" s="81"/>
      <c r="U231" s="81"/>
    </row>
    <row r="232" spans="1:22" ht="18" x14ac:dyDescent="0.25">
      <c r="A232" s="20" t="s">
        <v>354</v>
      </c>
      <c r="B232" s="20" t="str">
        <f t="shared" si="11"/>
        <v>PR-TECAB</v>
      </c>
      <c r="C232" s="11">
        <f t="shared" ca="1" si="8"/>
        <v>3.5636122672035113</v>
      </c>
      <c r="D232" s="77"/>
      <c r="E232" s="7"/>
      <c r="F232" s="7"/>
      <c r="G232" s="78"/>
      <c r="H232" s="20" t="s">
        <v>355</v>
      </c>
      <c r="I232" s="20" t="str">
        <f t="shared" si="9"/>
        <v>NTS RJ 3</v>
      </c>
      <c r="J232" s="11">
        <f t="shared" ca="1" si="10"/>
        <v>1.4478054932476108</v>
      </c>
      <c r="L232" s="12"/>
      <c r="M232" s="79"/>
      <c r="Q232" s="7"/>
      <c r="R232" s="80"/>
      <c r="S232" s="81"/>
      <c r="T232" s="81"/>
      <c r="U232" s="81"/>
    </row>
    <row r="233" spans="1:22" ht="18" x14ac:dyDescent="0.25">
      <c r="A233" s="20" t="s">
        <v>356</v>
      </c>
      <c r="B233" s="20" t="str">
        <f t="shared" si="11"/>
        <v>PR-GUARAREMA (INTERCONEXÃO)</v>
      </c>
      <c r="C233" s="11">
        <f t="shared" ca="1" si="8"/>
        <v>2.4681403431894777</v>
      </c>
      <c r="D233" s="77"/>
      <c r="E233" s="7"/>
      <c r="F233" s="7"/>
      <c r="G233" s="78"/>
      <c r="H233" s="20" t="s">
        <v>357</v>
      </c>
      <c r="I233" s="20" t="str">
        <f t="shared" si="9"/>
        <v>NTS RJ 4</v>
      </c>
      <c r="J233" s="11">
        <f t="shared" ca="1" si="10"/>
        <v>1.511226541527585</v>
      </c>
      <c r="L233" s="12"/>
      <c r="M233" s="79"/>
      <c r="Q233" s="7"/>
      <c r="R233" s="80"/>
      <c r="S233" s="81"/>
      <c r="T233" s="81"/>
      <c r="U233" s="81"/>
    </row>
    <row r="234" spans="1:22" ht="18" x14ac:dyDescent="0.25">
      <c r="A234" s="20" t="s">
        <v>358</v>
      </c>
      <c r="B234" s="20" t="str">
        <f t="shared" si="11"/>
        <v>PR-REPLAN (INTERCONEXÃO)</v>
      </c>
      <c r="C234" s="11">
        <f t="shared" ca="1" si="8"/>
        <v>3.1517886259955814</v>
      </c>
      <c r="D234" s="72"/>
      <c r="E234" s="7"/>
      <c r="F234" s="7"/>
      <c r="G234" s="72"/>
      <c r="H234" s="20" t="s">
        <v>359</v>
      </c>
      <c r="I234" s="20" t="str">
        <f t="shared" si="9"/>
        <v>NTS RJ 5</v>
      </c>
      <c r="J234" s="11">
        <f t="shared" ca="1" si="10"/>
        <v>1.46379287446575</v>
      </c>
      <c r="L234" s="12"/>
      <c r="Q234" s="7"/>
      <c r="R234" s="80"/>
      <c r="S234" s="81"/>
      <c r="T234" s="81"/>
      <c r="U234" s="81"/>
    </row>
    <row r="235" spans="1:22" ht="18" x14ac:dyDescent="0.25">
      <c r="A235" s="20" t="s">
        <v>360</v>
      </c>
      <c r="B235" s="20" t="str">
        <f t="shared" si="11"/>
        <v>PR-TECAB (INTERCONEXÃO)</v>
      </c>
      <c r="C235" s="11">
        <f t="shared" ca="1" si="8"/>
        <v>3.5636122672035109</v>
      </c>
      <c r="D235" s="72"/>
      <c r="E235" s="7"/>
      <c r="F235" s="7"/>
      <c r="G235" s="72"/>
      <c r="H235" s="20" t="s">
        <v>361</v>
      </c>
      <c r="I235" s="20" t="str">
        <f t="shared" si="9"/>
        <v>NTS SP 1</v>
      </c>
      <c r="J235" s="11">
        <f t="shared" ca="1" si="10"/>
        <v>1.7594261730983596</v>
      </c>
      <c r="L235" s="12"/>
      <c r="Q235" s="7"/>
      <c r="R235" s="80"/>
      <c r="S235" s="81"/>
      <c r="T235" s="81"/>
      <c r="U235" s="81"/>
    </row>
    <row r="236" spans="1:22" ht="18" x14ac:dyDescent="0.25">
      <c r="D236" s="72"/>
      <c r="E236" s="7"/>
      <c r="F236" s="7"/>
      <c r="G236" s="72"/>
      <c r="H236" s="20" t="s">
        <v>362</v>
      </c>
      <c r="I236" s="20" t="str">
        <f t="shared" si="9"/>
        <v>NTS SP 2</v>
      </c>
      <c r="J236" s="11">
        <f t="shared" ca="1" si="10"/>
        <v>1.6924427877688628</v>
      </c>
      <c r="K236" s="72"/>
      <c r="L236" s="12"/>
      <c r="Q236" s="7"/>
      <c r="R236" s="80"/>
      <c r="S236" s="81"/>
      <c r="T236" s="81"/>
      <c r="U236" s="81"/>
    </row>
    <row r="237" spans="1:22" ht="18" x14ac:dyDescent="0.25">
      <c r="D237" s="72"/>
      <c r="E237" s="7"/>
      <c r="F237" s="7"/>
      <c r="G237" s="72"/>
      <c r="H237" s="20" t="s">
        <v>363</v>
      </c>
      <c r="I237" s="20" t="str">
        <f t="shared" si="9"/>
        <v>NTS SP 3</v>
      </c>
      <c r="J237" s="11">
        <f t="shared" ca="1" si="10"/>
        <v>2.3196260524297143</v>
      </c>
      <c r="L237" s="12"/>
      <c r="Q237" s="7"/>
      <c r="R237" s="80"/>
      <c r="S237" s="81"/>
      <c r="T237" s="81"/>
      <c r="U237" s="81"/>
    </row>
    <row r="238" spans="1:22" ht="18" x14ac:dyDescent="0.25">
      <c r="D238" s="72"/>
      <c r="E238" s="7"/>
      <c r="F238" s="7"/>
      <c r="G238" s="72"/>
      <c r="H238" s="20" t="s">
        <v>364</v>
      </c>
      <c r="I238" s="20" t="str">
        <f t="shared" si="9"/>
        <v>NTS SP 4</v>
      </c>
      <c r="J238" s="11">
        <f t="shared" ca="1" si="10"/>
        <v>2.5376312114904267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2.8823445711341624</v>
      </c>
      <c r="L240" s="12"/>
      <c r="Q240" s="7"/>
      <c r="R240" s="82"/>
      <c r="S240" s="9"/>
      <c r="T240" s="9"/>
      <c r="U240" s="9"/>
      <c r="V240" s="72"/>
    </row>
    <row r="241" spans="1:22" ht="18" x14ac:dyDescent="0.25">
      <c r="E241" s="7"/>
      <c r="F241" s="7"/>
      <c r="G241" s="72"/>
      <c r="H241" s="20" t="s">
        <v>367</v>
      </c>
      <c r="I241" s="20" t="str">
        <f t="shared" si="9"/>
        <v>PE-TECAB (INTERCONEXÃO)</v>
      </c>
      <c r="J241" s="11">
        <f t="shared" ca="1" si="10"/>
        <v>1.788734202563357</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2.8849789579994636</v>
      </c>
      <c r="E245" s="11">
        <f ca="1">IFERROR(C245+D245," ")</f>
        <v>2.8849789579994636</v>
      </c>
      <c r="G245" s="79"/>
      <c r="H245" s="20" t="s">
        <v>343</v>
      </c>
      <c r="I245" s="20" t="str">
        <f t="shared" ref="I245:I260" si="15">I226</f>
        <v>NTS MG 1</v>
      </c>
      <c r="J245" s="11">
        <f t="shared" ref="J245:J260" ca="1" si="16">IF(F41=0," ",J226*(1-$C$11))</f>
        <v>0</v>
      </c>
      <c r="K245" s="11">
        <f t="shared" ref="K245:K260" si="17">$F$10*$C$11</f>
        <v>2.1447181689413122</v>
      </c>
      <c r="L245" s="11">
        <f ca="1">IFERROR(J245+K245," ")</f>
        <v>2.1447181689413122</v>
      </c>
    </row>
    <row r="246" spans="1:22" ht="18" x14ac:dyDescent="0.25">
      <c r="A246" s="20" t="s">
        <v>344</v>
      </c>
      <c r="B246" s="20" t="str">
        <f t="shared" si="12"/>
        <v>PR-GNLBGB</v>
      </c>
      <c r="C246" s="11">
        <f t="shared" ca="1" si="13"/>
        <v>0</v>
      </c>
      <c r="D246" s="11">
        <f t="shared" si="14"/>
        <v>2.8849789579994636</v>
      </c>
      <c r="E246" s="11">
        <f t="shared" ref="E246:E254" ca="1" si="18">IFERROR(C246+D246," ")</f>
        <v>2.8849789579994636</v>
      </c>
      <c r="G246" s="79"/>
      <c r="H246" s="20" t="s">
        <v>345</v>
      </c>
      <c r="I246" s="20" t="str">
        <f t="shared" si="15"/>
        <v>NTS MG 2</v>
      </c>
      <c r="J246" s="11">
        <f t="shared" ca="1" si="16"/>
        <v>0</v>
      </c>
      <c r="K246" s="11">
        <f t="shared" si="17"/>
        <v>2.1447181689413122</v>
      </c>
      <c r="L246" s="11">
        <f t="shared" ref="L246:L260" ca="1" si="19">IFERROR(J246+K246," ")</f>
        <v>2.1447181689413122</v>
      </c>
    </row>
    <row r="247" spans="1:22" ht="18" x14ac:dyDescent="0.25">
      <c r="A247" s="20" t="s">
        <v>346</v>
      </c>
      <c r="B247" s="20" t="str">
        <f t="shared" si="12"/>
        <v>PR-ITABORAÍ</v>
      </c>
      <c r="C247" s="11">
        <f t="shared" ca="1" si="13"/>
        <v>0</v>
      </c>
      <c r="D247" s="11">
        <f t="shared" si="14"/>
        <v>2.8849789579994636</v>
      </c>
      <c r="E247" s="11">
        <f t="shared" ca="1" si="18"/>
        <v>2.8849789579994636</v>
      </c>
      <c r="G247" s="79"/>
      <c r="H247" s="20" t="s">
        <v>347</v>
      </c>
      <c r="I247" s="20" t="str">
        <f t="shared" si="15"/>
        <v>NTS MG 3</v>
      </c>
      <c r="J247" s="11">
        <f t="shared" ca="1" si="16"/>
        <v>0</v>
      </c>
      <c r="K247" s="11">
        <f t="shared" si="17"/>
        <v>2.1447181689413122</v>
      </c>
      <c r="L247" s="11">
        <f t="shared" ca="1" si="19"/>
        <v>2.1447181689413122</v>
      </c>
    </row>
    <row r="248" spans="1:22" ht="18" x14ac:dyDescent="0.25">
      <c r="A248" s="20" t="s">
        <v>348</v>
      </c>
      <c r="B248" s="20" t="str">
        <f t="shared" si="12"/>
        <v>PR-GASPAJ (INTERCONEXÃO)</v>
      </c>
      <c r="C248" s="11">
        <f t="shared" ca="1" si="13"/>
        <v>0</v>
      </c>
      <c r="D248" s="11">
        <f t="shared" si="14"/>
        <v>2.8849789579994636</v>
      </c>
      <c r="E248" s="11">
        <f t="shared" ca="1" si="18"/>
        <v>2.8849789579994636</v>
      </c>
      <c r="G248" s="79"/>
      <c r="H248" s="20" t="s">
        <v>349</v>
      </c>
      <c r="I248" s="20" t="str">
        <f t="shared" si="15"/>
        <v>NTS MG 4</v>
      </c>
      <c r="J248" s="11">
        <f t="shared" ca="1" si="16"/>
        <v>0</v>
      </c>
      <c r="K248" s="11">
        <f t="shared" si="17"/>
        <v>2.1447181689413122</v>
      </c>
      <c r="L248" s="11">
        <f t="shared" ca="1" si="19"/>
        <v>2.1447181689413122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2.1447181689413122</v>
      </c>
      <c r="L249" s="11">
        <f t="shared" ca="1" si="19"/>
        <v>2.1447181689413122</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2.1447181689413122</v>
      </c>
      <c r="L250" s="11">
        <f t="shared" ca="1" si="19"/>
        <v>2.1447181689413122</v>
      </c>
    </row>
    <row r="251" spans="1:22" ht="18" x14ac:dyDescent="0.25">
      <c r="A251" s="20" t="s">
        <v>354</v>
      </c>
      <c r="B251" s="20" t="str">
        <f t="shared" si="12"/>
        <v>PR-TECAB</v>
      </c>
      <c r="C251" s="11">
        <f t="shared" ca="1" si="13"/>
        <v>0</v>
      </c>
      <c r="D251" s="11">
        <f t="shared" si="14"/>
        <v>2.8849789579994636</v>
      </c>
      <c r="E251" s="11">
        <f t="shared" ca="1" si="18"/>
        <v>2.8849789579994636</v>
      </c>
      <c r="G251" s="79"/>
      <c r="H251" s="20" t="s">
        <v>355</v>
      </c>
      <c r="I251" s="20" t="str">
        <f t="shared" si="15"/>
        <v>NTS RJ 3</v>
      </c>
      <c r="J251" s="11">
        <f t="shared" ca="1" si="16"/>
        <v>0</v>
      </c>
      <c r="K251" s="11">
        <f t="shared" si="17"/>
        <v>2.1447181689413122</v>
      </c>
      <c r="L251" s="11">
        <f t="shared" ca="1" si="19"/>
        <v>2.1447181689413122</v>
      </c>
    </row>
    <row r="252" spans="1:22" ht="18" x14ac:dyDescent="0.25">
      <c r="A252" s="20" t="s">
        <v>356</v>
      </c>
      <c r="B252" s="20" t="str">
        <f t="shared" si="12"/>
        <v>PR-GUARAREMA (INTERCONEXÃO)</v>
      </c>
      <c r="C252" s="11">
        <f t="shared" ca="1" si="13"/>
        <v>0</v>
      </c>
      <c r="D252" s="11">
        <f t="shared" si="14"/>
        <v>2.8849789579994636</v>
      </c>
      <c r="E252" s="11">
        <f t="shared" ca="1" si="18"/>
        <v>2.8849789579994636</v>
      </c>
      <c r="G252" s="79"/>
      <c r="H252" s="20" t="s">
        <v>357</v>
      </c>
      <c r="I252" s="20" t="str">
        <f t="shared" si="15"/>
        <v>NTS RJ 4</v>
      </c>
      <c r="J252" s="11">
        <f t="shared" ca="1" si="16"/>
        <v>0</v>
      </c>
      <c r="K252" s="11">
        <f t="shared" si="17"/>
        <v>2.1447181689413122</v>
      </c>
      <c r="L252" s="11">
        <f t="shared" ca="1" si="19"/>
        <v>2.1447181689413122</v>
      </c>
    </row>
    <row r="253" spans="1:22" ht="18" x14ac:dyDescent="0.25">
      <c r="A253" s="20" t="s">
        <v>358</v>
      </c>
      <c r="B253" s="20" t="str">
        <f t="shared" si="12"/>
        <v>PR-REPLAN (INTERCONEXÃO)</v>
      </c>
      <c r="C253" s="11">
        <f t="shared" ca="1" si="13"/>
        <v>0</v>
      </c>
      <c r="D253" s="11">
        <f t="shared" si="14"/>
        <v>2.8849789579994636</v>
      </c>
      <c r="E253" s="11">
        <f t="shared" ca="1" si="18"/>
        <v>2.8849789579994636</v>
      </c>
      <c r="G253" s="79"/>
      <c r="H253" s="20" t="s">
        <v>359</v>
      </c>
      <c r="I253" s="20" t="str">
        <f t="shared" si="15"/>
        <v>NTS RJ 5</v>
      </c>
      <c r="J253" s="11">
        <f t="shared" ca="1" si="16"/>
        <v>0</v>
      </c>
      <c r="K253" s="11">
        <f t="shared" si="17"/>
        <v>2.1447181689413122</v>
      </c>
      <c r="L253" s="11">
        <f t="shared" ca="1" si="19"/>
        <v>2.1447181689413122</v>
      </c>
    </row>
    <row r="254" spans="1:22" ht="18" x14ac:dyDescent="0.25">
      <c r="A254" s="20" t="s">
        <v>360</v>
      </c>
      <c r="B254" s="20" t="str">
        <f t="shared" si="12"/>
        <v>PR-TECAB (INTERCONEXÃO)</v>
      </c>
      <c r="C254" s="11">
        <f t="shared" ca="1" si="13"/>
        <v>0</v>
      </c>
      <c r="D254" s="11">
        <f t="shared" si="14"/>
        <v>2.8849789579994636</v>
      </c>
      <c r="E254" s="11">
        <f t="shared" ca="1" si="18"/>
        <v>2.8849789579994636</v>
      </c>
      <c r="G254" s="79"/>
      <c r="H254" s="20" t="s">
        <v>361</v>
      </c>
      <c r="I254" s="20" t="str">
        <f t="shared" si="15"/>
        <v>NTS SP 1</v>
      </c>
      <c r="J254" s="11">
        <f t="shared" ca="1" si="16"/>
        <v>0</v>
      </c>
      <c r="K254" s="11">
        <f t="shared" si="17"/>
        <v>2.1447181689413122</v>
      </c>
      <c r="L254" s="11">
        <f t="shared" ca="1" si="19"/>
        <v>2.1447181689413122</v>
      </c>
    </row>
    <row r="255" spans="1:22" ht="18" x14ac:dyDescent="0.25">
      <c r="H255" s="20" t="s">
        <v>362</v>
      </c>
      <c r="I255" s="20" t="str">
        <f t="shared" si="15"/>
        <v>NTS SP 2</v>
      </c>
      <c r="J255" s="11">
        <f t="shared" ca="1" si="16"/>
        <v>0</v>
      </c>
      <c r="K255" s="11">
        <f t="shared" si="17"/>
        <v>2.1447181689413122</v>
      </c>
      <c r="L255" s="11">
        <f t="shared" ca="1" si="19"/>
        <v>2.1447181689413122</v>
      </c>
    </row>
    <row r="256" spans="1:22" ht="18" x14ac:dyDescent="0.25">
      <c r="H256" s="20" t="s">
        <v>363</v>
      </c>
      <c r="I256" s="20" t="str">
        <f t="shared" si="15"/>
        <v>NTS SP 3</v>
      </c>
      <c r="J256" s="11">
        <f t="shared" ca="1" si="16"/>
        <v>0</v>
      </c>
      <c r="K256" s="11">
        <f t="shared" si="17"/>
        <v>2.1447181689413122</v>
      </c>
      <c r="L256" s="11">
        <f t="shared" ca="1" si="19"/>
        <v>2.1447181689413122</v>
      </c>
    </row>
    <row r="257" spans="1:13" ht="18" x14ac:dyDescent="0.25">
      <c r="H257" s="20" t="s">
        <v>364</v>
      </c>
      <c r="I257" s="20" t="str">
        <f t="shared" si="15"/>
        <v>NTS SP 4</v>
      </c>
      <c r="J257" s="11">
        <f t="shared" ca="1" si="16"/>
        <v>0</v>
      </c>
      <c r="K257" s="11">
        <f t="shared" si="17"/>
        <v>2.1447181689413122</v>
      </c>
      <c r="L257" s="11">
        <f t="shared" ca="1" si="19"/>
        <v>2.1447181689413122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2.1447181689413122</v>
      </c>
      <c r="L259" s="11">
        <f t="shared" ca="1" si="19"/>
        <v>2.1447181689413122</v>
      </c>
    </row>
    <row r="260" spans="1:13" ht="18" x14ac:dyDescent="0.25">
      <c r="H260" s="20" t="s">
        <v>367</v>
      </c>
      <c r="I260" s="20" t="str">
        <f t="shared" si="15"/>
        <v>PE-TECAB (INTERCONEXÃO)</v>
      </c>
      <c r="J260" s="11">
        <f t="shared" ca="1" si="16"/>
        <v>0</v>
      </c>
      <c r="K260" s="11">
        <f t="shared" si="17"/>
        <v>2.1447181689413122</v>
      </c>
      <c r="L260" s="11">
        <f t="shared" ca="1" si="19"/>
        <v>2.1447181689413122</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(BRA)'!D11</f>
        <v>200</v>
      </c>
      <c r="D267" s="207">
        <f ca="1">E253</f>
        <v>2.8849789579994636</v>
      </c>
      <c r="E267" s="210">
        <f ca="1">D267*(1-$C$262)</f>
        <v>0.28849789579994628</v>
      </c>
      <c r="F267" s="208">
        <f ca="1">C267*E267*'Premissas (BRA)'!$C$35*'Premissas (BRA)'!$F$20*1000</f>
        <v>785596.81096846482</v>
      </c>
      <c r="L267" s="84"/>
    </row>
    <row r="268" spans="1:13" ht="18.75" x14ac:dyDescent="0.3">
      <c r="B268" s="189" t="s">
        <v>376</v>
      </c>
      <c r="C268" s="213">
        <f>'Oferta (BRA)'!D10</f>
        <v>3398.2010229822185</v>
      </c>
      <c r="D268" s="207">
        <f ca="1">E252</f>
        <v>2.8849789579994636</v>
      </c>
      <c r="E268" s="210">
        <f t="shared" ref="E268:E270" ca="1" si="20">D268*(1-$C$262)</f>
        <v>0.28849789579994628</v>
      </c>
      <c r="F268" s="208">
        <f ca="1">C268*E268*'Premissas (BRA)'!$C$35*'Premissas (BRA)'!$F$20*1000</f>
        <v>13348079.433423033</v>
      </c>
      <c r="G268" s="85"/>
      <c r="K268" s="85"/>
      <c r="L268" s="84"/>
    </row>
    <row r="269" spans="1:13" ht="18.75" x14ac:dyDescent="0.3">
      <c r="B269" s="190" t="s">
        <v>377</v>
      </c>
      <c r="C269" s="213">
        <f>'Oferta (BRA)'!D12</f>
        <v>200</v>
      </c>
      <c r="D269" s="207">
        <f ca="1">E254</f>
        <v>2.8849789579994636</v>
      </c>
      <c r="E269" s="210">
        <f t="shared" ca="1" si="20"/>
        <v>0.28849789579994628</v>
      </c>
      <c r="F269" s="208">
        <f ca="1">C269*E269*'Premissas (BRA)'!$C$35*'Premissas (BRA)'!$F$20*1000</f>
        <v>785596.81096846482</v>
      </c>
      <c r="K269" s="85"/>
      <c r="L269" s="84"/>
    </row>
    <row r="270" spans="1:13" ht="18.75" x14ac:dyDescent="0.3">
      <c r="B270" s="190" t="s">
        <v>185</v>
      </c>
      <c r="C270" s="213">
        <f>'Oferta (BRA)'!D6</f>
        <v>258</v>
      </c>
      <c r="D270" s="207">
        <f ca="1">E248</f>
        <v>2.8849789579994636</v>
      </c>
      <c r="E270" s="210">
        <f t="shared" ca="1" si="20"/>
        <v>0.28849789579994628</v>
      </c>
      <c r="F270" s="208">
        <f ca="1">C270*E270*'Premissas (BRA)'!$C$35*'Premissas (BRA)'!$F$20*1000</f>
        <v>1013419.8861493197</v>
      </c>
      <c r="K270" s="85"/>
      <c r="L270" s="84"/>
    </row>
    <row r="271" spans="1:13" ht="18.75" x14ac:dyDescent="0.3">
      <c r="B271" s="188" t="s">
        <v>378</v>
      </c>
      <c r="C271" s="213">
        <f>'Demanda (BRA)'!D17</f>
        <v>3635.2588149970047</v>
      </c>
      <c r="D271" s="207">
        <f ca="1">L259</f>
        <v>2.1447181689413122</v>
      </c>
      <c r="E271" s="210">
        <f ca="1">D271*(1-$C$262)</f>
        <v>0.21447181689413117</v>
      </c>
      <c r="F271" s="208">
        <f ca="1">C271*E271*'Premissas (BRA)'!$C$35*'Premissas (BRA)'!$F$20*1000</f>
        <v>10615308.825382613</v>
      </c>
      <c r="K271" s="85"/>
      <c r="L271" s="84"/>
    </row>
    <row r="272" spans="1:13" ht="18.75" x14ac:dyDescent="0.3">
      <c r="B272" s="190" t="s">
        <v>379</v>
      </c>
      <c r="C272" s="213">
        <f>'Demanda (BRA)'!D18</f>
        <v>200</v>
      </c>
      <c r="D272" s="207">
        <f ca="1">L260</f>
        <v>2.1447181689413122</v>
      </c>
      <c r="E272" s="210">
        <f ca="1">D272*(1-$C$262)</f>
        <v>0.21447181689413117</v>
      </c>
      <c r="F272" s="208">
        <f ca="1">C272*E272*'Premissas (BRA)'!$C$35*'Premissas (BRA)'!$F$20*1000</f>
        <v>584019.42560952762</v>
      </c>
      <c r="K272" s="85"/>
      <c r="L272" s="84"/>
    </row>
    <row r="273" spans="2:13" ht="19.5" thickBot="1" x14ac:dyDescent="0.35">
      <c r="B273" s="190"/>
      <c r="C273" s="190"/>
      <c r="D273" s="190"/>
      <c r="E273" s="190"/>
      <c r="F273" s="209">
        <f ca="1">SUM(F267:F272)</f>
        <v>27132021.192501422</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685A-E35F-438C-BE6F-BEF6B8621CEE}">
  <sheetPr codeName="Planilha35">
    <tabColor theme="5"/>
  </sheetPr>
  <dimension ref="A2:AA303"/>
  <sheetViews>
    <sheetView showGridLines="0" topLeftCell="A245"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2026</v>
      </c>
    </row>
    <row r="4" spans="1:9" ht="18.75" thickBot="1" x14ac:dyDescent="0.3">
      <c r="A4" s="162"/>
      <c r="B4" s="163" t="s">
        <v>102</v>
      </c>
      <c r="C4" s="164" t="s">
        <v>200</v>
      </c>
      <c r="D4" s="306">
        <f>('Premissas (BRA)'!C33)/1000</f>
        <v>2059.8287153439614</v>
      </c>
      <c r="E4" s="166" t="s">
        <v>103</v>
      </c>
      <c r="F4" s="162"/>
      <c r="G4" s="162"/>
      <c r="H4" s="177"/>
      <c r="I4" s="177"/>
    </row>
    <row r="5" spans="1:9" ht="15.75" thickBot="1" x14ac:dyDescent="0.3">
      <c r="A5" s="153"/>
      <c r="B5" s="197" t="s">
        <v>385</v>
      </c>
      <c r="C5" s="150"/>
      <c r="D5" s="307">
        <f ca="1">D6+D9</f>
        <v>2032.69669415146</v>
      </c>
      <c r="E5" s="166" t="s">
        <v>103</v>
      </c>
      <c r="F5" s="215" t="s">
        <v>390</v>
      </c>
      <c r="G5" s="153"/>
      <c r="H5" s="177"/>
      <c r="I5" s="177"/>
    </row>
    <row r="6" spans="1:9" ht="18" x14ac:dyDescent="0.25">
      <c r="A6" s="148">
        <f>HLOOKUP($G$3,'Premissas (BRA)'!$B$5:$F$13,9,FALSE)</f>
        <v>0.7</v>
      </c>
      <c r="B6" s="149" t="s">
        <v>104</v>
      </c>
      <c r="C6" s="150" t="s">
        <v>201</v>
      </c>
      <c r="D6" s="307">
        <f ca="1">($A$6*$D$4)-(SUM($F$268:$F$271)/10^6)</f>
        <v>1425.9474077992636</v>
      </c>
      <c r="E6" s="152" t="s">
        <v>105</v>
      </c>
      <c r="F6" s="215" t="s">
        <v>383</v>
      </c>
      <c r="G6" s="153"/>
      <c r="H6" s="177"/>
    </row>
    <row r="7" spans="1:9" ht="30" x14ac:dyDescent="0.25">
      <c r="A7" s="48"/>
      <c r="B7" s="154" t="s">
        <v>106</v>
      </c>
      <c r="C7" s="155" t="s">
        <v>202</v>
      </c>
      <c r="D7" s="308">
        <f>$C$35*'Premissas (BRA)'!$C$20</f>
        <v>11917866.798791388</v>
      </c>
      <c r="E7" s="154" t="s">
        <v>107</v>
      </c>
      <c r="F7" s="172">
        <f>F35</f>
        <v>444562400.62667334</v>
      </c>
      <c r="G7" s="40" t="s">
        <v>108</v>
      </c>
    </row>
    <row r="8" spans="1:9" ht="18.75" thickBot="1" x14ac:dyDescent="0.3">
      <c r="A8" s="157"/>
      <c r="B8" s="158" t="s">
        <v>109</v>
      </c>
      <c r="C8" s="159" t="s">
        <v>203</v>
      </c>
      <c r="D8" s="160">
        <f ca="1">$D$6/$D$7*1000</f>
        <v>0.11964787254912694</v>
      </c>
      <c r="E8" s="161" t="s">
        <v>110</v>
      </c>
      <c r="F8" s="309">
        <f ca="1">$D$6/$F$7*1000000</f>
        <v>3.207530384461641</v>
      </c>
      <c r="G8" s="170" t="s">
        <v>15</v>
      </c>
      <c r="I8" s="177"/>
    </row>
    <row r="9" spans="1:9" ht="18" x14ac:dyDescent="0.25">
      <c r="A9" s="148">
        <f>1-A6</f>
        <v>0.30000000000000004</v>
      </c>
      <c r="B9" s="149" t="s">
        <v>111</v>
      </c>
      <c r="C9" s="150" t="s">
        <v>204</v>
      </c>
      <c r="D9" s="307">
        <f ca="1">($A$9*$D$4)-(SUM($F$272:$F$273)/10^6)</f>
        <v>606.74928635219635</v>
      </c>
      <c r="E9" s="152" t="s">
        <v>105</v>
      </c>
      <c r="F9" s="215" t="s">
        <v>384</v>
      </c>
      <c r="G9" s="171"/>
    </row>
    <row r="10" spans="1:9" ht="30" x14ac:dyDescent="0.25">
      <c r="B10" s="154" t="s">
        <v>112</v>
      </c>
      <c r="C10" s="155" t="s">
        <v>205</v>
      </c>
      <c r="D10" s="308">
        <f>$C$58*'Premissas (BRA)'!$C$20</f>
        <v>6324231.2880706908</v>
      </c>
      <c r="E10" s="154" t="s">
        <v>107</v>
      </c>
      <c r="F10" s="172">
        <f>F58</f>
        <v>235907607.54501358</v>
      </c>
      <c r="G10" s="40" t="s">
        <v>108</v>
      </c>
    </row>
    <row r="11" spans="1:9" ht="18.75" thickBot="1" x14ac:dyDescent="0.3">
      <c r="A11" s="167"/>
      <c r="B11" s="158" t="s">
        <v>113</v>
      </c>
      <c r="C11" s="159" t="s">
        <v>206</v>
      </c>
      <c r="D11" s="160">
        <f ca="1">$D$9/$D$10*1000</f>
        <v>9.5940401088223812E-2</v>
      </c>
      <c r="E11" s="161" t="s">
        <v>110</v>
      </c>
      <c r="F11" s="309">
        <f ca="1">$D$9/$F$10*1000000</f>
        <v>2.5719784650710018</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2026</v>
      </c>
      <c r="F22" s="376">
        <v>2026</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(BRA)'!D3</f>
        <v>11121.869070475715</v>
      </c>
      <c r="E25" s="60"/>
      <c r="F25" s="15">
        <f>IFERROR($C25*$H$20*'Premissas (BRA)'!$C$20*1000," ")</f>
        <v>151427532.0717288</v>
      </c>
      <c r="G25" s="49"/>
    </row>
    <row r="26" spans="1:9" x14ac:dyDescent="0.25">
      <c r="A26" s="2" t="s">
        <v>125</v>
      </c>
      <c r="B26" s="16" t="s">
        <v>26</v>
      </c>
      <c r="C26" s="231">
        <f>'Oferta (BRA)'!D4</f>
        <v>200</v>
      </c>
      <c r="E26" s="60"/>
      <c r="F26" s="15">
        <f>IFERROR($C26*$H$20*'Premissas (BRA)'!$C$20*1000," ")</f>
        <v>2723059.0670000003</v>
      </c>
      <c r="G26" s="49"/>
    </row>
    <row r="27" spans="1:9" x14ac:dyDescent="0.25">
      <c r="A27" s="2" t="s">
        <v>126</v>
      </c>
      <c r="B27" s="16" t="s">
        <v>411</v>
      </c>
      <c r="C27" s="231">
        <f>'Oferta (BRA)'!D5</f>
        <v>13564</v>
      </c>
      <c r="D27" s="18"/>
      <c r="E27" s="60"/>
      <c r="F27" s="15">
        <f>IFERROR($C27*$H$20*'Premissas (BRA)'!$C$20*1000," ")</f>
        <v>184677865.92394</v>
      </c>
      <c r="G27" s="49"/>
    </row>
    <row r="28" spans="1:9" x14ac:dyDescent="0.25">
      <c r="A28" s="2" t="s">
        <v>127</v>
      </c>
      <c r="B28" s="16" t="s">
        <v>388</v>
      </c>
      <c r="C28" s="234"/>
      <c r="D28" s="216" t="s">
        <v>386</v>
      </c>
      <c r="E28" s="60"/>
      <c r="F28" s="15">
        <f>IFERROR($C28*$H$20*'Premissas (BRA)'!$C$20*1000," ")</f>
        <v>0</v>
      </c>
      <c r="G28" s="49"/>
    </row>
    <row r="29" spans="1:9" x14ac:dyDescent="0.25">
      <c r="A29" s="2" t="s">
        <v>128</v>
      </c>
      <c r="B29" s="16" t="s">
        <v>27</v>
      </c>
      <c r="C29" s="231">
        <f>'Oferta (BRA)'!D7</f>
        <v>0</v>
      </c>
      <c r="D29" s="18"/>
      <c r="E29" s="60"/>
      <c r="F29" s="15">
        <f>IFERROR($C29*$H$20*'Premissas (BRA)'!$C$20*1000," ")</f>
        <v>0</v>
      </c>
      <c r="G29" s="49"/>
    </row>
    <row r="30" spans="1:9" x14ac:dyDescent="0.25">
      <c r="A30" s="2" t="s">
        <v>183</v>
      </c>
      <c r="B30" s="16" t="s">
        <v>29</v>
      </c>
      <c r="C30" s="231">
        <f>'Oferta (BRA)'!D8</f>
        <v>0</v>
      </c>
      <c r="D30" s="18"/>
      <c r="E30" s="60"/>
      <c r="F30" s="15">
        <f>IFERROR($C30*$H$20*'Premissas (BRA)'!$C$20*1000," ")</f>
        <v>0</v>
      </c>
      <c r="G30" s="49"/>
    </row>
    <row r="31" spans="1:9" x14ac:dyDescent="0.25">
      <c r="A31" s="2" t="s">
        <v>129</v>
      </c>
      <c r="B31" s="16" t="s">
        <v>24</v>
      </c>
      <c r="C31" s="231">
        <f>'Oferta (BRA)'!D9</f>
        <v>7765.8207892267164</v>
      </c>
      <c r="D31" s="18"/>
      <c r="E31" s="60"/>
      <c r="F31" s="15">
        <f>IFERROR($C31*$H$20*'Premissas (BRA)'!$C$20*1000," ")</f>
        <v>105733943.56400453</v>
      </c>
      <c r="G31" s="49"/>
    </row>
    <row r="32" spans="1:9" x14ac:dyDescent="0.25">
      <c r="A32" s="2" t="s">
        <v>184</v>
      </c>
      <c r="B32" s="16" t="s">
        <v>194</v>
      </c>
      <c r="C32" s="191"/>
      <c r="D32" s="216" t="s">
        <v>386</v>
      </c>
      <c r="E32" s="60"/>
      <c r="F32" s="15">
        <f>IFERROR($C32*$H$20*'Premissas (BRA)'!$C$20*1000," ")</f>
        <v>0</v>
      </c>
      <c r="G32" s="49"/>
    </row>
    <row r="33" spans="1:8" x14ac:dyDescent="0.25">
      <c r="A33" s="2" t="s">
        <v>130</v>
      </c>
      <c r="B33" s="16" t="s">
        <v>196</v>
      </c>
      <c r="C33" s="191"/>
      <c r="D33" s="216" t="s">
        <v>386</v>
      </c>
      <c r="E33" s="60"/>
      <c r="F33" s="15">
        <f>IFERROR($C33*$H$20*'Premissas (BRA)'!$C$20*1000," ")</f>
        <v>0</v>
      </c>
      <c r="G33" s="49"/>
    </row>
    <row r="34" spans="1:8" x14ac:dyDescent="0.25">
      <c r="A34" s="2" t="s">
        <v>131</v>
      </c>
      <c r="B34" s="16" t="s">
        <v>195</v>
      </c>
      <c r="C34" s="191"/>
      <c r="D34" s="216" t="s">
        <v>386</v>
      </c>
      <c r="E34" s="60"/>
      <c r="F34" s="15">
        <f>IFERROR($C34*$H$20*'Premissas (BRA)'!$C$20*1000," ")</f>
        <v>0</v>
      </c>
      <c r="G34" s="49"/>
    </row>
    <row r="35" spans="1:8" x14ac:dyDescent="0.25">
      <c r="C35" s="61">
        <f>SUM(C25:C34)</f>
        <v>32651.689859702434</v>
      </c>
      <c r="D35" s="61"/>
      <c r="E35" s="60"/>
      <c r="F35" s="61">
        <f>SUM(F25:F34)</f>
        <v>444562400.62667334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2026</v>
      </c>
      <c r="F39" s="376">
        <v>2026</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(BRA)'!D3</f>
        <v>83.95934449000282</v>
      </c>
      <c r="F42" s="15">
        <f>IFERROR($C42*$H$20*'Premissas (BRA)'!$F$20*1000," ")</f>
        <v>1143131.2713643934</v>
      </c>
      <c r="G42" s="49"/>
    </row>
    <row r="43" spans="1:8" x14ac:dyDescent="0.25">
      <c r="A43" s="2" t="s">
        <v>38</v>
      </c>
      <c r="B43" s="16" t="s">
        <v>161</v>
      </c>
      <c r="C43" s="231">
        <f>'Demanda (BRA)'!D4</f>
        <v>1358.5951793648003</v>
      </c>
      <c r="D43" s="18"/>
      <c r="F43" s="15">
        <f>IFERROR($C43*$H$20*'Premissas (BRA)'!$F$20*1000," ")</f>
        <v>18497674.607759055</v>
      </c>
      <c r="G43" s="49"/>
    </row>
    <row r="44" spans="1:8" x14ac:dyDescent="0.25">
      <c r="A44" s="2" t="s">
        <v>39</v>
      </c>
      <c r="B44" s="16" t="s">
        <v>162</v>
      </c>
      <c r="C44" s="231">
        <f>'Demanda (BRA)'!D5</f>
        <v>1591.1855708262167</v>
      </c>
      <c r="D44" s="18"/>
      <c r="F44" s="15">
        <f>IFERROR($C44*$H$20*'Premissas (BRA)'!$F$20*1000," ")</f>
        <v>21664461.4795895</v>
      </c>
      <c r="G44" s="49"/>
    </row>
    <row r="45" spans="1:8" x14ac:dyDescent="0.25">
      <c r="A45" s="2" t="s">
        <v>40</v>
      </c>
      <c r="B45" s="16" t="s">
        <v>163</v>
      </c>
      <c r="C45" s="231">
        <f>'Demanda (BRA)'!D6</f>
        <v>257.90539079715882</v>
      </c>
      <c r="D45" s="18"/>
      <c r="F45" s="15">
        <f>IFERROR($C45*$H$20*'Premissas (BRA)'!$F$20*1000," ")</f>
        <v>3511458.0641919076</v>
      </c>
      <c r="G45" s="49"/>
    </row>
    <row r="46" spans="1:8" x14ac:dyDescent="0.25">
      <c r="A46" s="2" t="s">
        <v>41</v>
      </c>
      <c r="B46" s="16" t="s">
        <v>164</v>
      </c>
      <c r="C46" s="231">
        <f>'Demanda (BRA)'!D7</f>
        <v>4113.6189497552796</v>
      </c>
      <c r="D46" s="18"/>
      <c r="F46" s="15">
        <f>IFERROR($C46*$H$20*'Premissas (BRA)'!$F$20*1000," ")</f>
        <v>56008136.89657066</v>
      </c>
      <c r="G46" s="49"/>
    </row>
    <row r="47" spans="1:8" x14ac:dyDescent="0.25">
      <c r="A47" s="2" t="s">
        <v>42</v>
      </c>
      <c r="B47" s="16" t="s">
        <v>165</v>
      </c>
      <c r="C47" s="231">
        <f>'Demanda (BRA)'!D8</f>
        <v>1671.5160482445838</v>
      </c>
      <c r="D47" s="18"/>
      <c r="F47" s="15">
        <f>IFERROR($C47*$H$20*'Premissas (BRA)'!$F$20*1000," ")</f>
        <v>22758184.654042114</v>
      </c>
      <c r="G47" s="49"/>
    </row>
    <row r="48" spans="1:8" x14ac:dyDescent="0.25">
      <c r="A48" s="2" t="s">
        <v>43</v>
      </c>
      <c r="B48" s="16" t="s">
        <v>166</v>
      </c>
      <c r="C48" s="231">
        <f>'Demanda (BRA)'!D9</f>
        <v>1497.3761894156601</v>
      </c>
      <c r="D48" s="18"/>
      <c r="F48" s="15">
        <f>IFERROR($C48*$H$20*'Premissas (BRA)'!$F$20*1000," ")</f>
        <v>20387219.046491113</v>
      </c>
      <c r="G48" s="49"/>
    </row>
    <row r="49" spans="1:9" x14ac:dyDescent="0.25">
      <c r="A49" s="2" t="s">
        <v>44</v>
      </c>
      <c r="B49" s="16" t="s">
        <v>167</v>
      </c>
      <c r="C49" s="231">
        <f>'Demanda (BRA)'!D10</f>
        <v>275.11051045873194</v>
      </c>
      <c r="D49" s="18"/>
      <c r="F49" s="15">
        <f>IFERROR($C49*$H$20*'Premissas (BRA)'!$F$20*1000," ")</f>
        <v>3745710.8496582415</v>
      </c>
      <c r="G49" s="49"/>
    </row>
    <row r="50" spans="1:9" x14ac:dyDescent="0.25">
      <c r="A50" s="2" t="s">
        <v>45</v>
      </c>
      <c r="B50" s="16" t="s">
        <v>168</v>
      </c>
      <c r="C50" s="231">
        <f>'Demanda (BRA)'!D11</f>
        <v>695.99981184318472</v>
      </c>
      <c r="D50" s="18"/>
      <c r="F50" s="15">
        <f>IFERROR($C50*$H$20*'Premissas (BRA)'!$F$20*1000," ")</f>
        <v>9476242.9913493898</v>
      </c>
      <c r="G50" s="49"/>
    </row>
    <row r="51" spans="1:9" x14ac:dyDescent="0.25">
      <c r="A51" s="2" t="s">
        <v>46</v>
      </c>
      <c r="B51" s="16" t="s">
        <v>169</v>
      </c>
      <c r="C51" s="231">
        <f>'Demanda (BRA)'!D12</f>
        <v>994.60300359473592</v>
      </c>
      <c r="D51" s="18"/>
      <c r="F51" s="15">
        <f>IFERROR($C51*$H$20*'Premissas (BRA)'!$F$20*1000," ")</f>
        <v>13541813.635020396</v>
      </c>
      <c r="G51" s="49"/>
    </row>
    <row r="52" spans="1:9" x14ac:dyDescent="0.25">
      <c r="A52" s="2" t="s">
        <v>47</v>
      </c>
      <c r="B52" s="16" t="s">
        <v>170</v>
      </c>
      <c r="C52" s="231">
        <f>'Demanda (BRA)'!D13</f>
        <v>2460.3528578351988</v>
      </c>
      <c r="D52" s="18"/>
      <c r="F52" s="15">
        <f>IFERROR($C52*$H$20*'Premissas (BRA)'!$F$20*1000," ")</f>
        <v>33498430.787737504</v>
      </c>
      <c r="G52" s="49"/>
    </row>
    <row r="53" spans="1:9" x14ac:dyDescent="0.25">
      <c r="A53" s="2" t="s">
        <v>48</v>
      </c>
      <c r="B53" s="16" t="s">
        <v>171</v>
      </c>
      <c r="C53" s="231">
        <f>'Demanda (BRA)'!D14</f>
        <v>1008.3686134701056</v>
      </c>
      <c r="D53" s="18"/>
      <c r="F53" s="15">
        <f>IFERROR($C53*$H$20*'Premissas (BRA)'!$F$20*1000," ")</f>
        <v>13729236.478939947</v>
      </c>
      <c r="G53" s="49"/>
    </row>
    <row r="54" spans="1:9" x14ac:dyDescent="0.25">
      <c r="A54" s="2" t="s">
        <v>49</v>
      </c>
      <c r="B54" s="16" t="s">
        <v>172</v>
      </c>
      <c r="C54" s="231">
        <f>'Demanda (BRA)'!D15</f>
        <v>1318.069593111717</v>
      </c>
      <c r="D54" s="18"/>
      <c r="F54" s="15">
        <f>IFERROR($C54*$H$20*'Premissas (BRA)'!$F$20*1000," ")</f>
        <v>17945906.78229931</v>
      </c>
      <c r="G54" s="49"/>
    </row>
    <row r="55" spans="1:9" x14ac:dyDescent="0.25">
      <c r="A55" s="2" t="s">
        <v>50</v>
      </c>
      <c r="B55" s="16" t="s">
        <v>199</v>
      </c>
      <c r="C55" s="191"/>
      <c r="D55" s="216" t="s">
        <v>386</v>
      </c>
      <c r="F55" s="15">
        <f>IFERROR($C55*$H$20*'Premissas (BRA)'!$F$20*1000," ")</f>
        <v>0</v>
      </c>
      <c r="G55" s="49"/>
    </row>
    <row r="56" spans="1:9" x14ac:dyDescent="0.25">
      <c r="A56" s="2" t="s">
        <v>51</v>
      </c>
      <c r="B56" s="16" t="s">
        <v>198</v>
      </c>
      <c r="C56" s="191"/>
      <c r="D56" s="216" t="s">
        <v>386</v>
      </c>
      <c r="F56" s="15">
        <f>IFERROR($C56*$H$20*'Premissas (BRA)'!$F$20*1000," ")</f>
        <v>0</v>
      </c>
      <c r="G56" s="49"/>
    </row>
    <row r="57" spans="1:9" x14ac:dyDescent="0.25">
      <c r="A57" s="2" t="s">
        <v>52</v>
      </c>
      <c r="B57" s="16" t="s">
        <v>197</v>
      </c>
      <c r="C57" s="191"/>
      <c r="D57" s="216" t="s">
        <v>386</v>
      </c>
      <c r="F57" s="15">
        <f>IFERROR($C57*$H$20*'Premissas (BRA)'!$F$20*1000," ")</f>
        <v>0</v>
      </c>
      <c r="G57" s="49"/>
    </row>
    <row r="58" spans="1:9" x14ac:dyDescent="0.25">
      <c r="C58" s="61">
        <f>SUM(C42:C57)</f>
        <v>17326.661063207372</v>
      </c>
      <c r="D58" s="61"/>
      <c r="F58" s="61">
        <f>SUM(F42:F57)</f>
        <v>235907607.54501358</v>
      </c>
      <c r="G58" s="49"/>
    </row>
    <row r="59" spans="1:9" x14ac:dyDescent="0.25">
      <c r="C59" s="60"/>
      <c r="D59" s="60"/>
      <c r="F59" s="60"/>
      <c r="G59" s="60"/>
      <c r="H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0.34062154572287345</v>
      </c>
      <c r="C100" s="8"/>
      <c r="D100" t="s">
        <v>232</v>
      </c>
      <c r="E100" s="66">
        <f t="shared" ref="E100:E115" si="2">F42/$F$58</f>
        <v>4.845673623078358E-3</v>
      </c>
      <c r="G100" s="65" t="s">
        <v>140</v>
      </c>
      <c r="H100" s="67">
        <f>F25/$F$35</f>
        <v>0.34062154572287345</v>
      </c>
      <c r="I100" s="67">
        <f>F26/$F$35</f>
        <v>6.1252572488394537E-3</v>
      </c>
      <c r="J100" s="67">
        <f>$F27/$F$35</f>
        <v>0.41541494661629175</v>
      </c>
      <c r="K100" s="67">
        <f>$F28/$F$35</f>
        <v>0</v>
      </c>
      <c r="L100" s="67">
        <f>$F29/$F$35</f>
        <v>0</v>
      </c>
      <c r="M100" s="67">
        <f>$F30/$F$35</f>
        <v>0</v>
      </c>
      <c r="N100" s="67">
        <f>$F31/$F$35</f>
        <v>0.23783825041199533</v>
      </c>
      <c r="O100" s="67">
        <f>$F32/$F$35</f>
        <v>0</v>
      </c>
      <c r="P100" s="67">
        <f>$F33/$F$35</f>
        <v>0</v>
      </c>
      <c r="Q100" s="67">
        <f>$F34/$F$35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7.8410674417227127E-2</v>
      </c>
      <c r="W101" s="69"/>
    </row>
    <row r="102" spans="1:27" ht="18" x14ac:dyDescent="0.35">
      <c r="A102" t="s">
        <v>224</v>
      </c>
      <c r="B102" s="66">
        <f t="shared" si="1"/>
        <v>0.41541494661629175</v>
      </c>
      <c r="C102" s="4"/>
      <c r="D102" t="s">
        <v>234</v>
      </c>
      <c r="E102" s="66">
        <f t="shared" si="2"/>
        <v>9.1834518204147786E-2</v>
      </c>
      <c r="G102" s="66"/>
      <c r="H102" s="68"/>
      <c r="I102" s="68"/>
    </row>
    <row r="103" spans="1:27" ht="18" x14ac:dyDescent="0.35">
      <c r="A103" t="s">
        <v>225</v>
      </c>
      <c r="B103" s="66">
        <f t="shared" si="1"/>
        <v>0</v>
      </c>
      <c r="C103" s="4"/>
      <c r="D103" t="s">
        <v>235</v>
      </c>
      <c r="E103" s="66">
        <f t="shared" si="2"/>
        <v>1.4884886929820124E-2</v>
      </c>
      <c r="G103" s="66"/>
      <c r="H103" s="68"/>
      <c r="I103" s="68"/>
    </row>
    <row r="104" spans="1:27" ht="18" x14ac:dyDescent="0.35">
      <c r="A104" t="s">
        <v>226</v>
      </c>
      <c r="B104" s="66">
        <f t="shared" si="1"/>
        <v>0</v>
      </c>
      <c r="C104" s="4"/>
      <c r="D104" t="s">
        <v>236</v>
      </c>
      <c r="E104" s="66">
        <f t="shared" si="2"/>
        <v>0.2374155606062163</v>
      </c>
      <c r="G104" s="66"/>
      <c r="H104" s="68"/>
      <c r="I104" s="68"/>
    </row>
    <row r="105" spans="1:27" ht="18" x14ac:dyDescent="0.35">
      <c r="A105" t="s">
        <v>227</v>
      </c>
      <c r="B105" s="66">
        <f t="shared" si="1"/>
        <v>0</v>
      </c>
      <c r="C105" s="4"/>
      <c r="D105" t="s">
        <v>237</v>
      </c>
      <c r="E105" s="66">
        <f t="shared" si="2"/>
        <v>9.6470753490641964E-2</v>
      </c>
      <c r="G105" s="66"/>
      <c r="H105" s="68"/>
      <c r="I105" s="68"/>
    </row>
    <row r="106" spans="1:27" ht="18" x14ac:dyDescent="0.35">
      <c r="A106" t="s">
        <v>228</v>
      </c>
      <c r="B106" s="66">
        <f t="shared" si="1"/>
        <v>0.23783825041199533</v>
      </c>
      <c r="C106" s="4"/>
      <c r="D106" t="s">
        <v>238</v>
      </c>
      <c r="E106" s="66">
        <f t="shared" si="2"/>
        <v>8.642035438641385E-2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4.0169298014440788E-2</v>
      </c>
      <c r="G108" s="66"/>
      <c r="H108" s="68"/>
      <c r="I108" s="68"/>
    </row>
    <row r="109" spans="1:27" ht="18" x14ac:dyDescent="0.35">
      <c r="A109" t="s">
        <v>231</v>
      </c>
      <c r="B109" s="66">
        <f t="shared" si="1"/>
        <v>0</v>
      </c>
      <c r="D109" t="s">
        <v>241</v>
      </c>
      <c r="E109" s="66">
        <f t="shared" si="2"/>
        <v>5.7403039164120553E-2</v>
      </c>
      <c r="G109" s="66"/>
    </row>
    <row r="110" spans="1:27" ht="18" x14ac:dyDescent="0.35">
      <c r="B110" s="66">
        <f>SUM(B100:B109)</f>
        <v>1</v>
      </c>
      <c r="D110" t="s">
        <v>242</v>
      </c>
      <c r="E110" s="66">
        <f t="shared" si="2"/>
        <v>0.14199809466231675</v>
      </c>
      <c r="G110" s="66"/>
    </row>
    <row r="111" spans="1:27" ht="18" x14ac:dyDescent="0.35">
      <c r="B111" s="68"/>
      <c r="D111" t="s">
        <v>243</v>
      </c>
      <c r="E111" s="66">
        <f t="shared" si="2"/>
        <v>5.8197514789005984E-2</v>
      </c>
      <c r="G111" s="66"/>
    </row>
    <row r="112" spans="1:27" ht="18" x14ac:dyDescent="0.35">
      <c r="B112" s="68"/>
      <c r="D112" t="s">
        <v>244</v>
      </c>
      <c r="E112" s="66">
        <f t="shared" si="2"/>
        <v>7.6071759486921367E-2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348.00559018731281</v>
      </c>
      <c r="C131" s="70"/>
      <c r="D131" t="s">
        <v>253</v>
      </c>
      <c r="E131" s="4">
        <f ca="1">SUMPRODUCT($H$100:$Q$100,$C68:$L68)</f>
        <v>381.82480233545687</v>
      </c>
    </row>
    <row r="132" spans="1:5" ht="18" x14ac:dyDescent="0.35">
      <c r="A132" t="s">
        <v>254</v>
      </c>
      <c r="B132" s="66">
        <f ca="1">SUMPRODUCT($E$100:$E$115,D$68:D$83)</f>
        <v>238.07443165879414</v>
      </c>
      <c r="C132" s="70"/>
      <c r="D132" t="s">
        <v>255</v>
      </c>
      <c r="E132" s="4">
        <f t="shared" ref="E132:E146" ca="1" si="3">SUMPRODUCT($H$100:$Q$100,$C69:$L69)</f>
        <v>478.98880233545691</v>
      </c>
    </row>
    <row r="133" spans="1:5" ht="18" x14ac:dyDescent="0.35">
      <c r="A133" t="s">
        <v>256</v>
      </c>
      <c r="B133" s="66">
        <f ca="1">SUMPRODUCT($E$100:$E$115,E$68:E$83)</f>
        <v>274.56161386783606</v>
      </c>
      <c r="C133" s="70"/>
      <c r="D133" t="s">
        <v>257</v>
      </c>
      <c r="E133" s="4">
        <f t="shared" ca="1" si="3"/>
        <v>596.15400233545688</v>
      </c>
    </row>
    <row r="134" spans="1:5" ht="18" x14ac:dyDescent="0.35">
      <c r="A134" t="s">
        <v>258</v>
      </c>
      <c r="B134" s="66">
        <f ca="1">SUMPRODUCT($E$100:$E$115,F$68:F$83)</f>
        <v>459.39338604153431</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213.98004830229473</v>
      </c>
    </row>
    <row r="137" spans="1:5" ht="18" x14ac:dyDescent="0.35">
      <c r="A137" t="s">
        <v>264</v>
      </c>
      <c r="B137" s="66">
        <f ca="1">SUMPRODUCT($E$100:$E$115,I$68:I$83)</f>
        <v>385.09157515500448</v>
      </c>
      <c r="D137" t="s">
        <v>265</v>
      </c>
      <c r="E137" s="4">
        <f t="shared" ca="1" si="3"/>
        <v>229.34466796296684</v>
      </c>
    </row>
    <row r="138" spans="1:5" ht="18" x14ac:dyDescent="0.35">
      <c r="A138" t="s">
        <v>266</v>
      </c>
      <c r="B138" s="66">
        <f ca="1">SUMPRODUCT($E$100:$E$115,J$68:J$83)</f>
        <v>303.67115177082843</v>
      </c>
      <c r="D138" t="s">
        <v>267</v>
      </c>
      <c r="E138" s="4">
        <f t="shared" ca="1" si="3"/>
        <v>248.57032826686191</v>
      </c>
    </row>
    <row r="139" spans="1:5" ht="18" x14ac:dyDescent="0.35">
      <c r="A139" t="s">
        <v>268</v>
      </c>
      <c r="B139" s="66">
        <f ca="1">SUMPRODUCT($E$100:$E$115,K$68:K$83)</f>
        <v>459.39338604153431</v>
      </c>
      <c r="D139" t="s">
        <v>269</v>
      </c>
      <c r="E139" s="4">
        <f t="shared" ca="1" si="3"/>
        <v>223.14240453800076</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445.66464244190945</v>
      </c>
    </row>
    <row r="144" spans="1:5" ht="18" x14ac:dyDescent="0.35">
      <c r="B144" s="66"/>
      <c r="D144" t="s">
        <v>275</v>
      </c>
      <c r="E144" s="4">
        <f t="shared" si="3"/>
        <v>340.32764244190946</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0.36401277341349386</v>
      </c>
      <c r="C163" s="13"/>
      <c r="D163" t="s">
        <v>283</v>
      </c>
      <c r="E163" s="71">
        <f t="shared" ref="E163:E178" ca="1" si="5">($F42*$E131)/SUMPRODUCT($F$42:$F$57,$E$131:$E$146)</f>
        <v>5.6816775485780445E-3</v>
      </c>
    </row>
    <row r="164" spans="1:9" ht="18" x14ac:dyDescent="0.35">
      <c r="A164" t="s">
        <v>284</v>
      </c>
      <c r="B164" s="71">
        <f t="shared" ca="1" si="4"/>
        <v>4.4781163895208434E-3</v>
      </c>
      <c r="C164" s="4"/>
      <c r="D164" t="s">
        <v>285</v>
      </c>
      <c r="E164" s="71">
        <f t="shared" ca="1" si="5"/>
        <v>0.11533439394266103</v>
      </c>
    </row>
    <row r="165" spans="1:9" ht="18" x14ac:dyDescent="0.35">
      <c r="A165" t="s">
        <v>286</v>
      </c>
      <c r="B165" s="71">
        <f t="shared" ca="1" si="4"/>
        <v>0.35025167846591204</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2.7011397732216613E-2</v>
      </c>
    </row>
    <row r="167" spans="1:9" ht="18" x14ac:dyDescent="0.35">
      <c r="A167" t="s">
        <v>290</v>
      </c>
      <c r="B167" s="71">
        <f t="shared" ca="1" si="4"/>
        <v>0</v>
      </c>
      <c r="C167" s="4"/>
      <c r="D167" t="s">
        <v>291</v>
      </c>
      <c r="E167" s="71">
        <f t="shared" ca="1" si="5"/>
        <v>0.1583219009048818</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1.2119923438785544E-2</v>
      </c>
    </row>
    <row r="171" spans="1:9" ht="18" x14ac:dyDescent="0.35">
      <c r="A171" t="s">
        <v>298</v>
      </c>
      <c r="B171" s="71">
        <f t="shared" ca="1" si="4"/>
        <v>0</v>
      </c>
      <c r="D171" t="s">
        <v>299</v>
      </c>
      <c r="E171" s="71">
        <f t="shared" ca="1" si="5"/>
        <v>2.7525463368276427E-2</v>
      </c>
    </row>
    <row r="172" spans="1:9" ht="18" x14ac:dyDescent="0.35">
      <c r="A172" t="s">
        <v>300</v>
      </c>
      <c r="B172" s="71">
        <f t="shared" ca="1" si="4"/>
        <v>0</v>
      </c>
      <c r="D172" t="s">
        <v>301</v>
      </c>
      <c r="E172" s="71">
        <f t="shared" ca="1" si="5"/>
        <v>5.3526533245923026E-2</v>
      </c>
    </row>
    <row r="173" spans="1:9" ht="18" x14ac:dyDescent="0.35">
      <c r="B173" s="175">
        <f ca="1">SUM(B163:B172)</f>
        <v>1</v>
      </c>
      <c r="D173" t="s">
        <v>302</v>
      </c>
      <c r="E173" s="71">
        <f t="shared" ca="1" si="5"/>
        <v>0.13071969216727208</v>
      </c>
    </row>
    <row r="174" spans="1:9" ht="18" x14ac:dyDescent="0.35">
      <c r="B174" s="71"/>
      <c r="D174" t="s">
        <v>303</v>
      </c>
      <c r="E174" s="71">
        <f t="shared" ca="1" si="5"/>
        <v>7.3273039393892847E-2</v>
      </c>
    </row>
    <row r="175" spans="1:9" ht="18" x14ac:dyDescent="0.35">
      <c r="B175" s="71"/>
      <c r="D175" t="s">
        <v>304</v>
      </c>
      <c r="E175" s="71">
        <f t="shared" ca="1" si="5"/>
        <v>0.10410939653318835</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519.06307065479223</v>
      </c>
      <c r="C194" s="19"/>
      <c r="D194" t="s">
        <v>311</v>
      </c>
      <c r="E194" s="5">
        <f t="shared" ref="E194:E209" ca="1" si="7">$E163*$D$9</f>
        <v>3.4473537978830251</v>
      </c>
    </row>
    <row r="195" spans="1:5" ht="18" x14ac:dyDescent="0.35">
      <c r="A195" t="s">
        <v>312</v>
      </c>
      <c r="B195" s="6">
        <f t="shared" ca="1" si="6"/>
        <v>6.3855584574606441</v>
      </c>
      <c r="D195" t="s">
        <v>313</v>
      </c>
      <c r="E195" s="5">
        <f t="shared" ca="1" si="7"/>
        <v>69.97906121657266</v>
      </c>
    </row>
    <row r="196" spans="1:5" ht="18" x14ac:dyDescent="0.35">
      <c r="A196" t="s">
        <v>314</v>
      </c>
      <c r="B196" s="6">
        <f t="shared" ca="1" si="6"/>
        <v>499.44047298580841</v>
      </c>
      <c r="D196" t="s">
        <v>315</v>
      </c>
      <c r="E196" s="5">
        <f t="shared" ca="1" si="7"/>
        <v>102.00747037797275</v>
      </c>
    </row>
    <row r="197" spans="1:5" ht="18" x14ac:dyDescent="0.35">
      <c r="A197" t="s">
        <v>316</v>
      </c>
      <c r="B197" s="6">
        <f t="shared" ca="1" si="6"/>
        <v>0</v>
      </c>
      <c r="D197" t="s">
        <v>317</v>
      </c>
      <c r="E197" s="5">
        <f t="shared" ca="1" si="7"/>
        <v>16.389146297397765</v>
      </c>
    </row>
    <row r="198" spans="1:5" ht="18" x14ac:dyDescent="0.35">
      <c r="A198" t="s">
        <v>318</v>
      </c>
      <c r="B198" s="6">
        <f t="shared" ca="1" si="6"/>
        <v>0</v>
      </c>
      <c r="D198" t="s">
        <v>319</v>
      </c>
      <c r="E198" s="5">
        <f t="shared" ca="1" si="7"/>
        <v>96.061700387960173</v>
      </c>
    </row>
    <row r="199" spans="1:5" ht="18" x14ac:dyDescent="0.35">
      <c r="A199" t="s">
        <v>320</v>
      </c>
      <c r="B199" s="6">
        <f t="shared" ca="1" si="6"/>
        <v>0</v>
      </c>
      <c r="D199" t="s">
        <v>321</v>
      </c>
      <c r="E199" s="5">
        <f t="shared" ca="1" si="7"/>
        <v>38.46241184622361</v>
      </c>
    </row>
    <row r="200" spans="1:5" ht="18" x14ac:dyDescent="0.35">
      <c r="A200" t="s">
        <v>322</v>
      </c>
      <c r="B200" s="6">
        <f t="shared" ca="1" si="6"/>
        <v>401.05830570120213</v>
      </c>
      <c r="D200" t="s">
        <v>323</v>
      </c>
      <c r="E200" s="5">
        <f t="shared" ca="1" si="7"/>
        <v>36.929400083132037</v>
      </c>
    </row>
    <row r="201" spans="1:5" ht="18" x14ac:dyDescent="0.35">
      <c r="A201" t="s">
        <v>324</v>
      </c>
      <c r="B201" s="6">
        <f t="shared" ca="1" si="6"/>
        <v>0</v>
      </c>
      <c r="D201" t="s">
        <v>325</v>
      </c>
      <c r="E201" s="5">
        <f t="shared" ca="1" si="7"/>
        <v>7.353754897126386</v>
      </c>
    </row>
    <row r="202" spans="1:5" ht="18" x14ac:dyDescent="0.35">
      <c r="A202" t="s">
        <v>326</v>
      </c>
      <c r="B202" s="6">
        <f t="shared" ca="1" si="6"/>
        <v>0</v>
      </c>
      <c r="D202" t="s">
        <v>327</v>
      </c>
      <c r="E202" s="5">
        <f t="shared" ca="1" si="7"/>
        <v>16.701055255215245</v>
      </c>
    </row>
    <row r="203" spans="1:5" ht="18" x14ac:dyDescent="0.35">
      <c r="A203" t="s">
        <v>328</v>
      </c>
      <c r="B203" s="6">
        <f t="shared" ca="1" si="6"/>
        <v>0</v>
      </c>
      <c r="D203" t="s">
        <v>329</v>
      </c>
      <c r="E203" s="5">
        <f t="shared" ca="1" si="7"/>
        <v>32.477185847870906</v>
      </c>
    </row>
    <row r="204" spans="1:5" ht="18" x14ac:dyDescent="0.35">
      <c r="B204" s="6">
        <f ca="1">SUM(B194:B203)</f>
        <v>1425.9474077992636</v>
      </c>
      <c r="D204" t="s">
        <v>330</v>
      </c>
      <c r="E204" s="5">
        <f t="shared" ca="1" si="7"/>
        <v>79.314079934671128</v>
      </c>
    </row>
    <row r="205" spans="1:5" ht="18" x14ac:dyDescent="0.35">
      <c r="B205" s="6"/>
      <c r="D205" t="s">
        <v>331</v>
      </c>
      <c r="E205" s="5">
        <f t="shared" ca="1" si="7"/>
        <v>44.458364361100855</v>
      </c>
    </row>
    <row r="206" spans="1:5" ht="18" x14ac:dyDescent="0.35">
      <c r="B206" s="6"/>
      <c r="D206" t="s">
        <v>332</v>
      </c>
      <c r="E206" s="5">
        <f t="shared" ca="1" si="7"/>
        <v>63.168302049069858</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606.74928635219635</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3.4277985221929153</v>
      </c>
      <c r="D227" s="77"/>
      <c r="E227" s="7"/>
      <c r="F227" s="7"/>
      <c r="G227" s="78"/>
      <c r="H227" s="20" t="s">
        <v>343</v>
      </c>
      <c r="I227" s="20" t="str">
        <f t="shared" ref="I227:I242" si="9">B42</f>
        <v>NTS MG 1</v>
      </c>
      <c r="J227" s="11">
        <f t="shared" ref="J227:J242" ca="1" si="10">IFERROR($E194/$F42*1000000," ")</f>
        <v>3.0157112172851406</v>
      </c>
      <c r="L227" s="12"/>
      <c r="M227" s="79"/>
      <c r="Q227" s="7"/>
      <c r="R227" s="80"/>
      <c r="S227" s="81"/>
      <c r="T227" s="81"/>
      <c r="U227" s="81"/>
    </row>
    <row r="228" spans="1:21" ht="18" x14ac:dyDescent="0.25">
      <c r="A228" s="20" t="s">
        <v>344</v>
      </c>
      <c r="B228" s="20" t="str">
        <f t="shared" ref="B228:B236" si="11">B26</f>
        <v>PR-GNLBGB</v>
      </c>
      <c r="C228" s="11">
        <f t="shared" ca="1" si="8"/>
        <v>2.3449944714183624</v>
      </c>
      <c r="D228" s="77"/>
      <c r="E228" s="7"/>
      <c r="F228" s="7"/>
      <c r="G228" s="78"/>
      <c r="H228" s="20" t="s">
        <v>345</v>
      </c>
      <c r="I228" s="20" t="str">
        <f t="shared" si="9"/>
        <v>NTS MG 2</v>
      </c>
      <c r="J228" s="11">
        <f t="shared" ca="1" si="10"/>
        <v>3.7831274849660925</v>
      </c>
      <c r="L228" s="12"/>
      <c r="M228" s="79"/>
      <c r="Q228" s="7"/>
      <c r="R228" s="80"/>
      <c r="S228" s="81"/>
      <c r="T228" s="81"/>
      <c r="U228" s="81"/>
    </row>
    <row r="229" spans="1:21" ht="18" x14ac:dyDescent="0.25">
      <c r="A229" s="20" t="s">
        <v>346</v>
      </c>
      <c r="B229" s="20" t="str">
        <f t="shared" si="11"/>
        <v>PR-ITABORAÍ</v>
      </c>
      <c r="C229" s="11">
        <f t="shared" ca="1" si="8"/>
        <v>2.7043872880332289</v>
      </c>
      <c r="D229" s="77"/>
      <c r="E229" s="7"/>
      <c r="F229" s="7"/>
      <c r="G229" s="78"/>
      <c r="H229" s="20" t="s">
        <v>347</v>
      </c>
      <c r="I229" s="20" t="str">
        <f t="shared" si="9"/>
        <v>NTS MG 3</v>
      </c>
      <c r="J229" s="11">
        <f t="shared" ca="1" si="10"/>
        <v>4.7085163171065165</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4.6673336254606257</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1.7151382943759723</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1.6900474458270225</v>
      </c>
      <c r="L232" s="12"/>
      <c r="M232" s="79"/>
      <c r="Q232" s="7"/>
      <c r="R232" s="80"/>
      <c r="S232" s="81"/>
      <c r="T232" s="81"/>
      <c r="U232" s="81"/>
    </row>
    <row r="233" spans="1:21" ht="18" x14ac:dyDescent="0.25">
      <c r="A233" s="20" t="s">
        <v>354</v>
      </c>
      <c r="B233" s="20" t="str">
        <f t="shared" si="11"/>
        <v>PR-TECAB</v>
      </c>
      <c r="C233" s="11">
        <f t="shared" ca="1" si="8"/>
        <v>3.7930894486918216</v>
      </c>
      <c r="D233" s="77"/>
      <c r="E233" s="7"/>
      <c r="F233" s="7"/>
      <c r="G233" s="78"/>
      <c r="H233" s="20" t="s">
        <v>355</v>
      </c>
      <c r="I233" s="20" t="str">
        <f t="shared" si="9"/>
        <v>NTS RJ 3</v>
      </c>
      <c r="J233" s="11">
        <f t="shared" ca="1" si="10"/>
        <v>1.8113995831858212</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1.9632468154335359</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1.7624131494370916</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2.3982892338646478</v>
      </c>
      <c r="L236" s="12"/>
      <c r="Q236" s="7"/>
      <c r="R236" s="80"/>
      <c r="S236" s="81"/>
      <c r="T236" s="81"/>
      <c r="U236" s="81"/>
    </row>
    <row r="237" spans="1:21" ht="18" x14ac:dyDescent="0.25">
      <c r="D237" s="72"/>
      <c r="E237" s="7"/>
      <c r="F237" s="7"/>
      <c r="G237" s="72"/>
      <c r="H237" s="20" t="s">
        <v>362</v>
      </c>
      <c r="I237" s="20" t="str">
        <f t="shared" si="9"/>
        <v>NTS SP 2</v>
      </c>
      <c r="J237" s="11">
        <f t="shared" ca="1" si="10"/>
        <v>2.3676953836209242</v>
      </c>
      <c r="K237" s="72"/>
      <c r="L237" s="12"/>
      <c r="Q237" s="7"/>
      <c r="R237" s="80"/>
      <c r="S237" s="81"/>
      <c r="T237" s="81"/>
      <c r="U237" s="81"/>
    </row>
    <row r="238" spans="1:21" ht="18" x14ac:dyDescent="0.25">
      <c r="D238" s="72"/>
      <c r="E238" s="7"/>
      <c r="F238" s="7"/>
      <c r="G238" s="72"/>
      <c r="H238" s="20" t="s">
        <v>363</v>
      </c>
      <c r="I238" s="20" t="str">
        <f t="shared" si="9"/>
        <v>NTS SP 3</v>
      </c>
      <c r="J238" s="11">
        <f t="shared" ca="1" si="10"/>
        <v>3.2382255509472837</v>
      </c>
      <c r="L238" s="12"/>
      <c r="Q238" s="7"/>
      <c r="R238" s="80"/>
      <c r="S238" s="81"/>
      <c r="T238" s="81"/>
      <c r="U238" s="81"/>
    </row>
    <row r="239" spans="1:21" ht="18" x14ac:dyDescent="0.25">
      <c r="D239" s="72"/>
      <c r="E239" s="7"/>
      <c r="F239" s="7"/>
      <c r="G239" s="72"/>
      <c r="H239" s="20" t="s">
        <v>364</v>
      </c>
      <c r="I239" s="20" t="str">
        <f t="shared" si="9"/>
        <v>NTS SP 4</v>
      </c>
      <c r="J239" s="11">
        <f t="shared" ca="1" si="10"/>
        <v>3.5199281270855041</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3.207530384461641</v>
      </c>
      <c r="E246" s="11">
        <f ca="1">IFERROR(C246+D246," ")</f>
        <v>3.207530384461641</v>
      </c>
      <c r="F246" s="198">
        <f ca="1">E246*F25</f>
        <v>485708410.16410971</v>
      </c>
      <c r="G246" s="79"/>
      <c r="H246" s="20" t="s">
        <v>343</v>
      </c>
      <c r="I246" s="20" t="str">
        <f t="shared" ref="I246:I261" si="15">I227</f>
        <v>NTS MG 1</v>
      </c>
      <c r="J246" s="11">
        <f t="shared" ref="J246:J261" ca="1" si="16">IF(F42=0," ",J227*(1-$C$12))</f>
        <v>0</v>
      </c>
      <c r="K246" s="11">
        <f t="shared" ref="K246:K258" ca="1" si="17">$F$11*$C$12</f>
        <v>2.5719784650710018</v>
      </c>
      <c r="L246" s="11">
        <f ca="1">IFERROR(J246+K246," ")</f>
        <v>2.5719784650710018</v>
      </c>
      <c r="M246" s="198">
        <f t="shared" ref="M246:M258" ca="1" si="18">L246*F42</f>
        <v>2940109.0126984552</v>
      </c>
      <c r="N246" s="87"/>
    </row>
    <row r="247" spans="1:22" ht="18" x14ac:dyDescent="0.25">
      <c r="A247" s="20" t="s">
        <v>344</v>
      </c>
      <c r="B247" s="20" t="str">
        <f t="shared" si="12"/>
        <v>PR-GNLBGB</v>
      </c>
      <c r="C247" s="11">
        <f t="shared" ca="1" si="13"/>
        <v>0</v>
      </c>
      <c r="D247" s="11">
        <f t="shared" ca="1" si="14"/>
        <v>3.207530384461641</v>
      </c>
      <c r="E247" s="11">
        <f t="shared" ref="E247:E252" ca="1" si="19">IFERROR(C247+D247," ")</f>
        <v>3.207530384461641</v>
      </c>
      <c r="F247" s="198">
        <f ca="1">E247*F26</f>
        <v>8734294.6960862689</v>
      </c>
      <c r="G247" s="79"/>
      <c r="H247" s="20" t="s">
        <v>345</v>
      </c>
      <c r="I247" s="20" t="str">
        <f t="shared" si="15"/>
        <v>NTS MG 2</v>
      </c>
      <c r="J247" s="11">
        <f t="shared" ca="1" si="16"/>
        <v>0</v>
      </c>
      <c r="K247" s="11">
        <f t="shared" ca="1" si="17"/>
        <v>2.5719784650710018</v>
      </c>
      <c r="L247" s="11">
        <f t="shared" ref="L247:L258" ca="1" si="20">IFERROR(J247+K247," ")</f>
        <v>2.5719784650710018</v>
      </c>
      <c r="M247" s="198">
        <f t="shared" ca="1" si="18"/>
        <v>47575620.745046981</v>
      </c>
    </row>
    <row r="248" spans="1:22" ht="18" x14ac:dyDescent="0.25">
      <c r="A248" s="20" t="s">
        <v>346</v>
      </c>
      <c r="B248" s="20" t="str">
        <f t="shared" si="12"/>
        <v>PR-ITABORAÍ</v>
      </c>
      <c r="C248" s="11">
        <f t="shared" ca="1" si="13"/>
        <v>0</v>
      </c>
      <c r="D248" s="11">
        <f t="shared" ca="1" si="14"/>
        <v>3.207530384461641</v>
      </c>
      <c r="E248" s="11">
        <f t="shared" ca="1" si="19"/>
        <v>3.207530384461641</v>
      </c>
      <c r="F248" s="198">
        <f ca="1">E248*F27</f>
        <v>592359866.28857064</v>
      </c>
      <c r="G248" s="79"/>
      <c r="H248" s="20" t="s">
        <v>347</v>
      </c>
      <c r="I248" s="20" t="str">
        <f t="shared" si="15"/>
        <v>NTS MG 3</v>
      </c>
      <c r="J248" s="11">
        <f t="shared" ca="1" si="16"/>
        <v>0</v>
      </c>
      <c r="K248" s="11">
        <f t="shared" ca="1" si="17"/>
        <v>2.5719784650710018</v>
      </c>
      <c r="L248" s="11">
        <f t="shared" ca="1" si="20"/>
        <v>2.5719784650710018</v>
      </c>
      <c r="M248" s="198">
        <f t="shared" ca="1" si="18"/>
        <v>55720528.382864445</v>
      </c>
    </row>
    <row r="249" spans="1:22" ht="18" x14ac:dyDescent="0.25">
      <c r="A249" s="20" t="s">
        <v>348</v>
      </c>
      <c r="B249" s="20" t="str">
        <f t="shared" si="12"/>
        <v>PR-GASPAJ (INTERCONEXÃO)</v>
      </c>
      <c r="C249" s="11" t="str">
        <f t="shared" si="13"/>
        <v xml:space="preserve"> </v>
      </c>
      <c r="D249" s="11">
        <f t="shared" ca="1" si="14"/>
        <v>3.207530384461641</v>
      </c>
      <c r="E249" s="83">
        <f ca="1">E271</f>
        <v>0.28849789579994628</v>
      </c>
      <c r="F249" s="198">
        <f ca="1">E249*F28</f>
        <v>0</v>
      </c>
      <c r="G249" s="79"/>
      <c r="H249" s="20" t="s">
        <v>349</v>
      </c>
      <c r="I249" s="20" t="str">
        <f t="shared" si="15"/>
        <v>NTS MG 4</v>
      </c>
      <c r="J249" s="11">
        <f t="shared" ca="1" si="16"/>
        <v>0</v>
      </c>
      <c r="K249" s="11">
        <f t="shared" ca="1" si="17"/>
        <v>2.5719784650710018</v>
      </c>
      <c r="L249" s="11">
        <f t="shared" ca="1" si="20"/>
        <v>2.5719784650710018</v>
      </c>
      <c r="M249" s="198">
        <f t="shared" ca="1" si="18"/>
        <v>9031394.5221014936</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2.5719784650710018</v>
      </c>
      <c r="L250" s="11">
        <f t="shared" ca="1" si="20"/>
        <v>2.5719784650710018</v>
      </c>
      <c r="M250" s="198">
        <f t="shared" ca="1" si="18"/>
        <v>144051721.96672836</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2.5719784650710018</v>
      </c>
      <c r="L251" s="11">
        <f t="shared" ca="1" si="20"/>
        <v>2.5719784650710018</v>
      </c>
      <c r="M251" s="198">
        <f t="shared" ca="1" si="18"/>
        <v>58533560.834305666</v>
      </c>
    </row>
    <row r="252" spans="1:22" ht="18" x14ac:dyDescent="0.25">
      <c r="A252" s="20" t="s">
        <v>354</v>
      </c>
      <c r="B252" s="20" t="str">
        <f t="shared" si="12"/>
        <v>PR-TECAB</v>
      </c>
      <c r="C252" s="11">
        <f t="shared" ca="1" si="13"/>
        <v>0</v>
      </c>
      <c r="D252" s="11">
        <f t="shared" ca="1" si="14"/>
        <v>3.207530384461641</v>
      </c>
      <c r="E252" s="11">
        <f t="shared" ca="1" si="19"/>
        <v>3.207530384461641</v>
      </c>
      <c r="F252" s="198">
        <f ca="1">E252*F31</f>
        <v>339144836.6504969</v>
      </c>
      <c r="G252" s="79"/>
      <c r="H252" s="20" t="s">
        <v>355</v>
      </c>
      <c r="I252" s="20" t="str">
        <f t="shared" si="15"/>
        <v>NTS RJ 3</v>
      </c>
      <c r="J252" s="11">
        <f t="shared" ca="1" si="16"/>
        <v>0</v>
      </c>
      <c r="K252" s="11">
        <f t="shared" ca="1" si="17"/>
        <v>2.5719784650710018</v>
      </c>
      <c r="L252" s="11">
        <f t="shared" ca="1" si="20"/>
        <v>2.5719784650710018</v>
      </c>
      <c r="M252" s="198">
        <f t="shared" ca="1" si="18"/>
        <v>52435488.350260504</v>
      </c>
    </row>
    <row r="253" spans="1:22" ht="18" x14ac:dyDescent="0.25">
      <c r="A253" s="20" t="s">
        <v>356</v>
      </c>
      <c r="B253" s="20" t="str">
        <f t="shared" si="12"/>
        <v>PR-GUARAREMA (INTERCONEXÃO)</v>
      </c>
      <c r="C253" s="11" t="str">
        <f t="shared" si="13"/>
        <v xml:space="preserve"> </v>
      </c>
      <c r="D253" s="11"/>
      <c r="E253" s="83">
        <f ca="1">E269</f>
        <v>0.28849789579994628</v>
      </c>
      <c r="F253" s="199"/>
      <c r="G253" s="79"/>
      <c r="H253" s="20" t="s">
        <v>357</v>
      </c>
      <c r="I253" s="20" t="str">
        <f t="shared" si="15"/>
        <v>NTS RJ 4</v>
      </c>
      <c r="J253" s="11">
        <f t="shared" ca="1" si="16"/>
        <v>0</v>
      </c>
      <c r="K253" s="11">
        <f t="shared" ca="1" si="17"/>
        <v>2.5719784650710018</v>
      </c>
      <c r="L253" s="11">
        <f t="shared" ca="1" si="20"/>
        <v>2.5719784650710018</v>
      </c>
      <c r="M253" s="198">
        <f t="shared" ca="1" si="18"/>
        <v>9633887.6417038012</v>
      </c>
    </row>
    <row r="254" spans="1:22" ht="18" x14ac:dyDescent="0.25">
      <c r="A254" s="20" t="s">
        <v>358</v>
      </c>
      <c r="B254" s="20" t="str">
        <f t="shared" si="12"/>
        <v>PR-REPLAN (INTERCONEXÃO)</v>
      </c>
      <c r="C254" s="11" t="str">
        <f t="shared" si="13"/>
        <v xml:space="preserve"> </v>
      </c>
      <c r="D254" s="11"/>
      <c r="E254" s="83">
        <f ca="1">E268</f>
        <v>0.28849789579994628</v>
      </c>
      <c r="F254" s="200">
        <f ca="1">SUM(F246:F252)</f>
        <v>1425947407.7992635</v>
      </c>
      <c r="G254" s="79"/>
      <c r="H254" s="20" t="s">
        <v>359</v>
      </c>
      <c r="I254" s="20" t="str">
        <f t="shared" si="15"/>
        <v>NTS RJ 5</v>
      </c>
      <c r="J254" s="11">
        <f t="shared" ca="1" si="16"/>
        <v>0</v>
      </c>
      <c r="K254" s="11">
        <f t="shared" ca="1" si="17"/>
        <v>2.5719784650710018</v>
      </c>
      <c r="L254" s="11">
        <f t="shared" ca="1" si="20"/>
        <v>2.5719784650710018</v>
      </c>
      <c r="M254" s="198">
        <f t="shared" ca="1" si="18"/>
        <v>24372692.903530642</v>
      </c>
    </row>
    <row r="255" spans="1:22" ht="18" x14ac:dyDescent="0.25">
      <c r="A255" s="20" t="s">
        <v>360</v>
      </c>
      <c r="B255" s="20" t="str">
        <f t="shared" si="12"/>
        <v>PR-TECAB (INTERCONEXÃO)</v>
      </c>
      <c r="C255" s="11" t="str">
        <f t="shared" si="13"/>
        <v xml:space="preserve"> </v>
      </c>
      <c r="D255" s="11"/>
      <c r="E255" s="83">
        <f ca="1">E270</f>
        <v>0.28849789579994628</v>
      </c>
      <c r="G255" s="79"/>
      <c r="H255" s="20" t="s">
        <v>361</v>
      </c>
      <c r="I255" s="20" t="str">
        <f t="shared" si="15"/>
        <v>NTS SP 1</v>
      </c>
      <c r="J255" s="11">
        <f t="shared" ca="1" si="16"/>
        <v>0</v>
      </c>
      <c r="K255" s="11">
        <f t="shared" ca="1" si="17"/>
        <v>2.5719784650710018</v>
      </c>
      <c r="L255" s="11">
        <f t="shared" ca="1" si="20"/>
        <v>2.5719784650710018</v>
      </c>
      <c r="M255" s="198">
        <f t="shared" ca="1" si="18"/>
        <v>34829253.047277324</v>
      </c>
    </row>
    <row r="256" spans="1:22" ht="18" x14ac:dyDescent="0.25">
      <c r="F256" s="87"/>
      <c r="H256" s="20" t="s">
        <v>362</v>
      </c>
      <c r="I256" s="20" t="str">
        <f t="shared" si="15"/>
        <v>NTS SP 2</v>
      </c>
      <c r="J256" s="11">
        <f t="shared" ca="1" si="16"/>
        <v>0</v>
      </c>
      <c r="K256" s="11">
        <f t="shared" ca="1" si="17"/>
        <v>2.5719784650710018</v>
      </c>
      <c r="L256" s="11">
        <f t="shared" ca="1" si="20"/>
        <v>2.5719784650710018</v>
      </c>
      <c r="M256" s="198">
        <f t="shared" ca="1" si="18"/>
        <v>86157242.599732295</v>
      </c>
    </row>
    <row r="257" spans="1:13" ht="18" x14ac:dyDescent="0.25">
      <c r="H257" s="20" t="s">
        <v>363</v>
      </c>
      <c r="I257" s="20" t="str">
        <f t="shared" si="15"/>
        <v>NTS SP 3</v>
      </c>
      <c r="J257" s="11">
        <f t="shared" ca="1" si="16"/>
        <v>0</v>
      </c>
      <c r="K257" s="11">
        <f t="shared" ca="1" si="17"/>
        <v>2.5719784650710018</v>
      </c>
      <c r="L257" s="11">
        <f t="shared" ca="1" si="20"/>
        <v>2.5719784650710018</v>
      </c>
      <c r="M257" s="198">
        <f t="shared" ca="1" si="18"/>
        <v>35311300.565700769</v>
      </c>
    </row>
    <row r="258" spans="1:13" ht="18" x14ac:dyDescent="0.25">
      <c r="H258" s="20" t="s">
        <v>364</v>
      </c>
      <c r="I258" s="20" t="str">
        <f t="shared" si="15"/>
        <v>NTS SP 4</v>
      </c>
      <c r="J258" s="11">
        <f t="shared" ca="1" si="16"/>
        <v>0</v>
      </c>
      <c r="K258" s="11">
        <f t="shared" ca="1" si="17"/>
        <v>2.5719784650710018</v>
      </c>
      <c r="L258" s="11">
        <f t="shared" ca="1" si="20"/>
        <v>2.5719784650710018</v>
      </c>
      <c r="M258" s="198">
        <f t="shared" ca="1" si="18"/>
        <v>46156485.780245461</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0.21447181689413117</v>
      </c>
      <c r="M260" s="200">
        <f ca="1">SUM(M246:M258)</f>
        <v>606749286.3521961</v>
      </c>
    </row>
    <row r="261" spans="1:13" ht="18" x14ac:dyDescent="0.25">
      <c r="H261" s="20" t="s">
        <v>367</v>
      </c>
      <c r="I261" s="20" t="str">
        <f t="shared" si="15"/>
        <v>PE-TECAB (INTERCONEXÃO)</v>
      </c>
      <c r="J261" s="11" t="str">
        <f t="shared" si="16"/>
        <v xml:space="preserve"> </v>
      </c>
      <c r="K261" s="11"/>
      <c r="L261" s="83">
        <f ca="1">E273</f>
        <v>0.21447181689413117</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(BRA)'!D11</f>
        <v>200</v>
      </c>
      <c r="D268" s="207">
        <f ca="1">'CWD 2027 BRA (sem desc.)'!D267</f>
        <v>2.8849789579994636</v>
      </c>
      <c r="E268" s="210">
        <f ca="1">D268*(1-$C$263)</f>
        <v>0.28849789579994628</v>
      </c>
      <c r="F268" s="208">
        <f ca="1">C268*E268*'Premissas (BRA)'!$C$35*'Premissas (BRA)'!$F$20*1000</f>
        <v>785596.81096846482</v>
      </c>
      <c r="L268" s="84"/>
    </row>
    <row r="269" spans="1:13" ht="18.75" x14ac:dyDescent="0.3">
      <c r="B269" s="189" t="s">
        <v>376</v>
      </c>
      <c r="C269" s="213">
        <f>'Oferta (BRA)'!D10</f>
        <v>3398.2010229822185</v>
      </c>
      <c r="D269" s="207">
        <f ca="1">'CWD 2027 BRA (sem desc.)'!D268</f>
        <v>2.8849789579994636</v>
      </c>
      <c r="E269" s="210">
        <f t="shared" ref="E269:E271" ca="1" si="21">D269*(1-$C$263)</f>
        <v>0.28849789579994628</v>
      </c>
      <c r="F269" s="208">
        <f ca="1">C269*E269*'Premissas (BRA)'!$C$35*'Premissas (BRA)'!$F$20*1000</f>
        <v>13348079.433423033</v>
      </c>
      <c r="G269" s="85"/>
      <c r="K269" s="85"/>
      <c r="L269" s="84"/>
    </row>
    <row r="270" spans="1:13" ht="18.75" x14ac:dyDescent="0.3">
      <c r="B270" s="190" t="s">
        <v>377</v>
      </c>
      <c r="C270" s="213">
        <f>'Oferta (BRA)'!D12</f>
        <v>200</v>
      </c>
      <c r="D270" s="207">
        <f ca="1">'CWD 2027 BRA (sem desc.)'!D269</f>
        <v>2.8849789579994636</v>
      </c>
      <c r="E270" s="210">
        <f t="shared" ca="1" si="21"/>
        <v>0.28849789579994628</v>
      </c>
      <c r="F270" s="208">
        <f ca="1">C270*E270*'Premissas (BRA)'!$C$35*'Premissas (BRA)'!$F$20*1000</f>
        <v>785596.81096846482</v>
      </c>
      <c r="K270" s="85"/>
      <c r="L270" s="84"/>
    </row>
    <row r="271" spans="1:13" ht="18.75" x14ac:dyDescent="0.3">
      <c r="B271" s="190" t="s">
        <v>185</v>
      </c>
      <c r="C271" s="213">
        <f>'Oferta (BRA)'!D6</f>
        <v>258</v>
      </c>
      <c r="D271" s="207">
        <f ca="1">'CWD 2027 BRA (sem desc.)'!D270</f>
        <v>2.8849789579994636</v>
      </c>
      <c r="E271" s="210">
        <f t="shared" ca="1" si="21"/>
        <v>0.28849789579994628</v>
      </c>
      <c r="F271" s="208">
        <f ca="1">C271*E271*'Premissas (BRA)'!$C$35*'Premissas (BRA)'!$F$20*1000</f>
        <v>1013419.8861493197</v>
      </c>
      <c r="K271" s="85"/>
      <c r="L271" s="84"/>
    </row>
    <row r="272" spans="1:13" ht="18.75" x14ac:dyDescent="0.3">
      <c r="B272" s="188" t="s">
        <v>378</v>
      </c>
      <c r="C272" s="213">
        <f>'Demanda (BRA)'!D17</f>
        <v>3635.2588149970047</v>
      </c>
      <c r="D272" s="207">
        <f ca="1">'CWD 2027 BRA (sem desc.)'!D271</f>
        <v>2.1447181689413122</v>
      </c>
      <c r="E272" s="210">
        <f ca="1">D272*(1-$C$263)</f>
        <v>0.21447181689413117</v>
      </c>
      <c r="F272" s="208">
        <f ca="1">C272*E272*'Premissas (BRA)'!$C$35*'Premissas (BRA)'!$F$20*1000</f>
        <v>10615308.825382613</v>
      </c>
      <c r="K272" s="85"/>
      <c r="L272" s="84"/>
    </row>
    <row r="273" spans="2:13" ht="18.75" x14ac:dyDescent="0.3">
      <c r="B273" s="190" t="s">
        <v>379</v>
      </c>
      <c r="C273" s="213">
        <f>'Demanda (BRA)'!D18</f>
        <v>200</v>
      </c>
      <c r="D273" s="207">
        <f ca="1">'CWD 2027 BRA (sem desc.)'!D272</f>
        <v>2.1447181689413122</v>
      </c>
      <c r="E273" s="210">
        <f ca="1">D273*(1-$C$263)</f>
        <v>0.21447181689413117</v>
      </c>
      <c r="F273" s="208">
        <f ca="1">C273*E273*'Premissas (BRA)'!$C$35*'Premissas (BRA)'!$F$20*1000</f>
        <v>584019.42560952762</v>
      </c>
      <c r="K273" s="85"/>
      <c r="L273" s="84"/>
    </row>
    <row r="274" spans="2:13" ht="19.5" thickBot="1" x14ac:dyDescent="0.35">
      <c r="B274" s="190"/>
      <c r="C274" s="211"/>
      <c r="D274" s="211"/>
      <c r="E274" s="211"/>
      <c r="F274" s="209">
        <f ca="1">SUM(F268:F273)</f>
        <v>27132021.192501422</v>
      </c>
      <c r="K274" s="85"/>
      <c r="L274" s="84"/>
    </row>
    <row r="275" spans="2:13" ht="15.75" thickTop="1" x14ac:dyDescent="0.25">
      <c r="K275" s="85"/>
      <c r="L275" s="84"/>
    </row>
    <row r="276" spans="2:13" x14ac:dyDescent="0.25">
      <c r="E276" t="s">
        <v>102</v>
      </c>
      <c r="F276" s="177">
        <f ca="1">F254+M260+F274</f>
        <v>2059828715.343961</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9FA3-82D7-4ABA-889B-BD329CFCF182}">
  <sheetPr codeName="Planilha15">
    <tabColor theme="4" tint="0.79998168889431442"/>
  </sheetPr>
  <dimension ref="B1:X95"/>
  <sheetViews>
    <sheetView showGridLines="0" workbookViewId="0">
      <selection activeCell="H22" sqref="H22"/>
    </sheetView>
  </sheetViews>
  <sheetFormatPr defaultRowHeight="15" x14ac:dyDescent="0.25"/>
  <cols>
    <col min="1" max="1" width="1.140625" customWidth="1"/>
    <col min="2" max="2" width="25.140625" customWidth="1"/>
    <col min="3" max="3" width="15.28515625" customWidth="1"/>
    <col min="4" max="4" width="15.7109375" bestFit="1" customWidth="1"/>
    <col min="5" max="5" width="14.7109375" bestFit="1" customWidth="1"/>
    <col min="6" max="6" width="16.7109375" customWidth="1"/>
    <col min="7" max="7" width="14.7109375" bestFit="1" customWidth="1"/>
    <col min="8" max="8" width="15.7109375" customWidth="1"/>
    <col min="9" max="9" width="16.42578125" customWidth="1"/>
    <col min="10" max="10" width="16.28515625" customWidth="1"/>
    <col min="11" max="11" width="14.85546875" bestFit="1" customWidth="1"/>
  </cols>
  <sheetData>
    <row r="1" spans="2:10" ht="6.75" customHeight="1" x14ac:dyDescent="0.25"/>
    <row r="2" spans="2:10" ht="7.5" customHeight="1" x14ac:dyDescent="0.25"/>
    <row r="3" spans="2:10" ht="30" x14ac:dyDescent="0.25">
      <c r="B3" s="178" t="s">
        <v>438</v>
      </c>
      <c r="C3" s="178" t="s">
        <v>402</v>
      </c>
      <c r="D3" s="178" t="s">
        <v>406</v>
      </c>
      <c r="E3" s="178" t="s">
        <v>412</v>
      </c>
      <c r="F3" s="178" t="s">
        <v>418</v>
      </c>
      <c r="G3" s="178" t="s">
        <v>25</v>
      </c>
      <c r="H3" s="178" t="s">
        <v>403</v>
      </c>
      <c r="I3" s="178" t="s">
        <v>404</v>
      </c>
      <c r="J3" s="178" t="s">
        <v>405</v>
      </c>
    </row>
    <row r="4" spans="2:10" x14ac:dyDescent="0.25">
      <c r="B4" s="179" t="s">
        <v>373</v>
      </c>
      <c r="C4" s="180">
        <f ca="1">'Tarifa Ponderada Legados 2026'!$D2+'Tarifa Ponderada BRA 2026'!$D2</f>
        <v>6.7829728764355082</v>
      </c>
      <c r="D4" s="180">
        <f ca="1">'Tarifa Ponderada Legados 2026'!$D3+'Tarifa Ponderada BRA 2026'!$D3</f>
        <v>6.7829728764355082</v>
      </c>
      <c r="E4" s="180">
        <f ca="1">'Tarifa Ponderada Legados 2026'!$D4+'Tarifa Ponderada BRA 2026'!$D4</f>
        <v>6.7829728764355082</v>
      </c>
      <c r="F4" s="180">
        <f ca="1">'Tarifa Ponderada Legados 2026'!$D5+'Tarifa Ponderada BRA 2026'!$D5</f>
        <v>0.61301637611304716</v>
      </c>
      <c r="G4" s="180">
        <f ca="1">'Tarifa Ponderada Legados 2026'!$D8+'Tarifa Ponderada BRA 2026'!$D8</f>
        <v>6.7829728764355082</v>
      </c>
      <c r="H4" s="180">
        <f ca="1">'Tarifa Ponderada Legados 2026'!$D9+'Tarifa Ponderada BRA 2026'!$D9</f>
        <v>0.61301637611304716</v>
      </c>
      <c r="I4" s="180">
        <f ca="1">'Tarifa Ponderada Legados 2026'!$D10+'Tarifa Ponderada BRA 2026'!$D10</f>
        <v>0.61301637611304716</v>
      </c>
      <c r="J4" s="180">
        <f ca="1">'Tarifa Ponderada Legados 2026'!$D11+'Tarifa Ponderada BRA 2026'!$D11</f>
        <v>0.61301637611304716</v>
      </c>
    </row>
    <row r="5" spans="2:10" ht="5.25" customHeight="1" x14ac:dyDescent="0.25"/>
    <row r="6" spans="2:10" x14ac:dyDescent="0.25">
      <c r="B6" s="181" t="s">
        <v>396</v>
      </c>
      <c r="C6" s="182">
        <f ca="1">'Tarifa Ponderada Legados 2026'!$H$18+'Tarifa Ponderada BRA 2026'!$H$18</f>
        <v>4.5269022629727464</v>
      </c>
      <c r="D6" s="182">
        <f ca="1">'Tarifa Ponderada Legados 2026'!$H$18+'Tarifa Ponderada BRA 2026'!$H$18</f>
        <v>4.5269022629727464</v>
      </c>
      <c r="E6" s="182">
        <f ca="1">'Tarifa Ponderada Legados 2026'!$H$18+'Tarifa Ponderada BRA 2026'!$H$18</f>
        <v>4.5269022629727464</v>
      </c>
      <c r="F6" s="182">
        <f ca="1">'Tarifa Ponderada Legados 2026'!$H$18+'Tarifa Ponderada BRA 2026'!$H$18</f>
        <v>4.5269022629727464</v>
      </c>
      <c r="G6" s="182">
        <f ca="1">'Tarifa Ponderada Legados 2026'!$H$18+'Tarifa Ponderada BRA 2026'!$H$18</f>
        <v>4.5269022629727464</v>
      </c>
      <c r="H6" s="182">
        <f ca="1">'Tarifa Ponderada Legados 2026'!$H$18+'Tarifa Ponderada BRA 2026'!$H$18</f>
        <v>4.5269022629727464</v>
      </c>
      <c r="I6" s="182">
        <f ca="1">'Tarifa Ponderada Legados 2026'!$H$18+'Tarifa Ponderada BRA 2026'!$H$18</f>
        <v>4.5269022629727464</v>
      </c>
      <c r="J6" s="182">
        <f ca="1">'Tarifa Ponderada Legados 2026'!$H$18+'Tarifa Ponderada BRA 2026'!$H$18</f>
        <v>4.5269022629727464</v>
      </c>
    </row>
    <row r="7" spans="2:10" x14ac:dyDescent="0.25">
      <c r="B7" s="183" t="s">
        <v>401</v>
      </c>
      <c r="C7" s="184">
        <f ca="1">C4+C6</f>
        <v>11.309875139408256</v>
      </c>
      <c r="D7" s="184">
        <f t="shared" ref="D7:J7" ca="1" si="0">D4+D6</f>
        <v>11.309875139408256</v>
      </c>
      <c r="E7" s="184">
        <f t="shared" ca="1" si="0"/>
        <v>11.309875139408256</v>
      </c>
      <c r="F7" s="184">
        <f t="shared" ca="1" si="0"/>
        <v>5.1399186390857938</v>
      </c>
      <c r="G7" s="184">
        <f t="shared" ca="1" si="0"/>
        <v>11.309875139408256</v>
      </c>
      <c r="H7" s="184">
        <f t="shared" ca="1" si="0"/>
        <v>5.1399186390857938</v>
      </c>
      <c r="I7" s="184">
        <f t="shared" ca="1" si="0"/>
        <v>5.1399186390857938</v>
      </c>
      <c r="J7" s="184">
        <f t="shared" ca="1" si="0"/>
        <v>5.1399186390857938</v>
      </c>
    </row>
    <row r="8" spans="2:10" ht="5.25" customHeight="1" x14ac:dyDescent="0.25"/>
    <row r="9" spans="2:10" x14ac:dyDescent="0.25">
      <c r="B9" s="181" t="s">
        <v>397</v>
      </c>
      <c r="C9" s="182">
        <f ca="1">'Tarifa Ponderada Legados 2026'!$H$27+'Tarifa Ponderada BRA 2026'!$H$27</f>
        <v>4.5269022629727473</v>
      </c>
      <c r="D9" s="182">
        <f ca="1">C9</f>
        <v>4.5269022629727473</v>
      </c>
      <c r="E9" s="182">
        <f t="shared" ref="E9" ca="1" si="1">D9</f>
        <v>4.5269022629727473</v>
      </c>
      <c r="F9" s="182" t="s">
        <v>417</v>
      </c>
      <c r="G9" s="182">
        <f ca="1">E9</f>
        <v>4.5269022629727473</v>
      </c>
      <c r="H9" s="182">
        <f t="shared" ref="H9" ca="1" si="2">G9</f>
        <v>4.5269022629727473</v>
      </c>
      <c r="I9" s="182">
        <f t="shared" ref="I9" ca="1" si="3">H9</f>
        <v>4.5269022629727473</v>
      </c>
      <c r="J9" s="182">
        <f t="shared" ref="J9" ca="1" si="4">I9</f>
        <v>4.5269022629727473</v>
      </c>
    </row>
    <row r="10" spans="2:10" x14ac:dyDescent="0.25">
      <c r="B10" s="183" t="s">
        <v>401</v>
      </c>
      <c r="C10" s="184">
        <f ca="1">C4+C9</f>
        <v>11.309875139408256</v>
      </c>
      <c r="D10" s="184">
        <f t="shared" ref="D10:J10" ca="1" si="5">D4+D9</f>
        <v>11.309875139408256</v>
      </c>
      <c r="E10" s="184">
        <f t="shared" ca="1" si="5"/>
        <v>11.309875139408256</v>
      </c>
      <c r="F10" s="184" t="s">
        <v>417</v>
      </c>
      <c r="G10" s="184">
        <f t="shared" ca="1" si="5"/>
        <v>11.309875139408256</v>
      </c>
      <c r="H10" s="184">
        <f t="shared" ca="1" si="5"/>
        <v>5.1399186390857947</v>
      </c>
      <c r="I10" s="184">
        <f t="shared" ca="1" si="5"/>
        <v>5.1399186390857947</v>
      </c>
      <c r="J10" s="184">
        <f t="shared" ca="1" si="5"/>
        <v>5.1399186390857947</v>
      </c>
    </row>
    <row r="11" spans="2:10" ht="5.25" customHeight="1" x14ac:dyDescent="0.25"/>
    <row r="12" spans="2:10" x14ac:dyDescent="0.25">
      <c r="B12" s="181" t="s">
        <v>398</v>
      </c>
      <c r="C12" s="182">
        <f ca="1">'Tarifa Ponderada Legados 2026'!$H$23+'Tarifa Ponderada BRA 2026'!$H$23</f>
        <v>4.5269022629727464</v>
      </c>
      <c r="D12" s="182">
        <f ca="1">C12</f>
        <v>4.5269022629727464</v>
      </c>
      <c r="E12" s="182">
        <f t="shared" ref="E12" ca="1" si="6">D12</f>
        <v>4.5269022629727464</v>
      </c>
      <c r="F12" s="182" t="s">
        <v>417</v>
      </c>
      <c r="G12" s="182">
        <f ca="1">E12</f>
        <v>4.5269022629727464</v>
      </c>
      <c r="H12" s="182">
        <f t="shared" ref="H12" ca="1" si="7">G12</f>
        <v>4.5269022629727464</v>
      </c>
      <c r="I12" s="182">
        <f t="shared" ref="I12" ca="1" si="8">H12</f>
        <v>4.5269022629727464</v>
      </c>
      <c r="J12" s="182">
        <f t="shared" ref="J12" ca="1" si="9">I12</f>
        <v>4.5269022629727464</v>
      </c>
    </row>
    <row r="13" spans="2:10" x14ac:dyDescent="0.25">
      <c r="B13" s="183" t="s">
        <v>401</v>
      </c>
      <c r="C13" s="185">
        <f ca="1">C4+C12</f>
        <v>11.309875139408256</v>
      </c>
      <c r="D13" s="185">
        <f t="shared" ref="D13:J13" ca="1" si="10">D4+D12</f>
        <v>11.309875139408256</v>
      </c>
      <c r="E13" s="185">
        <f t="shared" ca="1" si="10"/>
        <v>11.309875139408256</v>
      </c>
      <c r="F13" s="185" t="s">
        <v>417</v>
      </c>
      <c r="G13" s="185">
        <f t="shared" ca="1" si="10"/>
        <v>11.309875139408256</v>
      </c>
      <c r="H13" s="185">
        <f t="shared" ca="1" si="10"/>
        <v>5.1399186390857938</v>
      </c>
      <c r="I13" s="185">
        <f t="shared" ca="1" si="10"/>
        <v>5.1399186390857938</v>
      </c>
      <c r="J13" s="185">
        <f t="shared" ca="1" si="10"/>
        <v>5.1399186390857938</v>
      </c>
    </row>
    <row r="14" spans="2:10" ht="5.25" customHeight="1" x14ac:dyDescent="0.25"/>
    <row r="15" spans="2:10" x14ac:dyDescent="0.25">
      <c r="B15" s="181" t="s">
        <v>399</v>
      </c>
      <c r="C15" s="182">
        <f ca="1">'Tarifa Ponderada Legados 2026'!$H$29+'Tarifa Ponderada BRA 2026'!$H$29</f>
        <v>0.38361180701317665</v>
      </c>
      <c r="D15" s="182">
        <f ca="1">C15</f>
        <v>0.38361180701317665</v>
      </c>
      <c r="E15" s="182">
        <f t="shared" ref="E15" ca="1" si="11">D15</f>
        <v>0.38361180701317665</v>
      </c>
      <c r="F15" s="182" t="s">
        <v>417</v>
      </c>
      <c r="G15" s="182">
        <f ca="1">E15</f>
        <v>0.38361180701317665</v>
      </c>
      <c r="H15" s="182">
        <f t="shared" ref="H15" ca="1" si="12">G15</f>
        <v>0.38361180701317665</v>
      </c>
      <c r="I15" s="182">
        <f t="shared" ref="I15" ca="1" si="13">H15</f>
        <v>0.38361180701317665</v>
      </c>
      <c r="J15" s="182">
        <f t="shared" ref="J15" ca="1" si="14">I15</f>
        <v>0.38361180701317665</v>
      </c>
    </row>
    <row r="16" spans="2:10" x14ac:dyDescent="0.25">
      <c r="B16" s="183" t="s">
        <v>401</v>
      </c>
      <c r="C16" s="185">
        <f ca="1">C4+C15</f>
        <v>7.1665846834486846</v>
      </c>
      <c r="D16" s="185">
        <f t="shared" ref="D16:J16" ca="1" si="15">D4+D15</f>
        <v>7.1665846834486846</v>
      </c>
      <c r="E16" s="185">
        <f t="shared" ca="1" si="15"/>
        <v>7.1665846834486846</v>
      </c>
      <c r="F16" s="185" t="s">
        <v>417</v>
      </c>
      <c r="G16" s="185">
        <f t="shared" ca="1" si="15"/>
        <v>7.1665846834486846</v>
      </c>
      <c r="H16" s="185">
        <f t="shared" ca="1" si="15"/>
        <v>0.99662818312622381</v>
      </c>
      <c r="I16" s="185">
        <f t="shared" ca="1" si="15"/>
        <v>0.99662818312622381</v>
      </c>
      <c r="J16" s="185">
        <f t="shared" ca="1" si="15"/>
        <v>0.99662818312622381</v>
      </c>
    </row>
    <row r="17" spans="2:10" ht="5.25" customHeight="1" x14ac:dyDescent="0.25"/>
    <row r="18" spans="2:10" x14ac:dyDescent="0.25">
      <c r="B18" s="181" t="s">
        <v>400</v>
      </c>
      <c r="C18" s="182">
        <f ca="1">'Tarifa Ponderada Legados 2026'!$H$30+'Tarifa Ponderada BRA 2026'!$H$30</f>
        <v>0.38361180701317665</v>
      </c>
      <c r="D18" s="182">
        <f ca="1">C18</f>
        <v>0.38361180701317665</v>
      </c>
      <c r="E18" s="182">
        <f t="shared" ref="E18" ca="1" si="16">D18</f>
        <v>0.38361180701317665</v>
      </c>
      <c r="F18" s="182" t="s">
        <v>417</v>
      </c>
      <c r="G18" s="182">
        <f ca="1">E18</f>
        <v>0.38361180701317665</v>
      </c>
      <c r="H18" s="182">
        <f t="shared" ref="H18" ca="1" si="17">G18</f>
        <v>0.38361180701317665</v>
      </c>
      <c r="I18" s="182">
        <f t="shared" ref="I18" ca="1" si="18">H18</f>
        <v>0.38361180701317665</v>
      </c>
      <c r="J18" s="182">
        <f t="shared" ref="J18" ca="1" si="19">I18</f>
        <v>0.38361180701317665</v>
      </c>
    </row>
    <row r="19" spans="2:10" x14ac:dyDescent="0.25">
      <c r="B19" s="183" t="s">
        <v>401</v>
      </c>
      <c r="C19" s="185">
        <f ca="1">C4+C18</f>
        <v>7.1665846834486846</v>
      </c>
      <c r="D19" s="185">
        <f t="shared" ref="D19:J19" ca="1" si="20">D4+D18</f>
        <v>7.1665846834486846</v>
      </c>
      <c r="E19" s="185">
        <f t="shared" ca="1" si="20"/>
        <v>7.1665846834486846</v>
      </c>
      <c r="F19" s="185" t="s">
        <v>417</v>
      </c>
      <c r="G19" s="185">
        <f t="shared" ca="1" si="20"/>
        <v>7.1665846834486846</v>
      </c>
      <c r="H19" s="185">
        <f t="shared" ca="1" si="20"/>
        <v>0.99662818312622381</v>
      </c>
      <c r="I19" s="185">
        <f t="shared" ca="1" si="20"/>
        <v>0.99662818312622381</v>
      </c>
      <c r="J19" s="185">
        <f t="shared" ca="1" si="20"/>
        <v>0.99662818312622381</v>
      </c>
    </row>
    <row r="22" spans="2:10" ht="30" x14ac:dyDescent="0.25">
      <c r="B22" s="178" t="s">
        <v>439</v>
      </c>
      <c r="C22" s="178" t="s">
        <v>402</v>
      </c>
      <c r="D22" s="178" t="s">
        <v>406</v>
      </c>
      <c r="E22" s="178" t="s">
        <v>412</v>
      </c>
      <c r="F22" s="178" t="s">
        <v>418</v>
      </c>
      <c r="G22" s="178" t="s">
        <v>25</v>
      </c>
      <c r="H22" s="178" t="s">
        <v>403</v>
      </c>
      <c r="I22" s="178" t="s">
        <v>404</v>
      </c>
      <c r="J22" s="178" t="s">
        <v>405</v>
      </c>
    </row>
    <row r="23" spans="2:10" x14ac:dyDescent="0.25">
      <c r="B23" s="179" t="s">
        <v>373</v>
      </c>
      <c r="C23" s="180">
        <f ca="1">'Tarifa Ponderada Legados 2027'!D2+'Tarifa Ponderada BRA 2027'!D2</f>
        <v>6.8723671930934014</v>
      </c>
      <c r="D23" s="180">
        <f ca="1">'Tarifa Ponderada Legados 2027'!D3+'Tarifa Ponderada BRA 2027'!D3</f>
        <v>6.8723671930934014</v>
      </c>
      <c r="E23" s="180">
        <f ca="1">'Tarifa Ponderada Legados 2027'!D4+'Tarifa Ponderada BRA 2027'!D4</f>
        <v>6.8723671930934014</v>
      </c>
      <c r="F23" s="180">
        <f ca="1">'Tarifa Ponderada Legados 2027'!D5+'Tarifa Ponderada BRA 2027'!D5</f>
        <v>0.62109508541523195</v>
      </c>
      <c r="G23" s="180">
        <f ca="1">'Tarifa Ponderada Legados 2027'!D8+'Tarifa Ponderada BRA 2027'!D8</f>
        <v>6.8723671930934014</v>
      </c>
      <c r="H23" s="180">
        <f ca="1">'Tarifa Ponderada Legados 2027'!D9+'Tarifa Ponderada BRA 2027'!D9</f>
        <v>0.62109508541523195</v>
      </c>
      <c r="I23" s="180">
        <f ca="1">'Tarifa Ponderada Legados 2027'!D10+'Tarifa Ponderada BRA 2027'!D10</f>
        <v>0.62109508541523195</v>
      </c>
      <c r="J23" s="180">
        <f ca="1">'Tarifa Ponderada Legados 2027'!D11+'Tarifa Ponderada BRA 2027'!D11</f>
        <v>0.62109508541523195</v>
      </c>
    </row>
    <row r="24" spans="2:10" ht="5.25" customHeight="1" x14ac:dyDescent="0.25"/>
    <row r="25" spans="2:10" x14ac:dyDescent="0.25">
      <c r="B25" s="181" t="s">
        <v>396</v>
      </c>
      <c r="C25" s="182">
        <f ca="1">'Tarifa Ponderada Legados 2027'!$H$18+'Tarifa Ponderada BRA 2027'!$H$18</f>
        <v>4.5866787266294198</v>
      </c>
      <c r="D25" s="182">
        <f ca="1">$C$25</f>
        <v>4.5866787266294198</v>
      </c>
      <c r="E25" s="182">
        <f t="shared" ref="E25:J25" ca="1" si="21">$C$25</f>
        <v>4.5866787266294198</v>
      </c>
      <c r="F25" s="182">
        <f t="shared" ca="1" si="21"/>
        <v>4.5866787266294198</v>
      </c>
      <c r="G25" s="182">
        <f t="shared" ca="1" si="21"/>
        <v>4.5866787266294198</v>
      </c>
      <c r="H25" s="182">
        <f t="shared" ca="1" si="21"/>
        <v>4.5866787266294198</v>
      </c>
      <c r="I25" s="182">
        <f t="shared" ca="1" si="21"/>
        <v>4.5866787266294198</v>
      </c>
      <c r="J25" s="182">
        <f t="shared" ca="1" si="21"/>
        <v>4.5866787266294198</v>
      </c>
    </row>
    <row r="26" spans="2:10" x14ac:dyDescent="0.25">
      <c r="B26" s="183" t="s">
        <v>401</v>
      </c>
      <c r="C26" s="184">
        <f ca="1">C23+C25</f>
        <v>11.459045919722822</v>
      </c>
      <c r="D26" s="184">
        <f t="shared" ref="D26:J26" ca="1" si="22">D23+D25</f>
        <v>11.459045919722822</v>
      </c>
      <c r="E26" s="184">
        <f t="shared" ca="1" si="22"/>
        <v>11.459045919722822</v>
      </c>
      <c r="F26" s="184">
        <f t="shared" ca="1" si="22"/>
        <v>5.2077738120446515</v>
      </c>
      <c r="G26" s="184">
        <f t="shared" ca="1" si="22"/>
        <v>11.459045919722822</v>
      </c>
      <c r="H26" s="184">
        <f t="shared" ca="1" si="22"/>
        <v>5.2077738120446515</v>
      </c>
      <c r="I26" s="184">
        <f t="shared" ca="1" si="22"/>
        <v>5.2077738120446515</v>
      </c>
      <c r="J26" s="184">
        <f t="shared" ca="1" si="22"/>
        <v>5.2077738120446515</v>
      </c>
    </row>
    <row r="27" spans="2:10" ht="5.25" customHeight="1" x14ac:dyDescent="0.25"/>
    <row r="28" spans="2:10" x14ac:dyDescent="0.25">
      <c r="B28" s="181" t="s">
        <v>397</v>
      </c>
      <c r="C28" s="182">
        <f ca="1">'Tarifa Ponderada Legados 2027'!$H$27+'Tarifa Ponderada BRA 2027'!$H$27</f>
        <v>4.5866787266294207</v>
      </c>
      <c r="D28" s="182">
        <f ca="1">C28</f>
        <v>4.5866787266294207</v>
      </c>
      <c r="E28" s="182">
        <f t="shared" ref="E28" ca="1" si="23">D28</f>
        <v>4.5866787266294207</v>
      </c>
      <c r="F28" s="182" t="s">
        <v>417</v>
      </c>
      <c r="G28" s="182">
        <f ca="1">E28</f>
        <v>4.5866787266294207</v>
      </c>
      <c r="H28" s="182">
        <f t="shared" ref="H28" ca="1" si="24">G28</f>
        <v>4.5866787266294207</v>
      </c>
      <c r="I28" s="182">
        <f t="shared" ref="I28" ca="1" si="25">H28</f>
        <v>4.5866787266294207</v>
      </c>
      <c r="J28" s="182">
        <f t="shared" ref="J28" ca="1" si="26">I28</f>
        <v>4.5866787266294207</v>
      </c>
    </row>
    <row r="29" spans="2:10" x14ac:dyDescent="0.25">
      <c r="B29" s="183" t="s">
        <v>401</v>
      </c>
      <c r="C29" s="184">
        <f ca="1">C23+C28</f>
        <v>11.459045919722822</v>
      </c>
      <c r="D29" s="184">
        <f t="shared" ref="D29:J29" ca="1" si="27">D23+D28</f>
        <v>11.459045919722822</v>
      </c>
      <c r="E29" s="184">
        <f t="shared" ca="1" si="27"/>
        <v>11.459045919722822</v>
      </c>
      <c r="F29" s="184" t="s">
        <v>417</v>
      </c>
      <c r="G29" s="184">
        <f t="shared" ca="1" si="27"/>
        <v>11.459045919722822</v>
      </c>
      <c r="H29" s="184">
        <f t="shared" ca="1" si="27"/>
        <v>5.2077738120446524</v>
      </c>
      <c r="I29" s="184">
        <f t="shared" ca="1" si="27"/>
        <v>5.2077738120446524</v>
      </c>
      <c r="J29" s="184">
        <f t="shared" ca="1" si="27"/>
        <v>5.2077738120446524</v>
      </c>
    </row>
    <row r="30" spans="2:10" ht="5.25" customHeight="1" x14ac:dyDescent="0.25"/>
    <row r="31" spans="2:10" x14ac:dyDescent="0.25">
      <c r="B31" s="181" t="s">
        <v>398</v>
      </c>
      <c r="C31" s="182">
        <f ca="1">'Tarifa Ponderada Legados 2027'!$H$23+'Tarifa Ponderada BRA 2027'!$H$23</f>
        <v>4.5866787266294207</v>
      </c>
      <c r="D31" s="182">
        <f ca="1">C31</f>
        <v>4.5866787266294207</v>
      </c>
      <c r="E31" s="182">
        <f t="shared" ref="E31" ca="1" si="28">D31</f>
        <v>4.5866787266294207</v>
      </c>
      <c r="F31" s="182" t="s">
        <v>417</v>
      </c>
      <c r="G31" s="182">
        <f ca="1">E31</f>
        <v>4.5866787266294207</v>
      </c>
      <c r="H31" s="182">
        <f t="shared" ref="H31" ca="1" si="29">G31</f>
        <v>4.5866787266294207</v>
      </c>
      <c r="I31" s="182">
        <f t="shared" ref="I31" ca="1" si="30">H31</f>
        <v>4.5866787266294207</v>
      </c>
      <c r="J31" s="182">
        <f t="shared" ref="J31" ca="1" si="31">I31</f>
        <v>4.5866787266294207</v>
      </c>
    </row>
    <row r="32" spans="2:10" x14ac:dyDescent="0.25">
      <c r="B32" s="183" t="s">
        <v>401</v>
      </c>
      <c r="C32" s="185">
        <f ca="1">C23+C31</f>
        <v>11.459045919722822</v>
      </c>
      <c r="D32" s="185">
        <f t="shared" ref="D32:J32" ca="1" si="32">D23+D31</f>
        <v>11.459045919722822</v>
      </c>
      <c r="E32" s="185">
        <f t="shared" ca="1" si="32"/>
        <v>11.459045919722822</v>
      </c>
      <c r="F32" s="185" t="s">
        <v>417</v>
      </c>
      <c r="G32" s="185">
        <f t="shared" ca="1" si="32"/>
        <v>11.459045919722822</v>
      </c>
      <c r="H32" s="185">
        <f t="shared" ca="1" si="32"/>
        <v>5.2077738120446524</v>
      </c>
      <c r="I32" s="185">
        <f t="shared" ca="1" si="32"/>
        <v>5.2077738120446524</v>
      </c>
      <c r="J32" s="185">
        <f t="shared" ca="1" si="32"/>
        <v>5.2077738120446524</v>
      </c>
    </row>
    <row r="33" spans="2:10" ht="5.25" customHeight="1" x14ac:dyDescent="0.25"/>
    <row r="34" spans="2:10" x14ac:dyDescent="0.25">
      <c r="B34" s="181" t="s">
        <v>399</v>
      </c>
      <c r="C34" s="182">
        <f ca="1">'Tarifa Ponderada Legados 2027'!$H$29+'Tarifa Ponderada BRA 2027'!$H$29</f>
        <v>0.38867636153271423</v>
      </c>
      <c r="D34" s="182">
        <f ca="1">C34</f>
        <v>0.38867636153271423</v>
      </c>
      <c r="E34" s="182">
        <f t="shared" ref="E34" ca="1" si="33">D34</f>
        <v>0.38867636153271423</v>
      </c>
      <c r="F34" s="182" t="s">
        <v>417</v>
      </c>
      <c r="G34" s="182">
        <f ca="1">E34</f>
        <v>0.38867636153271423</v>
      </c>
      <c r="H34" s="182">
        <f t="shared" ref="H34" ca="1" si="34">G34</f>
        <v>0.38867636153271423</v>
      </c>
      <c r="I34" s="182">
        <f t="shared" ref="I34" ca="1" si="35">H34</f>
        <v>0.38867636153271423</v>
      </c>
      <c r="J34" s="182">
        <f t="shared" ref="J34" ca="1" si="36">I34</f>
        <v>0.38867636153271423</v>
      </c>
    </row>
    <row r="35" spans="2:10" x14ac:dyDescent="0.25">
      <c r="B35" s="183" t="s">
        <v>401</v>
      </c>
      <c r="C35" s="185">
        <f ca="1">C23+C34</f>
        <v>7.2610435546261156</v>
      </c>
      <c r="D35" s="185">
        <f t="shared" ref="D35:J35" ca="1" si="37">D23+D34</f>
        <v>7.2610435546261156</v>
      </c>
      <c r="E35" s="185">
        <f t="shared" ca="1" si="37"/>
        <v>7.2610435546261156</v>
      </c>
      <c r="F35" s="185" t="s">
        <v>417</v>
      </c>
      <c r="G35" s="185">
        <f t="shared" ca="1" si="37"/>
        <v>7.2610435546261156</v>
      </c>
      <c r="H35" s="185">
        <f t="shared" ca="1" si="37"/>
        <v>1.0097714469479462</v>
      </c>
      <c r="I35" s="185">
        <f t="shared" ca="1" si="37"/>
        <v>1.0097714469479462</v>
      </c>
      <c r="J35" s="185">
        <f t="shared" ca="1" si="37"/>
        <v>1.0097714469479462</v>
      </c>
    </row>
    <row r="36" spans="2:10" ht="5.25" customHeight="1" x14ac:dyDescent="0.25"/>
    <row r="37" spans="2:10" x14ac:dyDescent="0.25">
      <c r="B37" s="181" t="s">
        <v>400</v>
      </c>
      <c r="C37" s="182">
        <f ca="1">'Tarifa Ponderada Legados 2027'!$H$30+'Tarifa Ponderada BRA 2027'!$H$30</f>
        <v>0.38867636153271423</v>
      </c>
      <c r="D37" s="182">
        <f ca="1">C37</f>
        <v>0.38867636153271423</v>
      </c>
      <c r="E37" s="182">
        <f t="shared" ref="E37" ca="1" si="38">D37</f>
        <v>0.38867636153271423</v>
      </c>
      <c r="F37" s="182" t="s">
        <v>417</v>
      </c>
      <c r="G37" s="182">
        <f ca="1">E37</f>
        <v>0.38867636153271423</v>
      </c>
      <c r="H37" s="182">
        <f t="shared" ref="H37" ca="1" si="39">G37</f>
        <v>0.38867636153271423</v>
      </c>
      <c r="I37" s="182">
        <f t="shared" ref="I37" ca="1" si="40">H37</f>
        <v>0.38867636153271423</v>
      </c>
      <c r="J37" s="182">
        <f t="shared" ref="J37" ca="1" si="41">I37</f>
        <v>0.38867636153271423</v>
      </c>
    </row>
    <row r="38" spans="2:10" x14ac:dyDescent="0.25">
      <c r="B38" s="183" t="s">
        <v>401</v>
      </c>
      <c r="C38" s="185">
        <f ca="1">C23+C37</f>
        <v>7.2610435546261156</v>
      </c>
      <c r="D38" s="185">
        <f t="shared" ref="D38:J38" ca="1" si="42">D23+D37</f>
        <v>7.2610435546261156</v>
      </c>
      <c r="E38" s="185">
        <f t="shared" ca="1" si="42"/>
        <v>7.2610435546261156</v>
      </c>
      <c r="F38" s="185" t="s">
        <v>417</v>
      </c>
      <c r="G38" s="185">
        <f t="shared" ca="1" si="42"/>
        <v>7.2610435546261156</v>
      </c>
      <c r="H38" s="185">
        <f t="shared" ca="1" si="42"/>
        <v>1.0097714469479462</v>
      </c>
      <c r="I38" s="185">
        <f t="shared" ca="1" si="42"/>
        <v>1.0097714469479462</v>
      </c>
      <c r="J38" s="185">
        <f t="shared" ca="1" si="42"/>
        <v>1.0097714469479462</v>
      </c>
    </row>
    <row r="41" spans="2:10" ht="30" x14ac:dyDescent="0.25">
      <c r="B41" s="178" t="s">
        <v>440</v>
      </c>
      <c r="C41" s="178" t="s">
        <v>402</v>
      </c>
      <c r="D41" s="178" t="s">
        <v>406</v>
      </c>
      <c r="E41" s="178" t="s">
        <v>412</v>
      </c>
      <c r="F41" s="178" t="s">
        <v>418</v>
      </c>
      <c r="G41" s="178" t="s">
        <v>25</v>
      </c>
      <c r="H41" s="178" t="s">
        <v>403</v>
      </c>
      <c r="I41" s="178" t="s">
        <v>404</v>
      </c>
      <c r="J41" s="178" t="s">
        <v>405</v>
      </c>
    </row>
    <row r="42" spans="2:10" x14ac:dyDescent="0.25">
      <c r="B42" s="179" t="s">
        <v>373</v>
      </c>
      <c r="C42" s="180">
        <f ca="1">'Tarifa Ponderada Legados 2028'!D2+'Tarifa Ponderada BRA 2028'!D2</f>
        <v>7.0025649513805641</v>
      </c>
      <c r="D42" s="180">
        <f ca="1">'Tarifa Ponderada Legados 2028'!D3+'Tarifa Ponderada BRA 2028'!D3</f>
        <v>7.0025649513805641</v>
      </c>
      <c r="E42" s="180">
        <f ca="1">'Tarifa Ponderada Legados 2028'!D4+'Tarifa Ponderada BRA 2028'!D4</f>
        <v>7.0025649513805641</v>
      </c>
      <c r="F42" s="180">
        <f ca="1">'Tarifa Ponderada Legados 2028'!D5+'Tarifa Ponderada BRA 2028'!D5</f>
        <v>0.63278716660665957</v>
      </c>
      <c r="G42" s="180">
        <f ca="1">'Tarifa Ponderada Legados 2028'!D8+'Tarifa Ponderada BRA 2028'!D8</f>
        <v>7.0025649513805641</v>
      </c>
      <c r="H42" s="180">
        <f ca="1">'Tarifa Ponderada Legados 2028'!D9+'Tarifa Ponderada BRA 2028'!D9</f>
        <v>0.63278716660665957</v>
      </c>
      <c r="I42" s="180">
        <f ca="1">'Tarifa Ponderada Legados 2028'!D10+'Tarifa Ponderada BRA 2028'!D10</f>
        <v>0.63278716660665957</v>
      </c>
      <c r="J42" s="180">
        <f ca="1">'Tarifa Ponderada Legados 2028'!D11+'Tarifa Ponderada BRA 2028'!D11</f>
        <v>0.63278716660665957</v>
      </c>
    </row>
    <row r="43" spans="2:10" ht="5.0999999999999996" customHeight="1" x14ac:dyDescent="0.25"/>
    <row r="44" spans="2:10" x14ac:dyDescent="0.25">
      <c r="B44" s="181" t="s">
        <v>396</v>
      </c>
      <c r="C44" s="182">
        <f ca="1">'Tarifa Ponderada Legados 2028'!$H$18+'Tarifa Ponderada BRA 2028'!$H$18</f>
        <v>4.6911321683932474</v>
      </c>
      <c r="D44" s="182">
        <f ca="1">$C$44</f>
        <v>4.6911321683932474</v>
      </c>
      <c r="E44" s="182">
        <f t="shared" ref="E44:J44" ca="1" si="43">$C$44</f>
        <v>4.6911321683932474</v>
      </c>
      <c r="F44" s="182">
        <f t="shared" ca="1" si="43"/>
        <v>4.6911321683932474</v>
      </c>
      <c r="G44" s="182">
        <f t="shared" ca="1" si="43"/>
        <v>4.6911321683932474</v>
      </c>
      <c r="H44" s="182">
        <f t="shared" ca="1" si="43"/>
        <v>4.6911321683932474</v>
      </c>
      <c r="I44" s="182">
        <f t="shared" ca="1" si="43"/>
        <v>4.6911321683932474</v>
      </c>
      <c r="J44" s="182">
        <f t="shared" ca="1" si="43"/>
        <v>4.6911321683932474</v>
      </c>
    </row>
    <row r="45" spans="2:10" x14ac:dyDescent="0.25">
      <c r="B45" s="183" t="s">
        <v>401</v>
      </c>
      <c r="C45" s="184">
        <f ca="1">C42+C44</f>
        <v>11.693697119773812</v>
      </c>
      <c r="D45" s="184">
        <f t="shared" ref="D45:J45" ca="1" si="44">D42+D44</f>
        <v>11.693697119773812</v>
      </c>
      <c r="E45" s="184">
        <f t="shared" ca="1" si="44"/>
        <v>11.693697119773812</v>
      </c>
      <c r="F45" s="184">
        <f t="shared" ca="1" si="44"/>
        <v>5.323919334999907</v>
      </c>
      <c r="G45" s="184">
        <f t="shared" ca="1" si="44"/>
        <v>11.693697119773812</v>
      </c>
      <c r="H45" s="184">
        <f t="shared" ca="1" si="44"/>
        <v>5.323919334999907</v>
      </c>
      <c r="I45" s="184">
        <f t="shared" ca="1" si="44"/>
        <v>5.323919334999907</v>
      </c>
      <c r="J45" s="184">
        <f t="shared" ca="1" si="44"/>
        <v>5.323919334999907</v>
      </c>
    </row>
    <row r="46" spans="2:10" ht="5.0999999999999996" customHeight="1" x14ac:dyDescent="0.25"/>
    <row r="47" spans="2:10" x14ac:dyDescent="0.25">
      <c r="B47" s="181" t="s">
        <v>397</v>
      </c>
      <c r="C47" s="182">
        <f ca="1">'Tarifa Ponderada Legados 2028'!$H$27+'Tarifa Ponderada BRA 2028'!$H$27</f>
        <v>4.6911321683932474</v>
      </c>
      <c r="D47" s="182">
        <f ca="1">$C$47</f>
        <v>4.6911321683932474</v>
      </c>
      <c r="E47" s="182">
        <f ca="1">$C$47</f>
        <v>4.6911321683932474</v>
      </c>
      <c r="F47" s="182" t="s">
        <v>417</v>
      </c>
      <c r="G47" s="182">
        <f ca="1">$C$47</f>
        <v>4.6911321683932474</v>
      </c>
      <c r="H47" s="182">
        <f t="shared" ref="H47:J47" ca="1" si="45">$C$47</f>
        <v>4.6911321683932474</v>
      </c>
      <c r="I47" s="182">
        <f t="shared" ca="1" si="45"/>
        <v>4.6911321683932474</v>
      </c>
      <c r="J47" s="182">
        <f t="shared" ca="1" si="45"/>
        <v>4.6911321683932474</v>
      </c>
    </row>
    <row r="48" spans="2:10" x14ac:dyDescent="0.25">
      <c r="B48" s="183" t="s">
        <v>401</v>
      </c>
      <c r="C48" s="184">
        <f ca="1">C42+C47</f>
        <v>11.693697119773812</v>
      </c>
      <c r="D48" s="184">
        <f t="shared" ref="D48:E48" ca="1" si="46">D42+D47</f>
        <v>11.693697119773812</v>
      </c>
      <c r="E48" s="184">
        <f t="shared" ca="1" si="46"/>
        <v>11.693697119773812</v>
      </c>
      <c r="F48" s="184" t="s">
        <v>417</v>
      </c>
      <c r="G48" s="184">
        <f t="shared" ref="G48:J48" ca="1" si="47">G42+G47</f>
        <v>11.693697119773812</v>
      </c>
      <c r="H48" s="184">
        <f t="shared" ca="1" si="47"/>
        <v>5.323919334999907</v>
      </c>
      <c r="I48" s="184">
        <f t="shared" ca="1" si="47"/>
        <v>5.323919334999907</v>
      </c>
      <c r="J48" s="184">
        <f t="shared" ca="1" si="47"/>
        <v>5.323919334999907</v>
      </c>
    </row>
    <row r="49" spans="2:10" ht="5.0999999999999996" customHeight="1" x14ac:dyDescent="0.25"/>
    <row r="50" spans="2:10" x14ac:dyDescent="0.25">
      <c r="B50" s="181" t="s">
        <v>398</v>
      </c>
      <c r="C50" s="182">
        <f ca="1">'Tarifa Ponderada Legados 2028'!$H$23+'Tarifa Ponderada BRA 2028'!$H$23</f>
        <v>4.6911321683932465</v>
      </c>
      <c r="D50" s="182">
        <f ca="1">$C$50</f>
        <v>4.6911321683932465</v>
      </c>
      <c r="E50" s="182">
        <f ca="1">$C$50</f>
        <v>4.6911321683932465</v>
      </c>
      <c r="F50" s="182" t="s">
        <v>417</v>
      </c>
      <c r="G50" s="182">
        <f ca="1">$C$50</f>
        <v>4.6911321683932465</v>
      </c>
      <c r="H50" s="182">
        <f t="shared" ref="H50:J50" ca="1" si="48">$C$50</f>
        <v>4.6911321683932465</v>
      </c>
      <c r="I50" s="182">
        <f t="shared" ca="1" si="48"/>
        <v>4.6911321683932465</v>
      </c>
      <c r="J50" s="182">
        <f t="shared" ca="1" si="48"/>
        <v>4.6911321683932465</v>
      </c>
    </row>
    <row r="51" spans="2:10" x14ac:dyDescent="0.25">
      <c r="B51" s="183" t="s">
        <v>401</v>
      </c>
      <c r="C51" s="185">
        <f ca="1">C42+C50</f>
        <v>11.693697119773811</v>
      </c>
      <c r="D51" s="185">
        <f t="shared" ref="D51:E51" ca="1" si="49">D42+D50</f>
        <v>11.693697119773811</v>
      </c>
      <c r="E51" s="185">
        <f t="shared" ca="1" si="49"/>
        <v>11.693697119773811</v>
      </c>
      <c r="F51" s="185" t="s">
        <v>417</v>
      </c>
      <c r="G51" s="185">
        <f t="shared" ref="G51:J51" ca="1" si="50">G42+G50</f>
        <v>11.693697119773811</v>
      </c>
      <c r="H51" s="185">
        <f t="shared" ca="1" si="50"/>
        <v>5.3239193349999061</v>
      </c>
      <c r="I51" s="185">
        <f t="shared" ca="1" si="50"/>
        <v>5.3239193349999061</v>
      </c>
      <c r="J51" s="185">
        <f t="shared" ca="1" si="50"/>
        <v>5.3239193349999061</v>
      </c>
    </row>
    <row r="52" spans="2:10" ht="5.0999999999999996" customHeight="1" x14ac:dyDescent="0.25"/>
    <row r="53" spans="2:10" x14ac:dyDescent="0.25">
      <c r="B53" s="181" t="s">
        <v>399</v>
      </c>
      <c r="C53" s="182">
        <f ca="1">'Tarifa Ponderada Legados 2028'!$H$29+'Tarifa Ponderada BRA 2028'!$H$29</f>
        <v>0.39736835524534098</v>
      </c>
      <c r="D53" s="182">
        <f ca="1">$C$53</f>
        <v>0.39736835524534098</v>
      </c>
      <c r="E53" s="182">
        <f ca="1">$C$53</f>
        <v>0.39736835524534098</v>
      </c>
      <c r="F53" s="182" t="s">
        <v>417</v>
      </c>
      <c r="G53" s="182">
        <f t="shared" ref="G53:J53" ca="1" si="51">$C$53</f>
        <v>0.39736835524534098</v>
      </c>
      <c r="H53" s="182">
        <f t="shared" ca="1" si="51"/>
        <v>0.39736835524534098</v>
      </c>
      <c r="I53" s="182">
        <f t="shared" ca="1" si="51"/>
        <v>0.39736835524534098</v>
      </c>
      <c r="J53" s="182">
        <f t="shared" ca="1" si="51"/>
        <v>0.39736835524534098</v>
      </c>
    </row>
    <row r="54" spans="2:10" x14ac:dyDescent="0.25">
      <c r="B54" s="183" t="s">
        <v>401</v>
      </c>
      <c r="C54" s="185">
        <f ca="1">C42+C53</f>
        <v>7.399933306625905</v>
      </c>
      <c r="D54" s="185">
        <f t="shared" ref="D54:E54" ca="1" si="52">D42+D53</f>
        <v>7.399933306625905</v>
      </c>
      <c r="E54" s="185">
        <f t="shared" ca="1" si="52"/>
        <v>7.399933306625905</v>
      </c>
      <c r="F54" s="185" t="s">
        <v>417</v>
      </c>
      <c r="G54" s="185">
        <f t="shared" ref="G54:J54" ca="1" si="53">G42+G53</f>
        <v>7.399933306625905</v>
      </c>
      <c r="H54" s="185">
        <f t="shared" ca="1" si="53"/>
        <v>1.0301555218520004</v>
      </c>
      <c r="I54" s="185">
        <f t="shared" ca="1" si="53"/>
        <v>1.0301555218520004</v>
      </c>
      <c r="J54" s="185">
        <f t="shared" ca="1" si="53"/>
        <v>1.0301555218520004</v>
      </c>
    </row>
    <row r="55" spans="2:10" ht="5.0999999999999996" customHeight="1" x14ac:dyDescent="0.25"/>
    <row r="56" spans="2:10" x14ac:dyDescent="0.25">
      <c r="B56" s="181" t="s">
        <v>400</v>
      </c>
      <c r="C56" s="182">
        <f ca="1">'Tarifa Ponderada Legados 2028'!$H$30+'Tarifa Ponderada BRA 2028'!$H$30</f>
        <v>0.39736835524534098</v>
      </c>
      <c r="D56" s="182">
        <f ca="1">$C$56</f>
        <v>0.39736835524534098</v>
      </c>
      <c r="E56" s="182">
        <f ca="1">$C$56</f>
        <v>0.39736835524534098</v>
      </c>
      <c r="F56" s="182" t="s">
        <v>417</v>
      </c>
      <c r="G56" s="182">
        <f t="shared" ref="G56:J56" ca="1" si="54">$C$56</f>
        <v>0.39736835524534098</v>
      </c>
      <c r="H56" s="182">
        <f t="shared" ca="1" si="54"/>
        <v>0.39736835524534098</v>
      </c>
      <c r="I56" s="182">
        <f t="shared" ca="1" si="54"/>
        <v>0.39736835524534098</v>
      </c>
      <c r="J56" s="182">
        <f t="shared" ca="1" si="54"/>
        <v>0.39736835524534098</v>
      </c>
    </row>
    <row r="57" spans="2:10" x14ac:dyDescent="0.25">
      <c r="B57" s="183" t="s">
        <v>401</v>
      </c>
      <c r="C57" s="185">
        <f ca="1">C42+C56</f>
        <v>7.399933306625905</v>
      </c>
      <c r="D57" s="185">
        <f t="shared" ref="D57:E57" ca="1" si="55">D42+D56</f>
        <v>7.399933306625905</v>
      </c>
      <c r="E57" s="185">
        <f t="shared" ca="1" si="55"/>
        <v>7.399933306625905</v>
      </c>
      <c r="F57" s="185" t="s">
        <v>417</v>
      </c>
      <c r="G57" s="185">
        <f t="shared" ref="G57:J57" ca="1" si="56">G42+G56</f>
        <v>7.399933306625905</v>
      </c>
      <c r="H57" s="185">
        <f t="shared" ca="1" si="56"/>
        <v>1.0301555218520004</v>
      </c>
      <c r="I57" s="185">
        <f t="shared" ca="1" si="56"/>
        <v>1.0301555218520004</v>
      </c>
      <c r="J57" s="185">
        <f t="shared" ca="1" si="56"/>
        <v>1.0301555218520004</v>
      </c>
    </row>
    <row r="60" spans="2:10" ht="30" x14ac:dyDescent="0.25">
      <c r="B60" s="178" t="s">
        <v>443</v>
      </c>
      <c r="C60" s="178" t="s">
        <v>402</v>
      </c>
      <c r="D60" s="178" t="s">
        <v>406</v>
      </c>
      <c r="E60" s="178" t="s">
        <v>412</v>
      </c>
      <c r="F60" s="178" t="s">
        <v>418</v>
      </c>
      <c r="G60" s="178" t="s">
        <v>25</v>
      </c>
      <c r="H60" s="178" t="s">
        <v>403</v>
      </c>
      <c r="I60" s="178" t="s">
        <v>404</v>
      </c>
      <c r="J60" s="178" t="s">
        <v>405</v>
      </c>
    </row>
    <row r="61" spans="2:10" x14ac:dyDescent="0.25">
      <c r="B61" s="179" t="s">
        <v>373</v>
      </c>
      <c r="C61" s="180">
        <f ca="1">'Tarifa Ponderada Legados 2029'!D2+'Tarifa Ponderada BRA 2029'!D2</f>
        <v>8.1465722286299886</v>
      </c>
      <c r="D61" s="180">
        <f ca="1">'Tarifa Ponderada Legados 2029'!D3+'Tarifa Ponderada BRA 2029'!D3</f>
        <v>8.1465722286299886</v>
      </c>
      <c r="E61" s="180">
        <f ca="1">'Tarifa Ponderada Legados 2029'!D4+'Tarifa Ponderada BRA 2029'!D4</f>
        <v>8.1465722286299886</v>
      </c>
      <c r="F61" s="180">
        <f ca="1">'Tarifa Ponderada Legados 2029'!D5+'Tarifa Ponderada BRA 2029'!D5</f>
        <v>0.73570209688761168</v>
      </c>
      <c r="G61" s="180">
        <f ca="1">'Tarifa Ponderada Legados 2029'!D8+'Tarifa Ponderada BRA 2029'!D8</f>
        <v>8.1465722286299886</v>
      </c>
      <c r="H61" s="180">
        <f ca="1">'Tarifa Ponderada Legados 2029'!D9+'Tarifa Ponderada BRA 2029'!D9</f>
        <v>0.73570209688761168</v>
      </c>
      <c r="I61" s="180">
        <f ca="1">'Tarifa Ponderada Legados 2029'!D10+'Tarifa Ponderada BRA 2029'!D10</f>
        <v>0.73570209688761168</v>
      </c>
      <c r="J61" s="180">
        <f ca="1">'Tarifa Ponderada Legados 2029'!D11+'Tarifa Ponderada BRA 2029'!D11</f>
        <v>0.73570209688761168</v>
      </c>
    </row>
    <row r="62" spans="2:10" ht="5.0999999999999996" customHeight="1" x14ac:dyDescent="0.25"/>
    <row r="63" spans="2:10" x14ac:dyDescent="0.25">
      <c r="B63" s="181" t="s">
        <v>396</v>
      </c>
      <c r="C63" s="182">
        <f ca="1">'Tarifa Ponderada Legados 2029'!$H$18+'Tarifa Ponderada BRA 2029'!$H$18</f>
        <v>5.6084080693540086</v>
      </c>
      <c r="D63" s="182">
        <f ca="1">$C$63</f>
        <v>5.6084080693540086</v>
      </c>
      <c r="E63" s="182">
        <f t="shared" ref="E63:J63" ca="1" si="57">$C$63</f>
        <v>5.6084080693540086</v>
      </c>
      <c r="F63" s="182">
        <f t="shared" ca="1" si="57"/>
        <v>5.6084080693540086</v>
      </c>
      <c r="G63" s="182">
        <f t="shared" ca="1" si="57"/>
        <v>5.6084080693540086</v>
      </c>
      <c r="H63" s="182">
        <f t="shared" ca="1" si="57"/>
        <v>5.6084080693540086</v>
      </c>
      <c r="I63" s="182">
        <f t="shared" ca="1" si="57"/>
        <v>5.6084080693540086</v>
      </c>
      <c r="J63" s="182">
        <f t="shared" ca="1" si="57"/>
        <v>5.6084080693540086</v>
      </c>
    </row>
    <row r="64" spans="2:10" x14ac:dyDescent="0.25">
      <c r="B64" s="183" t="s">
        <v>401</v>
      </c>
      <c r="C64" s="184">
        <f ca="1">C61+C63</f>
        <v>13.754980297983998</v>
      </c>
      <c r="D64" s="184">
        <f t="shared" ref="D64:J64" ca="1" si="58">D61+D63</f>
        <v>13.754980297983998</v>
      </c>
      <c r="E64" s="184">
        <f t="shared" ca="1" si="58"/>
        <v>13.754980297983998</v>
      </c>
      <c r="F64" s="184">
        <f t="shared" ca="1" si="58"/>
        <v>6.3441101662416202</v>
      </c>
      <c r="G64" s="184">
        <f t="shared" ca="1" si="58"/>
        <v>13.754980297983998</v>
      </c>
      <c r="H64" s="184">
        <f t="shared" ca="1" si="58"/>
        <v>6.3441101662416202</v>
      </c>
      <c r="I64" s="184">
        <f t="shared" ca="1" si="58"/>
        <v>6.3441101662416202</v>
      </c>
      <c r="J64" s="184">
        <f t="shared" ca="1" si="58"/>
        <v>6.3441101662416202</v>
      </c>
    </row>
    <row r="65" spans="2:10" ht="5.0999999999999996" customHeight="1" x14ac:dyDescent="0.25"/>
    <row r="66" spans="2:10" x14ac:dyDescent="0.25">
      <c r="B66" s="181" t="s">
        <v>397</v>
      </c>
      <c r="C66" s="182">
        <f ca="1">'Tarifa Ponderada Legados 2029'!$H$27+'Tarifa Ponderada BRA 2029'!$H$27</f>
        <v>5.6084080693540095</v>
      </c>
      <c r="D66" s="182">
        <f ca="1">$C$66</f>
        <v>5.6084080693540095</v>
      </c>
      <c r="E66" s="182">
        <f t="shared" ref="E66" ca="1" si="59">$C$66</f>
        <v>5.6084080693540095</v>
      </c>
      <c r="F66" s="182" t="s">
        <v>417</v>
      </c>
      <c r="G66" s="182">
        <f t="shared" ref="G66:J66" ca="1" si="60">$C$66</f>
        <v>5.6084080693540095</v>
      </c>
      <c r="H66" s="182">
        <f t="shared" ca="1" si="60"/>
        <v>5.6084080693540095</v>
      </c>
      <c r="I66" s="182">
        <f t="shared" ca="1" si="60"/>
        <v>5.6084080693540095</v>
      </c>
      <c r="J66" s="182">
        <f t="shared" ca="1" si="60"/>
        <v>5.6084080693540095</v>
      </c>
    </row>
    <row r="67" spans="2:10" x14ac:dyDescent="0.25">
      <c r="B67" s="183" t="s">
        <v>401</v>
      </c>
      <c r="C67" s="184">
        <f ca="1">C61+C66</f>
        <v>13.754980297983998</v>
      </c>
      <c r="D67" s="184">
        <f t="shared" ref="D67:E67" ca="1" si="61">D61+D66</f>
        <v>13.754980297983998</v>
      </c>
      <c r="E67" s="184">
        <f t="shared" ca="1" si="61"/>
        <v>13.754980297983998</v>
      </c>
      <c r="F67" s="184" t="s">
        <v>417</v>
      </c>
      <c r="G67" s="184">
        <f t="shared" ref="G67:J67" ca="1" si="62">G61+G66</f>
        <v>13.754980297983998</v>
      </c>
      <c r="H67" s="184">
        <f t="shared" ca="1" si="62"/>
        <v>6.3441101662416211</v>
      </c>
      <c r="I67" s="184">
        <f t="shared" ca="1" si="62"/>
        <v>6.3441101662416211</v>
      </c>
      <c r="J67" s="184">
        <f t="shared" ca="1" si="62"/>
        <v>6.3441101662416211</v>
      </c>
    </row>
    <row r="68" spans="2:10" ht="5.0999999999999996" customHeight="1" x14ac:dyDescent="0.25"/>
    <row r="69" spans="2:10" x14ac:dyDescent="0.25">
      <c r="B69" s="181" t="s">
        <v>398</v>
      </c>
      <c r="C69" s="182">
        <f ca="1">'Tarifa Ponderada Legados 2029'!$H$23+'Tarifa Ponderada BRA 2029'!$H$23</f>
        <v>5.6084080693540095</v>
      </c>
      <c r="D69" s="182">
        <f ca="1">$C$69</f>
        <v>5.6084080693540095</v>
      </c>
      <c r="E69" s="182">
        <f ca="1">$C$69</f>
        <v>5.6084080693540095</v>
      </c>
      <c r="F69" s="182" t="s">
        <v>417</v>
      </c>
      <c r="G69" s="182">
        <f t="shared" ref="G69:J69" ca="1" si="63">$C$69</f>
        <v>5.6084080693540095</v>
      </c>
      <c r="H69" s="182">
        <f t="shared" ca="1" si="63"/>
        <v>5.6084080693540095</v>
      </c>
      <c r="I69" s="182">
        <f t="shared" ca="1" si="63"/>
        <v>5.6084080693540095</v>
      </c>
      <c r="J69" s="182">
        <f t="shared" ca="1" si="63"/>
        <v>5.6084080693540095</v>
      </c>
    </row>
    <row r="70" spans="2:10" x14ac:dyDescent="0.25">
      <c r="B70" s="183" t="s">
        <v>401</v>
      </c>
      <c r="C70" s="185">
        <f ca="1">C61+C69</f>
        <v>13.754980297983998</v>
      </c>
      <c r="D70" s="185">
        <f t="shared" ref="D70:E70" ca="1" si="64">D61+D69</f>
        <v>13.754980297983998</v>
      </c>
      <c r="E70" s="185">
        <f t="shared" ca="1" si="64"/>
        <v>13.754980297983998</v>
      </c>
      <c r="F70" s="185" t="s">
        <v>417</v>
      </c>
      <c r="G70" s="185">
        <f t="shared" ref="G70:J70" ca="1" si="65">G61+G69</f>
        <v>13.754980297983998</v>
      </c>
      <c r="H70" s="185">
        <f t="shared" ca="1" si="65"/>
        <v>6.3441101662416211</v>
      </c>
      <c r="I70" s="185">
        <f t="shared" ca="1" si="65"/>
        <v>6.3441101662416211</v>
      </c>
      <c r="J70" s="185">
        <f t="shared" ca="1" si="65"/>
        <v>6.3441101662416211</v>
      </c>
    </row>
    <row r="71" spans="2:10" ht="5.0999999999999996" customHeight="1" x14ac:dyDescent="0.25"/>
    <row r="72" spans="2:10" x14ac:dyDescent="0.25">
      <c r="B72" s="181" t="s">
        <v>399</v>
      </c>
      <c r="C72" s="182">
        <f ca="1">'Tarifa Ponderada Legados 2029'!$H$29+'Tarifa Ponderada BRA 2029'!$H$29</f>
        <v>0.47387619951119409</v>
      </c>
      <c r="D72" s="182">
        <f ca="1">$C$72</f>
        <v>0.47387619951119409</v>
      </c>
      <c r="E72" s="182">
        <f ca="1">$C$72</f>
        <v>0.47387619951119409</v>
      </c>
      <c r="F72" s="182" t="s">
        <v>417</v>
      </c>
      <c r="G72" s="182">
        <f t="shared" ref="G72:J72" ca="1" si="66">$C$72</f>
        <v>0.47387619951119409</v>
      </c>
      <c r="H72" s="182">
        <f t="shared" ca="1" si="66"/>
        <v>0.47387619951119409</v>
      </c>
      <c r="I72" s="182">
        <f t="shared" ca="1" si="66"/>
        <v>0.47387619951119409</v>
      </c>
      <c r="J72" s="182">
        <f t="shared" ca="1" si="66"/>
        <v>0.47387619951119409</v>
      </c>
    </row>
    <row r="73" spans="2:10" x14ac:dyDescent="0.25">
      <c r="B73" s="183" t="s">
        <v>401</v>
      </c>
      <c r="C73" s="185">
        <f ca="1">C61+C72</f>
        <v>8.6204484281411826</v>
      </c>
      <c r="D73" s="185">
        <f t="shared" ref="D73:E73" ca="1" si="67">D61+D72</f>
        <v>8.6204484281411826</v>
      </c>
      <c r="E73" s="185">
        <f t="shared" ca="1" si="67"/>
        <v>8.6204484281411826</v>
      </c>
      <c r="F73" s="185" t="s">
        <v>417</v>
      </c>
      <c r="G73" s="185">
        <f t="shared" ref="G73:J73" ca="1" si="68">G61+G72</f>
        <v>8.6204484281411826</v>
      </c>
      <c r="H73" s="185">
        <f t="shared" ca="1" si="68"/>
        <v>1.2095782963988058</v>
      </c>
      <c r="I73" s="185">
        <f t="shared" ca="1" si="68"/>
        <v>1.2095782963988058</v>
      </c>
      <c r="J73" s="185">
        <f t="shared" ca="1" si="68"/>
        <v>1.2095782963988058</v>
      </c>
    </row>
    <row r="74" spans="2:10" ht="5.0999999999999996" customHeight="1" x14ac:dyDescent="0.25"/>
    <row r="75" spans="2:10" x14ac:dyDescent="0.25">
      <c r="B75" s="181" t="s">
        <v>400</v>
      </c>
      <c r="C75" s="182">
        <f ca="1">'Tarifa Ponderada Legados 2029'!$H$30+'Tarifa Ponderada BRA 2029'!$H$30</f>
        <v>0.47387619951119409</v>
      </c>
      <c r="D75" s="182">
        <f ca="1">$C$75</f>
        <v>0.47387619951119409</v>
      </c>
      <c r="E75" s="182">
        <f ca="1">$C$75</f>
        <v>0.47387619951119409</v>
      </c>
      <c r="F75" s="182" t="s">
        <v>417</v>
      </c>
      <c r="G75" s="182">
        <f t="shared" ref="G75:J75" ca="1" si="69">$C$75</f>
        <v>0.47387619951119409</v>
      </c>
      <c r="H75" s="182">
        <f t="shared" ca="1" si="69"/>
        <v>0.47387619951119409</v>
      </c>
      <c r="I75" s="182">
        <f t="shared" ca="1" si="69"/>
        <v>0.47387619951119409</v>
      </c>
      <c r="J75" s="182">
        <f t="shared" ca="1" si="69"/>
        <v>0.47387619951119409</v>
      </c>
    </row>
    <row r="76" spans="2:10" x14ac:dyDescent="0.25">
      <c r="B76" s="183" t="s">
        <v>401</v>
      </c>
      <c r="C76" s="185">
        <f ca="1">C61+C75</f>
        <v>8.6204484281411826</v>
      </c>
      <c r="D76" s="185">
        <f t="shared" ref="D76:E76" ca="1" si="70">D61+D75</f>
        <v>8.6204484281411826</v>
      </c>
      <c r="E76" s="185">
        <f t="shared" ca="1" si="70"/>
        <v>8.6204484281411826</v>
      </c>
      <c r="F76" s="185" t="s">
        <v>417</v>
      </c>
      <c r="G76" s="185">
        <f t="shared" ref="G76:J76" ca="1" si="71">G61+G75</f>
        <v>8.6204484281411826</v>
      </c>
      <c r="H76" s="185">
        <f t="shared" ca="1" si="71"/>
        <v>1.2095782963988058</v>
      </c>
      <c r="I76" s="185">
        <f t="shared" ca="1" si="71"/>
        <v>1.2095782963988058</v>
      </c>
      <c r="J76" s="185">
        <f t="shared" ca="1" si="71"/>
        <v>1.2095782963988058</v>
      </c>
    </row>
    <row r="79" spans="2:10" ht="30" x14ac:dyDescent="0.25">
      <c r="B79" s="178" t="s">
        <v>468</v>
      </c>
      <c r="C79" s="178" t="s">
        <v>402</v>
      </c>
      <c r="D79" s="178" t="s">
        <v>406</v>
      </c>
      <c r="E79" s="178" t="s">
        <v>412</v>
      </c>
      <c r="F79" s="178" t="s">
        <v>418</v>
      </c>
      <c r="G79" s="178" t="s">
        <v>25</v>
      </c>
      <c r="H79" s="178" t="s">
        <v>403</v>
      </c>
      <c r="I79" s="178" t="s">
        <v>404</v>
      </c>
      <c r="J79" s="178" t="s">
        <v>405</v>
      </c>
    </row>
    <row r="80" spans="2:10" x14ac:dyDescent="0.25">
      <c r="B80" s="179" t="s">
        <v>373</v>
      </c>
      <c r="C80" s="180">
        <f ca="1">'Tarifa Ponderada Legados 2030'!D2+'Tarifa Ponderada BRA 2030'!D2</f>
        <v>8.9550419513649633</v>
      </c>
      <c r="D80" s="180">
        <f ca="1">'Tarifa Ponderada Legados 2030'!D3+'Tarifa Ponderada BRA 2030'!D3</f>
        <v>8.9550419513649633</v>
      </c>
      <c r="E80" s="180">
        <f ca="1">'Tarifa Ponderada Legados 2030'!D4+'Tarifa Ponderada BRA 2030'!D4</f>
        <v>8.9550419513649633</v>
      </c>
      <c r="F80" s="180">
        <f ca="1">'Tarifa Ponderada Legados 2030'!D5+'Tarifa Ponderada BRA 2030'!D5</f>
        <v>0.80818736617186249</v>
      </c>
      <c r="G80" s="180">
        <f ca="1">'Tarifa Ponderada Legados 2030'!D8+'Tarifa Ponderada BRA 2030'!D8</f>
        <v>8.9550419513649633</v>
      </c>
      <c r="H80" s="180">
        <f ca="1">'Tarifa Ponderada Legados 2030'!D9+'Tarifa Ponderada BRA 2030'!D9</f>
        <v>0.80818736617186249</v>
      </c>
      <c r="I80" s="180">
        <f ca="1">'Tarifa Ponderada Legados 2030'!D10+'Tarifa Ponderada BRA 2030'!D10</f>
        <v>0.80818736617186249</v>
      </c>
      <c r="J80" s="180">
        <f ca="1">'Tarifa Ponderada Legados 2030'!D11+'Tarifa Ponderada BRA 2030'!D11</f>
        <v>0.80818736617186249</v>
      </c>
    </row>
    <row r="81" spans="2:24" ht="5.25" customHeight="1" x14ac:dyDescent="0.25"/>
    <row r="82" spans="2:24" x14ac:dyDescent="0.25">
      <c r="B82" s="181" t="s">
        <v>396</v>
      </c>
      <c r="C82" s="182">
        <f ca="1">'Tarifa Ponderada Legados 2030'!$H$18+'Tarifa Ponderada BRA 2030'!$H$18</f>
        <v>6.3288238833689192</v>
      </c>
      <c r="D82" s="182">
        <f ca="1">$C$82</f>
        <v>6.3288238833689192</v>
      </c>
      <c r="E82" s="182">
        <f t="shared" ref="E82:J82" ca="1" si="72">$C$82</f>
        <v>6.3288238833689192</v>
      </c>
      <c r="F82" s="182">
        <f t="shared" ca="1" si="72"/>
        <v>6.3288238833689192</v>
      </c>
      <c r="G82" s="182">
        <f t="shared" ca="1" si="72"/>
        <v>6.3288238833689192</v>
      </c>
      <c r="H82" s="182">
        <f t="shared" ca="1" si="72"/>
        <v>6.3288238833689192</v>
      </c>
      <c r="I82" s="182">
        <f t="shared" ca="1" si="72"/>
        <v>6.3288238833689192</v>
      </c>
      <c r="J82" s="182">
        <f t="shared" ca="1" si="72"/>
        <v>6.3288238833689192</v>
      </c>
    </row>
    <row r="83" spans="2:24" x14ac:dyDescent="0.25">
      <c r="B83" s="183" t="s">
        <v>401</v>
      </c>
      <c r="C83" s="184">
        <f ca="1">C80+C82</f>
        <v>15.283865834733882</v>
      </c>
      <c r="D83" s="184">
        <f t="shared" ref="D83:J83" ca="1" si="73">D80+D82</f>
        <v>15.283865834733882</v>
      </c>
      <c r="E83" s="184">
        <f t="shared" ca="1" si="73"/>
        <v>15.283865834733882</v>
      </c>
      <c r="F83" s="184">
        <f t="shared" ca="1" si="73"/>
        <v>7.137011249540782</v>
      </c>
      <c r="G83" s="184">
        <f t="shared" ca="1" si="73"/>
        <v>15.283865834733882</v>
      </c>
      <c r="H83" s="184">
        <f t="shared" ca="1" si="73"/>
        <v>7.137011249540782</v>
      </c>
      <c r="I83" s="184">
        <f t="shared" ca="1" si="73"/>
        <v>7.137011249540782</v>
      </c>
      <c r="J83" s="184">
        <f t="shared" ca="1" si="73"/>
        <v>7.137011249540782</v>
      </c>
    </row>
    <row r="84" spans="2:24" ht="6" customHeight="1" x14ac:dyDescent="0.25"/>
    <row r="85" spans="2:24" x14ac:dyDescent="0.25">
      <c r="B85" s="181" t="s">
        <v>397</v>
      </c>
      <c r="C85" s="182">
        <f ca="1">'Tarifa Ponderada Legados 2030'!$H$27+'Tarifa Ponderada BRA 2030'!$H$27</f>
        <v>6.3288238833689201</v>
      </c>
      <c r="D85" s="182">
        <f ca="1">$C$85</f>
        <v>6.3288238833689201</v>
      </c>
      <c r="E85" s="182">
        <f ca="1">$C$85</f>
        <v>6.3288238833689201</v>
      </c>
      <c r="F85" s="182" t="s">
        <v>417</v>
      </c>
      <c r="G85" s="182">
        <f t="shared" ref="G85:J85" ca="1" si="74">$C$85</f>
        <v>6.3288238833689201</v>
      </c>
      <c r="H85" s="182">
        <f t="shared" ca="1" si="74"/>
        <v>6.3288238833689201</v>
      </c>
      <c r="I85" s="182">
        <f t="shared" ca="1" si="74"/>
        <v>6.3288238833689201</v>
      </c>
      <c r="J85" s="182">
        <f t="shared" ca="1" si="74"/>
        <v>6.3288238833689201</v>
      </c>
    </row>
    <row r="86" spans="2:24" x14ac:dyDescent="0.25">
      <c r="B86" s="183" t="s">
        <v>401</v>
      </c>
      <c r="C86" s="184">
        <f ca="1">C80+C85</f>
        <v>15.283865834733884</v>
      </c>
      <c r="D86" s="184">
        <f t="shared" ref="D86:E86" ca="1" si="75">D80+D85</f>
        <v>15.283865834733884</v>
      </c>
      <c r="E86" s="184">
        <f t="shared" ca="1" si="75"/>
        <v>15.283865834733884</v>
      </c>
      <c r="F86" s="184" t="s">
        <v>417</v>
      </c>
      <c r="G86" s="184">
        <f t="shared" ref="G86:J86" ca="1" si="76">G80+G85</f>
        <v>15.283865834733884</v>
      </c>
      <c r="H86" s="184">
        <f t="shared" ca="1" si="76"/>
        <v>7.1370112495407829</v>
      </c>
      <c r="I86" s="184">
        <f t="shared" ca="1" si="76"/>
        <v>7.1370112495407829</v>
      </c>
      <c r="J86" s="184">
        <f t="shared" ca="1" si="76"/>
        <v>7.1370112495407829</v>
      </c>
    </row>
    <row r="87" spans="2:24" ht="6.75" customHeight="1" x14ac:dyDescent="0.25"/>
    <row r="88" spans="2:24" x14ac:dyDescent="0.25">
      <c r="B88" s="181" t="s">
        <v>398</v>
      </c>
      <c r="C88" s="182">
        <f ca="1">'Tarifa Ponderada Legados 2030'!$H$23+'Tarifa Ponderada BRA 2030'!$H$23</f>
        <v>6.3288238833689192</v>
      </c>
      <c r="D88" s="182">
        <f ca="1">$C$88</f>
        <v>6.3288238833689192</v>
      </c>
      <c r="E88" s="182">
        <f ca="1">$C$88</f>
        <v>6.3288238833689192</v>
      </c>
      <c r="F88" s="182" t="s">
        <v>417</v>
      </c>
      <c r="G88" s="182">
        <f t="shared" ref="G88:J88" ca="1" si="77">$C$88</f>
        <v>6.3288238833689192</v>
      </c>
      <c r="H88" s="182">
        <f t="shared" ca="1" si="77"/>
        <v>6.3288238833689192</v>
      </c>
      <c r="I88" s="182">
        <f t="shared" ca="1" si="77"/>
        <v>6.3288238833689192</v>
      </c>
      <c r="J88" s="182">
        <f t="shared" ca="1" si="77"/>
        <v>6.3288238833689192</v>
      </c>
    </row>
    <row r="89" spans="2:24" x14ac:dyDescent="0.25">
      <c r="B89" s="183" t="s">
        <v>401</v>
      </c>
      <c r="C89" s="185">
        <f ca="1">C80+C88</f>
        <v>15.283865834733882</v>
      </c>
      <c r="D89" s="185">
        <f t="shared" ref="D89:E89" ca="1" si="78">D80+D88</f>
        <v>15.283865834733882</v>
      </c>
      <c r="E89" s="185">
        <f t="shared" ca="1" si="78"/>
        <v>15.283865834733882</v>
      </c>
      <c r="F89" s="185" t="s">
        <v>417</v>
      </c>
      <c r="G89" s="185">
        <f t="shared" ref="G89:J89" ca="1" si="79">G80+G88</f>
        <v>15.283865834733882</v>
      </c>
      <c r="H89" s="185">
        <f t="shared" ca="1" si="79"/>
        <v>7.137011249540782</v>
      </c>
      <c r="I89" s="185">
        <f t="shared" ca="1" si="79"/>
        <v>7.137011249540782</v>
      </c>
      <c r="J89" s="185">
        <f t="shared" ca="1" si="79"/>
        <v>7.137011249540782</v>
      </c>
    </row>
    <row r="90" spans="2:24" ht="4.5" customHeight="1" x14ac:dyDescent="0.25"/>
    <row r="91" spans="2:24" x14ac:dyDescent="0.25">
      <c r="B91" s="181" t="s">
        <v>399</v>
      </c>
      <c r="C91" s="182">
        <f ca="1">'Tarifa Ponderada Legados 2030'!$H$29+'Tarifa Ponderada BRA 2030'!$H$29</f>
        <v>0.53346584484788284</v>
      </c>
      <c r="D91" s="182">
        <f ca="1">$C$91</f>
        <v>0.53346584484788284</v>
      </c>
      <c r="E91" s="182">
        <f ca="1">$C$91</f>
        <v>0.53346584484788284</v>
      </c>
      <c r="F91" s="182" t="s">
        <v>417</v>
      </c>
      <c r="G91" s="182">
        <f t="shared" ref="G91:J91" ca="1" si="80">$C$91</f>
        <v>0.53346584484788284</v>
      </c>
      <c r="H91" s="182">
        <f t="shared" ca="1" si="80"/>
        <v>0.53346584484788284</v>
      </c>
      <c r="I91" s="182">
        <f t="shared" ca="1" si="80"/>
        <v>0.53346584484788284</v>
      </c>
      <c r="J91" s="182">
        <f t="shared" ca="1" si="80"/>
        <v>0.53346584484788284</v>
      </c>
    </row>
    <row r="92" spans="2:24" x14ac:dyDescent="0.25">
      <c r="B92" s="183" t="s">
        <v>401</v>
      </c>
      <c r="C92" s="185">
        <f ca="1">C80+C91</f>
        <v>9.488507796212847</v>
      </c>
      <c r="D92" s="185">
        <f t="shared" ref="D92:E92" ca="1" si="81">D80+D91</f>
        <v>9.488507796212847</v>
      </c>
      <c r="E92" s="185">
        <f t="shared" ca="1" si="81"/>
        <v>9.488507796212847</v>
      </c>
      <c r="F92" s="185" t="s">
        <v>417</v>
      </c>
      <c r="G92" s="185">
        <f t="shared" ref="G92:J92" ca="1" si="82">G80+G91</f>
        <v>9.488507796212847</v>
      </c>
      <c r="H92" s="185">
        <f t="shared" ca="1" si="82"/>
        <v>1.3416532110197452</v>
      </c>
      <c r="I92" s="185">
        <f t="shared" ca="1" si="82"/>
        <v>1.3416532110197452</v>
      </c>
      <c r="J92" s="185">
        <f t="shared" ca="1" si="82"/>
        <v>1.3416532110197452</v>
      </c>
    </row>
    <row r="93" spans="2:24" ht="3" customHeight="1" x14ac:dyDescent="0.25"/>
    <row r="94" spans="2:24" x14ac:dyDescent="0.25">
      <c r="B94" s="181" t="s">
        <v>400</v>
      </c>
      <c r="C94" s="182">
        <f ca="1">'Tarifa Ponderada Legados 2030'!$H$30+'Tarifa Ponderada BRA 2030'!$H$30</f>
        <v>0.53346584484788284</v>
      </c>
      <c r="D94" s="182">
        <f ca="1">$C$94</f>
        <v>0.53346584484788284</v>
      </c>
      <c r="E94" s="182">
        <f ca="1">$C$94</f>
        <v>0.53346584484788284</v>
      </c>
      <c r="F94" s="182" t="s">
        <v>417</v>
      </c>
      <c r="G94" s="182">
        <f t="shared" ref="G94:J94" ca="1" si="83">$C$94</f>
        <v>0.53346584484788284</v>
      </c>
      <c r="H94" s="182">
        <f t="shared" ca="1" si="83"/>
        <v>0.53346584484788284</v>
      </c>
      <c r="I94" s="182">
        <f t="shared" ca="1" si="83"/>
        <v>0.53346584484788284</v>
      </c>
      <c r="J94" s="182">
        <f t="shared" ca="1" si="83"/>
        <v>0.53346584484788284</v>
      </c>
      <c r="X94" s="302" t="s">
        <v>444</v>
      </c>
    </row>
    <row r="95" spans="2:24" x14ac:dyDescent="0.25">
      <c r="B95" s="183" t="s">
        <v>401</v>
      </c>
      <c r="C95" s="185">
        <f ca="1">C80+C94</f>
        <v>9.488507796212847</v>
      </c>
      <c r="D95" s="185">
        <f t="shared" ref="D95:E95" ca="1" si="84">D80+D94</f>
        <v>9.488507796212847</v>
      </c>
      <c r="E95" s="185">
        <f t="shared" ca="1" si="84"/>
        <v>9.488507796212847</v>
      </c>
      <c r="F95" s="185" t="s">
        <v>417</v>
      </c>
      <c r="G95" s="185">
        <f t="shared" ref="G95:J95" ca="1" si="85">G80+G94</f>
        <v>9.488507796212847</v>
      </c>
      <c r="H95" s="185">
        <f t="shared" ca="1" si="85"/>
        <v>1.3416532110197452</v>
      </c>
      <c r="I95" s="185">
        <f t="shared" ca="1" si="85"/>
        <v>1.3416532110197452</v>
      </c>
      <c r="J95" s="185">
        <f t="shared" ca="1" si="85"/>
        <v>1.3416532110197452</v>
      </c>
    </row>
  </sheetData>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FBF3-3396-4CCA-AE5F-67FFD13B6BA9}">
  <sheetPr codeName="Planilha36">
    <tabColor theme="5"/>
  </sheetPr>
  <dimension ref="A1:V39"/>
  <sheetViews>
    <sheetView showGridLines="0" zoomScale="110" zoomScaleNormal="110" workbookViewId="0">
      <selection activeCell="H27" sqref="H27"/>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2027 BRA (com desc.)'!A246</f>
        <v>TEN1</v>
      </c>
      <c r="B2" s="261" t="str">
        <f>'CWD 2027 BRA (com desc.)'!B246</f>
        <v>PR-CARAGUATATUBA</v>
      </c>
      <c r="C2" s="262">
        <f>'CWD 2027 BRA (sem desc.)'!F24</f>
        <v>151427532.0717288</v>
      </c>
      <c r="D2" s="263">
        <f ca="1">'CWD 2027 BRA (com desc.)'!E246</f>
        <v>3.207530384461641</v>
      </c>
      <c r="E2" s="264">
        <f t="shared" ref="E2:E11" ca="1" si="0">IFERROR(C2*D2," ")</f>
        <v>485708410.16410971</v>
      </c>
      <c r="F2" s="298"/>
      <c r="L2" s="39" t="s">
        <v>53</v>
      </c>
      <c r="M2" s="38">
        <f ca="1">IFERROR($D$2+$C34," ")</f>
        <v>5.7795088495326432</v>
      </c>
      <c r="N2" s="38">
        <f ca="1">IFERROR($D$3+$C34," ")</f>
        <v>5.7795088495326432</v>
      </c>
      <c r="O2" s="38">
        <f ca="1">IFERROR($D$4+$C34," ")</f>
        <v>5.7795088495326432</v>
      </c>
      <c r="P2" s="38">
        <f ca="1">IFERROR($D$5+$C34," ")</f>
        <v>2.860476360870948</v>
      </c>
      <c r="Q2" s="38" t="str">
        <f ca="1">IFERROR($D$6+$C34," ")</f>
        <v xml:space="preserve"> </v>
      </c>
      <c r="R2" s="38" t="str">
        <f ca="1">IFERROR($D$7+$C34," ")</f>
        <v xml:space="preserve"> </v>
      </c>
      <c r="S2" s="38">
        <f ca="1">IFERROR($D$8+$C34," ")</f>
        <v>5.7795088495326432</v>
      </c>
      <c r="T2" s="38">
        <f ca="1">IFERROR($D$9+$C34," ")</f>
        <v>2.860476360870948</v>
      </c>
      <c r="U2" s="38">
        <f ca="1">IFERROR($D$10+$C34," ")</f>
        <v>2.860476360870948</v>
      </c>
      <c r="V2" s="38">
        <f ca="1">IFERROR($D$11+$C34," ")</f>
        <v>2.860476360870948</v>
      </c>
    </row>
    <row r="3" spans="1:22" s="33" customFormat="1" x14ac:dyDescent="0.25">
      <c r="A3" s="233" t="str">
        <f>'CWD 2027 BRA (com desc.)'!A247</f>
        <v>TEN2</v>
      </c>
      <c r="B3" s="236" t="str">
        <f>'CWD 2027 BRA (com desc.)'!B247</f>
        <v>PR-GNLBGB</v>
      </c>
      <c r="C3" s="237">
        <f>'CWD 2027 BRA (sem desc.)'!F25</f>
        <v>2723059.0670000003</v>
      </c>
      <c r="D3" s="238">
        <f ca="1">'CWD 2027 BRA (com desc.)'!E247</f>
        <v>3.207530384461641</v>
      </c>
      <c r="E3" s="239">
        <f t="shared" ca="1" si="0"/>
        <v>8734294.6960862689</v>
      </c>
      <c r="F3" s="298"/>
      <c r="L3" s="39" t="s">
        <v>64</v>
      </c>
      <c r="M3" s="38">
        <f t="shared" ref="M3:M7" ca="1" si="1">IFERROR($D$2+$C35," ")</f>
        <v>5.7795088495326432</v>
      </c>
      <c r="N3" s="38">
        <f t="shared" ref="N3:N7" ca="1" si="2">IFERROR($D$3+$C35," ")</f>
        <v>5.7795088495326432</v>
      </c>
      <c r="O3" s="38">
        <f t="shared" ref="O3:O7" ca="1" si="3">IFERROR($D$4+$C35," ")</f>
        <v>5.7795088495326432</v>
      </c>
      <c r="P3" s="38">
        <f t="shared" ref="P3:P7" ca="1" si="4">IFERROR($D$5+$C35," ")</f>
        <v>2.860476360870948</v>
      </c>
      <c r="Q3" s="38" t="str">
        <f t="shared" ref="Q3:Q7" ca="1" si="5">IFERROR($D$6+$C35," ")</f>
        <v xml:space="preserve"> </v>
      </c>
      <c r="R3" s="38" t="str">
        <f t="shared" ref="R3:R7" ca="1" si="6">IFERROR($D$7+$C35," ")</f>
        <v xml:space="preserve"> </v>
      </c>
      <c r="S3" s="38">
        <f t="shared" ref="S3:S7" ca="1" si="7">IFERROR($D$8+$C35," ")</f>
        <v>5.7795088495326432</v>
      </c>
      <c r="T3" s="38">
        <f t="shared" ref="T3:T7" ca="1" si="8">IFERROR($D$9+$C35," ")</f>
        <v>2.860476360870948</v>
      </c>
      <c r="U3" s="38">
        <f t="shared" ref="U3:U7" ca="1" si="9">IFERROR($D$10+$C35," ")</f>
        <v>2.860476360870948</v>
      </c>
      <c r="V3" s="38">
        <f t="shared" ref="V3:V7" ca="1" si="10">IFERROR($D$11+$C35," ")</f>
        <v>2.860476360870948</v>
      </c>
    </row>
    <row r="4" spans="1:22" x14ac:dyDescent="0.25">
      <c r="A4" s="233" t="str">
        <f>'CWD 2027 BRA (com desc.)'!A248</f>
        <v>TEN3</v>
      </c>
      <c r="B4" s="236" t="str">
        <f>'CWD 2027 BRA (com desc.)'!B248</f>
        <v>PR-ITABORAÍ</v>
      </c>
      <c r="C4" s="237">
        <f>'CWD 2027 BRA (sem desc.)'!F26</f>
        <v>184677865.92394</v>
      </c>
      <c r="D4" s="238">
        <f ca="1">'CWD 2027 BRA (com desc.)'!E248</f>
        <v>3.207530384461641</v>
      </c>
      <c r="E4" s="237">
        <f t="shared" ca="1" si="0"/>
        <v>592359866.28857064</v>
      </c>
      <c r="F4" s="298"/>
      <c r="L4" s="39" t="s">
        <v>193</v>
      </c>
      <c r="M4" s="38">
        <f t="shared" ca="1" si="1"/>
        <v>5.7795088495326432</v>
      </c>
      <c r="N4" s="38">
        <f t="shared" ca="1" si="2"/>
        <v>5.7795088495326432</v>
      </c>
      <c r="O4" s="38">
        <f t="shared" ca="1" si="3"/>
        <v>5.7795088495326432</v>
      </c>
      <c r="P4" s="38">
        <f t="shared" ca="1" si="4"/>
        <v>2.860476360870948</v>
      </c>
      <c r="Q4" s="38" t="str">
        <f t="shared" ca="1" si="5"/>
        <v xml:space="preserve"> </v>
      </c>
      <c r="R4" s="38" t="str">
        <f t="shared" ca="1" si="6"/>
        <v xml:space="preserve"> </v>
      </c>
      <c r="S4" s="38">
        <f t="shared" ca="1" si="7"/>
        <v>5.7795088495326432</v>
      </c>
      <c r="T4" s="38">
        <f t="shared" ca="1" si="8"/>
        <v>2.860476360870948</v>
      </c>
      <c r="U4" s="38">
        <f t="shared" ca="1" si="9"/>
        <v>2.860476360870948</v>
      </c>
      <c r="V4" s="38">
        <f t="shared" ca="1" si="10"/>
        <v>2.860476360870948</v>
      </c>
    </row>
    <row r="5" spans="1:22" ht="24" x14ac:dyDescent="0.25">
      <c r="A5" s="233" t="str">
        <f>'CWD 2027 BRA (com desc.)'!A249</f>
        <v>TEN4</v>
      </c>
      <c r="B5" s="236" t="str">
        <f>'CWD 2027 BRA (com desc.)'!B249</f>
        <v>PR-GASPAJ (INTERCONEXÃO)</v>
      </c>
      <c r="C5" s="237">
        <f>'CWD 2027 BRA (sem desc.)'!F27</f>
        <v>3512746.19643</v>
      </c>
      <c r="D5" s="238">
        <f ca="1">'CWD 2027 BRA (com desc.)'!E249</f>
        <v>0.28849789579994628</v>
      </c>
      <c r="E5" s="237">
        <f t="shared" ca="1" si="0"/>
        <v>1013419.8861493198</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2027 BRA (com desc.)'!A250</f>
        <v>TEN5</v>
      </c>
      <c r="B6" s="236" t="str">
        <f>'CWD 2027 BRA (com desc.)'!B250</f>
        <v>PR-REDUC</v>
      </c>
      <c r="C6" s="237">
        <f>'CWD 2027 BRA (sem desc.)'!F28</f>
        <v>0</v>
      </c>
      <c r="D6" s="238" t="str">
        <f>'CWD 2027 BRA (com desc.)'!E250</f>
        <v xml:space="preserve"> </v>
      </c>
      <c r="E6" s="237" t="str">
        <f t="shared" si="0"/>
        <v xml:space="preserve"> </v>
      </c>
      <c r="F6" s="298"/>
      <c r="L6" s="88" t="str">
        <f t="shared" ref="L6:L7" si="11">B29</f>
        <v>PE-REPLAN (INTERCONEXÃO)</v>
      </c>
      <c r="M6" s="38">
        <f t="shared" ca="1" si="1"/>
        <v>3.422002201355772</v>
      </c>
      <c r="N6" s="38">
        <f t="shared" ca="1" si="2"/>
        <v>3.422002201355772</v>
      </c>
      <c r="O6" s="38">
        <f t="shared" ca="1" si="3"/>
        <v>3.422002201355772</v>
      </c>
      <c r="P6" s="38">
        <f t="shared" ca="1" si="4"/>
        <v>0.50296971269407742</v>
      </c>
      <c r="Q6" s="38" t="str">
        <f t="shared" ca="1" si="5"/>
        <v xml:space="preserve"> </v>
      </c>
      <c r="R6" s="38" t="str">
        <f t="shared" ca="1" si="6"/>
        <v xml:space="preserve"> </v>
      </c>
      <c r="S6" s="38">
        <f t="shared" ca="1" si="7"/>
        <v>3.422002201355772</v>
      </c>
      <c r="T6" s="38">
        <f t="shared" ca="1" si="8"/>
        <v>0.50296971269407742</v>
      </c>
      <c r="U6" s="38">
        <f t="shared" ca="1" si="9"/>
        <v>0.50296971269407742</v>
      </c>
      <c r="V6" s="38">
        <f t="shared" ca="1" si="10"/>
        <v>0.50296971269407742</v>
      </c>
    </row>
    <row r="7" spans="1:22" x14ac:dyDescent="0.25">
      <c r="A7" s="233" t="str">
        <f>'CWD 2027 BRA (com desc.)'!A251</f>
        <v>TEN6</v>
      </c>
      <c r="B7" s="236" t="str">
        <f>'CWD 2027 BRA (com desc.)'!B251</f>
        <v>PR-RPBC</v>
      </c>
      <c r="C7" s="237">
        <f>'CWD 2027 BRA (sem desc.)'!F29</f>
        <v>0</v>
      </c>
      <c r="D7" s="238" t="str">
        <f>'CWD 2027 BRA (com desc.)'!E251</f>
        <v xml:space="preserve"> </v>
      </c>
      <c r="E7" s="237" t="str">
        <f t="shared" si="0"/>
        <v xml:space="preserve"> </v>
      </c>
      <c r="F7" s="298"/>
      <c r="L7" s="88" t="str">
        <f t="shared" si="11"/>
        <v>PE-TECAB (INTERCONEXÃO)</v>
      </c>
      <c r="M7" s="38">
        <f t="shared" ca="1" si="1"/>
        <v>3.422002201355772</v>
      </c>
      <c r="N7" s="38">
        <f t="shared" ca="1" si="2"/>
        <v>3.422002201355772</v>
      </c>
      <c r="O7" s="38">
        <f t="shared" ca="1" si="3"/>
        <v>3.422002201355772</v>
      </c>
      <c r="P7" s="38">
        <f t="shared" ca="1" si="4"/>
        <v>0.50296971269407742</v>
      </c>
      <c r="Q7" s="38" t="str">
        <f t="shared" ca="1" si="5"/>
        <v xml:space="preserve"> </v>
      </c>
      <c r="R7" s="38" t="str">
        <f t="shared" ca="1" si="6"/>
        <v xml:space="preserve"> </v>
      </c>
      <c r="S7" s="38">
        <f t="shared" ca="1" si="7"/>
        <v>3.422002201355772</v>
      </c>
      <c r="T7" s="38">
        <f t="shared" ca="1" si="8"/>
        <v>0.50296971269407742</v>
      </c>
      <c r="U7" s="38">
        <f t="shared" ca="1" si="9"/>
        <v>0.50296971269407742</v>
      </c>
      <c r="V7" s="38">
        <f t="shared" ca="1" si="10"/>
        <v>0.50296971269407742</v>
      </c>
    </row>
    <row r="8" spans="1:22" x14ac:dyDescent="0.25">
      <c r="A8" s="233" t="str">
        <f>'CWD 2027 BRA (com desc.)'!A252</f>
        <v>TEN7</v>
      </c>
      <c r="B8" s="236" t="str">
        <f>'CWD 2027 BRA (com desc.)'!B252</f>
        <v>PR-TECAB</v>
      </c>
      <c r="C8" s="237">
        <f>'CWD 2027 BRA (sem desc.)'!F30</f>
        <v>105733943.56400453</v>
      </c>
      <c r="D8" s="238">
        <f ca="1">'CWD 2027 BRA (com desc.)'!E252</f>
        <v>3.207530384461641</v>
      </c>
      <c r="E8" s="237">
        <f t="shared" ca="1" si="0"/>
        <v>339144836.6504969</v>
      </c>
      <c r="F8" s="298"/>
      <c r="L8" s="32"/>
    </row>
    <row r="9" spans="1:22" x14ac:dyDescent="0.25">
      <c r="A9" s="233" t="str">
        <f>'CWD 2027 BRA (com desc.)'!A253</f>
        <v>TEN8</v>
      </c>
      <c r="B9" s="236" t="str">
        <f>'CWD 2027 BRA (com desc.)'!B253</f>
        <v>PR-GUARAREMA (INTERCONEXÃO)</v>
      </c>
      <c r="C9" s="237">
        <f>'CWD 2027 BRA (sem desc.)'!F31</f>
        <v>46267510.535602026</v>
      </c>
      <c r="D9" s="238">
        <f ca="1">'CWD 2027 BRA (com desc.)'!E253</f>
        <v>0.28849789579994628</v>
      </c>
      <c r="E9" s="237">
        <f t="shared" ca="1" si="0"/>
        <v>13348079.433423029</v>
      </c>
      <c r="F9" s="298"/>
      <c r="L9" s="32"/>
    </row>
    <row r="10" spans="1:22" x14ac:dyDescent="0.25">
      <c r="A10" s="233" t="str">
        <f>'CWD 2027 BRA (com desc.)'!A254</f>
        <v>TEN9</v>
      </c>
      <c r="B10" s="236" t="str">
        <f>'CWD 2027 BRA (com desc.)'!B254</f>
        <v>PR-REPLAN (INTERCONEXÃO)</v>
      </c>
      <c r="C10" s="237">
        <f>'CWD 2027 BRA (sem desc.)'!F32</f>
        <v>2723059.0670000003</v>
      </c>
      <c r="D10" s="238">
        <f ca="1">'CWD 2027 BRA (com desc.)'!E254</f>
        <v>0.28849789579994628</v>
      </c>
      <c r="E10" s="237">
        <f t="shared" ca="1" si="0"/>
        <v>785596.81096846506</v>
      </c>
      <c r="F10" s="298"/>
      <c r="L10" s="32"/>
    </row>
    <row r="11" spans="1:22" x14ac:dyDescent="0.25">
      <c r="A11" s="233" t="str">
        <f>'CWD 2027 BRA (com desc.)'!A255</f>
        <v>TEN10</v>
      </c>
      <c r="B11" s="236" t="str">
        <f>'CWD 2027 BRA (com desc.)'!B255</f>
        <v>PR-TECAB (INTERCONEXÃO)</v>
      </c>
      <c r="C11" s="237">
        <f>'CWD 2027 BRA (sem desc.)'!F33</f>
        <v>2723059.0670000003</v>
      </c>
      <c r="D11" s="238">
        <f ca="1">'CWD 2027 BRA (com desc.)'!E255</f>
        <v>0.28849789579994628</v>
      </c>
      <c r="E11" s="237">
        <f t="shared" ca="1" si="0"/>
        <v>785596.81096846506</v>
      </c>
      <c r="F11" s="298"/>
      <c r="L11" s="32"/>
    </row>
    <row r="12" spans="1:22" x14ac:dyDescent="0.25">
      <c r="E12" s="36">
        <f ca="1">SUM(E2:E11)</f>
        <v>1441880100.7407727</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2027 BRA (com desc.)'!H246</f>
        <v>TEX1</v>
      </c>
      <c r="B15" s="237" t="str">
        <f>'CWD 2027 BRA (com desc.)'!I246</f>
        <v>NTS MG 1</v>
      </c>
      <c r="C15" s="237">
        <f>'CWD 2027 BRA (sem desc.)'!F41</f>
        <v>1143131.2713643934</v>
      </c>
      <c r="D15" s="237"/>
      <c r="E15" s="240">
        <f ca="1">'CWD 2027 BRA (com desc.)'!L246</f>
        <v>2.5719784650710018</v>
      </c>
      <c r="F15" s="246">
        <f ca="1">IFERROR(C15*E15," ")</f>
        <v>2940109.0126984552</v>
      </c>
      <c r="G15" s="249"/>
      <c r="H15" s="255" t="str">
        <f>IFERROR(G15/D15," ")</f>
        <v xml:space="preserve"> </v>
      </c>
      <c r="I15" s="37"/>
      <c r="J15" s="37"/>
      <c r="L15" s="30"/>
    </row>
    <row r="16" spans="1:22" x14ac:dyDescent="0.25">
      <c r="A16" s="237" t="str">
        <f>'CWD 2027 BRA (com desc.)'!H247</f>
        <v>TEX2</v>
      </c>
      <c r="B16" s="237" t="str">
        <f>'CWD 2027 BRA (com desc.)'!I247</f>
        <v>NTS MG 2</v>
      </c>
      <c r="C16" s="237">
        <f>'CWD 2027 BRA (sem desc.)'!F42</f>
        <v>18497674.607759055</v>
      </c>
      <c r="D16" s="237"/>
      <c r="E16" s="240">
        <f ca="1">'CWD 2027 BRA (com desc.)'!L247</f>
        <v>2.5719784650710018</v>
      </c>
      <c r="F16" s="246">
        <f t="shared" ref="F16:F30" ca="1" si="12">IFERROR(C16*E16," ")</f>
        <v>47575620.745046981</v>
      </c>
      <c r="G16" s="258"/>
      <c r="H16" s="256" t="str">
        <f t="shared" ref="H16:H30" si="13">IFERROR(G16/D16," ")</f>
        <v xml:space="preserve"> </v>
      </c>
      <c r="I16" s="37"/>
      <c r="J16" s="37"/>
      <c r="L16" s="30"/>
    </row>
    <row r="17" spans="1:12" x14ac:dyDescent="0.25">
      <c r="A17" s="237" t="str">
        <f>'CWD 2027 BRA (com desc.)'!H248</f>
        <v>TEX3</v>
      </c>
      <c r="B17" s="237" t="str">
        <f>'CWD 2027 BRA (com desc.)'!I248</f>
        <v>NTS MG 3</v>
      </c>
      <c r="C17" s="237">
        <f>'CWD 2027 BRA (sem desc.)'!F43</f>
        <v>21664461.4795895</v>
      </c>
      <c r="D17" s="237"/>
      <c r="E17" s="240">
        <f ca="1">'CWD 2027 BRA (com desc.)'!L248</f>
        <v>2.5719784650710018</v>
      </c>
      <c r="F17" s="246">
        <f ca="1">IFERROR(C17*E17," ")</f>
        <v>55720528.382864445</v>
      </c>
      <c r="G17" s="251"/>
      <c r="H17" s="257" t="str">
        <f t="shared" si="13"/>
        <v xml:space="preserve"> </v>
      </c>
      <c r="I17" s="37"/>
      <c r="J17" s="37"/>
      <c r="L17" s="30"/>
    </row>
    <row r="18" spans="1:12" x14ac:dyDescent="0.25">
      <c r="A18" s="242" t="str">
        <f>'CWD 2027 BRA (com desc.)'!H249</f>
        <v>TEX4</v>
      </c>
      <c r="B18" s="242" t="str">
        <f>'CWD 2027 BRA (com desc.)'!I249</f>
        <v>NTS MG 4</v>
      </c>
      <c r="C18" s="242">
        <f>'CWD 2027 BRA (sem desc.)'!F44</f>
        <v>3511458.0641919076</v>
      </c>
      <c r="D18" s="242">
        <f>SUM(C15:C18)</f>
        <v>44816725.422904857</v>
      </c>
      <c r="E18" s="243">
        <f ca="1">'CWD 2027 BRA (com desc.)'!L249</f>
        <v>2.5719784650710018</v>
      </c>
      <c r="F18" s="242">
        <f ca="1">IFERROR(C18*E18," ")</f>
        <v>9031394.5221014936</v>
      </c>
      <c r="G18" s="254">
        <f ca="1">SUM(F15:F18)</f>
        <v>115267652.66271138</v>
      </c>
      <c r="H18" s="252">
        <f t="shared" ca="1" si="13"/>
        <v>2.5719784650710018</v>
      </c>
      <c r="I18" s="298"/>
      <c r="J18"/>
      <c r="L18" s="30"/>
    </row>
    <row r="19" spans="1:12" x14ac:dyDescent="0.25">
      <c r="A19" s="237" t="str">
        <f>'CWD 2027 BRA (com desc.)'!H250</f>
        <v>TEX5</v>
      </c>
      <c r="B19" s="237" t="str">
        <f>'CWD 2027 BRA (com desc.)'!I250</f>
        <v>NTS RJ 1</v>
      </c>
      <c r="C19" s="237">
        <f>'CWD 2027 BRA (sem desc.)'!F45</f>
        <v>56008136.89657066</v>
      </c>
      <c r="D19" s="237"/>
      <c r="E19" s="240">
        <f ca="1">'CWD 2027 BRA (com desc.)'!L250</f>
        <v>2.5719784650710018</v>
      </c>
      <c r="F19" s="246">
        <f t="shared" ca="1" si="12"/>
        <v>144051721.96672836</v>
      </c>
      <c r="G19" s="249"/>
      <c r="H19" s="255" t="str">
        <f t="shared" si="13"/>
        <v xml:space="preserve"> </v>
      </c>
      <c r="I19"/>
      <c r="J19"/>
      <c r="L19" s="30"/>
    </row>
    <row r="20" spans="1:12" x14ac:dyDescent="0.25">
      <c r="A20" s="237" t="str">
        <f>'CWD 2027 BRA (com desc.)'!H251</f>
        <v>TEX6</v>
      </c>
      <c r="B20" s="237" t="str">
        <f>'CWD 2027 BRA (com desc.)'!I251</f>
        <v>NTS RJ 2</v>
      </c>
      <c r="C20" s="237">
        <f>'CWD 2027 BRA (sem desc.)'!F46</f>
        <v>22758184.654042114</v>
      </c>
      <c r="D20" s="237"/>
      <c r="E20" s="240">
        <f ca="1">'CWD 2027 BRA (com desc.)'!L251</f>
        <v>2.5719784650710018</v>
      </c>
      <c r="F20" s="246">
        <f t="shared" ca="1" si="12"/>
        <v>58533560.834305666</v>
      </c>
      <c r="G20" s="250"/>
      <c r="H20" s="256" t="str">
        <f t="shared" si="13"/>
        <v xml:space="preserve"> </v>
      </c>
      <c r="I20"/>
      <c r="J20"/>
      <c r="L20" s="30"/>
    </row>
    <row r="21" spans="1:12" x14ac:dyDescent="0.25">
      <c r="A21" s="237" t="str">
        <f>'CWD 2027 BRA (com desc.)'!H252</f>
        <v>TEX7</v>
      </c>
      <c r="B21" s="237" t="str">
        <f>'CWD 2027 BRA (com desc.)'!I252</f>
        <v>NTS RJ 3</v>
      </c>
      <c r="C21" s="237">
        <f>'CWD 2027 BRA (sem desc.)'!F47</f>
        <v>20387219.046491113</v>
      </c>
      <c r="D21" s="245"/>
      <c r="E21" s="240">
        <f ca="1">'CWD 2027 BRA (com desc.)'!L252</f>
        <v>2.5719784650710018</v>
      </c>
      <c r="F21" s="246">
        <f t="shared" ca="1" si="12"/>
        <v>52435488.350260504</v>
      </c>
      <c r="G21" s="253"/>
      <c r="H21" s="256" t="str">
        <f t="shared" si="13"/>
        <v xml:space="preserve"> </v>
      </c>
      <c r="I21"/>
      <c r="J21"/>
      <c r="L21" s="30"/>
    </row>
    <row r="22" spans="1:12" x14ac:dyDescent="0.25">
      <c r="A22" s="237" t="str">
        <f>'CWD 2027 BRA (com desc.)'!H253</f>
        <v>TEX8</v>
      </c>
      <c r="B22" s="237" t="str">
        <f>'CWD 2027 BRA (com desc.)'!I253</f>
        <v>NTS RJ 4</v>
      </c>
      <c r="C22" s="237">
        <f>'CWD 2027 BRA (sem desc.)'!F48</f>
        <v>3745710.8496582415</v>
      </c>
      <c r="D22" s="237"/>
      <c r="E22" s="240">
        <f ca="1">'CWD 2027 BRA (com desc.)'!L253</f>
        <v>2.5719784650710018</v>
      </c>
      <c r="F22" s="246">
        <f t="shared" ca="1" si="12"/>
        <v>9633887.6417038012</v>
      </c>
      <c r="G22" s="251"/>
      <c r="H22" s="257" t="str">
        <f t="shared" si="13"/>
        <v xml:space="preserve"> </v>
      </c>
      <c r="I22"/>
      <c r="J22"/>
      <c r="L22" s="30"/>
    </row>
    <row r="23" spans="1:12" x14ac:dyDescent="0.25">
      <c r="A23" s="242" t="str">
        <f>'CWD 2027 BRA (com desc.)'!H254</f>
        <v>TEX9</v>
      </c>
      <c r="B23" s="242" t="str">
        <f>'CWD 2027 BRA (com desc.)'!I254</f>
        <v>NTS RJ 5</v>
      </c>
      <c r="C23" s="242">
        <f>'CWD 2027 BRA (sem desc.)'!F49</f>
        <v>9476242.9913493898</v>
      </c>
      <c r="D23" s="242">
        <f>SUM(C19:C23)</f>
        <v>112375494.43811151</v>
      </c>
      <c r="E23" s="243">
        <f ca="1">'CWD 2027 BRA (com desc.)'!L254</f>
        <v>2.5719784650710018</v>
      </c>
      <c r="F23" s="242">
        <f t="shared" ca="1" si="12"/>
        <v>24372692.903530642</v>
      </c>
      <c r="G23" s="254">
        <f ca="1">SUM(F19:F23)</f>
        <v>289027351.69652897</v>
      </c>
      <c r="H23" s="252">
        <f t="shared" ca="1" si="13"/>
        <v>2.5719784650710018</v>
      </c>
      <c r="I23" s="298"/>
      <c r="J23"/>
    </row>
    <row r="24" spans="1:12" x14ac:dyDescent="0.25">
      <c r="A24" s="237" t="str">
        <f>'CWD 2027 BRA (com desc.)'!H255</f>
        <v>TEX10</v>
      </c>
      <c r="B24" s="237" t="str">
        <f>'CWD 2027 BRA (com desc.)'!I255</f>
        <v>NTS SP 1</v>
      </c>
      <c r="C24" s="237">
        <f>'CWD 2027 BRA (sem desc.)'!F50</f>
        <v>13541813.635020396</v>
      </c>
      <c r="D24" s="237"/>
      <c r="E24" s="240">
        <f ca="1">'CWD 2027 BRA (com desc.)'!L255</f>
        <v>2.5719784650710018</v>
      </c>
      <c r="F24" s="246">
        <f t="shared" ca="1" si="12"/>
        <v>34829253.047277324</v>
      </c>
      <c r="G24" s="249"/>
      <c r="H24" s="255" t="str">
        <f t="shared" si="13"/>
        <v xml:space="preserve"> </v>
      </c>
      <c r="I24"/>
      <c r="J24"/>
    </row>
    <row r="25" spans="1:12" x14ac:dyDescent="0.25">
      <c r="A25" s="237" t="str">
        <f>'CWD 2027 BRA (com desc.)'!H256</f>
        <v>TEX11</v>
      </c>
      <c r="B25" s="237" t="str">
        <f>'CWD 2027 BRA (com desc.)'!I256</f>
        <v>NTS SP 2</v>
      </c>
      <c r="C25" s="237">
        <f>'CWD 2027 BRA (sem desc.)'!F51</f>
        <v>33498430.787737504</v>
      </c>
      <c r="D25" s="237"/>
      <c r="E25" s="240">
        <f ca="1">'CWD 2027 BRA (com desc.)'!L256</f>
        <v>2.5719784650710018</v>
      </c>
      <c r="F25" s="246">
        <f t="shared" ca="1" si="12"/>
        <v>86157242.599732295</v>
      </c>
      <c r="G25" s="250"/>
      <c r="H25" s="256" t="str">
        <f t="shared" si="13"/>
        <v xml:space="preserve"> </v>
      </c>
      <c r="I25"/>
      <c r="J25"/>
    </row>
    <row r="26" spans="1:12" x14ac:dyDescent="0.25">
      <c r="A26" s="237" t="str">
        <f>'CWD 2027 BRA (com desc.)'!H257</f>
        <v>TEX12</v>
      </c>
      <c r="B26" s="237" t="str">
        <f>'CWD 2027 BRA (com desc.)'!I257</f>
        <v>NTS SP 3</v>
      </c>
      <c r="C26" s="237">
        <f>'CWD 2027 BRA (sem desc.)'!F52</f>
        <v>13729236.478939947</v>
      </c>
      <c r="D26" s="245"/>
      <c r="E26" s="240">
        <f ca="1">'CWD 2027 BRA (com desc.)'!L257</f>
        <v>2.5719784650710018</v>
      </c>
      <c r="F26" s="246">
        <f t="shared" ca="1" si="12"/>
        <v>35311300.565700769</v>
      </c>
      <c r="G26" s="259"/>
      <c r="H26" s="257" t="str">
        <f t="shared" si="13"/>
        <v xml:space="preserve"> </v>
      </c>
      <c r="I26"/>
      <c r="J26"/>
    </row>
    <row r="27" spans="1:12" x14ac:dyDescent="0.25">
      <c r="A27" s="242" t="str">
        <f>'CWD 2027 BRA (com desc.)'!H258</f>
        <v>TEX13</v>
      </c>
      <c r="B27" s="242" t="str">
        <f>'CWD 2027 BRA (com desc.)'!I258</f>
        <v>NTS SP 4</v>
      </c>
      <c r="C27" s="242">
        <f>'CWD 2027 BRA (sem desc.)'!F53</f>
        <v>17945906.78229931</v>
      </c>
      <c r="D27" s="242">
        <f>SUM(C24:C27)</f>
        <v>78715387.683997154</v>
      </c>
      <c r="E27" s="243">
        <f ca="1">'CWD 2027 BRA (com desc.)'!L258</f>
        <v>2.5719784650710018</v>
      </c>
      <c r="F27" s="242">
        <f t="shared" ca="1" si="12"/>
        <v>46156485.780245461</v>
      </c>
      <c r="G27" s="247">
        <f ca="1">SUM(F24:F27)</f>
        <v>202454281.99295583</v>
      </c>
      <c r="H27" s="248">
        <f t="shared" ca="1" si="13"/>
        <v>2.5719784650710018</v>
      </c>
      <c r="I27" s="298"/>
      <c r="J27"/>
    </row>
    <row r="28" spans="1:12" x14ac:dyDescent="0.25">
      <c r="A28" s="237" t="str">
        <f>'CWD 2027 BRA (com desc.)'!H259</f>
        <v>TEX14</v>
      </c>
      <c r="B28" s="237" t="str">
        <f>'CWD 2027 BRA (com desc.)'!I259</f>
        <v>PE-GUARAREMA (INTERCONEXÃO)</v>
      </c>
      <c r="C28" s="237">
        <f>'CWD 2027 BRA (sem desc.)'!F54</f>
        <v>0</v>
      </c>
      <c r="D28" s="237">
        <f>C28</f>
        <v>0</v>
      </c>
      <c r="E28" s="240">
        <f>'CWD 2027 BRA (com desc.)'!L259</f>
        <v>0</v>
      </c>
      <c r="F28" s="237">
        <f t="shared" si="12"/>
        <v>0</v>
      </c>
      <c r="G28" s="237">
        <f>F28</f>
        <v>0</v>
      </c>
      <c r="H28" s="241" t="str">
        <f t="shared" si="13"/>
        <v xml:space="preserve"> </v>
      </c>
      <c r="I28"/>
      <c r="J28"/>
    </row>
    <row r="29" spans="1:12" x14ac:dyDescent="0.25">
      <c r="A29" s="242" t="str">
        <f>'CWD 2027 BRA (com desc.)'!H260</f>
        <v>TEX15</v>
      </c>
      <c r="B29" s="242" t="str">
        <f>'CWD 2027 BRA (com desc.)'!I260</f>
        <v>PE-REPLAN (INTERCONEXÃO)</v>
      </c>
      <c r="C29" s="242">
        <f>'CWD 2027 BRA (sem desc.)'!F55</f>
        <v>49495122.385346346</v>
      </c>
      <c r="D29" s="242">
        <f t="shared" ref="D29:D30" si="14">C29</f>
        <v>49495122.385346346</v>
      </c>
      <c r="E29" s="243">
        <f ca="1">'CWD 2027 BRA (com desc.)'!L260</f>
        <v>0.21447181689413117</v>
      </c>
      <c r="F29" s="242">
        <f t="shared" ca="1" si="12"/>
        <v>10615308.825382615</v>
      </c>
      <c r="G29" s="242">
        <f t="shared" ref="G29:G30" ca="1" si="15">F29</f>
        <v>10615308.825382615</v>
      </c>
      <c r="H29" s="244">
        <f t="shared" ca="1" si="13"/>
        <v>0.21447181689413117</v>
      </c>
      <c r="I29" s="298"/>
      <c r="J29"/>
    </row>
    <row r="30" spans="1:12" x14ac:dyDescent="0.25">
      <c r="A30" s="237" t="str">
        <f>'CWD 2027 BRA (com desc.)'!H261</f>
        <v>TEX16</v>
      </c>
      <c r="B30" s="237" t="str">
        <f>'CWD 2027 BRA (com desc.)'!I261</f>
        <v>PE-TECAB (INTERCONEXÃO)</v>
      </c>
      <c r="C30" s="237">
        <f>'CWD 2027 BRA (sem desc.)'!F56</f>
        <v>2723059.0670000003</v>
      </c>
      <c r="D30" s="237">
        <f t="shared" si="14"/>
        <v>2723059.0670000003</v>
      </c>
      <c r="E30" s="240">
        <f ca="1">'CWD 2027 BRA (com desc.)'!L261</f>
        <v>0.21447181689413117</v>
      </c>
      <c r="F30" s="237">
        <f t="shared" ca="1" si="12"/>
        <v>584019.42560952774</v>
      </c>
      <c r="G30" s="237">
        <f t="shared" ca="1" si="15"/>
        <v>584019.42560952774</v>
      </c>
      <c r="H30" s="241">
        <f t="shared" ca="1" si="13"/>
        <v>0.21447181689413117</v>
      </c>
      <c r="I30" s="298"/>
      <c r="J30" s="37"/>
    </row>
    <row r="31" spans="1:12" x14ac:dyDescent="0.25">
      <c r="C31" s="36">
        <f>SUM(C15:C30)</f>
        <v>288125788.99735987</v>
      </c>
      <c r="D31" s="36">
        <f>SUM(D15:D30)</f>
        <v>288125788.99735981</v>
      </c>
      <c r="F31" s="36">
        <f ca="1">SUM(F15:F30)</f>
        <v>617948614.60318816</v>
      </c>
      <c r="G31" s="36">
        <f ca="1">SUM(G15:G30)</f>
        <v>617948614.60318828</v>
      </c>
    </row>
    <row r="32" spans="1:12" x14ac:dyDescent="0.25">
      <c r="C32" s="36"/>
      <c r="D32" s="36"/>
      <c r="F32" s="36"/>
      <c r="G32" s="36"/>
    </row>
    <row r="33" spans="2:3" x14ac:dyDescent="0.25">
      <c r="C33" s="34" t="s">
        <v>192</v>
      </c>
    </row>
    <row r="34" spans="2:3" x14ac:dyDescent="0.25">
      <c r="B34" s="39" t="s">
        <v>53</v>
      </c>
      <c r="C34" s="37">
        <f ca="1">H18</f>
        <v>2.5719784650710018</v>
      </c>
    </row>
    <row r="35" spans="2:3" x14ac:dyDescent="0.25">
      <c r="B35" s="39" t="s">
        <v>64</v>
      </c>
      <c r="C35" s="37">
        <f ca="1">H23</f>
        <v>2.5719784650710018</v>
      </c>
    </row>
    <row r="36" spans="2:3" x14ac:dyDescent="0.25">
      <c r="B36" s="39" t="s">
        <v>193</v>
      </c>
      <c r="C36" s="37">
        <f ca="1">H27</f>
        <v>2.5719784650710018</v>
      </c>
    </row>
    <row r="37" spans="2:3" x14ac:dyDescent="0.25">
      <c r="B37" s="88" t="s">
        <v>199</v>
      </c>
      <c r="C37" s="37" t="str">
        <f>H28</f>
        <v xml:space="preserve"> </v>
      </c>
    </row>
    <row r="38" spans="2:3" x14ac:dyDescent="0.25">
      <c r="B38" s="88" t="s">
        <v>198</v>
      </c>
      <c r="C38" s="37">
        <f t="shared" ref="C38:C39" ca="1" si="16">H29</f>
        <v>0.21447181689413117</v>
      </c>
    </row>
    <row r="39" spans="2:3" x14ac:dyDescent="0.25">
      <c r="B39" s="88" t="s">
        <v>197</v>
      </c>
      <c r="C39" s="37">
        <f t="shared" ca="1" si="16"/>
        <v>0.21447181689413117</v>
      </c>
    </row>
  </sheetData>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798EB-998B-489B-B534-8D43BB94EF9B}">
  <sheetPr codeName="Planilha17">
    <tabColor theme="1" tint="0.499984740745262"/>
  </sheetPr>
  <dimension ref="A2:AA302"/>
  <sheetViews>
    <sheetView showGridLines="0" topLeftCell="A256" zoomScale="70" zoomScaleNormal="70" workbookViewId="0">
      <selection activeCell="C271" sqref="C271"/>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2027</v>
      </c>
    </row>
    <row r="4" spans="1:9" ht="18.75" thickBot="1" x14ac:dyDescent="0.3">
      <c r="A4" s="162"/>
      <c r="B4" s="163" t="s">
        <v>102</v>
      </c>
      <c r="C4" s="164" t="s">
        <v>200</v>
      </c>
      <c r="D4" s="165">
        <f>('Premissas (Legados)'!E37-'Premissas (Legados)'!E36)/1000</f>
        <v>5285.1061021214509</v>
      </c>
      <c r="E4" s="166" t="s">
        <v>103</v>
      </c>
      <c r="F4" s="162"/>
      <c r="G4" s="162"/>
      <c r="H4" s="177"/>
      <c r="I4" s="177"/>
    </row>
    <row r="5" spans="1:9" ht="18" x14ac:dyDescent="0.25">
      <c r="A5" s="148">
        <f>HLOOKUP($G$3,'Premissas (Legados)'!$B$5:$F$13,9,FALSE)</f>
        <v>0.7</v>
      </c>
      <c r="B5" s="149" t="s">
        <v>104</v>
      </c>
      <c r="C5" s="150" t="s">
        <v>201</v>
      </c>
      <c r="D5" s="151">
        <f>$A$5*$D$4</f>
        <v>3699.5742714850153</v>
      </c>
      <c r="E5" s="152" t="s">
        <v>105</v>
      </c>
      <c r="F5" s="153"/>
      <c r="G5" s="153"/>
      <c r="H5" s="177"/>
    </row>
    <row r="6" spans="1:9" ht="30" x14ac:dyDescent="0.25">
      <c r="A6" s="48"/>
      <c r="B6" s="154" t="s">
        <v>106</v>
      </c>
      <c r="C6" s="155" t="s">
        <v>202</v>
      </c>
      <c r="D6" s="156">
        <f>$C$34*'Premissas (Legados)'!$C$20</f>
        <v>29819405</v>
      </c>
      <c r="E6" s="154" t="s">
        <v>107</v>
      </c>
      <c r="F6" s="172">
        <f>F34</f>
        <v>1112328782.9834948</v>
      </c>
      <c r="G6" s="40" t="s">
        <v>108</v>
      </c>
    </row>
    <row r="7" spans="1:9" ht="18.75" thickBot="1" x14ac:dyDescent="0.3">
      <c r="A7" s="157"/>
      <c r="B7" s="158" t="s">
        <v>109</v>
      </c>
      <c r="C7" s="159" t="s">
        <v>203</v>
      </c>
      <c r="D7" s="160">
        <f>$D$5/$D$6*1000</f>
        <v>0.12406599901926331</v>
      </c>
      <c r="E7" s="161" t="s">
        <v>110</v>
      </c>
      <c r="F7" s="174">
        <f>$D$5/$F$6*1000000</f>
        <v>3.3259718961528582</v>
      </c>
      <c r="G7" s="170" t="s">
        <v>15</v>
      </c>
      <c r="I7" s="177"/>
    </row>
    <row r="8" spans="1:9" ht="18" x14ac:dyDescent="0.25">
      <c r="A8" s="148">
        <f>1-A5</f>
        <v>0.30000000000000004</v>
      </c>
      <c r="B8" s="149" t="s">
        <v>111</v>
      </c>
      <c r="C8" s="150" t="s">
        <v>204</v>
      </c>
      <c r="D8" s="151">
        <f>$A$8*$D$4</f>
        <v>1585.5318306364354</v>
      </c>
      <c r="E8" s="152" t="s">
        <v>105</v>
      </c>
      <c r="F8" s="173"/>
      <c r="G8" s="171"/>
    </row>
    <row r="9" spans="1:9" ht="30" x14ac:dyDescent="0.25">
      <c r="B9" s="154" t="s">
        <v>112</v>
      </c>
      <c r="C9" s="155" t="s">
        <v>205</v>
      </c>
      <c r="D9" s="156">
        <f>$C$57*'Premissas (Legados)'!$C$20</f>
        <v>24399520</v>
      </c>
      <c r="E9" s="154" t="s">
        <v>107</v>
      </c>
      <c r="F9" s="172">
        <f>F57</f>
        <v>910155262.55408001</v>
      </c>
      <c r="G9" s="40" t="s">
        <v>108</v>
      </c>
    </row>
    <row r="10" spans="1:9" ht="18.75" thickBot="1" x14ac:dyDescent="0.3">
      <c r="A10" s="167"/>
      <c r="B10" s="158" t="s">
        <v>113</v>
      </c>
      <c r="C10" s="159" t="s">
        <v>206</v>
      </c>
      <c r="D10" s="160">
        <f>$D$8/$D$9*1000</f>
        <v>6.4982091067219167E-2</v>
      </c>
      <c r="E10" s="161" t="s">
        <v>110</v>
      </c>
      <c r="F10" s="174">
        <f>$D$8/$F$9*1000000</f>
        <v>1.7420454463858308</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H16" s="194"/>
      <c r="I16" s="49"/>
    </row>
    <row r="17" spans="1:9" ht="18" x14ac:dyDescent="0.35">
      <c r="A17" t="s">
        <v>208</v>
      </c>
      <c r="B17" t="s">
        <v>120</v>
      </c>
      <c r="C17" s="19"/>
      <c r="H17" s="194"/>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2027</v>
      </c>
      <c r="F21" s="376">
        <v>2027</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(Legados)'!D3</f>
        <v>14956</v>
      </c>
      <c r="E24" s="60"/>
      <c r="F24" s="15">
        <f>IFERROR($C24*$H$19*'Premissas (Legados)'!$C$20*1000," ")</f>
        <v>203630357.03025997</v>
      </c>
      <c r="G24" s="49"/>
    </row>
    <row r="25" spans="1:9" x14ac:dyDescent="0.25">
      <c r="A25" s="2" t="s">
        <v>125</v>
      </c>
      <c r="B25" s="16" t="s">
        <v>26</v>
      </c>
      <c r="C25" s="231">
        <f>'Oferta (Legados)'!D4</f>
        <v>20000</v>
      </c>
      <c r="E25" s="60"/>
      <c r="F25" s="15">
        <f>IFERROR($C25*$H$19*'Premissas (Legados)'!$C$20*1000," ")</f>
        <v>272305906.69999999</v>
      </c>
      <c r="G25" s="49"/>
    </row>
    <row r="26" spans="1:9" x14ac:dyDescent="0.25">
      <c r="A26" s="2" t="s">
        <v>126</v>
      </c>
      <c r="B26" s="16" t="s">
        <v>411</v>
      </c>
      <c r="C26" s="231">
        <f>'Oferta (Legados)'!D5</f>
        <v>13564</v>
      </c>
      <c r="D26" s="18"/>
      <c r="E26" s="60"/>
      <c r="F26" s="15">
        <f>IFERROR($C26*$H$19*'Premissas (Legados)'!$C$20*1000," ")</f>
        <v>184677865.92394</v>
      </c>
      <c r="G26" s="49"/>
    </row>
    <row r="27" spans="1:9" x14ac:dyDescent="0.25">
      <c r="A27" s="2" t="s">
        <v>127</v>
      </c>
      <c r="B27" s="16" t="s">
        <v>388</v>
      </c>
      <c r="C27" s="231">
        <f>'Oferta (Legados)'!D6</f>
        <v>383</v>
      </c>
      <c r="D27" s="18"/>
      <c r="E27" s="60"/>
      <c r="F27" s="15">
        <f>IFERROR($C27*$H$19*'Premissas (Legados)'!$C$20*1000," ")</f>
        <v>5214658.1133049997</v>
      </c>
      <c r="G27" s="49"/>
    </row>
    <row r="28" spans="1:9" x14ac:dyDescent="0.25">
      <c r="A28" s="2" t="s">
        <v>128</v>
      </c>
      <c r="B28" s="16" t="s">
        <v>27</v>
      </c>
      <c r="C28" s="231">
        <f>'Oferta (Legados)'!D7</f>
        <v>0</v>
      </c>
      <c r="D28" s="18"/>
      <c r="E28" s="60"/>
      <c r="F28" s="15">
        <f>IFERROR($C28*$H$19*'Premissas (Legados)'!$C$20*1000," ")</f>
        <v>0</v>
      </c>
      <c r="G28" s="49"/>
    </row>
    <row r="29" spans="1:9" x14ac:dyDescent="0.25">
      <c r="A29" s="2" t="s">
        <v>183</v>
      </c>
      <c r="B29" s="16" t="s">
        <v>29</v>
      </c>
      <c r="C29" s="231">
        <f>'Oferta (Legados)'!D8</f>
        <v>0</v>
      </c>
      <c r="D29" s="18"/>
      <c r="E29" s="60"/>
      <c r="F29" s="15">
        <f>IFERROR($C29*$H$19*'Premissas (Legados)'!$C$20*1000," ")</f>
        <v>0</v>
      </c>
      <c r="G29" s="49"/>
    </row>
    <row r="30" spans="1:9" x14ac:dyDescent="0.25">
      <c r="A30" s="2" t="s">
        <v>129</v>
      </c>
      <c r="B30" s="16" t="s">
        <v>24</v>
      </c>
      <c r="C30" s="231">
        <f>'Oferta (Legados)'!D9</f>
        <v>24869</v>
      </c>
      <c r="D30" s="18"/>
      <c r="E30" s="60"/>
      <c r="F30" s="15">
        <f>IFERROR($C30*$H$19*'Premissas (Legados)'!$C$20*1000," ")</f>
        <v>338598779.68611497</v>
      </c>
      <c r="G30" s="49"/>
    </row>
    <row r="31" spans="1:9" x14ac:dyDescent="0.25">
      <c r="A31" s="2" t="s">
        <v>184</v>
      </c>
      <c r="B31" s="16" t="s">
        <v>194</v>
      </c>
      <c r="C31" s="231">
        <f>'Oferta (Legados)'!D10</f>
        <v>7525</v>
      </c>
      <c r="D31" s="18"/>
      <c r="E31" s="60"/>
      <c r="F31" s="15">
        <f>IFERROR($C31*$H$19*'Premissas (Legados)'!$C$20*1000," ")</f>
        <v>102455097.39587498</v>
      </c>
      <c r="G31" s="49"/>
    </row>
    <row r="32" spans="1:9" x14ac:dyDescent="0.25">
      <c r="A32" s="2" t="s">
        <v>130</v>
      </c>
      <c r="B32" s="16" t="s">
        <v>196</v>
      </c>
      <c r="C32" s="231">
        <f>'Oferta (Legados)'!D11</f>
        <v>200</v>
      </c>
      <c r="D32" s="18"/>
      <c r="E32" s="60"/>
      <c r="F32" s="15">
        <f>IFERROR($C32*$H$19*'Premissas (Legados)'!$C$20*1000," ")</f>
        <v>2723059.0670000003</v>
      </c>
      <c r="G32" s="49"/>
    </row>
    <row r="33" spans="1:8" x14ac:dyDescent="0.25">
      <c r="A33" s="2" t="s">
        <v>131</v>
      </c>
      <c r="B33" s="16" t="s">
        <v>195</v>
      </c>
      <c r="C33" s="231">
        <f>'Oferta (Legados)'!D12</f>
        <v>200</v>
      </c>
      <c r="D33" s="18"/>
      <c r="E33" s="60"/>
      <c r="F33" s="15">
        <f>IFERROR($C33*$H$19*'Premissas (Legados)'!$C$20*1000,"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2027</v>
      </c>
      <c r="F38" s="376">
        <v>2027</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(Legados)'!D3</f>
        <v>668</v>
      </c>
      <c r="F41" s="15">
        <f>IFERROR($C41*$H$19*'Premissas (Legados)'!$C$20*1000," ")</f>
        <v>9095017.2837799974</v>
      </c>
      <c r="G41" s="49"/>
    </row>
    <row r="42" spans="1:8" x14ac:dyDescent="0.25">
      <c r="A42" s="2" t="s">
        <v>38</v>
      </c>
      <c r="B42" s="16" t="s">
        <v>161</v>
      </c>
      <c r="C42" s="231">
        <f>'Demanda (Legados)'!D4</f>
        <v>1824</v>
      </c>
      <c r="F42" s="15">
        <f>IFERROR($C42*$H$19*'Premissas (Legados)'!$C$20*1000," ")</f>
        <v>24834298.691039998</v>
      </c>
      <c r="G42" s="49"/>
    </row>
    <row r="43" spans="1:8" x14ac:dyDescent="0.25">
      <c r="A43" s="2" t="s">
        <v>39</v>
      </c>
      <c r="B43" s="16" t="s">
        <v>162</v>
      </c>
      <c r="C43" s="231">
        <f>'Demanda (Legados)'!D5</f>
        <v>3002</v>
      </c>
      <c r="D43" s="18"/>
      <c r="F43" s="15">
        <f>IFERROR($C43*$H$19*'Premissas (Legados)'!$C$20*1000," ")</f>
        <v>40873116.59567</v>
      </c>
      <c r="G43" s="49"/>
    </row>
    <row r="44" spans="1:8" x14ac:dyDescent="0.25">
      <c r="A44" s="2" t="s">
        <v>40</v>
      </c>
      <c r="B44" s="16" t="s">
        <v>163</v>
      </c>
      <c r="C44" s="231">
        <f>'Demanda (Legados)'!D6</f>
        <v>351</v>
      </c>
      <c r="D44" s="18"/>
      <c r="F44" s="15">
        <f>IFERROR($C44*$H$19*'Premissas (Legados)'!$C$20*1000," ")</f>
        <v>4778968.6625849996</v>
      </c>
      <c r="G44" s="49"/>
    </row>
    <row r="45" spans="1:8" x14ac:dyDescent="0.25">
      <c r="A45" s="2" t="s">
        <v>41</v>
      </c>
      <c r="B45" s="16" t="s">
        <v>164</v>
      </c>
      <c r="C45" s="231">
        <f>'Demanda (Legados)'!D7</f>
        <v>17575</v>
      </c>
      <c r="D45" s="18"/>
      <c r="F45" s="15">
        <f>IFERROR($C45*$H$19*'Premissas (Legados)'!$C$20*1000," ")</f>
        <v>239288815.51262498</v>
      </c>
      <c r="G45" s="49"/>
    </row>
    <row r="46" spans="1:8" x14ac:dyDescent="0.25">
      <c r="A46" s="2" t="s">
        <v>42</v>
      </c>
      <c r="B46" s="16" t="s">
        <v>165</v>
      </c>
      <c r="C46" s="231">
        <f>'Demanda (Legados)'!D8</f>
        <v>11227</v>
      </c>
      <c r="D46" s="18"/>
      <c r="F46" s="15">
        <f>IFERROR($C46*$H$19*'Premissas (Legados)'!$C$20*1000," ")</f>
        <v>152858920.72604498</v>
      </c>
      <c r="G46" s="49"/>
    </row>
    <row r="47" spans="1:8" x14ac:dyDescent="0.25">
      <c r="A47" s="2" t="s">
        <v>43</v>
      </c>
      <c r="B47" s="16" t="s">
        <v>166</v>
      </c>
      <c r="C47" s="231">
        <f>'Demanda (Legados)'!D9</f>
        <v>2083</v>
      </c>
      <c r="D47" s="18"/>
      <c r="F47" s="15">
        <f>IFERROR($C47*$H$19*'Premissas (Legados)'!$C$20*1000," ")</f>
        <v>28360660.182804998</v>
      </c>
      <c r="G47" s="49"/>
    </row>
    <row r="48" spans="1:8" x14ac:dyDescent="0.25">
      <c r="A48" s="2" t="s">
        <v>44</v>
      </c>
      <c r="B48" s="16" t="s">
        <v>167</v>
      </c>
      <c r="C48" s="231">
        <f>'Demanda (Legados)'!D10</f>
        <v>340</v>
      </c>
      <c r="D48" s="18"/>
      <c r="F48" s="15">
        <f>IFERROR($C48*$H$19*'Premissas (Legados)'!$C$20*1000," ")</f>
        <v>4629200.4139</v>
      </c>
      <c r="G48" s="49"/>
    </row>
    <row r="49" spans="1:9" x14ac:dyDescent="0.25">
      <c r="A49" s="2" t="s">
        <v>45</v>
      </c>
      <c r="B49" s="16" t="s">
        <v>168</v>
      </c>
      <c r="C49" s="231">
        <f>'Demanda (Legados)'!D11</f>
        <v>2249</v>
      </c>
      <c r="D49" s="18"/>
      <c r="F49" s="15">
        <f>IFERROR($C49*$H$19*'Premissas (Legados)'!$C$20*1000," ")</f>
        <v>30620799.208414994</v>
      </c>
      <c r="G49" s="49"/>
    </row>
    <row r="50" spans="1:9" x14ac:dyDescent="0.25">
      <c r="A50" s="2" t="s">
        <v>46</v>
      </c>
      <c r="B50" s="16" t="s">
        <v>169</v>
      </c>
      <c r="C50" s="231">
        <f>'Demanda (Legados)'!D12</f>
        <v>1161</v>
      </c>
      <c r="D50" s="18"/>
      <c r="F50" s="15">
        <f>IFERROR($C50*$H$19*'Premissas (Legados)'!$C$20*1000," ")</f>
        <v>15807357.883934999</v>
      </c>
      <c r="G50" s="49"/>
    </row>
    <row r="51" spans="1:9" x14ac:dyDescent="0.25">
      <c r="A51" s="2" t="s">
        <v>47</v>
      </c>
      <c r="B51" s="16" t="s">
        <v>170</v>
      </c>
      <c r="C51" s="231">
        <f>'Demanda (Legados)'!D13</f>
        <v>3064</v>
      </c>
      <c r="D51" s="18"/>
      <c r="F51" s="15">
        <f>IFERROR($C51*$H$19*'Premissas (Legados)'!$C$20*1000," ")</f>
        <v>41717264.906439997</v>
      </c>
      <c r="G51" s="49"/>
    </row>
    <row r="52" spans="1:9" x14ac:dyDescent="0.25">
      <c r="A52" s="2" t="s">
        <v>48</v>
      </c>
      <c r="B52" s="16" t="s">
        <v>171</v>
      </c>
      <c r="C52" s="231">
        <f>'Demanda (Legados)'!D14</f>
        <v>9481</v>
      </c>
      <c r="D52" s="18"/>
      <c r="F52" s="15">
        <f>IFERROR($C52*$H$19*'Premissas (Legados)'!$C$20*1000," ")</f>
        <v>129086615.071135</v>
      </c>
      <c r="G52" s="49"/>
    </row>
    <row r="53" spans="1:9" x14ac:dyDescent="0.25">
      <c r="A53" s="2" t="s">
        <v>49</v>
      </c>
      <c r="B53" s="16" t="s">
        <v>172</v>
      </c>
      <c r="C53" s="231">
        <f>'Demanda (Legados)'!D15</f>
        <v>3920</v>
      </c>
      <c r="D53" s="18"/>
      <c r="F53" s="15">
        <f>IFERROR($C53*$H$19*'Premissas (Legados)'!$C$20*1000," ")</f>
        <v>53371957.713199995</v>
      </c>
      <c r="G53" s="49"/>
    </row>
    <row r="54" spans="1:9" x14ac:dyDescent="0.25">
      <c r="A54" s="2" t="s">
        <v>50</v>
      </c>
      <c r="B54" s="16" t="s">
        <v>199</v>
      </c>
      <c r="C54" s="231">
        <f>'Demanda (Legados)'!D16</f>
        <v>0</v>
      </c>
      <c r="D54" s="18"/>
      <c r="F54" s="15">
        <f>IFERROR($C54*$H$19*'Premissas (Legados)'!$C$20*1000," ")</f>
        <v>0</v>
      </c>
      <c r="G54" s="49"/>
    </row>
    <row r="55" spans="1:9" x14ac:dyDescent="0.25">
      <c r="A55" s="2" t="s">
        <v>51</v>
      </c>
      <c r="B55" s="16" t="s">
        <v>198</v>
      </c>
      <c r="C55" s="231">
        <f>'Demanda (Legados)'!D17</f>
        <v>9703</v>
      </c>
      <c r="D55" s="18"/>
      <c r="F55" s="15">
        <f>IFERROR($C55*$H$19*'Premissas (Legados)'!$C$20*1000," ")</f>
        <v>132109210.63550498</v>
      </c>
      <c r="G55" s="49"/>
    </row>
    <row r="56" spans="1:9" x14ac:dyDescent="0.25">
      <c r="A56" s="2" t="s">
        <v>52</v>
      </c>
      <c r="B56" s="16" t="s">
        <v>197</v>
      </c>
      <c r="C56" s="231">
        <f>'Demanda (Legados)'!D18</f>
        <v>200</v>
      </c>
      <c r="D56" s="18"/>
      <c r="F56" s="15">
        <f>IFERROR($C56*$H$19*'Premissas (Legados)'!$C$20*1000,"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723.58803005018467</v>
      </c>
      <c r="C193" s="19"/>
      <c r="D193" t="s">
        <v>311</v>
      </c>
      <c r="E193" s="5">
        <f t="shared" ref="E193:E208" ca="1" si="7">$E162*$D$8</f>
        <v>18.069059262957595</v>
      </c>
    </row>
    <row r="194" spans="1:5" ht="18" x14ac:dyDescent="0.35">
      <c r="A194" t="s">
        <v>312</v>
      </c>
      <c r="B194" s="6">
        <f t="shared" ca="1" si="6"/>
        <v>698.64717587785708</v>
      </c>
      <c r="D194" t="s">
        <v>313</v>
      </c>
      <c r="E194" s="5">
        <f t="shared" ca="1" si="7"/>
        <v>62.359850477585908</v>
      </c>
    </row>
    <row r="195" spans="1:5" ht="18" x14ac:dyDescent="0.35">
      <c r="A195" t="s">
        <v>314</v>
      </c>
      <c r="B195" s="6">
        <f t="shared" ca="1" si="6"/>
        <v>545.80045079532533</v>
      </c>
      <c r="D195" t="s">
        <v>315</v>
      </c>
      <c r="E195" s="5">
        <f t="shared" ca="1" si="7"/>
        <v>128.4769141375437</v>
      </c>
    </row>
    <row r="196" spans="1:5" ht="18" x14ac:dyDescent="0.35">
      <c r="A196" t="s">
        <v>316</v>
      </c>
      <c r="B196" s="6">
        <f t="shared" ca="1" si="6"/>
        <v>21.5501771239575</v>
      </c>
      <c r="D196" t="s">
        <v>317</v>
      </c>
      <c r="E196" s="5">
        <f t="shared" ca="1" si="7"/>
        <v>15.40953267586595</v>
      </c>
    </row>
    <row r="197" spans="1:5" ht="18" x14ac:dyDescent="0.35">
      <c r="A197" t="s">
        <v>318</v>
      </c>
      <c r="B197" s="6">
        <f t="shared" ca="1" si="6"/>
        <v>0</v>
      </c>
      <c r="D197" t="s">
        <v>319</v>
      </c>
      <c r="E197" s="5">
        <f t="shared" ca="1" si="7"/>
        <v>248.57396960269432</v>
      </c>
    </row>
    <row r="198" spans="1:5" ht="18" x14ac:dyDescent="0.35">
      <c r="A198" t="s">
        <v>320</v>
      </c>
      <c r="B198" s="6">
        <f t="shared" ca="1" si="6"/>
        <v>0</v>
      </c>
      <c r="D198" t="s">
        <v>321</v>
      </c>
      <c r="E198" s="5">
        <f t="shared" ca="1" si="7"/>
        <v>159.86798257523807</v>
      </c>
    </row>
    <row r="199" spans="1:5" ht="18" x14ac:dyDescent="0.35">
      <c r="A199" t="s">
        <v>322</v>
      </c>
      <c r="B199" s="6">
        <f t="shared" ca="1" si="6"/>
        <v>1375.7122442361513</v>
      </c>
      <c r="D199" t="s">
        <v>323</v>
      </c>
      <c r="E199" s="5">
        <f t="shared" ca="1" si="7"/>
        <v>32.87326427382942</v>
      </c>
    </row>
    <row r="200" spans="1:5" ht="18" x14ac:dyDescent="0.35">
      <c r="A200" t="s">
        <v>324</v>
      </c>
      <c r="B200" s="6">
        <f t="shared" ca="1" si="6"/>
        <v>311.95916560800282</v>
      </c>
      <c r="D200" t="s">
        <v>325</v>
      </c>
      <c r="E200" s="5">
        <f t="shared" ca="1" si="7"/>
        <v>6.0219034404355485</v>
      </c>
    </row>
    <row r="201" spans="1:5" ht="18" x14ac:dyDescent="0.35">
      <c r="A201" t="s">
        <v>326</v>
      </c>
      <c r="B201" s="6">
        <f t="shared" ca="1" si="6"/>
        <v>11.253356200500004</v>
      </c>
      <c r="D201" t="s">
        <v>327</v>
      </c>
      <c r="E201" s="5">
        <f t="shared" ca="1" si="7"/>
        <v>32.935839862873422</v>
      </c>
    </row>
    <row r="202" spans="1:5" ht="18" x14ac:dyDescent="0.35">
      <c r="A202" t="s">
        <v>328</v>
      </c>
      <c r="B202" s="6">
        <f t="shared" ca="1" si="6"/>
        <v>11.063671593036725</v>
      </c>
      <c r="D202" t="s">
        <v>329</v>
      </c>
      <c r="E202" s="5">
        <f t="shared" ca="1" si="7"/>
        <v>27.553835306611617</v>
      </c>
    </row>
    <row r="203" spans="1:5" ht="18" x14ac:dyDescent="0.35">
      <c r="B203" s="6">
        <f ca="1">SUM(B193:B202)</f>
        <v>3699.5742714850157</v>
      </c>
      <c r="D203" t="s">
        <v>330</v>
      </c>
      <c r="E203" s="5">
        <f t="shared" ca="1" si="7"/>
        <v>70.301114886715808</v>
      </c>
    </row>
    <row r="204" spans="1:5" ht="18" x14ac:dyDescent="0.35">
      <c r="B204" s="6"/>
      <c r="D204" t="s">
        <v>331</v>
      </c>
      <c r="E204" s="5">
        <f t="shared" ca="1" si="7"/>
        <v>290.31492795932826</v>
      </c>
    </row>
    <row r="205" spans="1:5" ht="18" x14ac:dyDescent="0.35">
      <c r="B205" s="6"/>
      <c r="D205" t="s">
        <v>332</v>
      </c>
      <c r="E205" s="5">
        <f t="shared" ca="1" si="7"/>
        <v>130.25147485300673</v>
      </c>
    </row>
    <row r="206" spans="1:5" ht="18" x14ac:dyDescent="0.35">
      <c r="B206" s="6"/>
      <c r="D206" t="s">
        <v>333</v>
      </c>
      <c r="E206" s="5">
        <f t="shared" ca="1" si="7"/>
        <v>0</v>
      </c>
    </row>
    <row r="207" spans="1:5" ht="18" x14ac:dyDescent="0.35">
      <c r="B207" s="6"/>
      <c r="D207" t="s">
        <v>334</v>
      </c>
      <c r="E207" s="5">
        <f t="shared" ca="1" si="7"/>
        <v>359.1317289576362</v>
      </c>
    </row>
    <row r="208" spans="1:5" ht="18" x14ac:dyDescent="0.35">
      <c r="B208" s="6"/>
      <c r="D208" t="s">
        <v>335</v>
      </c>
      <c r="E208" s="5">
        <f t="shared" ca="1" si="7"/>
        <v>3.390432364112824</v>
      </c>
    </row>
    <row r="209" spans="1:5" x14ac:dyDescent="0.25">
      <c r="B209" s="6"/>
      <c r="E209" s="5">
        <f ca="1">SUM(E193:E208)</f>
        <v>1585.5318306364352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3.5534388909540522</v>
      </c>
      <c r="D226" s="77"/>
      <c r="E226" s="7"/>
      <c r="F226" s="7"/>
      <c r="G226" s="78"/>
      <c r="H226" s="20" t="s">
        <v>343</v>
      </c>
      <c r="I226" s="20" t="str">
        <f t="shared" ref="I226:I241" si="9">B41</f>
        <v>NTS MG 1</v>
      </c>
      <c r="J226" s="11">
        <f t="shared" ref="J226:J241" ca="1" si="10">IFERROR($E193/$F41*1000000," ")</f>
        <v>1.9866987273550158</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2.955418875265293</v>
      </c>
      <c r="D228" s="77"/>
      <c r="E228" s="7"/>
      <c r="F228" s="7"/>
      <c r="G228" s="78"/>
      <c r="H228" s="20" t="s">
        <v>347</v>
      </c>
      <c r="I228" s="20" t="str">
        <f t="shared" si="9"/>
        <v>NTS MG 3</v>
      </c>
      <c r="J228" s="11">
        <f t="shared" ca="1" si="10"/>
        <v>3.1433109299806672</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3.2244473156956746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1.0458531423347859</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1.1591149169990198</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1.3008517458768276</v>
      </c>
      <c r="L233" s="12"/>
      <c r="M233" s="79"/>
      <c r="Q233" s="7"/>
      <c r="R233" s="80"/>
      <c r="S233" s="81"/>
      <c r="T233" s="81"/>
      <c r="U233" s="81"/>
    </row>
    <row r="234" spans="1:22" ht="18" x14ac:dyDescent="0.25">
      <c r="A234" s="20" t="s">
        <v>358</v>
      </c>
      <c r="B234" s="20" t="str">
        <f t="shared" si="11"/>
        <v>PR-REPLAN (INTERCONEXÃO)</v>
      </c>
      <c r="C234" s="11">
        <f t="shared" ca="1" si="8"/>
        <v>4.1326155340794166</v>
      </c>
      <c r="D234" s="72"/>
      <c r="E234" s="7"/>
      <c r="F234" s="7"/>
      <c r="G234" s="72"/>
      <c r="H234" s="20" t="s">
        <v>359</v>
      </c>
      <c r="I234" s="20" t="str">
        <f t="shared" si="9"/>
        <v>NTS RJ 5</v>
      </c>
      <c r="J234" s="11">
        <f t="shared" ca="1" si="10"/>
        <v>1.0756035346661437</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1.7431018838774159</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1.6851803454608372</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2.2489932654857059</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2.7184458012431563</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1.2450821964167198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3.3259718961528582</v>
      </c>
      <c r="E245" s="11">
        <f ca="1">IFERROR(C245+D245," ")</f>
        <v>3.3259718961528582</v>
      </c>
      <c r="G245" s="79"/>
      <c r="H245" s="20" t="s">
        <v>343</v>
      </c>
      <c r="I245" s="20" t="str">
        <f t="shared" ref="I245:I260" si="15">I226</f>
        <v>NTS MG 1</v>
      </c>
      <c r="J245" s="11">
        <f t="shared" ref="J245:J260" ca="1" si="16">IF(F41=0," ",J226*(1-$C$11))</f>
        <v>0</v>
      </c>
      <c r="K245" s="11">
        <f t="shared" ref="K245:K260" si="17">$F$10*$C$11</f>
        <v>1.7420454463858308</v>
      </c>
      <c r="L245" s="11">
        <f ca="1">IFERROR(J245+K245," ")</f>
        <v>1.7420454463858308</v>
      </c>
    </row>
    <row r="246" spans="1:22" ht="18" x14ac:dyDescent="0.25">
      <c r="A246" s="20" t="s">
        <v>344</v>
      </c>
      <c r="B246" s="20" t="str">
        <f t="shared" si="12"/>
        <v>PR-GNLBGB</v>
      </c>
      <c r="C246" s="11">
        <f t="shared" ca="1" si="13"/>
        <v>0</v>
      </c>
      <c r="D246" s="11">
        <f t="shared" si="14"/>
        <v>3.3259718961528582</v>
      </c>
      <c r="E246" s="11">
        <f t="shared" ref="E246:E254" ca="1" si="18">IFERROR(C246+D246," ")</f>
        <v>3.3259718961528582</v>
      </c>
      <c r="G246" s="79"/>
      <c r="H246" s="20" t="s">
        <v>345</v>
      </c>
      <c r="I246" s="20" t="str">
        <f t="shared" si="15"/>
        <v>NTS MG 2</v>
      </c>
      <c r="J246" s="11">
        <f t="shared" ca="1" si="16"/>
        <v>0</v>
      </c>
      <c r="K246" s="11">
        <f t="shared" si="17"/>
        <v>1.7420454463858308</v>
      </c>
      <c r="L246" s="11">
        <f t="shared" ref="L246:L260" ca="1" si="19">IFERROR(J246+K246," ")</f>
        <v>1.7420454463858308</v>
      </c>
    </row>
    <row r="247" spans="1:22" ht="18" x14ac:dyDescent="0.25">
      <c r="A247" s="20" t="s">
        <v>346</v>
      </c>
      <c r="B247" s="20" t="str">
        <f t="shared" si="12"/>
        <v>PR-ITABORAÍ</v>
      </c>
      <c r="C247" s="11">
        <f t="shared" ca="1" si="13"/>
        <v>0</v>
      </c>
      <c r="D247" s="11">
        <f t="shared" si="14"/>
        <v>3.3259718961528582</v>
      </c>
      <c r="E247" s="11">
        <f t="shared" ca="1" si="18"/>
        <v>3.3259718961528582</v>
      </c>
      <c r="G247" s="79"/>
      <c r="H247" s="20" t="s">
        <v>347</v>
      </c>
      <c r="I247" s="20" t="str">
        <f t="shared" si="15"/>
        <v>NTS MG 3</v>
      </c>
      <c r="J247" s="11">
        <f t="shared" ca="1" si="16"/>
        <v>0</v>
      </c>
      <c r="K247" s="11">
        <f t="shared" si="17"/>
        <v>1.7420454463858308</v>
      </c>
      <c r="L247" s="11">
        <f t="shared" ca="1" si="19"/>
        <v>1.7420454463858308</v>
      </c>
    </row>
    <row r="248" spans="1:22" ht="18" x14ac:dyDescent="0.25">
      <c r="A248" s="20" t="s">
        <v>348</v>
      </c>
      <c r="B248" s="20" t="str">
        <f t="shared" si="12"/>
        <v>PR-GASPAJ (INTERCONEXÃO)</v>
      </c>
      <c r="C248" s="11">
        <f t="shared" ca="1" si="13"/>
        <v>0</v>
      </c>
      <c r="D248" s="11">
        <f t="shared" si="14"/>
        <v>3.3259718961528582</v>
      </c>
      <c r="E248" s="11">
        <f t="shared" ca="1" si="18"/>
        <v>3.3259718961528582</v>
      </c>
      <c r="G248" s="79"/>
      <c r="H248" s="20" t="s">
        <v>349</v>
      </c>
      <c r="I248" s="20" t="str">
        <f t="shared" si="15"/>
        <v>NTS MG 4</v>
      </c>
      <c r="J248" s="11">
        <f t="shared" ca="1" si="16"/>
        <v>0</v>
      </c>
      <c r="K248" s="11">
        <f t="shared" si="17"/>
        <v>1.7420454463858308</v>
      </c>
      <c r="L248" s="11">
        <f t="shared" ca="1" si="19"/>
        <v>1.7420454463858308</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1.7420454463858308</v>
      </c>
      <c r="L249" s="11">
        <f t="shared" ca="1" si="19"/>
        <v>1.7420454463858308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1.7420454463858308</v>
      </c>
      <c r="L250" s="11">
        <f t="shared" ca="1" si="19"/>
        <v>1.7420454463858308</v>
      </c>
    </row>
    <row r="251" spans="1:22" ht="18" x14ac:dyDescent="0.25">
      <c r="A251" s="20" t="s">
        <v>354</v>
      </c>
      <c r="B251" s="20" t="str">
        <f t="shared" si="12"/>
        <v>PR-TECAB</v>
      </c>
      <c r="C251" s="11">
        <f t="shared" ca="1" si="13"/>
        <v>0</v>
      </c>
      <c r="D251" s="11">
        <f t="shared" si="14"/>
        <v>3.3259718961528582</v>
      </c>
      <c r="E251" s="11">
        <f t="shared" ca="1" si="18"/>
        <v>3.3259718961528582</v>
      </c>
      <c r="G251" s="79"/>
      <c r="H251" s="20" t="s">
        <v>355</v>
      </c>
      <c r="I251" s="20" t="str">
        <f t="shared" si="15"/>
        <v>NTS RJ 3</v>
      </c>
      <c r="J251" s="11">
        <f t="shared" ca="1" si="16"/>
        <v>0</v>
      </c>
      <c r="K251" s="11">
        <f t="shared" si="17"/>
        <v>1.7420454463858308</v>
      </c>
      <c r="L251" s="11">
        <f t="shared" ca="1" si="19"/>
        <v>1.7420454463858308</v>
      </c>
    </row>
    <row r="252" spans="1:22" ht="18" x14ac:dyDescent="0.25">
      <c r="A252" s="20" t="s">
        <v>356</v>
      </c>
      <c r="B252" s="20" t="str">
        <f t="shared" si="12"/>
        <v>PR-GUARAREMA (INTERCONEXÃO)</v>
      </c>
      <c r="C252" s="11">
        <f t="shared" ca="1" si="13"/>
        <v>0</v>
      </c>
      <c r="D252" s="11">
        <f t="shared" si="14"/>
        <v>3.3259718961528582</v>
      </c>
      <c r="E252" s="11">
        <f t="shared" ca="1" si="18"/>
        <v>3.3259718961528582</v>
      </c>
      <c r="G252" s="79"/>
      <c r="H252" s="20" t="s">
        <v>357</v>
      </c>
      <c r="I252" s="20" t="str">
        <f t="shared" si="15"/>
        <v>NTS RJ 4</v>
      </c>
      <c r="J252" s="11">
        <f t="shared" ca="1" si="16"/>
        <v>0</v>
      </c>
      <c r="K252" s="11">
        <f t="shared" si="17"/>
        <v>1.7420454463858308</v>
      </c>
      <c r="L252" s="11">
        <f t="shared" ca="1" si="19"/>
        <v>1.7420454463858308</v>
      </c>
    </row>
    <row r="253" spans="1:22" ht="18" x14ac:dyDescent="0.25">
      <c r="A253" s="20" t="s">
        <v>358</v>
      </c>
      <c r="B253" s="20" t="str">
        <f t="shared" si="12"/>
        <v>PR-REPLAN (INTERCONEXÃO)</v>
      </c>
      <c r="C253" s="11">
        <f t="shared" ca="1" si="13"/>
        <v>0</v>
      </c>
      <c r="D253" s="11">
        <f t="shared" si="14"/>
        <v>3.3259718961528582</v>
      </c>
      <c r="E253" s="11">
        <f t="shared" ca="1" si="18"/>
        <v>3.3259718961528582</v>
      </c>
      <c r="G253" s="79"/>
      <c r="H253" s="20" t="s">
        <v>359</v>
      </c>
      <c r="I253" s="20" t="str">
        <f t="shared" si="15"/>
        <v>NTS RJ 5</v>
      </c>
      <c r="J253" s="11">
        <f t="shared" ca="1" si="16"/>
        <v>0</v>
      </c>
      <c r="K253" s="11">
        <f t="shared" si="17"/>
        <v>1.7420454463858308</v>
      </c>
      <c r="L253" s="11">
        <f t="shared" ca="1" si="19"/>
        <v>1.7420454463858308</v>
      </c>
    </row>
    <row r="254" spans="1:22" ht="18" x14ac:dyDescent="0.25">
      <c r="A254" s="20" t="s">
        <v>360</v>
      </c>
      <c r="B254" s="20" t="str">
        <f t="shared" si="12"/>
        <v>PR-TECAB (INTERCONEXÃO)</v>
      </c>
      <c r="C254" s="11">
        <f t="shared" ca="1" si="13"/>
        <v>0</v>
      </c>
      <c r="D254" s="11">
        <f t="shared" si="14"/>
        <v>3.3259718961528582</v>
      </c>
      <c r="E254" s="11">
        <f t="shared" ca="1" si="18"/>
        <v>3.3259718961528582</v>
      </c>
      <c r="G254" s="79"/>
      <c r="H254" s="20" t="s">
        <v>361</v>
      </c>
      <c r="I254" s="20" t="str">
        <f t="shared" si="15"/>
        <v>NTS SP 1</v>
      </c>
      <c r="J254" s="11">
        <f t="shared" ca="1" si="16"/>
        <v>0</v>
      </c>
      <c r="K254" s="11">
        <f t="shared" si="17"/>
        <v>1.7420454463858308</v>
      </c>
      <c r="L254" s="11">
        <f t="shared" ca="1" si="19"/>
        <v>1.7420454463858308</v>
      </c>
    </row>
    <row r="255" spans="1:22" ht="18" x14ac:dyDescent="0.25">
      <c r="H255" s="20" t="s">
        <v>362</v>
      </c>
      <c r="I255" s="20" t="str">
        <f t="shared" si="15"/>
        <v>NTS SP 2</v>
      </c>
      <c r="J255" s="11">
        <f t="shared" ca="1" si="16"/>
        <v>0</v>
      </c>
      <c r="K255" s="11">
        <f t="shared" si="17"/>
        <v>1.7420454463858308</v>
      </c>
      <c r="L255" s="11">
        <f t="shared" ca="1" si="19"/>
        <v>1.7420454463858308</v>
      </c>
    </row>
    <row r="256" spans="1:22" ht="18" x14ac:dyDescent="0.25">
      <c r="H256" s="20" t="s">
        <v>363</v>
      </c>
      <c r="I256" s="20" t="str">
        <f t="shared" si="15"/>
        <v>NTS SP 3</v>
      </c>
      <c r="J256" s="11">
        <f t="shared" ca="1" si="16"/>
        <v>0</v>
      </c>
      <c r="K256" s="11">
        <f t="shared" si="17"/>
        <v>1.7420454463858308</v>
      </c>
      <c r="L256" s="11">
        <f t="shared" ca="1" si="19"/>
        <v>1.7420454463858308</v>
      </c>
    </row>
    <row r="257" spans="1:13" ht="18" x14ac:dyDescent="0.25">
      <c r="H257" s="20" t="s">
        <v>364</v>
      </c>
      <c r="I257" s="20" t="str">
        <f t="shared" si="15"/>
        <v>NTS SP 4</v>
      </c>
      <c r="J257" s="11">
        <f t="shared" ca="1" si="16"/>
        <v>0</v>
      </c>
      <c r="K257" s="11">
        <f t="shared" si="17"/>
        <v>1.7420454463858308</v>
      </c>
      <c r="L257" s="11">
        <f t="shared" ca="1" si="19"/>
        <v>1.7420454463858308</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1.7420454463858308</v>
      </c>
      <c r="L259" s="11">
        <f t="shared" ca="1" si="19"/>
        <v>1.7420454463858308</v>
      </c>
    </row>
    <row r="260" spans="1:13" ht="18" x14ac:dyDescent="0.25">
      <c r="H260" s="20" t="s">
        <v>367</v>
      </c>
      <c r="I260" s="20" t="str">
        <f t="shared" si="15"/>
        <v>PE-TECAB (INTERCONEXÃO)</v>
      </c>
      <c r="J260" s="11">
        <f t="shared" ca="1" si="16"/>
        <v>0</v>
      </c>
      <c r="K260" s="11">
        <f t="shared" si="17"/>
        <v>1.7420454463858308</v>
      </c>
      <c r="L260" s="11">
        <f t="shared" ca="1" si="19"/>
        <v>1.7420454463858308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(Legados)'!D11</f>
        <v>200</v>
      </c>
      <c r="D267" s="207">
        <f ca="1">E253</f>
        <v>3.3259718961528582</v>
      </c>
      <c r="E267" s="210">
        <f ca="1">D267*(1-$C$262)</f>
        <v>0.33259718961528573</v>
      </c>
      <c r="F267" s="208">
        <f ca="1">C267*E267*'Premissas (Legados)'!$C$54*'Premissas (Legados)'!$F$20*1000</f>
        <v>905681.7928406219</v>
      </c>
      <c r="L267" s="84"/>
    </row>
    <row r="268" spans="1:13" ht="18.75" x14ac:dyDescent="0.3">
      <c r="B268" s="189" t="s">
        <v>376</v>
      </c>
      <c r="C268" s="213">
        <f>'Oferta (Legados)'!D10</f>
        <v>7525</v>
      </c>
      <c r="D268" s="207">
        <f ca="1">E252</f>
        <v>3.3259718961528582</v>
      </c>
      <c r="E268" s="210">
        <f t="shared" ref="E268:E270" ca="1" si="20">D268*(1-$C$262)</f>
        <v>0.33259718961528573</v>
      </c>
      <c r="F268" s="208">
        <f ca="1">C268*E268*'Premissas (Legados)'!$C$54*'Premissas (Legados)'!$F$20*1000</f>
        <v>34076277.455628395</v>
      </c>
      <c r="G268" s="85"/>
      <c r="K268" s="85"/>
      <c r="L268" s="84"/>
    </row>
    <row r="269" spans="1:13" ht="18.75" x14ac:dyDescent="0.3">
      <c r="B269" s="190" t="s">
        <v>377</v>
      </c>
      <c r="C269" s="213">
        <f>'Oferta (Legados)'!D12</f>
        <v>200</v>
      </c>
      <c r="D269" s="207">
        <f ca="1">E254</f>
        <v>3.3259718961528582</v>
      </c>
      <c r="E269" s="210">
        <f t="shared" ca="1" si="20"/>
        <v>0.33259718961528573</v>
      </c>
      <c r="F269" s="208">
        <f ca="1">C269*E269*'Premissas (Legados)'!$C$54*'Premissas (Legados)'!$F$20*1000</f>
        <v>905681.7928406219</v>
      </c>
      <c r="K269" s="85"/>
      <c r="L269" s="84"/>
    </row>
    <row r="270" spans="1:13" ht="18.75" x14ac:dyDescent="0.3">
      <c r="B270" s="190" t="s">
        <v>185</v>
      </c>
      <c r="C270" s="213">
        <f>'Oferta (Legados)'!D6</f>
        <v>383</v>
      </c>
      <c r="D270" s="207">
        <f ca="1">E248</f>
        <v>3.3259718961528582</v>
      </c>
      <c r="E270" s="210">
        <f t="shared" ca="1" si="20"/>
        <v>0.33259718961528573</v>
      </c>
      <c r="F270" s="208">
        <f ca="1">C270*E270*'Premissas (Legados)'!$C$54*'Premissas (Legados)'!$F$20*1000</f>
        <v>1734380.6332897912</v>
      </c>
      <c r="K270" s="85"/>
      <c r="L270" s="84"/>
    </row>
    <row r="271" spans="1:13" ht="18.75" x14ac:dyDescent="0.3">
      <c r="B271" s="188" t="s">
        <v>378</v>
      </c>
      <c r="C271" s="213">
        <f>'Demanda (Legados)'!D17</f>
        <v>9703</v>
      </c>
      <c r="D271" s="207">
        <f ca="1">L259</f>
        <v>1.7420454463858308</v>
      </c>
      <c r="E271" s="210">
        <f ca="1">D271*(1-$C$262)</f>
        <v>0.17420454463858304</v>
      </c>
      <c r="F271" s="208">
        <f ca="1">C271*E271*'Premissas (Legados)'!$C$54*'Premissas (Legados)'!$F$20*1000</f>
        <v>23014024.881320797</v>
      </c>
      <c r="K271" s="85"/>
      <c r="L271" s="84"/>
    </row>
    <row r="272" spans="1:13" ht="18.75" x14ac:dyDescent="0.3">
      <c r="B272" s="190" t="s">
        <v>379</v>
      </c>
      <c r="C272" s="213">
        <f>'Demanda (Legados)'!D18</f>
        <v>200</v>
      </c>
      <c r="D272" s="207">
        <f ca="1">L260</f>
        <v>1.7420454463858308</v>
      </c>
      <c r="E272" s="210">
        <f ca="1">D272*(1-$C$262)</f>
        <v>0.17420454463858304</v>
      </c>
      <c r="F272" s="208">
        <f ca="1">C272*E272*'Premissas (Legados)'!$C$54*'Premissas (Legados)'!$F$20*1000</f>
        <v>474369.26479069976</v>
      </c>
      <c r="K272" s="85"/>
      <c r="L272" s="84"/>
    </row>
    <row r="273" spans="2:13" ht="19.5" thickBot="1" x14ac:dyDescent="0.35">
      <c r="B273" s="190"/>
      <c r="C273" s="190"/>
      <c r="D273" s="190"/>
      <c r="E273" s="190"/>
      <c r="F273" s="209">
        <f ca="1">SUM(F267:F272)</f>
        <v>61110415.820710927</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71F0-3CE6-454A-9D91-B4D467D255C3}">
  <sheetPr codeName="Planilha18">
    <tabColor theme="1" tint="0.499984740745262"/>
  </sheetPr>
  <dimension ref="A2:AA303"/>
  <sheetViews>
    <sheetView showGridLines="0" topLeftCell="A256" zoomScale="70" zoomScaleNormal="70" workbookViewId="0">
      <selection activeCell="F22" sqref="F22:F58"/>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2027</v>
      </c>
    </row>
    <row r="4" spans="1:9" ht="18.75" thickBot="1" x14ac:dyDescent="0.3">
      <c r="A4" s="162"/>
      <c r="B4" s="163" t="s">
        <v>102</v>
      </c>
      <c r="C4" s="164" t="s">
        <v>200</v>
      </c>
      <c r="D4" s="165">
        <f>('Premissas (Legados)'!E37-'Premissas (Legados)'!E36)/1000</f>
        <v>5285.1061021214509</v>
      </c>
      <c r="E4" s="166" t="s">
        <v>103</v>
      </c>
      <c r="F4" s="162"/>
      <c r="G4" s="162"/>
      <c r="H4" s="177"/>
      <c r="I4" s="177"/>
    </row>
    <row r="5" spans="1:9" ht="15.75" thickBot="1" x14ac:dyDescent="0.3">
      <c r="A5" s="153"/>
      <c r="B5" s="197" t="s">
        <v>385</v>
      </c>
      <c r="C5" s="150"/>
      <c r="D5" s="151">
        <f ca="1">D6+D9</f>
        <v>5223.9956863007392</v>
      </c>
      <c r="E5" s="166" t="s">
        <v>103</v>
      </c>
      <c r="F5" s="215" t="s">
        <v>390</v>
      </c>
      <c r="G5" s="153"/>
      <c r="H5" s="177"/>
      <c r="I5" s="177"/>
    </row>
    <row r="6" spans="1:9" ht="18" x14ac:dyDescent="0.25">
      <c r="A6" s="148">
        <f>HLOOKUP($G$3,'Premissas (Legados)'!$B$5:$F$13,9,FALSE)</f>
        <v>0.7</v>
      </c>
      <c r="B6" s="149" t="s">
        <v>104</v>
      </c>
      <c r="C6" s="150" t="s">
        <v>201</v>
      </c>
      <c r="D6" s="151">
        <f ca="1">($A$6*$D$4)-(SUM($F$268:$F$271)/10^6)</f>
        <v>3661.9522498104157</v>
      </c>
      <c r="E6" s="152" t="s">
        <v>105</v>
      </c>
      <c r="F6" s="215" t="s">
        <v>383</v>
      </c>
      <c r="G6" s="153"/>
      <c r="H6" s="177"/>
    </row>
    <row r="7" spans="1:9" ht="30" x14ac:dyDescent="0.25">
      <c r="A7" s="48"/>
      <c r="B7" s="154" t="s">
        <v>106</v>
      </c>
      <c r="C7" s="155" t="s">
        <v>202</v>
      </c>
      <c r="D7" s="156">
        <f>$C$35*'Premissas (Legados)'!$C$20</f>
        <v>26786985</v>
      </c>
      <c r="E7" s="154" t="s">
        <v>107</v>
      </c>
      <c r="F7" s="172">
        <f>F35</f>
        <v>999212909.34031487</v>
      </c>
      <c r="G7" s="40" t="s">
        <v>108</v>
      </c>
    </row>
    <row r="8" spans="1:9" ht="18.75" thickBot="1" x14ac:dyDescent="0.3">
      <c r="A8" s="157"/>
      <c r="B8" s="158" t="s">
        <v>109</v>
      </c>
      <c r="C8" s="159" t="s">
        <v>203</v>
      </c>
      <c r="D8" s="160">
        <f ca="1">$D$6/$D$7*1000</f>
        <v>0.13670639864137066</v>
      </c>
      <c r="E8" s="161" t="s">
        <v>110</v>
      </c>
      <c r="F8" s="174">
        <f ca="1">$D$6/$F$7*1000000</f>
        <v>3.66483680863176</v>
      </c>
      <c r="G8" s="170" t="s">
        <v>15</v>
      </c>
      <c r="I8" s="177"/>
    </row>
    <row r="9" spans="1:9" ht="18" x14ac:dyDescent="0.25">
      <c r="A9" s="148">
        <f>1-A6</f>
        <v>0.30000000000000004</v>
      </c>
      <c r="B9" s="149" t="s">
        <v>111</v>
      </c>
      <c r="C9" s="150" t="s">
        <v>204</v>
      </c>
      <c r="D9" s="151">
        <f ca="1">($A$9*$D$4)-(SUM($F$272:$F$273)/10^6)</f>
        <v>1562.043436490324</v>
      </c>
      <c r="E9" s="152" t="s">
        <v>105</v>
      </c>
      <c r="F9" s="215" t="s">
        <v>384</v>
      </c>
      <c r="G9" s="171"/>
    </row>
    <row r="10" spans="1:9" ht="30" x14ac:dyDescent="0.25">
      <c r="B10" s="154" t="s">
        <v>112</v>
      </c>
      <c r="C10" s="155" t="s">
        <v>205</v>
      </c>
      <c r="D10" s="156">
        <f>$C$58*'Premissas (Legados)'!$C$20</f>
        <v>20784925</v>
      </c>
      <c r="E10" s="154" t="s">
        <v>107</v>
      </c>
      <c r="F10" s="172">
        <f>F58</f>
        <v>775322992.85157502</v>
      </c>
      <c r="G10" s="40" t="s">
        <v>108</v>
      </c>
    </row>
    <row r="11" spans="1:9" ht="18.75" thickBot="1" x14ac:dyDescent="0.3">
      <c r="A11" s="167"/>
      <c r="B11" s="158" t="s">
        <v>113</v>
      </c>
      <c r="C11" s="159" t="s">
        <v>206</v>
      </c>
      <c r="D11" s="160">
        <f ca="1">$D$9/$D$10*1000</f>
        <v>7.5152709787998942E-2</v>
      </c>
      <c r="E11" s="161" t="s">
        <v>110</v>
      </c>
      <c r="F11" s="174">
        <f ca="1">$D$9/$F$10*1000000</f>
        <v>2.0147002615584184</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2027</v>
      </c>
      <c r="F22" s="376">
        <v>2027</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(Legados)'!D3</f>
        <v>14956</v>
      </c>
      <c r="E25" s="60"/>
      <c r="F25" s="15">
        <f>IFERROR($C25*$H$20*'Premissas (Legados)'!$C$20*1000," ")</f>
        <v>203630357.03025997</v>
      </c>
      <c r="G25" s="49"/>
    </row>
    <row r="26" spans="1:9" x14ac:dyDescent="0.25">
      <c r="A26" s="2" t="s">
        <v>125</v>
      </c>
      <c r="B26" s="16" t="s">
        <v>26</v>
      </c>
      <c r="C26" s="231">
        <f>'Oferta (Legados)'!D4</f>
        <v>20000</v>
      </c>
      <c r="E26" s="60"/>
      <c r="F26" s="15">
        <f>IFERROR($C26*$H$20*'Premissas (Legados)'!$C$20*1000," ")</f>
        <v>272305906.69999999</v>
      </c>
      <c r="G26" s="49"/>
    </row>
    <row r="27" spans="1:9" x14ac:dyDescent="0.25">
      <c r="A27" s="2" t="s">
        <v>126</v>
      </c>
      <c r="B27" s="16" t="s">
        <v>411</v>
      </c>
      <c r="C27" s="231">
        <f>'Oferta (Legados)'!D5</f>
        <v>13564</v>
      </c>
      <c r="D27" s="18"/>
      <c r="E27" s="60"/>
      <c r="F27" s="15">
        <f>IFERROR($C27*$H$20*'Premissas (Legados)'!$C$20*1000," ")</f>
        <v>184677865.92394</v>
      </c>
      <c r="G27" s="49"/>
    </row>
    <row r="28" spans="1:9" x14ac:dyDescent="0.25">
      <c r="A28" s="2" t="s">
        <v>127</v>
      </c>
      <c r="B28" s="16" t="s">
        <v>388</v>
      </c>
      <c r="C28" s="234"/>
      <c r="D28" s="216" t="s">
        <v>386</v>
      </c>
      <c r="E28" s="60"/>
      <c r="F28" s="15">
        <f>IFERROR($C28*$H$20*'Premissas (Legados)'!$C$20*1000," ")</f>
        <v>0</v>
      </c>
      <c r="G28" s="49"/>
    </row>
    <row r="29" spans="1:9" x14ac:dyDescent="0.25">
      <c r="A29" s="2" t="s">
        <v>128</v>
      </c>
      <c r="B29" s="16" t="s">
        <v>27</v>
      </c>
      <c r="C29" s="231">
        <f>'Oferta (Legados)'!D7</f>
        <v>0</v>
      </c>
      <c r="D29" s="18"/>
      <c r="E29" s="60"/>
      <c r="F29" s="15">
        <f>IFERROR($C29*$H$20*'Premissas (Legados)'!$C$20*1000," ")</f>
        <v>0</v>
      </c>
      <c r="G29" s="49"/>
    </row>
    <row r="30" spans="1:9" x14ac:dyDescent="0.25">
      <c r="A30" s="2" t="s">
        <v>183</v>
      </c>
      <c r="B30" s="16" t="s">
        <v>29</v>
      </c>
      <c r="C30" s="231">
        <f>'Oferta (Legados)'!D8</f>
        <v>0</v>
      </c>
      <c r="D30" s="18"/>
      <c r="E30" s="60"/>
      <c r="F30" s="15">
        <f>IFERROR($C30*$H$20*'Premissas (Legados)'!$C$20*1000," ")</f>
        <v>0</v>
      </c>
      <c r="G30" s="49"/>
    </row>
    <row r="31" spans="1:9" x14ac:dyDescent="0.25">
      <c r="A31" s="2" t="s">
        <v>129</v>
      </c>
      <c r="B31" s="16" t="s">
        <v>24</v>
      </c>
      <c r="C31" s="231">
        <f>'Oferta (Legados)'!D9</f>
        <v>24869</v>
      </c>
      <c r="D31" s="18"/>
      <c r="E31" s="60"/>
      <c r="F31" s="15">
        <f>IFERROR($C31*$H$20*'Premissas (Legados)'!$C$20*1000," ")</f>
        <v>338598779.68611497</v>
      </c>
      <c r="G31" s="49"/>
    </row>
    <row r="32" spans="1:9" x14ac:dyDescent="0.25">
      <c r="A32" s="2" t="s">
        <v>184</v>
      </c>
      <c r="B32" s="16" t="s">
        <v>194</v>
      </c>
      <c r="C32" s="191"/>
      <c r="D32" s="216" t="s">
        <v>386</v>
      </c>
      <c r="E32" s="60"/>
      <c r="F32" s="15">
        <f>IFERROR($C32*$H$20*'Premissas (Legados)'!$C$20*1000," ")</f>
        <v>0</v>
      </c>
      <c r="G32" s="49"/>
    </row>
    <row r="33" spans="1:8" x14ac:dyDescent="0.25">
      <c r="A33" s="2" t="s">
        <v>130</v>
      </c>
      <c r="B33" s="16" t="s">
        <v>196</v>
      </c>
      <c r="C33" s="191"/>
      <c r="D33" s="216" t="s">
        <v>386</v>
      </c>
      <c r="E33" s="60"/>
      <c r="F33" s="15">
        <f>IFERROR($C33*$H$20*'Premissas (Legados)'!$C$20*1000," ")</f>
        <v>0</v>
      </c>
      <c r="G33" s="49"/>
    </row>
    <row r="34" spans="1:8" x14ac:dyDescent="0.25">
      <c r="A34" s="2" t="s">
        <v>131</v>
      </c>
      <c r="B34" s="16" t="s">
        <v>195</v>
      </c>
      <c r="C34" s="191"/>
      <c r="D34" s="216" t="s">
        <v>386</v>
      </c>
      <c r="E34" s="60"/>
      <c r="F34" s="15">
        <f>IFERROR($C34*$H$20*'Premissas (Legados)'!$C$20*1000,"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2027</v>
      </c>
      <c r="F39" s="376">
        <v>2027</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(Legados)'!D3</f>
        <v>668</v>
      </c>
      <c r="F42" s="15">
        <f>IFERROR($C42*$H$20*'Premissas (Legados)'!$C$20*1000," ")</f>
        <v>9095017.2837799974</v>
      </c>
      <c r="G42" s="49"/>
    </row>
    <row r="43" spans="1:8" x14ac:dyDescent="0.25">
      <c r="A43" s="2" t="s">
        <v>38</v>
      </c>
      <c r="B43" s="16" t="s">
        <v>161</v>
      </c>
      <c r="C43" s="231">
        <f>'Demanda (Legados)'!D4</f>
        <v>1824</v>
      </c>
      <c r="D43" s="18"/>
      <c r="F43" s="15">
        <f>IFERROR($C43*$H$20*'Premissas (Legados)'!$C$20*1000," ")</f>
        <v>24834298.691039998</v>
      </c>
      <c r="G43" s="49"/>
    </row>
    <row r="44" spans="1:8" x14ac:dyDescent="0.25">
      <c r="A44" s="2" t="s">
        <v>39</v>
      </c>
      <c r="B44" s="16" t="s">
        <v>162</v>
      </c>
      <c r="C44" s="231">
        <f>'Demanda (Legados)'!D5</f>
        <v>3002</v>
      </c>
      <c r="D44" s="18"/>
      <c r="F44" s="15">
        <f>IFERROR($C44*$H$20*'Premissas (Legados)'!$C$20*1000," ")</f>
        <v>40873116.59567</v>
      </c>
      <c r="G44" s="49"/>
    </row>
    <row r="45" spans="1:8" x14ac:dyDescent="0.25">
      <c r="A45" s="2" t="s">
        <v>40</v>
      </c>
      <c r="B45" s="16" t="s">
        <v>163</v>
      </c>
      <c r="C45" s="231">
        <f>'Demanda (Legados)'!D6</f>
        <v>351</v>
      </c>
      <c r="D45" s="18"/>
      <c r="F45" s="15">
        <f>IFERROR($C45*$H$20*'Premissas (Legados)'!$C$20*1000," ")</f>
        <v>4778968.6625849996</v>
      </c>
      <c r="G45" s="49"/>
    </row>
    <row r="46" spans="1:8" x14ac:dyDescent="0.25">
      <c r="A46" s="2" t="s">
        <v>41</v>
      </c>
      <c r="B46" s="16" t="s">
        <v>164</v>
      </c>
      <c r="C46" s="231">
        <f>'Demanda (Legados)'!D7</f>
        <v>17575</v>
      </c>
      <c r="D46" s="18"/>
      <c r="F46" s="15">
        <f>IFERROR($C46*$H$20*'Premissas (Legados)'!$C$20*1000," ")</f>
        <v>239288815.51262498</v>
      </c>
      <c r="G46" s="49"/>
    </row>
    <row r="47" spans="1:8" x14ac:dyDescent="0.25">
      <c r="A47" s="2" t="s">
        <v>42</v>
      </c>
      <c r="B47" s="16" t="s">
        <v>165</v>
      </c>
      <c r="C47" s="231">
        <f>'Demanda (Legados)'!D8</f>
        <v>11227</v>
      </c>
      <c r="D47" s="18"/>
      <c r="F47" s="15">
        <f>IFERROR($C47*$H$20*'Premissas (Legados)'!$C$20*1000," ")</f>
        <v>152858920.72604498</v>
      </c>
      <c r="G47" s="49"/>
    </row>
    <row r="48" spans="1:8" x14ac:dyDescent="0.25">
      <c r="A48" s="2" t="s">
        <v>43</v>
      </c>
      <c r="B48" s="16" t="s">
        <v>166</v>
      </c>
      <c r="C48" s="231">
        <f>'Demanda (Legados)'!D9</f>
        <v>2083</v>
      </c>
      <c r="D48" s="18"/>
      <c r="F48" s="15">
        <f>IFERROR($C48*$H$20*'Premissas (Legados)'!$C$20*1000," ")</f>
        <v>28360660.182804998</v>
      </c>
      <c r="G48" s="49"/>
    </row>
    <row r="49" spans="1:9" x14ac:dyDescent="0.25">
      <c r="A49" s="2" t="s">
        <v>44</v>
      </c>
      <c r="B49" s="16" t="s">
        <v>167</v>
      </c>
      <c r="C49" s="231">
        <f>'Demanda (Legados)'!D10</f>
        <v>340</v>
      </c>
      <c r="D49" s="18"/>
      <c r="F49" s="15">
        <f>IFERROR($C49*$H$20*'Premissas (Legados)'!$C$20*1000," ")</f>
        <v>4629200.4139</v>
      </c>
      <c r="G49" s="49"/>
    </row>
    <row r="50" spans="1:9" x14ac:dyDescent="0.25">
      <c r="A50" s="2" t="s">
        <v>45</v>
      </c>
      <c r="B50" s="16" t="s">
        <v>168</v>
      </c>
      <c r="C50" s="231">
        <f>'Demanda (Legados)'!D11</f>
        <v>2249</v>
      </c>
      <c r="D50" s="18"/>
      <c r="F50" s="15">
        <f>IFERROR($C50*$H$20*'Premissas (Legados)'!$C$20*1000," ")</f>
        <v>30620799.208414994</v>
      </c>
      <c r="G50" s="49"/>
    </row>
    <row r="51" spans="1:9" x14ac:dyDescent="0.25">
      <c r="A51" s="2" t="s">
        <v>46</v>
      </c>
      <c r="B51" s="16" t="s">
        <v>169</v>
      </c>
      <c r="C51" s="231">
        <f>'Demanda (Legados)'!D12</f>
        <v>1161</v>
      </c>
      <c r="D51" s="18"/>
      <c r="F51" s="15">
        <f>IFERROR($C51*$H$20*'Premissas (Legados)'!$C$20*1000," ")</f>
        <v>15807357.883934999</v>
      </c>
      <c r="G51" s="49"/>
    </row>
    <row r="52" spans="1:9" x14ac:dyDescent="0.25">
      <c r="A52" s="2" t="s">
        <v>47</v>
      </c>
      <c r="B52" s="16" t="s">
        <v>170</v>
      </c>
      <c r="C52" s="231">
        <f>'Demanda (Legados)'!D13</f>
        <v>3064</v>
      </c>
      <c r="D52" s="18"/>
      <c r="F52" s="15">
        <f>IFERROR($C52*$H$20*'Premissas (Legados)'!$C$20*1000," ")</f>
        <v>41717264.906439997</v>
      </c>
      <c r="G52" s="49"/>
    </row>
    <row r="53" spans="1:9" x14ac:dyDescent="0.25">
      <c r="A53" s="2" t="s">
        <v>48</v>
      </c>
      <c r="B53" s="16" t="s">
        <v>171</v>
      </c>
      <c r="C53" s="231">
        <f>'Demanda (Legados)'!D14</f>
        <v>9481</v>
      </c>
      <c r="D53" s="18"/>
      <c r="F53" s="15">
        <f>IFERROR($C53*$H$20*'Premissas (Legados)'!$C$20*1000," ")</f>
        <v>129086615.071135</v>
      </c>
      <c r="G53" s="49"/>
    </row>
    <row r="54" spans="1:9" x14ac:dyDescent="0.25">
      <c r="A54" s="2" t="s">
        <v>49</v>
      </c>
      <c r="B54" s="16" t="s">
        <v>172</v>
      </c>
      <c r="C54" s="231">
        <f>'Demanda (Legados)'!D15</f>
        <v>3920</v>
      </c>
      <c r="D54" s="18"/>
      <c r="F54" s="15">
        <f>IFERROR($C54*$H$20*'Premissas (Legados)'!$C$20*1000," ")</f>
        <v>53371957.713199995</v>
      </c>
      <c r="G54" s="49"/>
    </row>
    <row r="55" spans="1:9" x14ac:dyDescent="0.25">
      <c r="A55" s="2" t="s">
        <v>50</v>
      </c>
      <c r="B55" s="16" t="s">
        <v>199</v>
      </c>
      <c r="C55" s="191"/>
      <c r="D55" s="216" t="s">
        <v>386</v>
      </c>
      <c r="F55" s="15">
        <f>IFERROR($C55*$H$20*'Premissas (Legados)'!$C$20*1000," ")</f>
        <v>0</v>
      </c>
      <c r="G55" s="49"/>
    </row>
    <row r="56" spans="1:9" x14ac:dyDescent="0.25">
      <c r="A56" s="2" t="s">
        <v>51</v>
      </c>
      <c r="B56" s="16" t="s">
        <v>198</v>
      </c>
      <c r="C56" s="191"/>
      <c r="D56" s="216" t="s">
        <v>386</v>
      </c>
      <c r="F56" s="15">
        <f>IFERROR($C56*$H$20*'Premissas (Legados)'!$C$20*1000," ")</f>
        <v>0</v>
      </c>
      <c r="G56" s="49"/>
    </row>
    <row r="57" spans="1:9" x14ac:dyDescent="0.25">
      <c r="A57" s="2" t="s">
        <v>52</v>
      </c>
      <c r="B57" s="16" t="s">
        <v>197</v>
      </c>
      <c r="C57" s="191"/>
      <c r="D57" s="216" t="s">
        <v>386</v>
      </c>
      <c r="F57" s="15">
        <f>IFERROR($C57*$H$20*'Premissas (Legados)'!$C$20*1000,"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904.66205577538278</v>
      </c>
      <c r="C194" s="19"/>
      <c r="D194" t="s">
        <v>311</v>
      </c>
      <c r="E194" s="5">
        <f t="shared" ref="E194:E209" ca="1" si="7">$E163*$D$9</f>
        <v>22.867906092649452</v>
      </c>
    </row>
    <row r="195" spans="1:5" ht="18" x14ac:dyDescent="0.35">
      <c r="A195" t="s">
        <v>312</v>
      </c>
      <c r="B195" s="6">
        <f t="shared" ca="1" si="6"/>
        <v>709.1475661884441</v>
      </c>
      <c r="D195" t="s">
        <v>313</v>
      </c>
      <c r="E195" s="5">
        <f t="shared" ca="1" si="7"/>
        <v>79.204441676716186</v>
      </c>
    </row>
    <row r="196" spans="1:5" ht="18" x14ac:dyDescent="0.35">
      <c r="A196" t="s">
        <v>314</v>
      </c>
      <c r="B196" s="6">
        <f t="shared" ca="1" si="6"/>
        <v>565.14925179123077</v>
      </c>
      <c r="D196" t="s">
        <v>315</v>
      </c>
      <c r="E196" s="5">
        <f t="shared" ca="1" si="7"/>
        <v>163.6251009835857</v>
      </c>
    </row>
    <row r="197" spans="1:5" ht="18" x14ac:dyDescent="0.35">
      <c r="A197" t="s">
        <v>316</v>
      </c>
      <c r="B197" s="6">
        <f t="shared" ca="1" si="6"/>
        <v>0</v>
      </c>
      <c r="D197" t="s">
        <v>317</v>
      </c>
      <c r="E197" s="5">
        <f t="shared" ca="1" si="7"/>
        <v>20.760403640851809</v>
      </c>
    </row>
    <row r="198" spans="1:5" ht="18" x14ac:dyDescent="0.35">
      <c r="A198" t="s">
        <v>318</v>
      </c>
      <c r="B198" s="6">
        <f t="shared" ca="1" si="6"/>
        <v>0</v>
      </c>
      <c r="D198" t="s">
        <v>319</v>
      </c>
      <c r="E198" s="5">
        <f t="shared" ca="1" si="7"/>
        <v>275.9604696475198</v>
      </c>
    </row>
    <row r="199" spans="1:5" ht="18" x14ac:dyDescent="0.35">
      <c r="A199" t="s">
        <v>320</v>
      </c>
      <c r="B199" s="6">
        <f t="shared" ca="1" si="6"/>
        <v>0</v>
      </c>
      <c r="D199" t="s">
        <v>321</v>
      </c>
      <c r="E199" s="5">
        <f t="shared" ca="1" si="7"/>
        <v>189.89976843927195</v>
      </c>
    </row>
    <row r="200" spans="1:5" ht="18" x14ac:dyDescent="0.35">
      <c r="A200" t="s">
        <v>322</v>
      </c>
      <c r="B200" s="6">
        <f t="shared" ca="1" si="6"/>
        <v>1482.9933760553579</v>
      </c>
      <c r="D200" t="s">
        <v>323</v>
      </c>
      <c r="E200" s="5">
        <f t="shared" ca="1" si="7"/>
        <v>40.735319419557854</v>
      </c>
    </row>
    <row r="201" spans="1:5" ht="18" x14ac:dyDescent="0.35">
      <c r="A201" t="s">
        <v>324</v>
      </c>
      <c r="B201" s="6">
        <f t="shared" ca="1" si="6"/>
        <v>0</v>
      </c>
      <c r="D201" t="s">
        <v>325</v>
      </c>
      <c r="E201" s="5">
        <f t="shared" ca="1" si="7"/>
        <v>7.8170705446729505</v>
      </c>
    </row>
    <row r="202" spans="1:5" ht="18" x14ac:dyDescent="0.35">
      <c r="A202" t="s">
        <v>326</v>
      </c>
      <c r="B202" s="6">
        <f t="shared" ca="1" si="6"/>
        <v>0</v>
      </c>
      <c r="D202" t="s">
        <v>327</v>
      </c>
      <c r="E202" s="5">
        <f t="shared" ca="1" si="7"/>
        <v>38.426135437607066</v>
      </c>
    </row>
    <row r="203" spans="1:5" ht="18" x14ac:dyDescent="0.35">
      <c r="A203" t="s">
        <v>328</v>
      </c>
      <c r="B203" s="6">
        <f t="shared" ca="1" si="6"/>
        <v>0</v>
      </c>
      <c r="D203" t="s">
        <v>329</v>
      </c>
      <c r="E203" s="5">
        <f t="shared" ca="1" si="7"/>
        <v>37.705365011502018</v>
      </c>
    </row>
    <row r="204" spans="1:5" ht="18" x14ac:dyDescent="0.35">
      <c r="B204" s="6">
        <f ca="1">SUM(B194:B203)</f>
        <v>3661.9522498104152</v>
      </c>
      <c r="D204" t="s">
        <v>330</v>
      </c>
      <c r="E204" s="5">
        <f t="shared" ca="1" si="7"/>
        <v>98.485690112566374</v>
      </c>
    </row>
    <row r="205" spans="1:5" ht="18" x14ac:dyDescent="0.35">
      <c r="B205" s="6"/>
      <c r="D205" t="s">
        <v>331</v>
      </c>
      <c r="E205" s="5">
        <f t="shared" ca="1" si="7"/>
        <v>405.65887104879437</v>
      </c>
    </row>
    <row r="206" spans="1:5" ht="18" x14ac:dyDescent="0.35">
      <c r="B206" s="6"/>
      <c r="D206" t="s">
        <v>332</v>
      </c>
      <c r="E206" s="5">
        <f t="shared" ca="1" si="7"/>
        <v>180.89689443502863</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1562.043436490324</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4.4426679252001104</v>
      </c>
      <c r="D227" s="77"/>
      <c r="E227" s="7"/>
      <c r="F227" s="7"/>
      <c r="G227" s="78"/>
      <c r="H227" s="20" t="s">
        <v>343</v>
      </c>
      <c r="I227" s="20" t="str">
        <f t="shared" ref="I227:I242" si="9">B42</f>
        <v>NTS MG 1</v>
      </c>
      <c r="J227" s="11">
        <f t="shared" ref="J227:J242" ca="1" si="10">IFERROR($E194/$F42*1000000," ")</f>
        <v>2.5143334398530444</v>
      </c>
      <c r="L227" s="12"/>
      <c r="M227" s="79"/>
      <c r="Q227" s="7"/>
      <c r="R227" s="80"/>
      <c r="S227" s="81"/>
      <c r="T227" s="81"/>
      <c r="U227" s="81"/>
    </row>
    <row r="228" spans="1:21" ht="18" x14ac:dyDescent="0.25">
      <c r="A228" s="20" t="s">
        <v>344</v>
      </c>
      <c r="B228" s="20" t="str">
        <f t="shared" ref="B228:B236" si="11">B26</f>
        <v>PR-GNLBGB</v>
      </c>
      <c r="C228" s="11">
        <f t="shared" ca="1" si="8"/>
        <v>2.604231302884346</v>
      </c>
      <c r="D228" s="77"/>
      <c r="E228" s="7"/>
      <c r="F228" s="7"/>
      <c r="G228" s="78"/>
      <c r="H228" s="20" t="s">
        <v>345</v>
      </c>
      <c r="I228" s="20" t="str">
        <f t="shared" si="9"/>
        <v>NTS MG 2</v>
      </c>
      <c r="J228" s="11">
        <f t="shared" ca="1" si="10"/>
        <v>3.1893166246443054</v>
      </c>
      <c r="L228" s="12"/>
      <c r="M228" s="79"/>
      <c r="Q228" s="7"/>
      <c r="R228" s="80"/>
      <c r="S228" s="81"/>
      <c r="T228" s="81"/>
      <c r="U228" s="81"/>
    </row>
    <row r="229" spans="1:21" ht="18" x14ac:dyDescent="0.25">
      <c r="A229" s="20" t="s">
        <v>346</v>
      </c>
      <c r="B229" s="20" t="str">
        <f t="shared" si="11"/>
        <v>PR-ITABORAÍ</v>
      </c>
      <c r="C229" s="11">
        <f t="shared" ca="1" si="8"/>
        <v>3.0601894220717751</v>
      </c>
      <c r="D229" s="77"/>
      <c r="E229" s="7"/>
      <c r="F229" s="7"/>
      <c r="G229" s="78"/>
      <c r="H229" s="20" t="s">
        <v>347</v>
      </c>
      <c r="I229" s="20" t="str">
        <f t="shared" si="9"/>
        <v>NTS MG 3</v>
      </c>
      <c r="J229" s="11">
        <f t="shared" ca="1" si="10"/>
        <v>4.0032450327245108</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4.3441179690896456</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1.1532526877879088</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1.2423204843871158</v>
      </c>
      <c r="L232" s="12"/>
      <c r="M232" s="79"/>
      <c r="Q232" s="7"/>
      <c r="R232" s="80"/>
      <c r="S232" s="81"/>
      <c r="T232" s="81"/>
      <c r="U232" s="81"/>
    </row>
    <row r="233" spans="1:21" ht="18" x14ac:dyDescent="0.25">
      <c r="A233" s="20" t="s">
        <v>354</v>
      </c>
      <c r="B233" s="20" t="str">
        <f t="shared" si="11"/>
        <v>PR-TECAB</v>
      </c>
      <c r="C233" s="11">
        <f t="shared" ca="1" si="8"/>
        <v>4.3797953950989132</v>
      </c>
      <c r="D233" s="77"/>
      <c r="E233" s="7"/>
      <c r="F233" s="7"/>
      <c r="G233" s="78"/>
      <c r="H233" s="20" t="s">
        <v>355</v>
      </c>
      <c r="I233" s="20" t="str">
        <f t="shared" si="9"/>
        <v>NTS RJ 3</v>
      </c>
      <c r="J233" s="11">
        <f t="shared" ca="1" si="10"/>
        <v>1.4363318468959896</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1.6886437928245235</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1.2549030864957655</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2.385304697239881</v>
      </c>
      <c r="L236" s="12"/>
      <c r="Q236" s="7"/>
      <c r="R236" s="80"/>
      <c r="S236" s="81"/>
      <c r="T236" s="81"/>
      <c r="U236" s="81"/>
    </row>
    <row r="237" spans="1:21" ht="18" x14ac:dyDescent="0.25">
      <c r="D237" s="72"/>
      <c r="E237" s="7"/>
      <c r="F237" s="7"/>
      <c r="G237" s="72"/>
      <c r="H237" s="20" t="s">
        <v>362</v>
      </c>
      <c r="I237" s="20" t="str">
        <f t="shared" si="9"/>
        <v>NTS SP 2</v>
      </c>
      <c r="J237" s="11">
        <f t="shared" ca="1" si="10"/>
        <v>2.3607897193989555</v>
      </c>
      <c r="K237" s="72"/>
      <c r="L237" s="12"/>
      <c r="Q237" s="7"/>
      <c r="R237" s="80"/>
      <c r="S237" s="81"/>
      <c r="T237" s="81"/>
      <c r="U237" s="81"/>
    </row>
    <row r="238" spans="1:21" ht="18" x14ac:dyDescent="0.25">
      <c r="D238" s="72"/>
      <c r="E238" s="7"/>
      <c r="F238" s="7"/>
      <c r="G238" s="72"/>
      <c r="H238" s="20" t="s">
        <v>363</v>
      </c>
      <c r="I238" s="20" t="str">
        <f t="shared" si="9"/>
        <v>NTS SP 3</v>
      </c>
      <c r="J238" s="11">
        <f t="shared" ca="1" si="10"/>
        <v>3.1425324060534883</v>
      </c>
      <c r="L238" s="12"/>
      <c r="Q238" s="7"/>
      <c r="R238" s="80"/>
      <c r="S238" s="81"/>
      <c r="T238" s="81"/>
      <c r="U238" s="81"/>
    </row>
    <row r="239" spans="1:21" ht="18" x14ac:dyDescent="0.25">
      <c r="D239" s="72"/>
      <c r="E239" s="7"/>
      <c r="F239" s="7"/>
      <c r="G239" s="72"/>
      <c r="H239" s="20" t="s">
        <v>364</v>
      </c>
      <c r="I239" s="20" t="str">
        <f t="shared" si="9"/>
        <v>NTS SP 4</v>
      </c>
      <c r="J239" s="11">
        <f t="shared" ca="1" si="10"/>
        <v>3.3893621704322281</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3.66483680863176</v>
      </c>
      <c r="E246" s="11">
        <f ca="1">IFERROR(C246+D246," ")</f>
        <v>3.66483680863176</v>
      </c>
      <c r="F246" s="198">
        <f ca="1">E246*F25</f>
        <v>746272027.7993238</v>
      </c>
      <c r="G246" s="79"/>
      <c r="H246" s="20" t="s">
        <v>343</v>
      </c>
      <c r="I246" s="20" t="str">
        <f t="shared" ref="I246:I261" si="15">I227</f>
        <v>NTS MG 1</v>
      </c>
      <c r="J246" s="11">
        <f t="shared" ref="J246:J261" ca="1" si="16">IF(F42=0," ",J227*(1-$C$12))</f>
        <v>0</v>
      </c>
      <c r="K246" s="11">
        <f t="shared" ref="K246:K258" ca="1" si="17">$F$11*$C$12</f>
        <v>2.0147002615584184</v>
      </c>
      <c r="L246" s="11">
        <f ca="1">IFERROR(J246+K246," ")</f>
        <v>2.0147002615584184</v>
      </c>
      <c r="M246" s="198">
        <f t="shared" ref="M246:M258" ca="1" si="18">L246*F42</f>
        <v>18323733.700509898</v>
      </c>
      <c r="N246" s="87"/>
    </row>
    <row r="247" spans="1:22" ht="18" x14ac:dyDescent="0.25">
      <c r="A247" s="20" t="s">
        <v>344</v>
      </c>
      <c r="B247" s="20" t="str">
        <f t="shared" si="12"/>
        <v>PR-GNLBGB</v>
      </c>
      <c r="C247" s="11">
        <f t="shared" ca="1" si="13"/>
        <v>0</v>
      </c>
      <c r="D247" s="11">
        <f t="shared" ca="1" si="14"/>
        <v>3.66483680863176</v>
      </c>
      <c r="E247" s="11">
        <f t="shared" ref="E247:E252" ca="1" si="19">IFERROR(C247+D247," ")</f>
        <v>3.66483680863176</v>
      </c>
      <c r="F247" s="198">
        <f ca="1">E247*F26</f>
        <v>997956710.08200574</v>
      </c>
      <c r="G247" s="79"/>
      <c r="H247" s="20" t="s">
        <v>345</v>
      </c>
      <c r="I247" s="20" t="str">
        <f t="shared" si="15"/>
        <v>NTS MG 2</v>
      </c>
      <c r="J247" s="11">
        <f t="shared" ca="1" si="16"/>
        <v>0</v>
      </c>
      <c r="K247" s="11">
        <f t="shared" ca="1" si="17"/>
        <v>2.0147002615584184</v>
      </c>
      <c r="L247" s="11">
        <f t="shared" ref="L247:L258" ca="1" si="20">IFERROR(J247+K247," ")</f>
        <v>2.0147002615584184</v>
      </c>
      <c r="M247" s="198">
        <f t="shared" ca="1" si="18"/>
        <v>50033668.06845817</v>
      </c>
    </row>
    <row r="248" spans="1:22" ht="18" x14ac:dyDescent="0.25">
      <c r="A248" s="20" t="s">
        <v>346</v>
      </c>
      <c r="B248" s="20" t="str">
        <f t="shared" si="12"/>
        <v>PR-ITABORAÍ</v>
      </c>
      <c r="C248" s="11">
        <f t="shared" ca="1" si="13"/>
        <v>0</v>
      </c>
      <c r="D248" s="11">
        <f t="shared" ca="1" si="14"/>
        <v>3.66483680863176</v>
      </c>
      <c r="E248" s="11">
        <f t="shared" ca="1" si="19"/>
        <v>3.66483680863176</v>
      </c>
      <c r="F248" s="198">
        <f ca="1">E248*F27</f>
        <v>676814240.77761638</v>
      </c>
      <c r="G248" s="79"/>
      <c r="H248" s="20" t="s">
        <v>347</v>
      </c>
      <c r="I248" s="20" t="str">
        <f t="shared" si="15"/>
        <v>NTS MG 3</v>
      </c>
      <c r="J248" s="11">
        <f t="shared" ca="1" si="16"/>
        <v>0</v>
      </c>
      <c r="K248" s="11">
        <f t="shared" ca="1" si="17"/>
        <v>2.0147002615584184</v>
      </c>
      <c r="L248" s="11">
        <f t="shared" ca="1" si="20"/>
        <v>2.0147002615584184</v>
      </c>
      <c r="M248" s="198">
        <f t="shared" ca="1" si="18"/>
        <v>82347078.696004078</v>
      </c>
    </row>
    <row r="249" spans="1:22" ht="18" x14ac:dyDescent="0.25">
      <c r="A249" s="20" t="s">
        <v>348</v>
      </c>
      <c r="B249" s="20" t="str">
        <f t="shared" si="12"/>
        <v>PR-GASPAJ (INTERCONEXÃO)</v>
      </c>
      <c r="C249" s="11" t="str">
        <f t="shared" si="13"/>
        <v xml:space="preserve"> </v>
      </c>
      <c r="D249" s="11">
        <f t="shared" ca="1" si="14"/>
        <v>3.66483680863176</v>
      </c>
      <c r="E249" s="83">
        <f ca="1">E271</f>
        <v>0.33259718961528573</v>
      </c>
      <c r="F249" s="198">
        <f ca="1">E249*F28</f>
        <v>0</v>
      </c>
      <c r="G249" s="79"/>
      <c r="H249" s="20" t="s">
        <v>349</v>
      </c>
      <c r="I249" s="20" t="str">
        <f t="shared" si="15"/>
        <v>NTS MG 4</v>
      </c>
      <c r="J249" s="11">
        <f t="shared" ca="1" si="16"/>
        <v>0</v>
      </c>
      <c r="K249" s="11">
        <f t="shared" ca="1" si="17"/>
        <v>2.0147002615584184</v>
      </c>
      <c r="L249" s="11">
        <f t="shared" ca="1" si="20"/>
        <v>2.0147002615584184</v>
      </c>
      <c r="M249" s="198">
        <f t="shared" ca="1" si="18"/>
        <v>9628189.4144894835</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2.0147002615584184</v>
      </c>
      <c r="L250" s="11">
        <f t="shared" ca="1" si="20"/>
        <v>2.0147002615584184</v>
      </c>
      <c r="M250" s="198">
        <f t="shared" ca="1" si="18"/>
        <v>482095239.20128965</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2.0147002615584184</v>
      </c>
      <c r="L251" s="11">
        <f t="shared" ca="1" si="20"/>
        <v>2.0147002615584184</v>
      </c>
      <c r="M251" s="198">
        <f t="shared" ca="1" si="18"/>
        <v>307964907.56830037</v>
      </c>
    </row>
    <row r="252" spans="1:22" ht="18" x14ac:dyDescent="0.25">
      <c r="A252" s="20" t="s">
        <v>354</v>
      </c>
      <c r="B252" s="20" t="str">
        <f t="shared" si="12"/>
        <v>PR-TECAB</v>
      </c>
      <c r="C252" s="11">
        <f t="shared" ca="1" si="13"/>
        <v>0</v>
      </c>
      <c r="D252" s="11">
        <f t="shared" ca="1" si="14"/>
        <v>3.66483680863176</v>
      </c>
      <c r="E252" s="11">
        <f t="shared" ca="1" si="19"/>
        <v>3.66483680863176</v>
      </c>
      <c r="F252" s="198">
        <f ca="1">E252*F31</f>
        <v>1240909271.1514699</v>
      </c>
      <c r="G252" s="79"/>
      <c r="H252" s="20" t="s">
        <v>355</v>
      </c>
      <c r="I252" s="20" t="str">
        <f t="shared" si="15"/>
        <v>NTS RJ 3</v>
      </c>
      <c r="J252" s="11">
        <f t="shared" ca="1" si="16"/>
        <v>0</v>
      </c>
      <c r="K252" s="11">
        <f t="shared" ca="1" si="17"/>
        <v>2.0147002615584184</v>
      </c>
      <c r="L252" s="11">
        <f t="shared" ca="1" si="20"/>
        <v>2.0147002615584184</v>
      </c>
      <c r="M252" s="198">
        <f t="shared" ca="1" si="18"/>
        <v>57138229.488266654</v>
      </c>
    </row>
    <row r="253" spans="1:22" ht="18" x14ac:dyDescent="0.25">
      <c r="A253" s="20" t="s">
        <v>356</v>
      </c>
      <c r="B253" s="20" t="str">
        <f t="shared" si="12"/>
        <v>PR-GUARAREMA (INTERCONEXÃO)</v>
      </c>
      <c r="C253" s="11" t="str">
        <f t="shared" si="13"/>
        <v xml:space="preserve"> </v>
      </c>
      <c r="D253" s="11"/>
      <c r="E253" s="83">
        <f ca="1">E269</f>
        <v>0.33259718961528573</v>
      </c>
      <c r="F253" s="199"/>
      <c r="G253" s="79"/>
      <c r="H253" s="20" t="s">
        <v>357</v>
      </c>
      <c r="I253" s="20" t="str">
        <f t="shared" si="15"/>
        <v>NTS RJ 4</v>
      </c>
      <c r="J253" s="11">
        <f t="shared" ca="1" si="16"/>
        <v>0</v>
      </c>
      <c r="K253" s="11">
        <f t="shared" ca="1" si="17"/>
        <v>2.0147002615584184</v>
      </c>
      <c r="L253" s="11">
        <f t="shared" ca="1" si="20"/>
        <v>2.0147002615584184</v>
      </c>
      <c r="M253" s="198">
        <f t="shared" ca="1" si="18"/>
        <v>9326451.2846906688</v>
      </c>
    </row>
    <row r="254" spans="1:22" ht="18" x14ac:dyDescent="0.25">
      <c r="A254" s="20" t="s">
        <v>358</v>
      </c>
      <c r="B254" s="20" t="str">
        <f t="shared" si="12"/>
        <v>PR-REPLAN (INTERCONEXÃO)</v>
      </c>
      <c r="C254" s="11" t="str">
        <f t="shared" si="13"/>
        <v xml:space="preserve"> </v>
      </c>
      <c r="D254" s="11"/>
      <c r="E254" s="83">
        <f ca="1">E268</f>
        <v>0.33259718961528573</v>
      </c>
      <c r="F254" s="200">
        <f ca="1">SUM(F246:F252)</f>
        <v>3661952249.8104162</v>
      </c>
      <c r="G254" s="79"/>
      <c r="H254" s="20" t="s">
        <v>359</v>
      </c>
      <c r="I254" s="20" t="str">
        <f t="shared" si="15"/>
        <v>NTS RJ 5</v>
      </c>
      <c r="J254" s="11">
        <f t="shared" ca="1" si="16"/>
        <v>0</v>
      </c>
      <c r="K254" s="11">
        <f t="shared" ca="1" si="17"/>
        <v>2.0147002615584184</v>
      </c>
      <c r="L254" s="11">
        <f t="shared" ca="1" si="20"/>
        <v>2.0147002615584184</v>
      </c>
      <c r="M254" s="198">
        <f t="shared" ca="1" si="18"/>
        <v>61691732.174321502</v>
      </c>
    </row>
    <row r="255" spans="1:22" ht="18" x14ac:dyDescent="0.25">
      <c r="A255" s="20" t="s">
        <v>360</v>
      </c>
      <c r="B255" s="20" t="str">
        <f t="shared" si="12"/>
        <v>PR-TECAB (INTERCONEXÃO)</v>
      </c>
      <c r="C255" s="11" t="str">
        <f t="shared" si="13"/>
        <v xml:space="preserve"> </v>
      </c>
      <c r="D255" s="11"/>
      <c r="E255" s="83">
        <f ca="1">E270</f>
        <v>0.33259718961528573</v>
      </c>
      <c r="G255" s="79"/>
      <c r="H255" s="20" t="s">
        <v>361</v>
      </c>
      <c r="I255" s="20" t="str">
        <f t="shared" si="15"/>
        <v>NTS SP 1</v>
      </c>
      <c r="J255" s="11">
        <f t="shared" ca="1" si="16"/>
        <v>0</v>
      </c>
      <c r="K255" s="11">
        <f t="shared" ca="1" si="17"/>
        <v>2.0147002615584184</v>
      </c>
      <c r="L255" s="11">
        <f t="shared" ca="1" si="20"/>
        <v>2.0147002615584184</v>
      </c>
      <c r="M255" s="198">
        <f t="shared" ca="1" si="18"/>
        <v>31847088.063311368</v>
      </c>
    </row>
    <row r="256" spans="1:22" ht="18" x14ac:dyDescent="0.25">
      <c r="F256" s="87"/>
      <c r="H256" s="20" t="s">
        <v>362</v>
      </c>
      <c r="I256" s="20" t="str">
        <f t="shared" si="15"/>
        <v>NTS SP 2</v>
      </c>
      <c r="J256" s="11">
        <f t="shared" ca="1" si="16"/>
        <v>0</v>
      </c>
      <c r="K256" s="11">
        <f t="shared" ca="1" si="17"/>
        <v>2.0147002615584184</v>
      </c>
      <c r="L256" s="11">
        <f t="shared" ca="1" si="20"/>
        <v>2.0147002615584184</v>
      </c>
      <c r="M256" s="198">
        <f t="shared" ca="1" si="18"/>
        <v>84047784.518506497</v>
      </c>
    </row>
    <row r="257" spans="1:13" ht="18" x14ac:dyDescent="0.25">
      <c r="H257" s="20" t="s">
        <v>363</v>
      </c>
      <c r="I257" s="20" t="str">
        <f t="shared" si="15"/>
        <v>NTS SP 3</v>
      </c>
      <c r="J257" s="11">
        <f t="shared" ca="1" si="16"/>
        <v>0</v>
      </c>
      <c r="K257" s="11">
        <f t="shared" ca="1" si="17"/>
        <v>2.0147002615584184</v>
      </c>
      <c r="L257" s="11">
        <f t="shared" ca="1" si="20"/>
        <v>2.0147002615584184</v>
      </c>
      <c r="M257" s="198">
        <f t="shared" ca="1" si="18"/>
        <v>260070837.14750656</v>
      </c>
    </row>
    <row r="258" spans="1:13" ht="18" x14ac:dyDescent="0.25">
      <c r="H258" s="20" t="s">
        <v>364</v>
      </c>
      <c r="I258" s="20" t="str">
        <f t="shared" si="15"/>
        <v>NTS SP 4</v>
      </c>
      <c r="J258" s="11">
        <f t="shared" ca="1" si="16"/>
        <v>0</v>
      </c>
      <c r="K258" s="11">
        <f t="shared" ca="1" si="17"/>
        <v>2.0147002615584184</v>
      </c>
      <c r="L258" s="11">
        <f t="shared" ca="1" si="20"/>
        <v>2.0147002615584184</v>
      </c>
      <c r="M258" s="198">
        <f t="shared" ca="1" si="18"/>
        <v>107528497.16466887</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0.17420454463858304</v>
      </c>
      <c r="M260" s="200">
        <f ca="1">SUM(M246:M258)</f>
        <v>1562043436.4903235</v>
      </c>
    </row>
    <row r="261" spans="1:13" ht="18" x14ac:dyDescent="0.25">
      <c r="H261" s="20" t="s">
        <v>367</v>
      </c>
      <c r="I261" s="20" t="str">
        <f t="shared" si="15"/>
        <v>PE-TECAB (INTERCONEXÃO)</v>
      </c>
      <c r="J261" s="11" t="str">
        <f t="shared" si="16"/>
        <v xml:space="preserve"> </v>
      </c>
      <c r="K261" s="11"/>
      <c r="L261" s="83">
        <f ca="1">E273</f>
        <v>0.17420454463858304</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(Legados)'!D11</f>
        <v>200</v>
      </c>
      <c r="D268" s="207">
        <f ca="1">'CWD 2027 Legados (sem desc.)'!D267</f>
        <v>3.3259718961528582</v>
      </c>
      <c r="E268" s="210">
        <f ca="1">D268*(1-$C$263)</f>
        <v>0.33259718961528573</v>
      </c>
      <c r="F268" s="208">
        <f ca="1">C268*E268*'Premissas (Legados)'!$C$54*'Premissas (Legados)'!$F$20*1000</f>
        <v>905681.7928406219</v>
      </c>
      <c r="L268" s="84"/>
    </row>
    <row r="269" spans="1:13" ht="18.75" x14ac:dyDescent="0.3">
      <c r="B269" s="189" t="s">
        <v>376</v>
      </c>
      <c r="C269" s="213">
        <f>'Oferta (Legados)'!D10</f>
        <v>7525</v>
      </c>
      <c r="D269" s="207">
        <f ca="1">'CWD 2027 Legados (sem desc.)'!D268</f>
        <v>3.3259718961528582</v>
      </c>
      <c r="E269" s="210">
        <f t="shared" ref="E269:E271" ca="1" si="21">D269*(1-$C$263)</f>
        <v>0.33259718961528573</v>
      </c>
      <c r="F269" s="208">
        <f ca="1">C269*E269*'Premissas (Legados)'!$C$54*'Premissas (Legados)'!$F$20*1000</f>
        <v>34076277.455628395</v>
      </c>
      <c r="G269" s="85"/>
      <c r="K269" s="85"/>
      <c r="L269" s="84"/>
    </row>
    <row r="270" spans="1:13" ht="18.75" x14ac:dyDescent="0.3">
      <c r="B270" s="190" t="s">
        <v>377</v>
      </c>
      <c r="C270" s="213">
        <f>'Oferta (Legados)'!D12</f>
        <v>200</v>
      </c>
      <c r="D270" s="207">
        <f ca="1">'CWD 2027 Legados (sem desc.)'!D269</f>
        <v>3.3259718961528582</v>
      </c>
      <c r="E270" s="210">
        <f t="shared" ca="1" si="21"/>
        <v>0.33259718961528573</v>
      </c>
      <c r="F270" s="208">
        <f ca="1">C270*E270*'Premissas (Legados)'!$C$54*'Premissas (Legados)'!$F$20*1000</f>
        <v>905681.7928406219</v>
      </c>
      <c r="K270" s="85"/>
      <c r="L270" s="84"/>
    </row>
    <row r="271" spans="1:13" ht="18.75" x14ac:dyDescent="0.3">
      <c r="B271" s="190" t="s">
        <v>185</v>
      </c>
      <c r="C271" s="213">
        <f>'Oferta (Legados)'!D6</f>
        <v>383</v>
      </c>
      <c r="D271" s="207">
        <f ca="1">'CWD 2027 Legados (sem desc.)'!D270</f>
        <v>3.3259718961528582</v>
      </c>
      <c r="E271" s="210">
        <f t="shared" ca="1" si="21"/>
        <v>0.33259718961528573</v>
      </c>
      <c r="F271" s="208">
        <f ca="1">C271*E271*'Premissas (Legados)'!$C$54*'Premissas (Legados)'!$F$20*1000</f>
        <v>1734380.6332897912</v>
      </c>
      <c r="K271" s="85"/>
      <c r="L271" s="84"/>
    </row>
    <row r="272" spans="1:13" ht="18.75" x14ac:dyDescent="0.3">
      <c r="B272" s="188" t="s">
        <v>378</v>
      </c>
      <c r="C272" s="213">
        <f>'Demanda (Legados)'!D17</f>
        <v>9703</v>
      </c>
      <c r="D272" s="207">
        <f ca="1">'CWD 2027 Legados (sem desc.)'!D271</f>
        <v>1.7420454463858308</v>
      </c>
      <c r="E272" s="210">
        <f ca="1">D272*(1-$C$263)</f>
        <v>0.17420454463858304</v>
      </c>
      <c r="F272" s="208">
        <f ca="1">C272*E272*'Premissas (Legados)'!$C$54*'Premissas (Legados)'!$F$20*1000</f>
        <v>23014024.881320797</v>
      </c>
      <c r="K272" s="85"/>
      <c r="L272" s="84"/>
    </row>
    <row r="273" spans="2:13" ht="18.75" x14ac:dyDescent="0.3">
      <c r="B273" s="190" t="s">
        <v>379</v>
      </c>
      <c r="C273" s="213">
        <f>'Demanda (Legados)'!D18</f>
        <v>200</v>
      </c>
      <c r="D273" s="207">
        <f ca="1">'CWD 2027 Legados (sem desc.)'!D272</f>
        <v>1.7420454463858308</v>
      </c>
      <c r="E273" s="210">
        <f ca="1">D273*(1-$C$263)</f>
        <v>0.17420454463858304</v>
      </c>
      <c r="F273" s="208">
        <f ca="1">C273*E273*'Premissas (Legados)'!$C$54*'Premissas (Legados)'!$F$20*1000</f>
        <v>474369.26479069976</v>
      </c>
      <c r="K273" s="85"/>
      <c r="L273" s="84"/>
    </row>
    <row r="274" spans="2:13" ht="19.5" thickBot="1" x14ac:dyDescent="0.35">
      <c r="B274" s="190"/>
      <c r="C274" s="211"/>
      <c r="D274" s="211"/>
      <c r="E274" s="211"/>
      <c r="F274" s="209">
        <f ca="1">SUM(F268:F273)</f>
        <v>61110415.820710927</v>
      </c>
      <c r="K274" s="85"/>
      <c r="L274" s="84"/>
    </row>
    <row r="275" spans="2:13" ht="15.75" thickTop="1" x14ac:dyDescent="0.25">
      <c r="K275" s="85"/>
      <c r="L275" s="84"/>
    </row>
    <row r="276" spans="2:13" x14ac:dyDescent="0.25">
      <c r="E276" t="s">
        <v>102</v>
      </c>
      <c r="F276" s="177">
        <f ca="1">F254+M260+F274</f>
        <v>5285106102.1214504</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022B-2A61-4486-85F8-C3CEEBE66AFD}">
  <sheetPr codeName="Planilha19">
    <tabColor theme="1" tint="0.499984740745262"/>
  </sheetPr>
  <dimension ref="A1:V39"/>
  <sheetViews>
    <sheetView showGridLines="0" zoomScale="110" zoomScaleNormal="110" workbookViewId="0">
      <selection activeCell="D2" sqref="D2"/>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2027 Legados (com desc.)'!A246</f>
        <v>TEN1</v>
      </c>
      <c r="B2" s="261" t="str">
        <f>'CWD 2027 Legados (com desc.)'!B246</f>
        <v>PR-CARAGUATATUBA</v>
      </c>
      <c r="C2" s="262">
        <f>'CWD 2027 Legados (sem desc.)'!F24</f>
        <v>203630357.03025997</v>
      </c>
      <c r="D2" s="263">
        <f ca="1">'CWD 2027 Legados (com desc.)'!E246</f>
        <v>3.66483680863176</v>
      </c>
      <c r="E2" s="264">
        <f t="shared" ref="E2:E11" ca="1" si="0">IFERROR(C2*D2," ")</f>
        <v>746272027.7993238</v>
      </c>
      <c r="F2" s="298"/>
      <c r="L2" s="39" t="s">
        <v>53</v>
      </c>
      <c r="M2" s="38">
        <f ca="1">IFERROR($D$2+$C34," ")</f>
        <v>5.6795370701901779</v>
      </c>
      <c r="N2" s="38">
        <f ca="1">IFERROR($D$3+$C34," ")</f>
        <v>5.6795370701901779</v>
      </c>
      <c r="O2" s="38">
        <f ca="1">IFERROR($D$4+$C34," ")</f>
        <v>5.6795370701901779</v>
      </c>
      <c r="P2" s="38">
        <f ca="1">IFERROR($D$5+$C34," ")</f>
        <v>2.3472974511737039</v>
      </c>
      <c r="Q2" s="38" t="str">
        <f ca="1">IFERROR($D$6+$C34," ")</f>
        <v xml:space="preserve"> </v>
      </c>
      <c r="R2" s="38" t="str">
        <f ca="1">IFERROR($D$7+$C34," ")</f>
        <v xml:space="preserve"> </v>
      </c>
      <c r="S2" s="38">
        <f ca="1">IFERROR($D$8+$C34," ")</f>
        <v>5.6795370701901779</v>
      </c>
      <c r="T2" s="38">
        <f ca="1">IFERROR($D$9+$C34," ")</f>
        <v>2.3472974511737039</v>
      </c>
      <c r="U2" s="38">
        <f ca="1">IFERROR($D$10+$C34," ")</f>
        <v>2.3472974511737039</v>
      </c>
      <c r="V2" s="38">
        <f ca="1">IFERROR($D$11+$C34," ")</f>
        <v>2.3472974511737039</v>
      </c>
    </row>
    <row r="3" spans="1:22" s="33" customFormat="1" x14ac:dyDescent="0.25">
      <c r="A3" s="233" t="str">
        <f>'CWD 2027 Legados (com desc.)'!A247</f>
        <v>TEN2</v>
      </c>
      <c r="B3" s="236" t="str">
        <f>'CWD 2027 Legados (com desc.)'!B247</f>
        <v>PR-GNLBGB</v>
      </c>
      <c r="C3" s="237">
        <f>'CWD 2027 Legados (sem desc.)'!F25</f>
        <v>272305906.69999999</v>
      </c>
      <c r="D3" s="238">
        <f ca="1">'CWD 2027 Legados (com desc.)'!E247</f>
        <v>3.66483680863176</v>
      </c>
      <c r="E3" s="239">
        <f t="shared" ca="1" si="0"/>
        <v>997956710.08200574</v>
      </c>
      <c r="F3" s="298"/>
      <c r="L3" s="39" t="s">
        <v>64</v>
      </c>
      <c r="M3" s="38">
        <f t="shared" ref="M3:M7" ca="1" si="1">IFERROR($D$2+$C35," ")</f>
        <v>5.6795370701901788</v>
      </c>
      <c r="N3" s="38">
        <f t="shared" ref="N3:N7" ca="1" si="2">IFERROR($D$3+$C35," ")</f>
        <v>5.6795370701901788</v>
      </c>
      <c r="O3" s="38">
        <f t="shared" ref="O3:O7" ca="1" si="3">IFERROR($D$4+$C35," ")</f>
        <v>5.6795370701901788</v>
      </c>
      <c r="P3" s="38">
        <f t="shared" ref="P3:P7" ca="1" si="4">IFERROR($D$5+$C35," ")</f>
        <v>2.3472974511737039</v>
      </c>
      <c r="Q3" s="38" t="str">
        <f t="shared" ref="Q3:Q7" ca="1" si="5">IFERROR($D$6+$C35," ")</f>
        <v xml:space="preserve"> </v>
      </c>
      <c r="R3" s="38" t="str">
        <f t="shared" ref="R3:R7" ca="1" si="6">IFERROR($D$7+$C35," ")</f>
        <v xml:space="preserve"> </v>
      </c>
      <c r="S3" s="38">
        <f t="shared" ref="S3:S7" ca="1" si="7">IFERROR($D$8+$C35," ")</f>
        <v>5.6795370701901788</v>
      </c>
      <c r="T3" s="38">
        <f t="shared" ref="T3:T7" ca="1" si="8">IFERROR($D$9+$C35," ")</f>
        <v>2.3472974511737039</v>
      </c>
      <c r="U3" s="38">
        <f t="shared" ref="U3:U7" ca="1" si="9">IFERROR($D$10+$C35," ")</f>
        <v>2.3472974511737039</v>
      </c>
      <c r="V3" s="38">
        <f t="shared" ref="V3:V7" ca="1" si="10">IFERROR($D$11+$C35," ")</f>
        <v>2.3472974511737039</v>
      </c>
    </row>
    <row r="4" spans="1:22" x14ac:dyDescent="0.25">
      <c r="A4" s="233" t="str">
        <f>'CWD 2027 Legados (com desc.)'!A248</f>
        <v>TEN3</v>
      </c>
      <c r="B4" s="236" t="str">
        <f>'CWD 2027 Legados (com desc.)'!B248</f>
        <v>PR-ITABORAÍ</v>
      </c>
      <c r="C4" s="237">
        <f>'CWD 2027 Legados (sem desc.)'!F26</f>
        <v>184677865.92394</v>
      </c>
      <c r="D4" s="238">
        <f ca="1">'CWD 2027 Legados (com desc.)'!E248</f>
        <v>3.66483680863176</v>
      </c>
      <c r="E4" s="237">
        <f t="shared" ca="1" si="0"/>
        <v>676814240.77761638</v>
      </c>
      <c r="F4" s="298"/>
      <c r="L4" s="39" t="s">
        <v>193</v>
      </c>
      <c r="M4" s="38">
        <f t="shared" ca="1" si="1"/>
        <v>5.6795370701901788</v>
      </c>
      <c r="N4" s="38">
        <f t="shared" ca="1" si="2"/>
        <v>5.6795370701901788</v>
      </c>
      <c r="O4" s="38">
        <f t="shared" ca="1" si="3"/>
        <v>5.6795370701901788</v>
      </c>
      <c r="P4" s="38">
        <f t="shared" ca="1" si="4"/>
        <v>2.3472974511737039</v>
      </c>
      <c r="Q4" s="38" t="str">
        <f t="shared" ca="1" si="5"/>
        <v xml:space="preserve"> </v>
      </c>
      <c r="R4" s="38" t="str">
        <f t="shared" ca="1" si="6"/>
        <v xml:space="preserve"> </v>
      </c>
      <c r="S4" s="38">
        <f t="shared" ca="1" si="7"/>
        <v>5.6795370701901788</v>
      </c>
      <c r="T4" s="38">
        <f t="shared" ca="1" si="8"/>
        <v>2.3472974511737039</v>
      </c>
      <c r="U4" s="38">
        <f t="shared" ca="1" si="9"/>
        <v>2.3472974511737039</v>
      </c>
      <c r="V4" s="38">
        <f t="shared" ca="1" si="10"/>
        <v>2.3472974511737039</v>
      </c>
    </row>
    <row r="5" spans="1:22" ht="24" x14ac:dyDescent="0.25">
      <c r="A5" s="233" t="str">
        <f>'CWD 2027 Legados (com desc.)'!A249</f>
        <v>TEN4</v>
      </c>
      <c r="B5" s="236" t="str">
        <f>'CWD 2027 Legados (com desc.)'!B249</f>
        <v>PR-GASPAJ (INTERCONEXÃO)</v>
      </c>
      <c r="C5" s="237">
        <f>'CWD 2027 Legados (sem desc.)'!F27</f>
        <v>5214658.1133049997</v>
      </c>
      <c r="D5" s="238">
        <f ca="1">'CWD 2027 Legados (com desc.)'!E249</f>
        <v>0.33259718961528573</v>
      </c>
      <c r="E5" s="237">
        <f t="shared" ca="1" si="0"/>
        <v>1734380.6332897912</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2027 Legados (com desc.)'!A250</f>
        <v>TEN5</v>
      </c>
      <c r="B6" s="236" t="str">
        <f>'CWD 2027 Legados (com desc.)'!B250</f>
        <v>PR-REDUC</v>
      </c>
      <c r="C6" s="237">
        <f>'CWD 2027 Legados (sem desc.)'!F28</f>
        <v>0</v>
      </c>
      <c r="D6" s="238" t="str">
        <f>'CWD 2027 Legados (com desc.)'!E250</f>
        <v xml:space="preserve"> </v>
      </c>
      <c r="E6" s="237" t="str">
        <f t="shared" si="0"/>
        <v xml:space="preserve"> </v>
      </c>
      <c r="F6" s="298"/>
      <c r="L6" s="88" t="str">
        <f t="shared" ref="L6:L7" si="11">B29</f>
        <v>PE-REPLAN (INTERCONEXÃO)</v>
      </c>
      <c r="M6" s="38">
        <f t="shared" ca="1" si="1"/>
        <v>3.8390413532703431</v>
      </c>
      <c r="N6" s="38">
        <f t="shared" ca="1" si="2"/>
        <v>3.8390413532703431</v>
      </c>
      <c r="O6" s="38">
        <f t="shared" ca="1" si="3"/>
        <v>3.8390413532703431</v>
      </c>
      <c r="P6" s="38">
        <f t="shared" ca="1" si="4"/>
        <v>0.50680173425386876</v>
      </c>
      <c r="Q6" s="38" t="str">
        <f t="shared" ca="1" si="5"/>
        <v xml:space="preserve"> </v>
      </c>
      <c r="R6" s="38" t="str">
        <f t="shared" ca="1" si="6"/>
        <v xml:space="preserve"> </v>
      </c>
      <c r="S6" s="38">
        <f t="shared" ca="1" si="7"/>
        <v>3.8390413532703431</v>
      </c>
      <c r="T6" s="38">
        <f t="shared" ca="1" si="8"/>
        <v>0.50680173425386876</v>
      </c>
      <c r="U6" s="38">
        <f t="shared" ca="1" si="9"/>
        <v>0.50680173425386876</v>
      </c>
      <c r="V6" s="38">
        <f t="shared" ca="1" si="10"/>
        <v>0.50680173425386876</v>
      </c>
    </row>
    <row r="7" spans="1:22" x14ac:dyDescent="0.25">
      <c r="A7" s="233" t="str">
        <f>'CWD 2027 Legados (com desc.)'!A251</f>
        <v>TEN6</v>
      </c>
      <c r="B7" s="236" t="str">
        <f>'CWD 2027 Legados (com desc.)'!B251</f>
        <v>PR-RPBC</v>
      </c>
      <c r="C7" s="237">
        <f>'CWD 2027 Legados (sem desc.)'!F29</f>
        <v>0</v>
      </c>
      <c r="D7" s="238" t="str">
        <f>'CWD 2027 Legados (com desc.)'!E251</f>
        <v xml:space="preserve"> </v>
      </c>
      <c r="E7" s="237" t="str">
        <f t="shared" si="0"/>
        <v xml:space="preserve"> </v>
      </c>
      <c r="F7" s="298"/>
      <c r="L7" s="88" t="str">
        <f t="shared" si="11"/>
        <v>PE-TECAB (INTERCONEXÃO)</v>
      </c>
      <c r="M7" s="38">
        <f t="shared" ca="1" si="1"/>
        <v>3.8390413532703431</v>
      </c>
      <c r="N7" s="38">
        <f t="shared" ca="1" si="2"/>
        <v>3.8390413532703431</v>
      </c>
      <c r="O7" s="38">
        <f t="shared" ca="1" si="3"/>
        <v>3.8390413532703431</v>
      </c>
      <c r="P7" s="38">
        <f t="shared" ca="1" si="4"/>
        <v>0.50680173425386876</v>
      </c>
      <c r="Q7" s="38" t="str">
        <f t="shared" ca="1" si="5"/>
        <v xml:space="preserve"> </v>
      </c>
      <c r="R7" s="38" t="str">
        <f t="shared" ca="1" si="6"/>
        <v xml:space="preserve"> </v>
      </c>
      <c r="S7" s="38">
        <f t="shared" ca="1" si="7"/>
        <v>3.8390413532703431</v>
      </c>
      <c r="T7" s="38">
        <f t="shared" ca="1" si="8"/>
        <v>0.50680173425386876</v>
      </c>
      <c r="U7" s="38">
        <f t="shared" ca="1" si="9"/>
        <v>0.50680173425386876</v>
      </c>
      <c r="V7" s="38">
        <f t="shared" ca="1" si="10"/>
        <v>0.50680173425386876</v>
      </c>
    </row>
    <row r="8" spans="1:22" x14ac:dyDescent="0.25">
      <c r="A8" s="233" t="str">
        <f>'CWD 2027 Legados (com desc.)'!A252</f>
        <v>TEN7</v>
      </c>
      <c r="B8" s="236" t="str">
        <f>'CWD 2027 Legados (com desc.)'!B252</f>
        <v>PR-TECAB</v>
      </c>
      <c r="C8" s="237">
        <f>'CWD 2027 Legados (sem desc.)'!F30</f>
        <v>338598779.68611497</v>
      </c>
      <c r="D8" s="238">
        <f ca="1">'CWD 2027 Legados (com desc.)'!E252</f>
        <v>3.66483680863176</v>
      </c>
      <c r="E8" s="237">
        <f t="shared" ca="1" si="0"/>
        <v>1240909271.1514699</v>
      </c>
      <c r="F8" s="298"/>
      <c r="L8" s="32"/>
    </row>
    <row r="9" spans="1:22" x14ac:dyDescent="0.25">
      <c r="A9" s="233" t="str">
        <f>'CWD 2027 Legados (com desc.)'!A253</f>
        <v>TEN8</v>
      </c>
      <c r="B9" s="236" t="str">
        <f>'CWD 2027 Legados (com desc.)'!B253</f>
        <v>PR-GUARAREMA (INTERCONEXÃO)</v>
      </c>
      <c r="C9" s="237">
        <f>'CWD 2027 Legados (sem desc.)'!F31</f>
        <v>102455097.39587498</v>
      </c>
      <c r="D9" s="238">
        <f ca="1">'CWD 2027 Legados (com desc.)'!E253</f>
        <v>0.33259718961528573</v>
      </c>
      <c r="E9" s="237">
        <f t="shared" ca="1" si="0"/>
        <v>34076277.455628395</v>
      </c>
      <c r="F9" s="298"/>
      <c r="L9" s="32"/>
    </row>
    <row r="10" spans="1:22" x14ac:dyDescent="0.25">
      <c r="A10" s="233" t="str">
        <f>'CWD 2027 Legados (com desc.)'!A254</f>
        <v>TEN9</v>
      </c>
      <c r="B10" s="236" t="str">
        <f>'CWD 2027 Legados (com desc.)'!B254</f>
        <v>PR-REPLAN (INTERCONEXÃO)</v>
      </c>
      <c r="C10" s="237">
        <f>'CWD 2027 Legados (sem desc.)'!F32</f>
        <v>2723059.0670000003</v>
      </c>
      <c r="D10" s="238">
        <f ca="1">'CWD 2027 Legados (com desc.)'!E254</f>
        <v>0.33259718961528573</v>
      </c>
      <c r="E10" s="237">
        <f t="shared" ca="1" si="0"/>
        <v>905681.79284062213</v>
      </c>
      <c r="F10" s="298"/>
      <c r="L10" s="32"/>
    </row>
    <row r="11" spans="1:22" x14ac:dyDescent="0.25">
      <c r="A11" s="233" t="str">
        <f>'CWD 2027 Legados (com desc.)'!A255</f>
        <v>TEN10</v>
      </c>
      <c r="B11" s="236" t="str">
        <f>'CWD 2027 Legados (com desc.)'!B255</f>
        <v>PR-TECAB (INTERCONEXÃO)</v>
      </c>
      <c r="C11" s="237">
        <f>'CWD 2027 Legados (sem desc.)'!F33</f>
        <v>2723059.0670000003</v>
      </c>
      <c r="D11" s="238">
        <f ca="1">'CWD 2027 Legados (com desc.)'!E255</f>
        <v>0.33259718961528573</v>
      </c>
      <c r="E11" s="237">
        <f t="shared" ca="1" si="0"/>
        <v>905681.79284062213</v>
      </c>
      <c r="F11" s="298"/>
      <c r="L11" s="32"/>
    </row>
    <row r="12" spans="1:22" x14ac:dyDescent="0.25">
      <c r="E12" s="36">
        <f ca="1">SUM(E2:E11)</f>
        <v>3699574271.4850149</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2027 Legados (com desc.)'!H246</f>
        <v>TEX1</v>
      </c>
      <c r="B15" s="237" t="str">
        <f>'CWD 2027 Legados (com desc.)'!I246</f>
        <v>NTS MG 1</v>
      </c>
      <c r="C15" s="237">
        <f>'CWD 2027 Legados (sem desc.)'!F41</f>
        <v>9095017.2837799974</v>
      </c>
      <c r="D15" s="237"/>
      <c r="E15" s="240">
        <f ca="1">'CWD 2027 Legados (com desc.)'!L246</f>
        <v>2.0147002615584184</v>
      </c>
      <c r="F15" s="246">
        <f ca="1">IFERROR(C15*E15," ")</f>
        <v>18323733.700509898</v>
      </c>
      <c r="G15" s="249"/>
      <c r="H15" s="255" t="str">
        <f>IFERROR(G15/D15," ")</f>
        <v xml:space="preserve"> </v>
      </c>
      <c r="I15" s="37"/>
      <c r="J15" s="37"/>
      <c r="L15" s="30"/>
    </row>
    <row r="16" spans="1:22" x14ac:dyDescent="0.25">
      <c r="A16" s="237" t="str">
        <f>'CWD 2027 Legados (com desc.)'!H247</f>
        <v>TEX2</v>
      </c>
      <c r="B16" s="237" t="str">
        <f>'CWD 2027 Legados (com desc.)'!I247</f>
        <v>NTS MG 2</v>
      </c>
      <c r="C16" s="237">
        <f>'CWD 2027 Legados (sem desc.)'!F42</f>
        <v>24834298.691039998</v>
      </c>
      <c r="D16" s="237"/>
      <c r="E16" s="240">
        <f ca="1">'CWD 2027 Legados (com desc.)'!L247</f>
        <v>2.0147002615584184</v>
      </c>
      <c r="F16" s="246">
        <f t="shared" ref="F16:F30" ca="1" si="12">IFERROR(C16*E16," ")</f>
        <v>50033668.06845817</v>
      </c>
      <c r="G16" s="258"/>
      <c r="H16" s="256" t="str">
        <f t="shared" ref="H16:H30" si="13">IFERROR(G16/D16," ")</f>
        <v xml:space="preserve"> </v>
      </c>
      <c r="I16" s="37"/>
      <c r="J16" s="37"/>
      <c r="L16" s="30"/>
    </row>
    <row r="17" spans="1:12" x14ac:dyDescent="0.25">
      <c r="A17" s="237" t="str">
        <f>'CWD 2027 Legados (com desc.)'!H248</f>
        <v>TEX3</v>
      </c>
      <c r="B17" s="237" t="str">
        <f>'CWD 2027 Legados (com desc.)'!I248</f>
        <v>NTS MG 3</v>
      </c>
      <c r="C17" s="237">
        <f>'CWD 2027 Legados (sem desc.)'!F43</f>
        <v>40873116.59567</v>
      </c>
      <c r="D17" s="237"/>
      <c r="E17" s="240">
        <f ca="1">'CWD 2027 Legados (com desc.)'!L248</f>
        <v>2.0147002615584184</v>
      </c>
      <c r="F17" s="246">
        <f ca="1">IFERROR(C17*E17," ")</f>
        <v>82347078.696004078</v>
      </c>
      <c r="G17" s="251"/>
      <c r="H17" s="257" t="str">
        <f t="shared" si="13"/>
        <v xml:space="preserve"> </v>
      </c>
      <c r="I17" s="37"/>
      <c r="J17" s="37"/>
      <c r="L17" s="30"/>
    </row>
    <row r="18" spans="1:12" x14ac:dyDescent="0.25">
      <c r="A18" s="242" t="str">
        <f>'CWD 2027 Legados (com desc.)'!H249</f>
        <v>TEX4</v>
      </c>
      <c r="B18" s="242" t="str">
        <f>'CWD 2027 Legados (com desc.)'!I249</f>
        <v>NTS MG 4</v>
      </c>
      <c r="C18" s="242">
        <f>'CWD 2027 Legados (sem desc.)'!F44</f>
        <v>4778968.6625849996</v>
      </c>
      <c r="D18" s="242">
        <f>SUM(C15:C18)</f>
        <v>79581401.233075008</v>
      </c>
      <c r="E18" s="243">
        <f ca="1">'CWD 2027 Legados (com desc.)'!L249</f>
        <v>2.0147002615584184</v>
      </c>
      <c r="F18" s="242">
        <f ca="1">IFERROR(C18*E18," ")</f>
        <v>9628189.4144894835</v>
      </c>
      <c r="G18" s="254">
        <f ca="1">SUM(F15:F18)</f>
        <v>160332669.87946162</v>
      </c>
      <c r="H18" s="252">
        <f t="shared" ca="1" si="13"/>
        <v>2.014700261558418</v>
      </c>
      <c r="I18" s="298"/>
      <c r="J18"/>
      <c r="L18" s="30"/>
    </row>
    <row r="19" spans="1:12" x14ac:dyDescent="0.25">
      <c r="A19" s="237" t="str">
        <f>'CWD 2027 Legados (com desc.)'!H250</f>
        <v>TEX5</v>
      </c>
      <c r="B19" s="237" t="str">
        <f>'CWD 2027 Legados (com desc.)'!I250</f>
        <v>NTS RJ 1</v>
      </c>
      <c r="C19" s="237">
        <f>'CWD 2027 Legados (sem desc.)'!F45</f>
        <v>239288815.51262498</v>
      </c>
      <c r="D19" s="237"/>
      <c r="E19" s="240">
        <f ca="1">'CWD 2027 Legados (com desc.)'!L250</f>
        <v>2.0147002615584184</v>
      </c>
      <c r="F19" s="246">
        <f t="shared" ca="1" si="12"/>
        <v>482095239.20128965</v>
      </c>
      <c r="G19" s="249"/>
      <c r="H19" s="255" t="str">
        <f t="shared" si="13"/>
        <v xml:space="preserve"> </v>
      </c>
      <c r="I19"/>
      <c r="J19"/>
      <c r="L19" s="30"/>
    </row>
    <row r="20" spans="1:12" x14ac:dyDescent="0.25">
      <c r="A20" s="237" t="str">
        <f>'CWD 2027 Legados (com desc.)'!H251</f>
        <v>TEX6</v>
      </c>
      <c r="B20" s="237" t="str">
        <f>'CWD 2027 Legados (com desc.)'!I251</f>
        <v>NTS RJ 2</v>
      </c>
      <c r="C20" s="237">
        <f>'CWD 2027 Legados (sem desc.)'!F46</f>
        <v>152858920.72604498</v>
      </c>
      <c r="D20" s="237"/>
      <c r="E20" s="240">
        <f ca="1">'CWD 2027 Legados (com desc.)'!L251</f>
        <v>2.0147002615584184</v>
      </c>
      <c r="F20" s="246">
        <f t="shared" ca="1" si="12"/>
        <v>307964907.56830037</v>
      </c>
      <c r="G20" s="250"/>
      <c r="H20" s="256" t="str">
        <f t="shared" si="13"/>
        <v xml:space="preserve"> </v>
      </c>
      <c r="I20"/>
      <c r="J20"/>
      <c r="L20" s="30"/>
    </row>
    <row r="21" spans="1:12" x14ac:dyDescent="0.25">
      <c r="A21" s="237" t="str">
        <f>'CWD 2027 Legados (com desc.)'!H252</f>
        <v>TEX7</v>
      </c>
      <c r="B21" s="237" t="str">
        <f>'CWD 2027 Legados (com desc.)'!I252</f>
        <v>NTS RJ 3</v>
      </c>
      <c r="C21" s="237">
        <f>'CWD 2027 Legados (sem desc.)'!F47</f>
        <v>28360660.182804998</v>
      </c>
      <c r="D21" s="245"/>
      <c r="E21" s="240">
        <f ca="1">'CWD 2027 Legados (com desc.)'!L252</f>
        <v>2.0147002615584184</v>
      </c>
      <c r="F21" s="246">
        <f t="shared" ca="1" si="12"/>
        <v>57138229.488266654</v>
      </c>
      <c r="G21" s="253"/>
      <c r="H21" s="256" t="str">
        <f t="shared" si="13"/>
        <v xml:space="preserve"> </v>
      </c>
      <c r="I21"/>
      <c r="J21"/>
      <c r="L21" s="30"/>
    </row>
    <row r="22" spans="1:12" x14ac:dyDescent="0.25">
      <c r="A22" s="237" t="str">
        <f>'CWD 2027 Legados (com desc.)'!H253</f>
        <v>TEX8</v>
      </c>
      <c r="B22" s="237" t="str">
        <f>'CWD 2027 Legados (com desc.)'!I253</f>
        <v>NTS RJ 4</v>
      </c>
      <c r="C22" s="237">
        <f>'CWD 2027 Legados (sem desc.)'!F48</f>
        <v>4629200.4139</v>
      </c>
      <c r="D22" s="237"/>
      <c r="E22" s="240">
        <f ca="1">'CWD 2027 Legados (com desc.)'!L253</f>
        <v>2.0147002615584184</v>
      </c>
      <c r="F22" s="246">
        <f t="shared" ca="1" si="12"/>
        <v>9326451.2846906688</v>
      </c>
      <c r="G22" s="251"/>
      <c r="H22" s="257" t="str">
        <f t="shared" si="13"/>
        <v xml:space="preserve"> </v>
      </c>
      <c r="I22"/>
      <c r="J22"/>
      <c r="L22" s="30"/>
    </row>
    <row r="23" spans="1:12" x14ac:dyDescent="0.25">
      <c r="A23" s="242" t="str">
        <f>'CWD 2027 Legados (com desc.)'!H254</f>
        <v>TEX9</v>
      </c>
      <c r="B23" s="242" t="str">
        <f>'CWD 2027 Legados (com desc.)'!I254</f>
        <v>NTS RJ 5</v>
      </c>
      <c r="C23" s="242">
        <f>'CWD 2027 Legados (sem desc.)'!F49</f>
        <v>30620799.208414994</v>
      </c>
      <c r="D23" s="242">
        <f>SUM(C19:C23)</f>
        <v>455758396.04378998</v>
      </c>
      <c r="E23" s="243">
        <f ca="1">'CWD 2027 Legados (com desc.)'!L254</f>
        <v>2.0147002615584184</v>
      </c>
      <c r="F23" s="242">
        <f t="shared" ca="1" si="12"/>
        <v>61691732.174321502</v>
      </c>
      <c r="G23" s="254">
        <f ca="1">SUM(F19:F23)</f>
        <v>918216559.71686888</v>
      </c>
      <c r="H23" s="252">
        <f t="shared" ca="1" si="13"/>
        <v>2.0147002615584184</v>
      </c>
      <c r="I23" s="298"/>
      <c r="J23"/>
    </row>
    <row r="24" spans="1:12" x14ac:dyDescent="0.25">
      <c r="A24" s="237" t="str">
        <f>'CWD 2027 Legados (com desc.)'!H255</f>
        <v>TEX10</v>
      </c>
      <c r="B24" s="237" t="str">
        <f>'CWD 2027 Legados (com desc.)'!I255</f>
        <v>NTS SP 1</v>
      </c>
      <c r="C24" s="237">
        <f>'CWD 2027 Legados (sem desc.)'!F50</f>
        <v>15807357.883934999</v>
      </c>
      <c r="D24" s="237"/>
      <c r="E24" s="240">
        <f ca="1">'CWD 2027 Legados (com desc.)'!L255</f>
        <v>2.0147002615584184</v>
      </c>
      <c r="F24" s="246">
        <f t="shared" ca="1" si="12"/>
        <v>31847088.063311368</v>
      </c>
      <c r="G24" s="249"/>
      <c r="H24" s="255" t="str">
        <f t="shared" si="13"/>
        <v xml:space="preserve"> </v>
      </c>
      <c r="I24"/>
      <c r="J24"/>
    </row>
    <row r="25" spans="1:12" x14ac:dyDescent="0.25">
      <c r="A25" s="237" t="str">
        <f>'CWD 2027 Legados (com desc.)'!H256</f>
        <v>TEX11</v>
      </c>
      <c r="B25" s="237" t="str">
        <f>'CWD 2027 Legados (com desc.)'!I256</f>
        <v>NTS SP 2</v>
      </c>
      <c r="C25" s="237">
        <f>'CWD 2027 Legados (sem desc.)'!F51</f>
        <v>41717264.906439997</v>
      </c>
      <c r="D25" s="237"/>
      <c r="E25" s="240">
        <f ca="1">'CWD 2027 Legados (com desc.)'!L256</f>
        <v>2.0147002615584184</v>
      </c>
      <c r="F25" s="246">
        <f t="shared" ca="1" si="12"/>
        <v>84047784.518506497</v>
      </c>
      <c r="G25" s="250"/>
      <c r="H25" s="256" t="str">
        <f t="shared" si="13"/>
        <v xml:space="preserve"> </v>
      </c>
      <c r="I25"/>
      <c r="J25"/>
    </row>
    <row r="26" spans="1:12" x14ac:dyDescent="0.25">
      <c r="A26" s="237" t="str">
        <f>'CWD 2027 Legados (com desc.)'!H257</f>
        <v>TEX12</v>
      </c>
      <c r="B26" s="237" t="str">
        <f>'CWD 2027 Legados (com desc.)'!I257</f>
        <v>NTS SP 3</v>
      </c>
      <c r="C26" s="237">
        <f>'CWD 2027 Legados (sem desc.)'!F52</f>
        <v>129086615.071135</v>
      </c>
      <c r="D26" s="245"/>
      <c r="E26" s="240">
        <f ca="1">'CWD 2027 Legados (com desc.)'!L257</f>
        <v>2.0147002615584184</v>
      </c>
      <c r="F26" s="246">
        <f t="shared" ca="1" si="12"/>
        <v>260070837.14750656</v>
      </c>
      <c r="G26" s="259"/>
      <c r="H26" s="257" t="str">
        <f t="shared" si="13"/>
        <v xml:space="preserve"> </v>
      </c>
      <c r="I26"/>
      <c r="J26"/>
    </row>
    <row r="27" spans="1:12" x14ac:dyDescent="0.25">
      <c r="A27" s="242" t="str">
        <f>'CWD 2027 Legados (com desc.)'!H258</f>
        <v>TEX13</v>
      </c>
      <c r="B27" s="242" t="str">
        <f>'CWD 2027 Legados (com desc.)'!I258</f>
        <v>NTS SP 4</v>
      </c>
      <c r="C27" s="242">
        <f>'CWD 2027 Legados (sem desc.)'!F53</f>
        <v>53371957.713199995</v>
      </c>
      <c r="D27" s="242">
        <f>SUM(C24:C27)</f>
        <v>239983195.57470998</v>
      </c>
      <c r="E27" s="243">
        <f ca="1">'CWD 2027 Legados (com desc.)'!L258</f>
        <v>2.0147002615584184</v>
      </c>
      <c r="F27" s="242">
        <f t="shared" ca="1" si="12"/>
        <v>107528497.16466887</v>
      </c>
      <c r="G27" s="247">
        <f ca="1">SUM(F24:F27)</f>
        <v>483494206.89399332</v>
      </c>
      <c r="H27" s="248">
        <f t="shared" ca="1" si="13"/>
        <v>2.0147002615584184</v>
      </c>
      <c r="I27" s="298"/>
      <c r="J27"/>
    </row>
    <row r="28" spans="1:12" x14ac:dyDescent="0.25">
      <c r="A28" s="237" t="str">
        <f>'CWD 2027 Legados (com desc.)'!H259</f>
        <v>TEX14</v>
      </c>
      <c r="B28" s="237" t="str">
        <f>'CWD 2027 Legados (com desc.)'!I259</f>
        <v>PE-GUARAREMA (INTERCONEXÃO)</v>
      </c>
      <c r="C28" s="237">
        <f>'CWD 2027 Legados (sem desc.)'!F54</f>
        <v>0</v>
      </c>
      <c r="D28" s="237">
        <f>C28</f>
        <v>0</v>
      </c>
      <c r="E28" s="240">
        <f>'CWD 2027 Legados (com desc.)'!L259</f>
        <v>0</v>
      </c>
      <c r="F28" s="237">
        <f t="shared" si="12"/>
        <v>0</v>
      </c>
      <c r="G28" s="237">
        <f>F28</f>
        <v>0</v>
      </c>
      <c r="H28" s="241" t="str">
        <f t="shared" si="13"/>
        <v xml:space="preserve"> </v>
      </c>
      <c r="I28"/>
      <c r="J28"/>
    </row>
    <row r="29" spans="1:12" x14ac:dyDescent="0.25">
      <c r="A29" s="242" t="str">
        <f>'CWD 2027 Legados (com desc.)'!H260</f>
        <v>TEX15</v>
      </c>
      <c r="B29" s="242" t="str">
        <f>'CWD 2027 Legados (com desc.)'!I260</f>
        <v>PE-REPLAN (INTERCONEXÃO)</v>
      </c>
      <c r="C29" s="242">
        <f>'CWD 2027 Legados (sem desc.)'!F55</f>
        <v>132109210.63550498</v>
      </c>
      <c r="D29" s="242">
        <f t="shared" ref="D29:D30" si="14">C29</f>
        <v>132109210.63550498</v>
      </c>
      <c r="E29" s="243">
        <f ca="1">'CWD 2027 Legados (com desc.)'!L260</f>
        <v>0.17420454463858304</v>
      </c>
      <c r="F29" s="242">
        <f t="shared" ca="1" si="12"/>
        <v>23014024.881320797</v>
      </c>
      <c r="G29" s="242">
        <f t="shared" ref="G29:G30" ca="1" si="15">F29</f>
        <v>23014024.881320797</v>
      </c>
      <c r="H29" s="244">
        <f t="shared" ca="1" si="13"/>
        <v>0.17420454463858304</v>
      </c>
      <c r="I29" s="298"/>
      <c r="J29"/>
    </row>
    <row r="30" spans="1:12" x14ac:dyDescent="0.25">
      <c r="A30" s="237" t="str">
        <f>'CWD 2027 Legados (com desc.)'!H261</f>
        <v>TEX16</v>
      </c>
      <c r="B30" s="237" t="str">
        <f>'CWD 2027 Legados (com desc.)'!I261</f>
        <v>PE-TECAB (INTERCONEXÃO)</v>
      </c>
      <c r="C30" s="237">
        <f>'CWD 2027 Legados (sem desc.)'!F56</f>
        <v>2723059.0670000003</v>
      </c>
      <c r="D30" s="237">
        <f t="shared" si="14"/>
        <v>2723059.0670000003</v>
      </c>
      <c r="E30" s="240">
        <f ca="1">'CWD 2027 Legados (com desc.)'!L261</f>
        <v>0.17420454463858304</v>
      </c>
      <c r="F30" s="237">
        <f t="shared" ca="1" si="12"/>
        <v>474369.26479069982</v>
      </c>
      <c r="G30" s="237">
        <f t="shared" ca="1" si="15"/>
        <v>474369.26479069982</v>
      </c>
      <c r="H30" s="241">
        <f t="shared" ca="1" si="13"/>
        <v>0.17420454463858304</v>
      </c>
      <c r="I30" s="298"/>
      <c r="J30" s="37"/>
    </row>
    <row r="31" spans="1:12" x14ac:dyDescent="0.25">
      <c r="C31" s="36">
        <f>SUM(C15:C30)</f>
        <v>910155262.55408001</v>
      </c>
      <c r="D31" s="36">
        <f>SUM(D15:D30)</f>
        <v>910155262.55408001</v>
      </c>
      <c r="F31" s="36">
        <f ca="1">SUM(F15:F30)</f>
        <v>1585531830.636435</v>
      </c>
      <c r="G31" s="36">
        <f ca="1">SUM(G15:G30)</f>
        <v>1585531830.6364353</v>
      </c>
    </row>
    <row r="32" spans="1:12" x14ac:dyDescent="0.25">
      <c r="C32" s="36"/>
      <c r="D32" s="36"/>
      <c r="F32" s="36"/>
      <c r="G32" s="36"/>
    </row>
    <row r="33" spans="2:3" x14ac:dyDescent="0.25">
      <c r="C33" s="34" t="s">
        <v>192</v>
      </c>
    </row>
    <row r="34" spans="2:3" x14ac:dyDescent="0.25">
      <c r="B34" s="39" t="s">
        <v>53</v>
      </c>
      <c r="C34" s="37">
        <f ca="1">H18</f>
        <v>2.014700261558418</v>
      </c>
    </row>
    <row r="35" spans="2:3" x14ac:dyDescent="0.25">
      <c r="B35" s="39" t="s">
        <v>64</v>
      </c>
      <c r="C35" s="37">
        <f ca="1">H23</f>
        <v>2.0147002615584184</v>
      </c>
    </row>
    <row r="36" spans="2:3" x14ac:dyDescent="0.25">
      <c r="B36" s="39" t="s">
        <v>193</v>
      </c>
      <c r="C36" s="37">
        <f ca="1">H27</f>
        <v>2.0147002615584184</v>
      </c>
    </row>
    <row r="37" spans="2:3" x14ac:dyDescent="0.25">
      <c r="B37" s="88" t="s">
        <v>199</v>
      </c>
      <c r="C37" s="37" t="str">
        <f>H28</f>
        <v xml:space="preserve"> </v>
      </c>
    </row>
    <row r="38" spans="2:3" x14ac:dyDescent="0.25">
      <c r="B38" s="88" t="s">
        <v>198</v>
      </c>
      <c r="C38" s="37">
        <f t="shared" ref="C38:C39" ca="1" si="16">H29</f>
        <v>0.17420454463858304</v>
      </c>
    </row>
    <row r="39" spans="2:3" x14ac:dyDescent="0.25">
      <c r="B39" s="88" t="s">
        <v>197</v>
      </c>
      <c r="C39" s="37">
        <f t="shared" ca="1" si="16"/>
        <v>0.17420454463858304</v>
      </c>
    </row>
  </sheetData>
  <pageMargins left="0.511811024" right="0.511811024" top="0.78740157499999996" bottom="0.78740157499999996" header="0.31496062000000002" footer="0.3149606200000000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B1121-38F2-4BDE-B7F5-15E06383D28B}">
  <sheetPr codeName="Planilha37">
    <tabColor theme="5"/>
  </sheetPr>
  <dimension ref="A2:AA302"/>
  <sheetViews>
    <sheetView showGridLines="0" topLeftCell="A256" zoomScale="70" zoomScaleNormal="70" workbookViewId="0">
      <selection activeCell="C272" sqref="C272"/>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2028</v>
      </c>
    </row>
    <row r="4" spans="1:9" ht="18.75" thickBot="1" x14ac:dyDescent="0.3">
      <c r="A4" s="162"/>
      <c r="B4" s="163" t="s">
        <v>102</v>
      </c>
      <c r="C4" s="164" t="s">
        <v>200</v>
      </c>
      <c r="D4" s="306">
        <f>('Premissas (BRA)'!D33)/1000</f>
        <v>2149.1803777591786</v>
      </c>
      <c r="E4" s="166" t="s">
        <v>103</v>
      </c>
      <c r="F4" s="162"/>
      <c r="G4" s="162"/>
      <c r="H4" s="177"/>
      <c r="I4" s="177"/>
    </row>
    <row r="5" spans="1:9" ht="18" x14ac:dyDescent="0.25">
      <c r="A5" s="148">
        <f>HLOOKUP($G$3,'Premissas (BRA)'!$B$5:$F$13,9,FALSE)</f>
        <v>0.7</v>
      </c>
      <c r="B5" s="149" t="s">
        <v>104</v>
      </c>
      <c r="C5" s="150" t="s">
        <v>201</v>
      </c>
      <c r="D5" s="307">
        <f>$A$5*$D$4</f>
        <v>1504.4262644314249</v>
      </c>
      <c r="E5" s="152" t="s">
        <v>105</v>
      </c>
      <c r="F5" s="153"/>
      <c r="G5" s="153"/>
      <c r="H5" s="177"/>
    </row>
    <row r="6" spans="1:9" ht="30" x14ac:dyDescent="0.25">
      <c r="A6" s="48"/>
      <c r="B6" s="154" t="s">
        <v>106</v>
      </c>
      <c r="C6" s="155" t="s">
        <v>202</v>
      </c>
      <c r="D6" s="308">
        <f>$C$34*'Premissas (BRA)'!$D$20</f>
        <v>13435088.063062582</v>
      </c>
      <c r="E6" s="154" t="s">
        <v>107</v>
      </c>
      <c r="F6" s="172">
        <f>F34</f>
        <v>501158059.80912369</v>
      </c>
      <c r="G6" s="40" t="s">
        <v>108</v>
      </c>
    </row>
    <row r="7" spans="1:9" ht="18.75" thickBot="1" x14ac:dyDescent="0.3">
      <c r="A7" s="157"/>
      <c r="B7" s="158" t="s">
        <v>109</v>
      </c>
      <c r="C7" s="159" t="s">
        <v>203</v>
      </c>
      <c r="D7" s="160">
        <f>$D$5/$D$6*1000</f>
        <v>0.11197740255738114</v>
      </c>
      <c r="E7" s="161" t="s">
        <v>110</v>
      </c>
      <c r="F7" s="309">
        <f>$D$5/$F$6*1000000</f>
        <v>3.0018997699137402</v>
      </c>
      <c r="G7" s="170" t="s">
        <v>15</v>
      </c>
      <c r="I7" s="177"/>
    </row>
    <row r="8" spans="1:9" ht="18" x14ac:dyDescent="0.25">
      <c r="A8" s="148">
        <f>1-A5</f>
        <v>0.30000000000000004</v>
      </c>
      <c r="B8" s="149" t="s">
        <v>111</v>
      </c>
      <c r="C8" s="150" t="s">
        <v>204</v>
      </c>
      <c r="D8" s="307">
        <f>$A$8*$D$4</f>
        <v>644.75411332775366</v>
      </c>
      <c r="E8" s="152" t="s">
        <v>105</v>
      </c>
      <c r="F8" s="173"/>
      <c r="G8" s="171"/>
    </row>
    <row r="9" spans="1:9" ht="30" x14ac:dyDescent="0.25">
      <c r="B9" s="154" t="s">
        <v>112</v>
      </c>
      <c r="C9" s="155" t="s">
        <v>205</v>
      </c>
      <c r="D9" s="308">
        <f>$C$57*'Premissas (BRA)'!$D$20</f>
        <v>7745262.6754228016</v>
      </c>
      <c r="E9" s="154" t="s">
        <v>107</v>
      </c>
      <c r="F9" s="172">
        <f>F57</f>
        <v>288915174.7206403</v>
      </c>
      <c r="G9" s="40" t="s">
        <v>108</v>
      </c>
    </row>
    <row r="10" spans="1:9" ht="18.75" thickBot="1" x14ac:dyDescent="0.3">
      <c r="A10" s="167"/>
      <c r="B10" s="158" t="s">
        <v>113</v>
      </c>
      <c r="C10" s="159" t="s">
        <v>206</v>
      </c>
      <c r="D10" s="160">
        <f>$D$8/$D$9*1000</f>
        <v>8.3244964095753868E-2</v>
      </c>
      <c r="E10" s="161" t="s">
        <v>110</v>
      </c>
      <c r="F10" s="309">
        <f>$D$8/$F$9*1000000</f>
        <v>2.2316381060675798</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v>37.302179000000002</v>
      </c>
      <c r="I18" s="49"/>
    </row>
    <row r="19" spans="1:9" ht="18" x14ac:dyDescent="0.35">
      <c r="A19" t="s">
        <v>210</v>
      </c>
      <c r="B19" t="s">
        <v>122</v>
      </c>
      <c r="C19" s="19"/>
      <c r="H19" s="55">
        <v>3.7302178999999998E-2</v>
      </c>
      <c r="I19" s="49"/>
    </row>
    <row r="20" spans="1:9" x14ac:dyDescent="0.25">
      <c r="C20" s="19"/>
      <c r="H20" s="55"/>
      <c r="I20" s="49"/>
    </row>
    <row r="21" spans="1:9" x14ac:dyDescent="0.25">
      <c r="A21" s="203"/>
      <c r="B21" s="203"/>
      <c r="C21" s="374">
        <v>2028</v>
      </c>
      <c r="F21" s="376">
        <v>2028</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(BRA)'!E3</f>
        <v>11121.869070475715</v>
      </c>
      <c r="E24" s="60"/>
      <c r="F24" s="15">
        <f>IFERROR($C24*$H$19*'Premissas (BRA)'!$D$20*1000," ")</f>
        <v>151842402.02261025</v>
      </c>
      <c r="G24" s="49"/>
    </row>
    <row r="25" spans="1:9" x14ac:dyDescent="0.25">
      <c r="A25" s="2" t="s">
        <v>125</v>
      </c>
      <c r="B25" s="16" t="s">
        <v>26</v>
      </c>
      <c r="C25" s="231">
        <f>'Oferta (BRA)'!E4</f>
        <v>200</v>
      </c>
      <c r="E25" s="60"/>
      <c r="F25" s="15">
        <f>IFERROR($C25*$H$19*'Premissas (BRA)'!$D$20*1000," ")</f>
        <v>2730519.5027999999</v>
      </c>
      <c r="G25" s="49"/>
    </row>
    <row r="26" spans="1:9" x14ac:dyDescent="0.25">
      <c r="A26" s="2" t="s">
        <v>126</v>
      </c>
      <c r="B26" s="16" t="s">
        <v>411</v>
      </c>
      <c r="C26" s="231">
        <f>'Oferta (BRA)'!E5</f>
        <v>13564</v>
      </c>
      <c r="D26" s="18"/>
      <c r="E26" s="60"/>
      <c r="F26" s="15">
        <f>IFERROR($C26*$H$19*'Premissas (BRA)'!$D$20*1000," ")</f>
        <v>185183832.679896</v>
      </c>
      <c r="G26" s="49"/>
    </row>
    <row r="27" spans="1:9" x14ac:dyDescent="0.25">
      <c r="A27" s="2" t="s">
        <v>127</v>
      </c>
      <c r="B27" s="16" t="s">
        <v>388</v>
      </c>
      <c r="C27" s="231">
        <f>'Oferta (BRA)'!E6</f>
        <v>258</v>
      </c>
      <c r="D27" s="18"/>
      <c r="E27" s="60"/>
      <c r="F27" s="15">
        <f>IFERROR($C27*$H$19*'Premissas (BRA)'!$D$20*1000," ")</f>
        <v>3522370.1586120003</v>
      </c>
      <c r="G27" s="49"/>
    </row>
    <row r="28" spans="1:9" x14ac:dyDescent="0.25">
      <c r="A28" s="2" t="s">
        <v>128</v>
      </c>
      <c r="B28" s="16" t="s">
        <v>27</v>
      </c>
      <c r="C28" s="231">
        <f>'Oferta (BRA)'!E7</f>
        <v>0</v>
      </c>
      <c r="D28" s="18"/>
      <c r="E28" s="60"/>
      <c r="F28" s="15">
        <f>IFERROR($C28*$H$19*'Premissas (BRA)'!$D$20*1000," ")</f>
        <v>0</v>
      </c>
      <c r="G28" s="49"/>
    </row>
    <row r="29" spans="1:9" x14ac:dyDescent="0.25">
      <c r="A29" s="2" t="s">
        <v>183</v>
      </c>
      <c r="B29" s="16" t="s">
        <v>29</v>
      </c>
      <c r="C29" s="231">
        <f>'Oferta (BRA)'!E8</f>
        <v>0</v>
      </c>
      <c r="D29" s="18"/>
      <c r="E29" s="60"/>
      <c r="F29" s="15">
        <f>IFERROR($C29*$H$19*'Premissas (BRA)'!$D$20*1000," ")</f>
        <v>0</v>
      </c>
      <c r="G29" s="49"/>
    </row>
    <row r="30" spans="1:9" x14ac:dyDescent="0.25">
      <c r="A30" s="2" t="s">
        <v>129</v>
      </c>
      <c r="B30" s="16" t="s">
        <v>24</v>
      </c>
      <c r="C30" s="231">
        <f>'Oferta (BRA)'!E9</f>
        <v>7765.8207892267164</v>
      </c>
      <c r="D30" s="18"/>
      <c r="E30" s="60"/>
      <c r="F30" s="15">
        <f>IFERROR($C30*$H$19*'Premissas (BRA)'!$D$20*1000," ")</f>
        <v>106023625.60116619</v>
      </c>
      <c r="G30" s="49"/>
    </row>
    <row r="31" spans="1:9" x14ac:dyDescent="0.25">
      <c r="A31" s="2" t="s">
        <v>184</v>
      </c>
      <c r="B31" s="16" t="s">
        <v>194</v>
      </c>
      <c r="C31" s="231">
        <f>'Oferta (BRA)'!E10</f>
        <v>3398.2010229822185</v>
      </c>
      <c r="D31" s="18"/>
      <c r="E31" s="60"/>
      <c r="F31" s="15">
        <f>IFERROR($C31*$H$19*'Premissas (BRA)'!$D$20*1000," ")</f>
        <v>46394270.838439293</v>
      </c>
      <c r="G31" s="49"/>
    </row>
    <row r="32" spans="1:9" x14ac:dyDescent="0.25">
      <c r="A32" s="2" t="s">
        <v>130</v>
      </c>
      <c r="B32" s="16" t="s">
        <v>196</v>
      </c>
      <c r="C32" s="231">
        <f>'Oferta (BRA)'!E11</f>
        <v>200</v>
      </c>
      <c r="D32" s="18"/>
      <c r="E32" s="60"/>
      <c r="F32" s="15">
        <f>IFERROR($C32*$H$19*'Premissas (BRA)'!$D$20*1000," ")</f>
        <v>2730519.5027999999</v>
      </c>
      <c r="G32" s="49"/>
    </row>
    <row r="33" spans="1:8" x14ac:dyDescent="0.25">
      <c r="A33" s="2" t="s">
        <v>131</v>
      </c>
      <c r="B33" s="16" t="s">
        <v>195</v>
      </c>
      <c r="C33" s="231">
        <f>'Oferta (BRA)'!E12</f>
        <v>200</v>
      </c>
      <c r="D33" s="18"/>
      <c r="E33" s="60"/>
      <c r="F33" s="15">
        <f>IFERROR($C33*$H$19*'Premissas (BRA)'!$D$20*1000," ")</f>
        <v>2730519.5027999999</v>
      </c>
      <c r="G33" s="49"/>
    </row>
    <row r="34" spans="1:8" x14ac:dyDescent="0.25">
      <c r="C34" s="61">
        <f>SUM(C24:C33)</f>
        <v>36707.890882684653</v>
      </c>
      <c r="D34" s="61"/>
      <c r="E34" s="60"/>
      <c r="F34" s="61">
        <f>SUM(F24:F33)</f>
        <v>501158059.80912369</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2028</v>
      </c>
      <c r="F38" s="376">
        <v>2028</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(BRA)'!E3</f>
        <v>83.95934449000282</v>
      </c>
      <c r="F41" s="15">
        <f>IFERROR($C41*$H$19*'Premissas (BRA)'!$D$20*1000," ")</f>
        <v>1146263.1378612821</v>
      </c>
      <c r="G41" s="49"/>
    </row>
    <row r="42" spans="1:8" x14ac:dyDescent="0.25">
      <c r="A42" s="2" t="s">
        <v>38</v>
      </c>
      <c r="B42" s="16" t="s">
        <v>161</v>
      </c>
      <c r="C42" s="231">
        <f>'Demanda (BRA)'!E4</f>
        <v>1358.5951793648003</v>
      </c>
      <c r="F42" s="15">
        <f>IFERROR($C42*$H$19*'Premissas (BRA)'!$D$20*1000," ")</f>
        <v>18548353.168328255</v>
      </c>
      <c r="G42" s="49"/>
    </row>
    <row r="43" spans="1:8" x14ac:dyDescent="0.25">
      <c r="A43" s="2" t="s">
        <v>39</v>
      </c>
      <c r="B43" s="16" t="s">
        <v>162</v>
      </c>
      <c r="C43" s="231">
        <f>'Demanda (BRA)'!E5</f>
        <v>1591.1855708262167</v>
      </c>
      <c r="D43" s="18"/>
      <c r="F43" s="15">
        <f>IFERROR($C43*$H$19*'Premissas (BRA)'!$D$20*1000," ")</f>
        <v>21723816.168574676</v>
      </c>
      <c r="G43" s="49"/>
    </row>
    <row r="44" spans="1:8" x14ac:dyDescent="0.25">
      <c r="A44" s="2" t="s">
        <v>40</v>
      </c>
      <c r="B44" s="16" t="s">
        <v>163</v>
      </c>
      <c r="C44" s="231">
        <f>'Demanda (BRA)'!E6</f>
        <v>257.90539079715882</v>
      </c>
      <c r="D44" s="18"/>
      <c r="F44" s="15">
        <f>IFERROR($C44*$H$19*'Premissas (BRA)'!$D$20*1000," ")</f>
        <v>3521078.4972444884</v>
      </c>
      <c r="G44" s="49"/>
    </row>
    <row r="45" spans="1:8" x14ac:dyDescent="0.25">
      <c r="A45" s="2" t="s">
        <v>41</v>
      </c>
      <c r="B45" s="16" t="s">
        <v>164</v>
      </c>
      <c r="C45" s="231">
        <f>'Demanda (BRA)'!E7</f>
        <v>4113.6189497552796</v>
      </c>
      <c r="D45" s="18"/>
      <c r="F45" s="15">
        <f>IFERROR($C45*$H$19*'Premissas (BRA)'!$D$20*1000," ")</f>
        <v>56161583.84697222</v>
      </c>
      <c r="G45" s="49"/>
    </row>
    <row r="46" spans="1:8" x14ac:dyDescent="0.25">
      <c r="A46" s="2" t="s">
        <v>42</v>
      </c>
      <c r="B46" s="16" t="s">
        <v>165</v>
      </c>
      <c r="C46" s="231">
        <f>'Demanda (BRA)'!E8</f>
        <v>1671.5160482445838</v>
      </c>
      <c r="D46" s="18"/>
      <c r="F46" s="15">
        <f>IFERROR($C46*$H$19*'Premissas (BRA)'!$D$20*1000," ")</f>
        <v>22820535.844875108</v>
      </c>
      <c r="G46" s="49"/>
    </row>
    <row r="47" spans="1:8" x14ac:dyDescent="0.25">
      <c r="A47" s="2" t="s">
        <v>43</v>
      </c>
      <c r="B47" s="16" t="s">
        <v>166</v>
      </c>
      <c r="C47" s="231">
        <f>'Demanda (BRA)'!E9</f>
        <v>1497.3761894156601</v>
      </c>
      <c r="D47" s="18"/>
      <c r="F47" s="15">
        <f>IFERROR($C47*$H$19*'Premissas (BRA)'!$D$20*1000," ")</f>
        <v>20443074.441139035</v>
      </c>
      <c r="G47" s="49"/>
    </row>
    <row r="48" spans="1:8" x14ac:dyDescent="0.25">
      <c r="A48" s="2" t="s">
        <v>44</v>
      </c>
      <c r="B48" s="16" t="s">
        <v>167</v>
      </c>
      <c r="C48" s="231">
        <f>'Demanda (BRA)'!E10</f>
        <v>275.11051045873194</v>
      </c>
      <c r="D48" s="18"/>
      <c r="F48" s="15">
        <f>IFERROR($C48*$H$19*'Premissas (BRA)'!$D$20*1000," ")</f>
        <v>3755973.071164154</v>
      </c>
      <c r="G48" s="49"/>
    </row>
    <row r="49" spans="1:9" x14ac:dyDescent="0.25">
      <c r="A49" s="2" t="s">
        <v>45</v>
      </c>
      <c r="B49" s="16" t="s">
        <v>168</v>
      </c>
      <c r="C49" s="231">
        <f>'Demanda (BRA)'!E11</f>
        <v>695.99981184318472</v>
      </c>
      <c r="D49" s="18"/>
      <c r="F49" s="15">
        <f>IFERROR($C49*$H$19*'Premissas (BRA)'!$D$20*1000," ")</f>
        <v>9502205.3009147309</v>
      </c>
      <c r="G49" s="49"/>
    </row>
    <row r="50" spans="1:9" x14ac:dyDescent="0.25">
      <c r="A50" s="2" t="s">
        <v>46</v>
      </c>
      <c r="B50" s="16" t="s">
        <v>169</v>
      </c>
      <c r="C50" s="231">
        <f>'Demanda (BRA)'!E12</f>
        <v>994.60300359473592</v>
      </c>
      <c r="D50" s="18"/>
      <c r="F50" s="15">
        <f>IFERROR($C50*$H$19*'Premissas (BRA)'!$D$20*1000," ")</f>
        <v>13578914.494294424</v>
      </c>
      <c r="G50" s="49"/>
    </row>
    <row r="51" spans="1:9" x14ac:dyDescent="0.25">
      <c r="A51" s="2" t="s">
        <v>47</v>
      </c>
      <c r="B51" s="16" t="s">
        <v>170</v>
      </c>
      <c r="C51" s="231">
        <f>'Demanda (BRA)'!E13</f>
        <v>2460.3528578351988</v>
      </c>
      <c r="D51" s="18"/>
      <c r="F51" s="15">
        <f>IFERROR($C51*$H$19*'Premissas (BRA)'!$D$20*1000," ")</f>
        <v>33590207.310443625</v>
      </c>
      <c r="G51" s="49"/>
    </row>
    <row r="52" spans="1:9" x14ac:dyDescent="0.25">
      <c r="A52" s="2" t="s">
        <v>48</v>
      </c>
      <c r="B52" s="16" t="s">
        <v>171</v>
      </c>
      <c r="C52" s="231">
        <f>'Demanda (BRA)'!E14</f>
        <v>1008.3686134701056</v>
      </c>
      <c r="D52" s="18"/>
      <c r="F52" s="15">
        <f>IFERROR($C52*$H$19*'Premissas (BRA)'!$D$20*1000," ")</f>
        <v>13766850.82545759</v>
      </c>
      <c r="G52" s="49"/>
    </row>
    <row r="53" spans="1:9" x14ac:dyDescent="0.25">
      <c r="A53" s="2" t="s">
        <v>49</v>
      </c>
      <c r="B53" s="16" t="s">
        <v>172</v>
      </c>
      <c r="C53" s="231">
        <f>'Demanda (BRA)'!E15</f>
        <v>1318.069593111717</v>
      </c>
      <c r="D53" s="18"/>
      <c r="F53" s="15">
        <f>IFERROR($C53*$H$19*'Premissas (BRA)'!$D$20*1000," ")</f>
        <v>17995073.65019602</v>
      </c>
      <c r="G53" s="49"/>
    </row>
    <row r="54" spans="1:9" x14ac:dyDescent="0.25">
      <c r="A54" s="2" t="s">
        <v>50</v>
      </c>
      <c r="B54" s="16" t="s">
        <v>199</v>
      </c>
      <c r="C54" s="231">
        <f>'Demanda (BRA)'!E16</f>
        <v>0</v>
      </c>
      <c r="D54" s="18"/>
      <c r="F54" s="15">
        <f>IFERROR($C54*$H$19*'Premissas (BRA)'!$D$20*1000," ")</f>
        <v>0</v>
      </c>
      <c r="G54" s="49"/>
    </row>
    <row r="55" spans="1:9" x14ac:dyDescent="0.25">
      <c r="A55" s="2" t="s">
        <v>51</v>
      </c>
      <c r="B55" s="16" t="s">
        <v>198</v>
      </c>
      <c r="C55" s="231">
        <f>'Demanda (BRA)'!E17</f>
        <v>3635.2588149970047</v>
      </c>
      <c r="D55" s="18"/>
      <c r="F55" s="15">
        <f>IFERROR($C55*$H$19*'Premissas (BRA)'!$D$20*1000," ")</f>
        <v>49630725.460374691</v>
      </c>
      <c r="G55" s="49"/>
    </row>
    <row r="56" spans="1:9" x14ac:dyDescent="0.25">
      <c r="A56" s="2" t="s">
        <v>52</v>
      </c>
      <c r="B56" s="16" t="s">
        <v>197</v>
      </c>
      <c r="C56" s="231">
        <f>'Demanda (BRA)'!E18</f>
        <v>200</v>
      </c>
      <c r="D56" s="18"/>
      <c r="F56" s="15">
        <f>IFERROR($C56*$H$19*'Premissas (BRA)'!$D$20*1000," ")</f>
        <v>2730519.5027999999</v>
      </c>
      <c r="G56" s="49"/>
    </row>
    <row r="57" spans="1:9" x14ac:dyDescent="0.25">
      <c r="C57" s="61">
        <f>SUM(C41:C56)</f>
        <v>21161.919878204375</v>
      </c>
      <c r="D57" s="61"/>
      <c r="F57" s="61">
        <f>SUM(F41:F56)</f>
        <v>288915174.7206403</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0.30298305903818556</v>
      </c>
      <c r="C99" s="8"/>
      <c r="D99" t="s">
        <v>232</v>
      </c>
      <c r="E99" s="66">
        <f t="shared" ref="E99:E114" si="2">F41/$F$57</f>
        <v>3.9674729406983696E-3</v>
      </c>
      <c r="G99" s="65" t="s">
        <v>140</v>
      </c>
      <c r="H99" s="67">
        <f>F24/$F$34</f>
        <v>0.30298305903818556</v>
      </c>
      <c r="I99" s="67">
        <f>F25/$F$34</f>
        <v>5.4484198135813164E-3</v>
      </c>
      <c r="J99" s="67">
        <f>$F26/$F$34</f>
        <v>0.36951183175708491</v>
      </c>
      <c r="K99" s="67">
        <f>$F27/$F$34</f>
        <v>7.0284615595198989E-3</v>
      </c>
      <c r="L99" s="67">
        <f>$F28/$F$34</f>
        <v>0</v>
      </c>
      <c r="M99" s="67">
        <f>$F29/$F$34</f>
        <v>0</v>
      </c>
      <c r="N99" s="67">
        <f>$F30/$F$34</f>
        <v>0.21155725928372271</v>
      </c>
      <c r="O99" s="67">
        <f>$F31/$F$34</f>
        <v>9.2574128920743085E-2</v>
      </c>
      <c r="P99" s="67">
        <f>$F32/$F$34</f>
        <v>5.4484198135813164E-3</v>
      </c>
      <c r="Q99" s="67">
        <f>$F33/$F$34</f>
        <v>5.4484198135813164E-3</v>
      </c>
      <c r="R99" s="67">
        <f>SUM(H99:Q99)</f>
        <v>1</v>
      </c>
      <c r="S99" s="66"/>
      <c r="T99" s="66"/>
      <c r="U99" s="66"/>
      <c r="V99" s="66"/>
      <c r="W99" s="66"/>
    </row>
    <row r="100" spans="1:27" ht="18" x14ac:dyDescent="0.35">
      <c r="A100" t="s">
        <v>223</v>
      </c>
      <c r="B100" s="68">
        <f t="shared" si="1"/>
        <v>5.4484198135813164E-3</v>
      </c>
      <c r="C100" s="4"/>
      <c r="D100" t="s">
        <v>233</v>
      </c>
      <c r="E100" s="66">
        <f t="shared" si="2"/>
        <v>6.4199996370087331E-2</v>
      </c>
    </row>
    <row r="101" spans="1:27" ht="18" x14ac:dyDescent="0.35">
      <c r="A101" t="s">
        <v>224</v>
      </c>
      <c r="B101" s="68">
        <f t="shared" si="1"/>
        <v>0.36951183175708491</v>
      </c>
      <c r="C101" s="4"/>
      <c r="D101" t="s">
        <v>234</v>
      </c>
      <c r="E101" s="66">
        <f t="shared" si="2"/>
        <v>7.5190983615104345E-2</v>
      </c>
      <c r="G101" s="66"/>
    </row>
    <row r="102" spans="1:27" ht="18" x14ac:dyDescent="0.35">
      <c r="A102" t="s">
        <v>225</v>
      </c>
      <c r="B102" s="68">
        <f t="shared" si="1"/>
        <v>7.0284615595198989E-3</v>
      </c>
      <c r="C102" s="4"/>
      <c r="D102" t="s">
        <v>235</v>
      </c>
      <c r="E102" s="66">
        <f t="shared" si="2"/>
        <v>1.2187239734462242E-2</v>
      </c>
      <c r="G102" s="66"/>
      <c r="H102" s="68"/>
      <c r="I102" s="68"/>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7.8986975561047931E-2</v>
      </c>
      <c r="G104" s="66"/>
      <c r="H104" s="68"/>
      <c r="I104" s="68"/>
    </row>
    <row r="105" spans="1:27" ht="18" x14ac:dyDescent="0.35">
      <c r="A105" t="s">
        <v>228</v>
      </c>
      <c r="B105" s="68">
        <f t="shared" si="1"/>
        <v>0.21155725928372271</v>
      </c>
      <c r="C105" s="4"/>
      <c r="D105" t="s">
        <v>238</v>
      </c>
      <c r="E105" s="66">
        <f t="shared" si="2"/>
        <v>7.0758050216316898E-2</v>
      </c>
      <c r="G105" s="66"/>
      <c r="H105" s="68"/>
      <c r="I105" s="68"/>
    </row>
    <row r="106" spans="1:27" ht="18" x14ac:dyDescent="0.35">
      <c r="A106" t="s">
        <v>229</v>
      </c>
      <c r="B106" s="68">
        <f t="shared" si="1"/>
        <v>9.2574128920743085E-2</v>
      </c>
      <c r="C106" s="4"/>
      <c r="D106" t="s">
        <v>239</v>
      </c>
      <c r="E106" s="66">
        <f t="shared" si="2"/>
        <v>1.3000262360036655E-2</v>
      </c>
      <c r="G106" s="66"/>
      <c r="H106" s="68"/>
      <c r="I106" s="68"/>
    </row>
    <row r="107" spans="1:27" ht="18" x14ac:dyDescent="0.35">
      <c r="A107" t="s">
        <v>230</v>
      </c>
      <c r="B107" s="68">
        <f t="shared" si="1"/>
        <v>5.4484198135813164E-3</v>
      </c>
      <c r="C107" s="4"/>
      <c r="D107" t="s">
        <v>240</v>
      </c>
      <c r="E107" s="66">
        <f t="shared" si="2"/>
        <v>3.2889256544252697E-2</v>
      </c>
      <c r="G107" s="66"/>
      <c r="H107" s="68"/>
      <c r="I107" s="68"/>
    </row>
    <row r="108" spans="1:27" ht="18" x14ac:dyDescent="0.35">
      <c r="A108" t="s">
        <v>231</v>
      </c>
      <c r="B108" s="68">
        <f t="shared" si="1"/>
        <v>5.4484198135813164E-3</v>
      </c>
      <c r="D108" t="s">
        <v>241</v>
      </c>
      <c r="E108" s="66">
        <f t="shared" si="2"/>
        <v>4.6999658316404576E-2</v>
      </c>
      <c r="G108" s="66"/>
    </row>
    <row r="109" spans="1:27" ht="18" x14ac:dyDescent="0.35">
      <c r="B109" s="68">
        <f>SUM(B99:B108)</f>
        <v>1</v>
      </c>
      <c r="D109" t="s">
        <v>242</v>
      </c>
      <c r="E109" s="66">
        <f t="shared" si="2"/>
        <v>0.11626321581385568</v>
      </c>
      <c r="G109" s="66"/>
    </row>
    <row r="110" spans="1:27" ht="18" x14ac:dyDescent="0.35">
      <c r="B110" s="68"/>
      <c r="D110" t="s">
        <v>243</v>
      </c>
      <c r="E110" s="66">
        <f t="shared" si="2"/>
        <v>4.7650147967371811E-2</v>
      </c>
      <c r="G110" s="66"/>
    </row>
    <row r="111" spans="1:27" ht="18" x14ac:dyDescent="0.35">
      <c r="B111" s="68"/>
      <c r="D111" t="s">
        <v>244</v>
      </c>
      <c r="E111" s="66">
        <f t="shared" si="2"/>
        <v>6.2284972285017323E-2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9.4509383435474135E-3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387.07954179170127</v>
      </c>
    </row>
    <row r="131" spans="1:5" ht="18" x14ac:dyDescent="0.35">
      <c r="A131" t="s">
        <v>254</v>
      </c>
      <c r="B131" s="66">
        <f ca="1">SUMPRODUCT($E$99:$E$114,D$67:D$82)</f>
        <v>282.93744338444242</v>
      </c>
      <c r="C131" s="70"/>
      <c r="D131" t="s">
        <v>255</v>
      </c>
      <c r="E131" s="4">
        <f t="shared" ref="E131:E145" ca="1" si="3">SUMPRODUCT($H$99:$Q$99,$C68:$L68)</f>
        <v>484.24354179170132</v>
      </c>
    </row>
    <row r="132" spans="1:5" ht="18" x14ac:dyDescent="0.35">
      <c r="A132" t="s">
        <v>256</v>
      </c>
      <c r="B132" s="66">
        <f ca="1">SUMPRODUCT($E$99:$E$114,E$67:E$82)</f>
        <v>321.04260610518725</v>
      </c>
      <c r="C132" s="70"/>
      <c r="D132" t="s">
        <v>257</v>
      </c>
      <c r="E132" s="4">
        <f t="shared" ca="1" si="3"/>
        <v>601.40874179170123</v>
      </c>
    </row>
    <row r="133" spans="1:5" ht="18" x14ac:dyDescent="0.35">
      <c r="A133" t="s">
        <v>258</v>
      </c>
      <c r="B133" s="66">
        <f ca="1">SUMPRODUCT($E$99:$E$114,F$67:F$82)</f>
        <v>382.5879665558885</v>
      </c>
      <c r="C133" s="70"/>
      <c r="D133" t="s">
        <v>259</v>
      </c>
      <c r="E133" s="4">
        <f t="shared" ca="1" si="3"/>
        <v>564.41001328397817</v>
      </c>
    </row>
    <row r="134" spans="1:5" ht="18" x14ac:dyDescent="0.35">
      <c r="A134" t="s">
        <v>260</v>
      </c>
      <c r="B134" s="66">
        <f ca="1">SUMPRODUCT($E$99:$E$114,G$67:G$82)</f>
        <v>263.66286997668777</v>
      </c>
      <c r="C134" s="70"/>
      <c r="D134" t="s">
        <v>261</v>
      </c>
      <c r="E134" s="4">
        <f t="shared" ca="1" si="3"/>
        <v>240.10077571158118</v>
      </c>
    </row>
    <row r="135" spans="1:5" ht="18" x14ac:dyDescent="0.35">
      <c r="A135" t="s">
        <v>262</v>
      </c>
      <c r="B135" s="66">
        <f ca="1">SUMPRODUCT($E$99:$E$114,H$67:H$82)</f>
        <v>386.36871750115944</v>
      </c>
      <c r="C135" s="70"/>
      <c r="D135" t="s">
        <v>263</v>
      </c>
      <c r="E135" s="4">
        <f t="shared" ca="1" si="3"/>
        <v>226.7583374941515</v>
      </c>
    </row>
    <row r="136" spans="1:5" ht="18" x14ac:dyDescent="0.35">
      <c r="A136" t="s">
        <v>264</v>
      </c>
      <c r="B136" s="66">
        <f ca="1">SUMPRODUCT($E$99:$E$114,I$67:I$82)</f>
        <v>432.57823816543032</v>
      </c>
      <c r="D136" t="s">
        <v>265</v>
      </c>
      <c r="E136" s="4">
        <f t="shared" ca="1" si="3"/>
        <v>236.4051108325759</v>
      </c>
    </row>
    <row r="137" spans="1:5" ht="18" x14ac:dyDescent="0.35">
      <c r="A137" t="s">
        <v>266</v>
      </c>
      <c r="B137" s="66">
        <f ca="1">SUMPRODUCT($E$99:$E$114,J$67:J$82)</f>
        <v>299.60156188365499</v>
      </c>
      <c r="D137" t="s">
        <v>267</v>
      </c>
      <c r="E137" s="4">
        <f t="shared" ca="1" si="3"/>
        <v>246.76082506191904</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276.35074371959462</v>
      </c>
    </row>
    <row r="141" spans="1:5" ht="18" x14ac:dyDescent="0.35">
      <c r="B141" s="66"/>
      <c r="D141" t="s">
        <v>273</v>
      </c>
      <c r="E141" s="4">
        <f t="shared" ca="1" si="3"/>
        <v>378.76044577280237</v>
      </c>
    </row>
    <row r="142" spans="1:5" ht="18" x14ac:dyDescent="0.35">
      <c r="B142" s="66"/>
      <c r="D142" t="s">
        <v>274</v>
      </c>
      <c r="E142" s="4">
        <f t="shared" ca="1" si="3"/>
        <v>414.35744691016907</v>
      </c>
    </row>
    <row r="143" spans="1:5" ht="18" x14ac:dyDescent="0.35">
      <c r="B143" s="66"/>
      <c r="D143" t="s">
        <v>275</v>
      </c>
      <c r="E143" s="4">
        <f t="shared" si="3"/>
        <v>309.0204469101692</v>
      </c>
    </row>
    <row r="144" spans="1:5" ht="18" x14ac:dyDescent="0.35">
      <c r="B144" s="66"/>
      <c r="D144" t="s">
        <v>276</v>
      </c>
      <c r="E144" s="4">
        <f t="shared" si="3"/>
        <v>470.64401328397815</v>
      </c>
    </row>
    <row r="145" spans="1:5" ht="18" x14ac:dyDescent="0.35">
      <c r="B145" s="66"/>
      <c r="D145" t="s">
        <v>277</v>
      </c>
      <c r="E145" s="4">
        <f t="shared" si="3"/>
        <v>292.07370007863972</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0.29597092688082327</v>
      </c>
      <c r="C162" s="13"/>
      <c r="D162" t="s">
        <v>283</v>
      </c>
      <c r="E162" s="71">
        <f t="shared" ref="E162:E177" ca="1" si="5">($F41*$E130)/SUMPRODUCT($F$41:$F$56,$E$130:$E$145)</f>
        <v>4.3852799120701535E-3</v>
      </c>
    </row>
    <row r="163" spans="1:9" ht="18" x14ac:dyDescent="0.35">
      <c r="A163" t="s">
        <v>284</v>
      </c>
      <c r="B163" s="71">
        <f t="shared" ca="1" si="4"/>
        <v>4.4019399770937016E-3</v>
      </c>
      <c r="C163" s="4"/>
      <c r="D163" t="s">
        <v>285</v>
      </c>
      <c r="E163" s="71">
        <f t="shared" ca="1" si="5"/>
        <v>8.8773219136179443E-2</v>
      </c>
    </row>
    <row r="164" spans="1:9" ht="18" x14ac:dyDescent="0.35">
      <c r="A164" t="s">
        <v>286</v>
      </c>
      <c r="B164" s="71">
        <f t="shared" ca="1" si="4"/>
        <v>0.33874597928767741</v>
      </c>
      <c r="C164" s="4"/>
      <c r="D164" t="s">
        <v>287</v>
      </c>
      <c r="E164" s="71">
        <f t="shared" ca="1" si="5"/>
        <v>0.12912746658844279</v>
      </c>
      <c r="H164" s="72"/>
      <c r="I164" s="72"/>
    </row>
    <row r="165" spans="1:9" ht="18" x14ac:dyDescent="0.35">
      <c r="A165" t="s">
        <v>288</v>
      </c>
      <c r="B165" s="71">
        <f t="shared" ca="1" si="4"/>
        <v>7.6784702848935304E-3</v>
      </c>
      <c r="C165" s="4"/>
      <c r="D165" t="s">
        <v>289</v>
      </c>
      <c r="E165" s="71">
        <f t="shared" ca="1" si="5"/>
        <v>1.9641886271158156E-2</v>
      </c>
    </row>
    <row r="166" spans="1:9" ht="18" x14ac:dyDescent="0.35">
      <c r="A166" t="s">
        <v>290</v>
      </c>
      <c r="B166" s="71">
        <f t="shared" ca="1" si="4"/>
        <v>0</v>
      </c>
      <c r="C166" s="4"/>
      <c r="D166" t="s">
        <v>291</v>
      </c>
      <c r="E166" s="71">
        <f t="shared" ca="1" si="5"/>
        <v>0.13327407753006015</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7.919847792697568E-2</v>
      </c>
      <c r="C169" s="4"/>
      <c r="D169" t="s">
        <v>297</v>
      </c>
      <c r="E169" s="71">
        <f t="shared" ca="1" si="5"/>
        <v>9.1603371528331725E-3</v>
      </c>
    </row>
    <row r="170" spans="1:9" ht="18" x14ac:dyDescent="0.35">
      <c r="A170" t="s">
        <v>298</v>
      </c>
      <c r="B170" s="71">
        <f t="shared" ca="1" si="4"/>
        <v>5.9523025464290925E-3</v>
      </c>
      <c r="D170" t="s">
        <v>299</v>
      </c>
      <c r="E170" s="71">
        <f t="shared" ca="1" si="5"/>
        <v>2.2447266066533009E-2</v>
      </c>
    </row>
    <row r="171" spans="1:9" ht="18" x14ac:dyDescent="0.35">
      <c r="A171" t="s">
        <v>300</v>
      </c>
      <c r="B171" s="71">
        <f t="shared" ca="1" si="4"/>
        <v>6.7300510565999954E-3</v>
      </c>
      <c r="D171" t="s">
        <v>301</v>
      </c>
      <c r="E171" s="71">
        <f t="shared" ca="1" si="5"/>
        <v>3.8556314841768358E-2</v>
      </c>
    </row>
    <row r="172" spans="1:9" ht="18" x14ac:dyDescent="0.35">
      <c r="B172" s="175">
        <f ca="1">SUM(B162:B171)</f>
        <v>1</v>
      </c>
      <c r="D172" t="s">
        <v>302</v>
      </c>
      <c r="E172" s="71">
        <f t="shared" ca="1" si="5"/>
        <v>9.1745779905480537E-2</v>
      </c>
    </row>
    <row r="173" spans="1:9" ht="18" x14ac:dyDescent="0.35">
      <c r="B173" s="71"/>
      <c r="D173" t="s">
        <v>303</v>
      </c>
      <c r="E173" s="71">
        <f t="shared" ca="1" si="5"/>
        <v>5.1536153433999733E-2</v>
      </c>
    </row>
    <row r="174" spans="1:9" ht="18" x14ac:dyDescent="0.35">
      <c r="B174" s="71"/>
      <c r="D174" t="s">
        <v>304</v>
      </c>
      <c r="E174" s="71">
        <f t="shared" ca="1" si="5"/>
        <v>7.3695598781305965E-2</v>
      </c>
    </row>
    <row r="175" spans="1:9" ht="18" x14ac:dyDescent="0.35">
      <c r="B175" s="71"/>
      <c r="D175" t="s">
        <v>305</v>
      </c>
      <c r="E175" s="71">
        <f t="shared" ca="1" si="5"/>
        <v>0</v>
      </c>
    </row>
    <row r="176" spans="1:9" ht="18" x14ac:dyDescent="0.35">
      <c r="B176" s="71"/>
      <c r="D176" t="s">
        <v>306</v>
      </c>
      <c r="E176" s="71">
        <f t="shared" ca="1" si="5"/>
        <v>0.23086385167581192</v>
      </c>
    </row>
    <row r="177" spans="1:5" ht="18" x14ac:dyDescent="0.35">
      <c r="B177" s="71"/>
      <c r="D177" t="s">
        <v>307</v>
      </c>
      <c r="E177" s="71">
        <f t="shared" ca="1" si="5"/>
        <v>7.8822555365237502E-3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445.26643590762336</v>
      </c>
      <c r="C193" s="19"/>
      <c r="D193" t="s">
        <v>311</v>
      </c>
      <c r="E193" s="5">
        <f t="shared" ref="E193:E208" ca="1" si="7">$E162*$D$8</f>
        <v>2.8274272614008011</v>
      </c>
    </row>
    <row r="194" spans="1:5" ht="18" x14ac:dyDescent="0.35">
      <c r="A194" t="s">
        <v>312</v>
      </c>
      <c r="B194" s="6">
        <f t="shared" ca="1" si="6"/>
        <v>6.6223941159904296</v>
      </c>
      <c r="D194" t="s">
        <v>313</v>
      </c>
      <c r="E194" s="5">
        <f t="shared" ca="1" si="7"/>
        <v>57.236898191397749</v>
      </c>
    </row>
    <row r="195" spans="1:5" ht="18" x14ac:dyDescent="0.35">
      <c r="A195" t="s">
        <v>314</v>
      </c>
      <c r="B195" s="6">
        <f t="shared" ca="1" si="6"/>
        <v>509.61834821092538</v>
      </c>
      <c r="D195" t="s">
        <v>315</v>
      </c>
      <c r="E195" s="5">
        <f t="shared" ca="1" si="7"/>
        <v>83.255465226490571</v>
      </c>
    </row>
    <row r="196" spans="1:5" ht="18" x14ac:dyDescent="0.35">
      <c r="A196" t="s">
        <v>316</v>
      </c>
      <c r="B196" s="6">
        <f t="shared" ca="1" si="6"/>
        <v>11.551692367250073</v>
      </c>
      <c r="D196" t="s">
        <v>317</v>
      </c>
      <c r="E196" s="5">
        <f t="shared" ca="1" si="7"/>
        <v>12.664186966845154</v>
      </c>
    </row>
    <row r="197" spans="1:5" ht="18" x14ac:dyDescent="0.35">
      <c r="A197" t="s">
        <v>318</v>
      </c>
      <c r="B197" s="6">
        <f t="shared" ca="1" si="6"/>
        <v>0</v>
      </c>
      <c r="D197" t="s">
        <v>319</v>
      </c>
      <c r="E197" s="5">
        <f t="shared" ca="1" si="7"/>
        <v>85.929009687468238</v>
      </c>
    </row>
    <row r="198" spans="1:5" ht="18" x14ac:dyDescent="0.35">
      <c r="A198" t="s">
        <v>320</v>
      </c>
      <c r="B198" s="6">
        <f t="shared" ca="1" si="6"/>
        <v>0</v>
      </c>
      <c r="D198" t="s">
        <v>321</v>
      </c>
      <c r="E198" s="5">
        <f t="shared" ca="1" si="7"/>
        <v>32.975849963818206</v>
      </c>
    </row>
    <row r="199" spans="1:5" ht="18" x14ac:dyDescent="0.35">
      <c r="A199" t="s">
        <v>322</v>
      </c>
      <c r="B199" s="6">
        <f t="shared" ca="1" si="6"/>
        <v>393.1394576780977</v>
      </c>
      <c r="D199" t="s">
        <v>323</v>
      </c>
      <c r="E199" s="5">
        <f t="shared" ca="1" si="7"/>
        <v>30.797110252500939</v>
      </c>
    </row>
    <row r="200" spans="1:5" ht="18" x14ac:dyDescent="0.35">
      <c r="A200" t="s">
        <v>324</v>
      </c>
      <c r="B200" s="6">
        <f t="shared" ca="1" si="6"/>
        <v>119.14827029633469</v>
      </c>
      <c r="D200" t="s">
        <v>325</v>
      </c>
      <c r="E200" s="5">
        <f t="shared" ca="1" si="7"/>
        <v>5.9061650587582317</v>
      </c>
    </row>
    <row r="201" spans="1:5" ht="18" x14ac:dyDescent="0.35">
      <c r="A201" t="s">
        <v>326</v>
      </c>
      <c r="B201" s="6">
        <f t="shared" ca="1" si="6"/>
        <v>8.954800284689977</v>
      </c>
      <c r="D201" t="s">
        <v>327</v>
      </c>
      <c r="E201" s="5">
        <f t="shared" ca="1" si="7"/>
        <v>14.472967129359663</v>
      </c>
    </row>
    <row r="202" spans="1:5" ht="18" x14ac:dyDescent="0.35">
      <c r="A202" t="s">
        <v>328</v>
      </c>
      <c r="B202" s="6">
        <f t="shared" ca="1" si="6"/>
        <v>10.124865570513496</v>
      </c>
      <c r="D202" t="s">
        <v>329</v>
      </c>
      <c r="E202" s="5">
        <f t="shared" ca="1" si="7"/>
        <v>24.859342588990067</v>
      </c>
    </row>
    <row r="203" spans="1:5" ht="18" x14ac:dyDescent="0.35">
      <c r="B203" s="6">
        <f ca="1">SUM(B193:B202)</f>
        <v>1504.4262644314251</v>
      </c>
      <c r="D203" t="s">
        <v>330</v>
      </c>
      <c r="E203" s="5">
        <f t="shared" ca="1" si="7"/>
        <v>59.153468974521346</v>
      </c>
    </row>
    <row r="204" spans="1:5" ht="18" x14ac:dyDescent="0.35">
      <c r="B204" s="6"/>
      <c r="D204" t="s">
        <v>331</v>
      </c>
      <c r="E204" s="5">
        <f t="shared" ca="1" si="7"/>
        <v>33.228146911661568</v>
      </c>
    </row>
    <row r="205" spans="1:5" ht="18" x14ac:dyDescent="0.35">
      <c r="B205" s="6"/>
      <c r="D205" t="s">
        <v>332</v>
      </c>
      <c r="E205" s="5">
        <f t="shared" ca="1" si="7"/>
        <v>47.515540448398809</v>
      </c>
    </row>
    <row r="206" spans="1:5" ht="18" x14ac:dyDescent="0.35">
      <c r="B206" s="6"/>
      <c r="D206" t="s">
        <v>333</v>
      </c>
      <c r="E206" s="5">
        <f t="shared" ca="1" si="7"/>
        <v>0</v>
      </c>
    </row>
    <row r="207" spans="1:5" ht="18" x14ac:dyDescent="0.35">
      <c r="B207" s="6"/>
      <c r="D207" t="s">
        <v>334</v>
      </c>
      <c r="E207" s="5">
        <f t="shared" ca="1" si="7"/>
        <v>148.85041798666813</v>
      </c>
    </row>
    <row r="208" spans="1:5" ht="18" x14ac:dyDescent="0.35">
      <c r="B208" s="6"/>
      <c r="D208" t="s">
        <v>335</v>
      </c>
      <c r="E208" s="5">
        <f t="shared" ca="1" si="7"/>
        <v>5.0821166794741481</v>
      </c>
    </row>
    <row r="209" spans="1:5" x14ac:dyDescent="0.25">
      <c r="B209" s="6"/>
      <c r="E209" s="5">
        <f ca="1">SUM(E193:E208)</f>
        <v>644.75411332775366</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2.9324248693149659</v>
      </c>
      <c r="D226" s="77"/>
      <c r="E226" s="7"/>
      <c r="F226" s="7"/>
      <c r="G226" s="78"/>
      <c r="H226" s="20" t="s">
        <v>343</v>
      </c>
      <c r="I226" s="20" t="str">
        <f t="shared" ref="I226:I241" si="9">B41</f>
        <v>NTS MG 1</v>
      </c>
      <c r="J226" s="11">
        <f t="shared" ref="J226:J241" ca="1" si="10">IFERROR($E193/$F41*1000000," ")</f>
        <v>2.4666476378855422</v>
      </c>
      <c r="L226" s="12"/>
      <c r="M226" s="79"/>
      <c r="Q226" s="7"/>
      <c r="R226" s="80"/>
      <c r="S226" s="81"/>
      <c r="T226" s="81"/>
      <c r="U226" s="81"/>
    </row>
    <row r="227" spans="1:22" ht="18" x14ac:dyDescent="0.25">
      <c r="A227" s="20" t="s">
        <v>344</v>
      </c>
      <c r="B227" s="20" t="str">
        <f t="shared" ref="B227:B235" si="11">B25</f>
        <v>PR-GNLBGB</v>
      </c>
      <c r="C227" s="11">
        <f t="shared" ca="1" si="8"/>
        <v>2.4253238657330676</v>
      </c>
      <c r="D227" s="77"/>
      <c r="E227" s="7"/>
      <c r="F227" s="7"/>
      <c r="G227" s="78"/>
      <c r="H227" s="20" t="s">
        <v>345</v>
      </c>
      <c r="I227" s="20" t="str">
        <f t="shared" si="9"/>
        <v>NTS MG 2</v>
      </c>
      <c r="J227" s="11">
        <f t="shared" ca="1" si="10"/>
        <v>3.0858210252935603</v>
      </c>
      <c r="L227" s="12"/>
      <c r="M227" s="79"/>
      <c r="Q227" s="7"/>
      <c r="R227" s="80"/>
      <c r="S227" s="81"/>
      <c r="T227" s="81"/>
      <c r="U227" s="81"/>
    </row>
    <row r="228" spans="1:22" ht="18" x14ac:dyDescent="0.25">
      <c r="A228" s="20" t="s">
        <v>346</v>
      </c>
      <c r="B228" s="20" t="str">
        <f t="shared" si="11"/>
        <v>PR-ITABORAÍ</v>
      </c>
      <c r="C228" s="11">
        <f t="shared" ca="1" si="8"/>
        <v>2.7519591793514642</v>
      </c>
      <c r="D228" s="77"/>
      <c r="E228" s="7"/>
      <c r="F228" s="7"/>
      <c r="G228" s="78"/>
      <c r="H228" s="20" t="s">
        <v>347</v>
      </c>
      <c r="I228" s="20" t="str">
        <f t="shared" si="9"/>
        <v>NTS MG 3</v>
      </c>
      <c r="J228" s="11">
        <f t="shared" ca="1" si="10"/>
        <v>3.8324511945984234</v>
      </c>
      <c r="L228" s="12"/>
      <c r="M228" s="79"/>
      <c r="Q228" s="7"/>
      <c r="R228" s="80"/>
      <c r="S228" s="81"/>
      <c r="T228" s="81"/>
      <c r="U228" s="81"/>
    </row>
    <row r="229" spans="1:22" ht="18" x14ac:dyDescent="0.25">
      <c r="A229" s="20" t="s">
        <v>348</v>
      </c>
      <c r="B229" s="20" t="str">
        <f t="shared" si="11"/>
        <v>PR-GASPAJ (INTERCONEXÃO)</v>
      </c>
      <c r="C229" s="11">
        <f t="shared" ca="1" si="8"/>
        <v>3.2795225507480592</v>
      </c>
      <c r="D229" s="77"/>
      <c r="E229" s="7"/>
      <c r="F229" s="7"/>
      <c r="G229" s="78"/>
      <c r="H229" s="20" t="s">
        <v>349</v>
      </c>
      <c r="I229" s="20" t="str">
        <f t="shared" si="9"/>
        <v>NTS MG 4</v>
      </c>
      <c r="J229" s="11">
        <f t="shared" ca="1" si="10"/>
        <v>3.5966783974727754</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1.5300318082482434</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1.4450076978023159</v>
      </c>
      <c r="L231" s="12"/>
      <c r="M231" s="79"/>
      <c r="Q231" s="7"/>
      <c r="R231" s="80"/>
      <c r="S231" s="81"/>
      <c r="T231" s="81"/>
      <c r="U231" s="81"/>
    </row>
    <row r="232" spans="1:22" ht="18" x14ac:dyDescent="0.25">
      <c r="A232" s="20" t="s">
        <v>354</v>
      </c>
      <c r="B232" s="20" t="str">
        <f t="shared" si="11"/>
        <v>PR-TECAB</v>
      </c>
      <c r="C232" s="11">
        <f t="shared" ca="1" si="8"/>
        <v>3.708036349907406</v>
      </c>
      <c r="D232" s="77"/>
      <c r="E232" s="7"/>
      <c r="F232" s="7"/>
      <c r="G232" s="78"/>
      <c r="H232" s="20" t="s">
        <v>355</v>
      </c>
      <c r="I232" s="20" t="str">
        <f t="shared" si="9"/>
        <v>NTS RJ 3</v>
      </c>
      <c r="J232" s="11">
        <f t="shared" ca="1" si="10"/>
        <v>1.5064813436537583</v>
      </c>
      <c r="L232" s="12"/>
      <c r="M232" s="79"/>
      <c r="Q232" s="7"/>
      <c r="R232" s="80"/>
      <c r="S232" s="81"/>
      <c r="T232" s="81"/>
      <c r="U232" s="81"/>
    </row>
    <row r="233" spans="1:22" ht="18" x14ac:dyDescent="0.25">
      <c r="A233" s="20" t="s">
        <v>356</v>
      </c>
      <c r="B233" s="20" t="str">
        <f t="shared" si="11"/>
        <v>PR-GUARAREMA (INTERCONEXÃO)</v>
      </c>
      <c r="C233" s="11">
        <f t="shared" ca="1" si="8"/>
        <v>2.5681677531100697</v>
      </c>
      <c r="D233" s="77"/>
      <c r="E233" s="7"/>
      <c r="F233" s="7"/>
      <c r="G233" s="78"/>
      <c r="H233" s="20" t="s">
        <v>357</v>
      </c>
      <c r="I233" s="20" t="str">
        <f t="shared" si="9"/>
        <v>NTS RJ 4</v>
      </c>
      <c r="J233" s="11">
        <f t="shared" ca="1" si="10"/>
        <v>1.5724726846690706</v>
      </c>
      <c r="L233" s="12"/>
      <c r="M233" s="79"/>
      <c r="Q233" s="7"/>
      <c r="R233" s="80"/>
      <c r="S233" s="81"/>
      <c r="T233" s="81"/>
      <c r="U233" s="81"/>
    </row>
    <row r="234" spans="1:22" ht="18" x14ac:dyDescent="0.25">
      <c r="A234" s="20" t="s">
        <v>358</v>
      </c>
      <c r="B234" s="20" t="str">
        <f t="shared" si="11"/>
        <v>PR-REPLAN (INTERCONEXÃO)</v>
      </c>
      <c r="C234" s="11">
        <f t="shared" ca="1" si="8"/>
        <v>3.2795225507480588</v>
      </c>
      <c r="D234" s="72"/>
      <c r="E234" s="7"/>
      <c r="F234" s="7"/>
      <c r="G234" s="72"/>
      <c r="H234" s="20" t="s">
        <v>359</v>
      </c>
      <c r="I234" s="20" t="str">
        <f t="shared" si="9"/>
        <v>NTS RJ 5</v>
      </c>
      <c r="J234" s="11">
        <f t="shared" ca="1" si="10"/>
        <v>1.5231166525065947</v>
      </c>
      <c r="L234" s="12"/>
      <c r="Q234" s="7"/>
      <c r="R234" s="80"/>
      <c r="S234" s="81"/>
      <c r="T234" s="81"/>
      <c r="U234" s="81"/>
    </row>
    <row r="235" spans="1:22" ht="18" x14ac:dyDescent="0.25">
      <c r="A235" s="20" t="s">
        <v>360</v>
      </c>
      <c r="B235" s="20" t="str">
        <f t="shared" si="11"/>
        <v>PR-TECAB (INTERCONEXÃO)</v>
      </c>
      <c r="C235" s="11">
        <f t="shared" ca="1" si="8"/>
        <v>3.7080363499074056</v>
      </c>
      <c r="D235" s="72"/>
      <c r="E235" s="7"/>
      <c r="F235" s="7"/>
      <c r="G235" s="72"/>
      <c r="H235" s="20" t="s">
        <v>361</v>
      </c>
      <c r="I235" s="20" t="str">
        <f t="shared" si="9"/>
        <v>NTS SP 1</v>
      </c>
      <c r="J235" s="11">
        <f t="shared" ca="1" si="10"/>
        <v>1.8307312119415322</v>
      </c>
      <c r="L235" s="12"/>
      <c r="Q235" s="7"/>
      <c r="R235" s="80"/>
      <c r="S235" s="81"/>
      <c r="T235" s="81"/>
      <c r="U235" s="81"/>
    </row>
    <row r="236" spans="1:22" ht="18" x14ac:dyDescent="0.25">
      <c r="D236" s="72"/>
      <c r="E236" s="7"/>
      <c r="F236" s="7"/>
      <c r="G236" s="72"/>
      <c r="H236" s="20" t="s">
        <v>362</v>
      </c>
      <c r="I236" s="20" t="str">
        <f t="shared" si="9"/>
        <v>NTS SP 2</v>
      </c>
      <c r="J236" s="11">
        <f t="shared" ca="1" si="10"/>
        <v>1.7610331614753023</v>
      </c>
      <c r="K236" s="72"/>
      <c r="L236" s="12"/>
      <c r="Q236" s="7"/>
      <c r="R236" s="80"/>
      <c r="S236" s="81"/>
      <c r="T236" s="81"/>
      <c r="U236" s="81"/>
    </row>
    <row r="237" spans="1:22" ht="18" x14ac:dyDescent="0.25">
      <c r="D237" s="72"/>
      <c r="E237" s="7"/>
      <c r="F237" s="7"/>
      <c r="G237" s="72"/>
      <c r="H237" s="20" t="s">
        <v>363</v>
      </c>
      <c r="I237" s="20" t="str">
        <f t="shared" si="9"/>
        <v>NTS SP 3</v>
      </c>
      <c r="J237" s="11">
        <f t="shared" ca="1" si="10"/>
        <v>2.4136345583273302</v>
      </c>
      <c r="L237" s="12"/>
      <c r="Q237" s="7"/>
      <c r="R237" s="80"/>
      <c r="S237" s="81"/>
      <c r="T237" s="81"/>
      <c r="U237" s="81"/>
    </row>
    <row r="238" spans="1:22" ht="18" x14ac:dyDescent="0.25">
      <c r="D238" s="72"/>
      <c r="E238" s="7"/>
      <c r="F238" s="7"/>
      <c r="G238" s="72"/>
      <c r="H238" s="20" t="s">
        <v>364</v>
      </c>
      <c r="I238" s="20" t="str">
        <f t="shared" si="9"/>
        <v>NTS SP 4</v>
      </c>
      <c r="J238" s="11">
        <f t="shared" ca="1" si="10"/>
        <v>2.6404749084136827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2.9991586180925505</v>
      </c>
      <c r="L240" s="12"/>
      <c r="Q240" s="7"/>
      <c r="R240" s="82"/>
      <c r="S240" s="9"/>
      <c r="T240" s="9"/>
      <c r="U240" s="9"/>
      <c r="V240" s="72"/>
    </row>
    <row r="241" spans="1:22" ht="18" x14ac:dyDescent="0.25">
      <c r="E241" s="7"/>
      <c r="F241" s="7"/>
      <c r="G241" s="72"/>
      <c r="H241" s="20" t="s">
        <v>367</v>
      </c>
      <c r="I241" s="20" t="str">
        <f t="shared" si="9"/>
        <v>PE-TECAB (INTERCONEXÃO)</v>
      </c>
      <c r="J241" s="11">
        <f t="shared" ca="1" si="10"/>
        <v>1.8612270208151644</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3.0018997699137402</v>
      </c>
      <c r="E245" s="11">
        <f ca="1">IFERROR(C245+D245," ")</f>
        <v>3.0018997699137402</v>
      </c>
      <c r="G245" s="79"/>
      <c r="H245" s="20" t="s">
        <v>343</v>
      </c>
      <c r="I245" s="20" t="str">
        <f t="shared" ref="I245:I260" si="15">I226</f>
        <v>NTS MG 1</v>
      </c>
      <c r="J245" s="11">
        <f t="shared" ref="J245:J260" ca="1" si="16">IF(F41=0," ",J226*(1-$C$11))</f>
        <v>0</v>
      </c>
      <c r="K245" s="11">
        <f t="shared" ref="K245:K260" si="17">$F$10*$C$11</f>
        <v>2.2316381060675798</v>
      </c>
      <c r="L245" s="11">
        <f ca="1">IFERROR(J245+K245," ")</f>
        <v>2.2316381060675798</v>
      </c>
    </row>
    <row r="246" spans="1:22" ht="18" x14ac:dyDescent="0.25">
      <c r="A246" s="20" t="s">
        <v>344</v>
      </c>
      <c r="B246" s="20" t="str">
        <f t="shared" si="12"/>
        <v>PR-GNLBGB</v>
      </c>
      <c r="C246" s="11">
        <f t="shared" ca="1" si="13"/>
        <v>0</v>
      </c>
      <c r="D246" s="11">
        <f t="shared" si="14"/>
        <v>3.0018997699137402</v>
      </c>
      <c r="E246" s="11">
        <f t="shared" ref="E246:E254" ca="1" si="18">IFERROR(C246+D246," ")</f>
        <v>3.0018997699137402</v>
      </c>
      <c r="G246" s="79"/>
      <c r="H246" s="20" t="s">
        <v>345</v>
      </c>
      <c r="I246" s="20" t="str">
        <f t="shared" si="15"/>
        <v>NTS MG 2</v>
      </c>
      <c r="J246" s="11">
        <f t="shared" ca="1" si="16"/>
        <v>0</v>
      </c>
      <c r="K246" s="11">
        <f t="shared" si="17"/>
        <v>2.2316381060675798</v>
      </c>
      <c r="L246" s="11">
        <f t="shared" ref="L246:L260" ca="1" si="19">IFERROR(J246+K246," ")</f>
        <v>2.2316381060675798</v>
      </c>
    </row>
    <row r="247" spans="1:22" ht="18" x14ac:dyDescent="0.25">
      <c r="A247" s="20" t="s">
        <v>346</v>
      </c>
      <c r="B247" s="20" t="str">
        <f t="shared" si="12"/>
        <v>PR-ITABORAÍ</v>
      </c>
      <c r="C247" s="11">
        <f t="shared" ca="1" si="13"/>
        <v>0</v>
      </c>
      <c r="D247" s="11">
        <f t="shared" si="14"/>
        <v>3.0018997699137402</v>
      </c>
      <c r="E247" s="11">
        <f t="shared" ca="1" si="18"/>
        <v>3.0018997699137402</v>
      </c>
      <c r="G247" s="79"/>
      <c r="H247" s="20" t="s">
        <v>347</v>
      </c>
      <c r="I247" s="20" t="str">
        <f t="shared" si="15"/>
        <v>NTS MG 3</v>
      </c>
      <c r="J247" s="11">
        <f t="shared" ca="1" si="16"/>
        <v>0</v>
      </c>
      <c r="K247" s="11">
        <f t="shared" si="17"/>
        <v>2.2316381060675798</v>
      </c>
      <c r="L247" s="11">
        <f t="shared" ca="1" si="19"/>
        <v>2.2316381060675798</v>
      </c>
    </row>
    <row r="248" spans="1:22" ht="18" x14ac:dyDescent="0.25">
      <c r="A248" s="20" t="s">
        <v>348</v>
      </c>
      <c r="B248" s="20" t="str">
        <f t="shared" si="12"/>
        <v>PR-GASPAJ (INTERCONEXÃO)</v>
      </c>
      <c r="C248" s="11">
        <f t="shared" ca="1" si="13"/>
        <v>0</v>
      </c>
      <c r="D248" s="11">
        <f t="shared" si="14"/>
        <v>3.0018997699137402</v>
      </c>
      <c r="E248" s="11">
        <f t="shared" ca="1" si="18"/>
        <v>3.0018997699137402</v>
      </c>
      <c r="G248" s="79"/>
      <c r="H248" s="20" t="s">
        <v>349</v>
      </c>
      <c r="I248" s="20" t="str">
        <f t="shared" si="15"/>
        <v>NTS MG 4</v>
      </c>
      <c r="J248" s="11">
        <f t="shared" ca="1" si="16"/>
        <v>0</v>
      </c>
      <c r="K248" s="11">
        <f t="shared" si="17"/>
        <v>2.2316381060675798</v>
      </c>
      <c r="L248" s="11">
        <f t="shared" ca="1" si="19"/>
        <v>2.2316381060675798</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2.2316381060675798</v>
      </c>
      <c r="L249" s="11">
        <f t="shared" ca="1" si="19"/>
        <v>2.2316381060675798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2.2316381060675798</v>
      </c>
      <c r="L250" s="11">
        <f t="shared" ca="1" si="19"/>
        <v>2.2316381060675798</v>
      </c>
    </row>
    <row r="251" spans="1:22" ht="18" x14ac:dyDescent="0.25">
      <c r="A251" s="20" t="s">
        <v>354</v>
      </c>
      <c r="B251" s="20" t="str">
        <f t="shared" si="12"/>
        <v>PR-TECAB</v>
      </c>
      <c r="C251" s="11">
        <f t="shared" ca="1" si="13"/>
        <v>0</v>
      </c>
      <c r="D251" s="11">
        <f t="shared" si="14"/>
        <v>3.0018997699137402</v>
      </c>
      <c r="E251" s="11">
        <f t="shared" ca="1" si="18"/>
        <v>3.0018997699137402</v>
      </c>
      <c r="G251" s="79"/>
      <c r="H251" s="20" t="s">
        <v>355</v>
      </c>
      <c r="I251" s="20" t="str">
        <f t="shared" si="15"/>
        <v>NTS RJ 3</v>
      </c>
      <c r="J251" s="11">
        <f t="shared" ca="1" si="16"/>
        <v>0</v>
      </c>
      <c r="K251" s="11">
        <f t="shared" si="17"/>
        <v>2.2316381060675798</v>
      </c>
      <c r="L251" s="11">
        <f t="shared" ca="1" si="19"/>
        <v>2.2316381060675798</v>
      </c>
    </row>
    <row r="252" spans="1:22" ht="18" x14ac:dyDescent="0.25">
      <c r="A252" s="20" t="s">
        <v>356</v>
      </c>
      <c r="B252" s="20" t="str">
        <f t="shared" si="12"/>
        <v>PR-GUARAREMA (INTERCONEXÃO)</v>
      </c>
      <c r="C252" s="11">
        <f t="shared" ca="1" si="13"/>
        <v>0</v>
      </c>
      <c r="D252" s="11">
        <f t="shared" si="14"/>
        <v>3.0018997699137402</v>
      </c>
      <c r="E252" s="11">
        <f t="shared" ca="1" si="18"/>
        <v>3.0018997699137402</v>
      </c>
      <c r="G252" s="79"/>
      <c r="H252" s="20" t="s">
        <v>357</v>
      </c>
      <c r="I252" s="20" t="str">
        <f t="shared" si="15"/>
        <v>NTS RJ 4</v>
      </c>
      <c r="J252" s="11">
        <f t="shared" ca="1" si="16"/>
        <v>0</v>
      </c>
      <c r="K252" s="11">
        <f t="shared" si="17"/>
        <v>2.2316381060675798</v>
      </c>
      <c r="L252" s="11">
        <f t="shared" ca="1" si="19"/>
        <v>2.2316381060675798</v>
      </c>
    </row>
    <row r="253" spans="1:22" ht="18" x14ac:dyDescent="0.25">
      <c r="A253" s="20" t="s">
        <v>358</v>
      </c>
      <c r="B253" s="20" t="str">
        <f t="shared" si="12"/>
        <v>PR-REPLAN (INTERCONEXÃO)</v>
      </c>
      <c r="C253" s="11">
        <f t="shared" ca="1" si="13"/>
        <v>0</v>
      </c>
      <c r="D253" s="11">
        <f t="shared" si="14"/>
        <v>3.0018997699137402</v>
      </c>
      <c r="E253" s="11">
        <f t="shared" ca="1" si="18"/>
        <v>3.0018997699137402</v>
      </c>
      <c r="G253" s="79"/>
      <c r="H253" s="20" t="s">
        <v>359</v>
      </c>
      <c r="I253" s="20" t="str">
        <f t="shared" si="15"/>
        <v>NTS RJ 5</v>
      </c>
      <c r="J253" s="11">
        <f t="shared" ca="1" si="16"/>
        <v>0</v>
      </c>
      <c r="K253" s="11">
        <f t="shared" si="17"/>
        <v>2.2316381060675798</v>
      </c>
      <c r="L253" s="11">
        <f t="shared" ca="1" si="19"/>
        <v>2.2316381060675798</v>
      </c>
    </row>
    <row r="254" spans="1:22" ht="18" x14ac:dyDescent="0.25">
      <c r="A254" s="20" t="s">
        <v>360</v>
      </c>
      <c r="B254" s="20" t="str">
        <f t="shared" si="12"/>
        <v>PR-TECAB (INTERCONEXÃO)</v>
      </c>
      <c r="C254" s="11">
        <f t="shared" ca="1" si="13"/>
        <v>0</v>
      </c>
      <c r="D254" s="11">
        <f t="shared" si="14"/>
        <v>3.0018997699137402</v>
      </c>
      <c r="E254" s="11">
        <f t="shared" ca="1" si="18"/>
        <v>3.0018997699137402</v>
      </c>
      <c r="G254" s="79"/>
      <c r="H254" s="20" t="s">
        <v>361</v>
      </c>
      <c r="I254" s="20" t="str">
        <f t="shared" si="15"/>
        <v>NTS SP 1</v>
      </c>
      <c r="J254" s="11">
        <f t="shared" ca="1" si="16"/>
        <v>0</v>
      </c>
      <c r="K254" s="11">
        <f t="shared" si="17"/>
        <v>2.2316381060675798</v>
      </c>
      <c r="L254" s="11">
        <f t="shared" ca="1" si="19"/>
        <v>2.2316381060675798</v>
      </c>
    </row>
    <row r="255" spans="1:22" ht="18" x14ac:dyDescent="0.25">
      <c r="H255" s="20" t="s">
        <v>362</v>
      </c>
      <c r="I255" s="20" t="str">
        <f t="shared" si="15"/>
        <v>NTS SP 2</v>
      </c>
      <c r="J255" s="11">
        <f t="shared" ca="1" si="16"/>
        <v>0</v>
      </c>
      <c r="K255" s="11">
        <f t="shared" si="17"/>
        <v>2.2316381060675798</v>
      </c>
      <c r="L255" s="11">
        <f t="shared" ca="1" si="19"/>
        <v>2.2316381060675798</v>
      </c>
    </row>
    <row r="256" spans="1:22" ht="18" x14ac:dyDescent="0.25">
      <c r="H256" s="20" t="s">
        <v>363</v>
      </c>
      <c r="I256" s="20" t="str">
        <f t="shared" si="15"/>
        <v>NTS SP 3</v>
      </c>
      <c r="J256" s="11">
        <f t="shared" ca="1" si="16"/>
        <v>0</v>
      </c>
      <c r="K256" s="11">
        <f t="shared" si="17"/>
        <v>2.2316381060675798</v>
      </c>
      <c r="L256" s="11">
        <f t="shared" ca="1" si="19"/>
        <v>2.2316381060675798</v>
      </c>
    </row>
    <row r="257" spans="1:13" ht="18" x14ac:dyDescent="0.25">
      <c r="H257" s="20" t="s">
        <v>364</v>
      </c>
      <c r="I257" s="20" t="str">
        <f t="shared" si="15"/>
        <v>NTS SP 4</v>
      </c>
      <c r="J257" s="11">
        <f t="shared" ca="1" si="16"/>
        <v>0</v>
      </c>
      <c r="K257" s="11">
        <f t="shared" si="17"/>
        <v>2.2316381060675798</v>
      </c>
      <c r="L257" s="11">
        <f t="shared" ca="1" si="19"/>
        <v>2.2316381060675798</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2.2316381060675798</v>
      </c>
      <c r="L259" s="11">
        <f t="shared" ca="1" si="19"/>
        <v>2.2316381060675798</v>
      </c>
    </row>
    <row r="260" spans="1:13" ht="18" x14ac:dyDescent="0.25">
      <c r="H260" s="20" t="s">
        <v>367</v>
      </c>
      <c r="I260" s="20" t="str">
        <f t="shared" si="15"/>
        <v>PE-TECAB (INTERCONEXÃO)</v>
      </c>
      <c r="J260" s="11">
        <f t="shared" ca="1" si="16"/>
        <v>0</v>
      </c>
      <c r="K260" s="11">
        <f t="shared" si="17"/>
        <v>2.2316381060675798</v>
      </c>
      <c r="L260" s="11">
        <f t="shared" ca="1" si="19"/>
        <v>2.2316381060675798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(BRA)'!E11</f>
        <v>200</v>
      </c>
      <c r="D267" s="207">
        <f ca="1">E253</f>
        <v>3.0018997699137402</v>
      </c>
      <c r="E267" s="210">
        <f ca="1">D267*(1-$C$262)</f>
        <v>0.30018997699137395</v>
      </c>
      <c r="F267" s="208">
        <f ca="1">C267*E267*'Premissas (BRA)'!$C$35*'Premissas (BRA)'!$F$20*1000</f>
        <v>817435.0386688821</v>
      </c>
      <c r="L267" s="84"/>
    </row>
    <row r="268" spans="1:13" ht="18.75" x14ac:dyDescent="0.3">
      <c r="B268" s="189" t="s">
        <v>376</v>
      </c>
      <c r="C268" s="213">
        <f>'Oferta (BRA)'!E10</f>
        <v>3398.2010229822185</v>
      </c>
      <c r="D268" s="207">
        <f ca="1">E252</f>
        <v>3.0018997699137402</v>
      </c>
      <c r="E268" s="210">
        <f t="shared" ref="E268:E270" ca="1" si="20">D268*(1-$C$262)</f>
        <v>0.30018997699137395</v>
      </c>
      <c r="F268" s="208">
        <f ca="1">C268*E268*'Premissas (BRA)'!$C$35*'Premissas (BRA)'!$F$20*1000</f>
        <v>13889042.923130523</v>
      </c>
      <c r="G268" s="85"/>
      <c r="K268" s="85"/>
      <c r="L268" s="84"/>
    </row>
    <row r="269" spans="1:13" ht="18.75" x14ac:dyDescent="0.3">
      <c r="B269" s="190" t="s">
        <v>377</v>
      </c>
      <c r="C269" s="213">
        <f>'Oferta (BRA)'!E12</f>
        <v>200</v>
      </c>
      <c r="D269" s="207">
        <f ca="1">E254</f>
        <v>3.0018997699137402</v>
      </c>
      <c r="E269" s="210">
        <f t="shared" ca="1" si="20"/>
        <v>0.30018997699137395</v>
      </c>
      <c r="F269" s="208">
        <f ca="1">C269*E269*'Premissas (BRA)'!$C$35*'Premissas (BRA)'!$F$20*1000</f>
        <v>817435.0386688821</v>
      </c>
      <c r="K269" s="85"/>
      <c r="L269" s="84"/>
    </row>
    <row r="270" spans="1:13" ht="18.75" x14ac:dyDescent="0.3">
      <c r="B270" s="190" t="s">
        <v>185</v>
      </c>
      <c r="C270" s="213">
        <f>'Oferta (BRA)'!E6</f>
        <v>258</v>
      </c>
      <c r="D270" s="207">
        <f ca="1">E248</f>
        <v>3.0018997699137402</v>
      </c>
      <c r="E270" s="210">
        <f t="shared" ca="1" si="20"/>
        <v>0.30018997699137395</v>
      </c>
      <c r="F270" s="208">
        <f ca="1">C270*E270*'Premissas (BRA)'!$C$35*'Premissas (BRA)'!$F$20*1000</f>
        <v>1054491.1998828582</v>
      </c>
      <c r="K270" s="85"/>
      <c r="L270" s="84"/>
    </row>
    <row r="271" spans="1:13" ht="18.75" x14ac:dyDescent="0.3">
      <c r="B271" s="188" t="s">
        <v>378</v>
      </c>
      <c r="C271" s="213">
        <f>'Demanda (BRA)'!E17</f>
        <v>3635.2588149970047</v>
      </c>
      <c r="D271" s="207">
        <f ca="1">L259</f>
        <v>2.2316381060675798</v>
      </c>
      <c r="E271" s="210">
        <f ca="1">D271*(1-$C$262)</f>
        <v>0.22316381060675794</v>
      </c>
      <c r="F271" s="208">
        <f ca="1">C271*E271*'Premissas (BRA)'!$C$35*'Premissas (BRA)'!$F$20*1000</f>
        <v>11045520.117961736</v>
      </c>
      <c r="K271" s="85"/>
      <c r="L271" s="84"/>
    </row>
    <row r="272" spans="1:13" ht="18.75" x14ac:dyDescent="0.3">
      <c r="B272" s="190" t="s">
        <v>379</v>
      </c>
      <c r="C272" s="213">
        <f>'Demanda (BRA)'!E18</f>
        <v>200</v>
      </c>
      <c r="D272" s="207">
        <f ca="1">L260</f>
        <v>2.2316381060675798</v>
      </c>
      <c r="E272" s="210">
        <f ca="1">D272*(1-$C$262)</f>
        <v>0.22316381060675794</v>
      </c>
      <c r="F272" s="208">
        <f ca="1">C272*E272*'Premissas (BRA)'!$C$35*'Premissas (BRA)'!$F$20*1000</f>
        <v>607688.23789900297</v>
      </c>
      <c r="K272" s="85"/>
      <c r="L272" s="84"/>
    </row>
    <row r="273" spans="2:13" ht="19.5" thickBot="1" x14ac:dyDescent="0.35">
      <c r="B273" s="190"/>
      <c r="C273" s="190"/>
      <c r="D273" s="190"/>
      <c r="E273" s="190"/>
      <c r="F273" s="209">
        <f ca="1">SUM(F267:F272)</f>
        <v>28231612.556211885</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8D15D-528B-450E-ADF7-BC9E974F0B2A}">
  <sheetPr codeName="Planilha38">
    <tabColor theme="5"/>
  </sheetPr>
  <dimension ref="A2:AA303"/>
  <sheetViews>
    <sheetView showGridLines="0" zoomScale="70" zoomScaleNormal="70" workbookViewId="0">
      <selection activeCell="C274" sqref="C274"/>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2028</v>
      </c>
    </row>
    <row r="4" spans="1:9" ht="18.75" thickBot="1" x14ac:dyDescent="0.3">
      <c r="A4" s="162"/>
      <c r="B4" s="163" t="s">
        <v>102</v>
      </c>
      <c r="C4" s="164" t="s">
        <v>200</v>
      </c>
      <c r="D4" s="306">
        <f>('Premissas (BRA)'!D33)/1000</f>
        <v>2149.1803777591786</v>
      </c>
      <c r="E4" s="166" t="s">
        <v>103</v>
      </c>
      <c r="F4" s="162"/>
      <c r="G4" s="162"/>
      <c r="H4" s="177"/>
      <c r="I4" s="177"/>
    </row>
    <row r="5" spans="1:9" ht="15.75" thickBot="1" x14ac:dyDescent="0.3">
      <c r="A5" s="153"/>
      <c r="B5" s="197" t="s">
        <v>385</v>
      </c>
      <c r="C5" s="150"/>
      <c r="D5" s="307">
        <f ca="1">D6+D9</f>
        <v>2120.9487652029666</v>
      </c>
      <c r="E5" s="166" t="s">
        <v>103</v>
      </c>
      <c r="F5" s="215" t="s">
        <v>390</v>
      </c>
      <c r="G5" s="153"/>
      <c r="H5" s="177"/>
      <c r="I5" s="177"/>
    </row>
    <row r="6" spans="1:9" ht="18" x14ac:dyDescent="0.25">
      <c r="A6" s="148">
        <f>HLOOKUP($G$3,'Premissas (BRA)'!$B$5:$F$13,9,FALSE)</f>
        <v>0.7</v>
      </c>
      <c r="B6" s="149" t="s">
        <v>104</v>
      </c>
      <c r="C6" s="150" t="s">
        <v>201</v>
      </c>
      <c r="D6" s="307">
        <f ca="1">($A$6*$D$4)-(SUM($F$268:$F$271)/10^6)</f>
        <v>1487.8478602310738</v>
      </c>
      <c r="E6" s="152" t="s">
        <v>105</v>
      </c>
      <c r="F6" s="215" t="s">
        <v>383</v>
      </c>
      <c r="G6" s="153"/>
      <c r="H6" s="177"/>
    </row>
    <row r="7" spans="1:9" ht="30" x14ac:dyDescent="0.25">
      <c r="A7" s="48"/>
      <c r="B7" s="154" t="s">
        <v>106</v>
      </c>
      <c r="C7" s="155" t="s">
        <v>202</v>
      </c>
      <c r="D7" s="308">
        <f>$C$35*'Premissas (BRA)'!$D$20</f>
        <v>11950518.488651091</v>
      </c>
      <c r="E7" s="154" t="s">
        <v>107</v>
      </c>
      <c r="F7" s="172">
        <f>F35</f>
        <v>445780379.80647242</v>
      </c>
      <c r="G7" s="40" t="s">
        <v>108</v>
      </c>
    </row>
    <row r="8" spans="1:9" ht="18.75" thickBot="1" x14ac:dyDescent="0.3">
      <c r="A8" s="157"/>
      <c r="B8" s="158" t="s">
        <v>109</v>
      </c>
      <c r="C8" s="159" t="s">
        <v>203</v>
      </c>
      <c r="D8" s="160">
        <f ca="1">$D$6/$D$7*1000</f>
        <v>0.12450069523293245</v>
      </c>
      <c r="E8" s="161" t="s">
        <v>110</v>
      </c>
      <c r="F8" s="309">
        <f ca="1">$D$6/$F$7*1000000</f>
        <v>3.3376252693691821</v>
      </c>
      <c r="G8" s="170" t="s">
        <v>15</v>
      </c>
      <c r="I8" s="177"/>
    </row>
    <row r="9" spans="1:9" ht="18" x14ac:dyDescent="0.25">
      <c r="A9" s="148">
        <f>1-A6</f>
        <v>0.30000000000000004</v>
      </c>
      <c r="B9" s="149" t="s">
        <v>111</v>
      </c>
      <c r="C9" s="150" t="s">
        <v>204</v>
      </c>
      <c r="D9" s="307">
        <f ca="1">($A$9*$D$4)-(SUM($F$272:$F$273)/10^6)</f>
        <v>633.10090497189287</v>
      </c>
      <c r="E9" s="152" t="s">
        <v>105</v>
      </c>
      <c r="F9" s="215" t="s">
        <v>384</v>
      </c>
      <c r="G9" s="171"/>
    </row>
    <row r="10" spans="1:9" ht="30" x14ac:dyDescent="0.25">
      <c r="B10" s="154" t="s">
        <v>112</v>
      </c>
      <c r="C10" s="155" t="s">
        <v>205</v>
      </c>
      <c r="D10" s="308">
        <f>$C$58*'Premissas (BRA)'!$D$20</f>
        <v>6341557.9491338981</v>
      </c>
      <c r="E10" s="154" t="s">
        <v>107</v>
      </c>
      <c r="F10" s="172">
        <f>F58</f>
        <v>236553929.75746563</v>
      </c>
      <c r="G10" s="40" t="s">
        <v>108</v>
      </c>
    </row>
    <row r="11" spans="1:9" ht="18.75" thickBot="1" x14ac:dyDescent="0.3">
      <c r="A11" s="167"/>
      <c r="B11" s="158" t="s">
        <v>113</v>
      </c>
      <c r="C11" s="159" t="s">
        <v>206</v>
      </c>
      <c r="D11" s="160">
        <f ca="1">$D$9/$D$10*1000</f>
        <v>9.9833654450537504E-2</v>
      </c>
      <c r="E11" s="161" t="s">
        <v>110</v>
      </c>
      <c r="F11" s="309">
        <f ca="1">$D$9/$F$10*1000000</f>
        <v>2.6763491336668959</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2028</v>
      </c>
      <c r="F22" s="376">
        <v>2028</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(BRA)'!E3</f>
        <v>11121.869070475715</v>
      </c>
      <c r="E25" s="60"/>
      <c r="F25" s="15">
        <f>IFERROR($C25*$H$20*'Premissas (BRA)'!$D$20*1000," ")</f>
        <v>151842402.02261025</v>
      </c>
      <c r="G25" s="49"/>
    </row>
    <row r="26" spans="1:9" x14ac:dyDescent="0.25">
      <c r="A26" s="2" t="s">
        <v>125</v>
      </c>
      <c r="B26" s="16" t="s">
        <v>26</v>
      </c>
      <c r="C26" s="231">
        <f>'Oferta (BRA)'!E4</f>
        <v>200</v>
      </c>
      <c r="E26" s="60"/>
      <c r="F26" s="15">
        <f>IFERROR($C26*$H$20*'Premissas (BRA)'!$D$20*1000," ")</f>
        <v>2730519.5027999999</v>
      </c>
      <c r="G26" s="49"/>
    </row>
    <row r="27" spans="1:9" x14ac:dyDescent="0.25">
      <c r="A27" s="2" t="s">
        <v>126</v>
      </c>
      <c r="B27" s="16" t="s">
        <v>411</v>
      </c>
      <c r="C27" s="231">
        <f>'Oferta (BRA)'!E5</f>
        <v>13564</v>
      </c>
      <c r="D27" s="18"/>
      <c r="E27" s="60"/>
      <c r="F27" s="15">
        <f>IFERROR($C27*$H$20*'Premissas (BRA)'!$D$20*1000," ")</f>
        <v>185183832.679896</v>
      </c>
      <c r="G27" s="49"/>
    </row>
    <row r="28" spans="1:9" x14ac:dyDescent="0.25">
      <c r="A28" s="2" t="s">
        <v>127</v>
      </c>
      <c r="B28" s="16" t="s">
        <v>388</v>
      </c>
      <c r="C28" s="234"/>
      <c r="D28" s="216" t="s">
        <v>386</v>
      </c>
      <c r="E28" s="60"/>
      <c r="F28" s="15">
        <f>IFERROR($C28*$H$20*'Premissas (BRA)'!$D$20*1000," ")</f>
        <v>0</v>
      </c>
      <c r="G28" s="49"/>
    </row>
    <row r="29" spans="1:9" x14ac:dyDescent="0.25">
      <c r="A29" s="2" t="s">
        <v>128</v>
      </c>
      <c r="B29" s="16" t="s">
        <v>27</v>
      </c>
      <c r="C29" s="231">
        <f>'Oferta (BRA)'!E7</f>
        <v>0</v>
      </c>
      <c r="D29" s="18"/>
      <c r="E29" s="60"/>
      <c r="F29" s="15">
        <f>IFERROR($C29*$H$20*'Premissas (BRA)'!$D$20*1000," ")</f>
        <v>0</v>
      </c>
      <c r="G29" s="49"/>
    </row>
    <row r="30" spans="1:9" x14ac:dyDescent="0.25">
      <c r="A30" s="2" t="s">
        <v>183</v>
      </c>
      <c r="B30" s="16" t="s">
        <v>29</v>
      </c>
      <c r="C30" s="231">
        <f>'Oferta (BRA)'!E8</f>
        <v>0</v>
      </c>
      <c r="D30" s="18"/>
      <c r="E30" s="60"/>
      <c r="F30" s="15">
        <f>IFERROR($C30*$H$20*'Premissas (BRA)'!$D$20*1000," ")</f>
        <v>0</v>
      </c>
      <c r="G30" s="49"/>
    </row>
    <row r="31" spans="1:9" x14ac:dyDescent="0.25">
      <c r="A31" s="2" t="s">
        <v>129</v>
      </c>
      <c r="B31" s="16" t="s">
        <v>24</v>
      </c>
      <c r="C31" s="231">
        <f>'Oferta (BRA)'!E9</f>
        <v>7765.8207892267164</v>
      </c>
      <c r="D31" s="18"/>
      <c r="E31" s="60"/>
      <c r="F31" s="15">
        <f>IFERROR($C31*$H$20*'Premissas (BRA)'!$D$20*1000," ")</f>
        <v>106023625.60116619</v>
      </c>
      <c r="G31" s="49"/>
    </row>
    <row r="32" spans="1:9" x14ac:dyDescent="0.25">
      <c r="A32" s="2" t="s">
        <v>184</v>
      </c>
      <c r="B32" s="16" t="s">
        <v>194</v>
      </c>
      <c r="C32" s="191"/>
      <c r="D32" s="216" t="s">
        <v>386</v>
      </c>
      <c r="E32" s="60"/>
      <c r="F32" s="15">
        <f>IFERROR($C32*$H$20*'Premissas (BRA)'!$D$20*1000," ")</f>
        <v>0</v>
      </c>
      <c r="G32" s="49"/>
    </row>
    <row r="33" spans="1:8" x14ac:dyDescent="0.25">
      <c r="A33" s="2" t="s">
        <v>130</v>
      </c>
      <c r="B33" s="16" t="s">
        <v>196</v>
      </c>
      <c r="C33" s="191"/>
      <c r="D33" s="216" t="s">
        <v>386</v>
      </c>
      <c r="E33" s="60"/>
      <c r="F33" s="15">
        <f>IFERROR($C33*$H$20*'Premissas (BRA)'!$D$20*1000," ")</f>
        <v>0</v>
      </c>
      <c r="G33" s="49"/>
    </row>
    <row r="34" spans="1:8" x14ac:dyDescent="0.25">
      <c r="A34" s="2" t="s">
        <v>131</v>
      </c>
      <c r="B34" s="16" t="s">
        <v>195</v>
      </c>
      <c r="C34" s="191"/>
      <c r="D34" s="216" t="s">
        <v>386</v>
      </c>
      <c r="E34" s="60"/>
      <c r="F34" s="15">
        <f>IFERROR($C34*$H$20*'Premissas (BRA)'!$D$20*1000," ")</f>
        <v>0</v>
      </c>
      <c r="G34" s="49"/>
    </row>
    <row r="35" spans="1:8" x14ac:dyDescent="0.25">
      <c r="C35" s="61">
        <f>SUM(C25:C34)</f>
        <v>32651.689859702434</v>
      </c>
      <c r="D35" s="61"/>
      <c r="E35" s="60"/>
      <c r="F35" s="61">
        <f>SUM(F25:F34)</f>
        <v>445780379.80647242</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2028</v>
      </c>
      <c r="F39" s="376">
        <v>2028</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(BRA)'!E3</f>
        <v>83.95934449000282</v>
      </c>
      <c r="F42" s="15">
        <f>IFERROR($C42*$H$20*'Premissas (BRA)'!$D$20*1000," ")</f>
        <v>1146263.1378612821</v>
      </c>
      <c r="G42" s="49"/>
    </row>
    <row r="43" spans="1:8" x14ac:dyDescent="0.25">
      <c r="A43" s="2" t="s">
        <v>38</v>
      </c>
      <c r="B43" s="16" t="s">
        <v>161</v>
      </c>
      <c r="C43" s="231">
        <f>'Demanda (BRA)'!E4</f>
        <v>1358.5951793648003</v>
      </c>
      <c r="D43" s="18"/>
      <c r="F43" s="15">
        <f>IFERROR($C43*$H$20*'Premissas (BRA)'!$D$20*1000," ")</f>
        <v>18548353.168328255</v>
      </c>
      <c r="G43" s="49"/>
    </row>
    <row r="44" spans="1:8" x14ac:dyDescent="0.25">
      <c r="A44" s="2" t="s">
        <v>39</v>
      </c>
      <c r="B44" s="16" t="s">
        <v>162</v>
      </c>
      <c r="C44" s="231">
        <f>'Demanda (BRA)'!E5</f>
        <v>1591.1855708262167</v>
      </c>
      <c r="D44" s="18"/>
      <c r="F44" s="15">
        <f>IFERROR($C44*$H$20*'Premissas (BRA)'!$D$20*1000," ")</f>
        <v>21723816.168574676</v>
      </c>
      <c r="G44" s="49"/>
    </row>
    <row r="45" spans="1:8" x14ac:dyDescent="0.25">
      <c r="A45" s="2" t="s">
        <v>40</v>
      </c>
      <c r="B45" s="16" t="s">
        <v>163</v>
      </c>
      <c r="C45" s="231">
        <f>'Demanda (BRA)'!E6</f>
        <v>257.90539079715882</v>
      </c>
      <c r="D45" s="18"/>
      <c r="F45" s="15">
        <f>IFERROR($C45*$H$20*'Premissas (BRA)'!$D$20*1000," ")</f>
        <v>3521078.4972444884</v>
      </c>
      <c r="G45" s="49"/>
    </row>
    <row r="46" spans="1:8" x14ac:dyDescent="0.25">
      <c r="A46" s="2" t="s">
        <v>41</v>
      </c>
      <c r="B46" s="16" t="s">
        <v>164</v>
      </c>
      <c r="C46" s="231">
        <f>'Demanda (BRA)'!E7</f>
        <v>4113.6189497552796</v>
      </c>
      <c r="D46" s="18"/>
      <c r="F46" s="15">
        <f>IFERROR($C46*$H$20*'Premissas (BRA)'!$D$20*1000," ")</f>
        <v>56161583.84697222</v>
      </c>
      <c r="G46" s="49"/>
    </row>
    <row r="47" spans="1:8" x14ac:dyDescent="0.25">
      <c r="A47" s="2" t="s">
        <v>42</v>
      </c>
      <c r="B47" s="16" t="s">
        <v>165</v>
      </c>
      <c r="C47" s="231">
        <f>'Demanda (BRA)'!E8</f>
        <v>1671.5160482445838</v>
      </c>
      <c r="D47" s="18"/>
      <c r="F47" s="15">
        <f>IFERROR($C47*$H$20*'Premissas (BRA)'!$D$20*1000," ")</f>
        <v>22820535.844875108</v>
      </c>
      <c r="G47" s="49"/>
    </row>
    <row r="48" spans="1:8" x14ac:dyDescent="0.25">
      <c r="A48" s="2" t="s">
        <v>43</v>
      </c>
      <c r="B48" s="16" t="s">
        <v>166</v>
      </c>
      <c r="C48" s="231">
        <f>'Demanda (BRA)'!E9</f>
        <v>1497.3761894156601</v>
      </c>
      <c r="D48" s="18"/>
      <c r="F48" s="15">
        <f>IFERROR($C48*$H$20*'Premissas (BRA)'!$D$20*1000," ")</f>
        <v>20443074.441139035</v>
      </c>
      <c r="G48" s="49"/>
    </row>
    <row r="49" spans="1:9" x14ac:dyDescent="0.25">
      <c r="A49" s="2" t="s">
        <v>44</v>
      </c>
      <c r="B49" s="16" t="s">
        <v>167</v>
      </c>
      <c r="C49" s="231">
        <f>'Demanda (BRA)'!E10</f>
        <v>275.11051045873194</v>
      </c>
      <c r="D49" s="18"/>
      <c r="F49" s="15">
        <f>IFERROR($C49*$H$20*'Premissas (BRA)'!$D$20*1000," ")</f>
        <v>3755973.071164154</v>
      </c>
      <c r="G49" s="49"/>
    </row>
    <row r="50" spans="1:9" x14ac:dyDescent="0.25">
      <c r="A50" s="2" t="s">
        <v>45</v>
      </c>
      <c r="B50" s="16" t="s">
        <v>168</v>
      </c>
      <c r="C50" s="231">
        <f>'Demanda (BRA)'!E11</f>
        <v>695.99981184318472</v>
      </c>
      <c r="D50" s="18"/>
      <c r="F50" s="15">
        <f>IFERROR($C50*$H$20*'Premissas (BRA)'!$D$20*1000," ")</f>
        <v>9502205.3009147309</v>
      </c>
      <c r="G50" s="49"/>
    </row>
    <row r="51" spans="1:9" x14ac:dyDescent="0.25">
      <c r="A51" s="2" t="s">
        <v>46</v>
      </c>
      <c r="B51" s="16" t="s">
        <v>169</v>
      </c>
      <c r="C51" s="231">
        <f>'Demanda (BRA)'!E12</f>
        <v>994.60300359473592</v>
      </c>
      <c r="D51" s="18"/>
      <c r="F51" s="15">
        <f>IFERROR($C51*$H$20*'Premissas (BRA)'!$D$20*1000," ")</f>
        <v>13578914.494294424</v>
      </c>
      <c r="G51" s="49"/>
    </row>
    <row r="52" spans="1:9" x14ac:dyDescent="0.25">
      <c r="A52" s="2" t="s">
        <v>47</v>
      </c>
      <c r="B52" s="16" t="s">
        <v>170</v>
      </c>
      <c r="C52" s="231">
        <f>'Demanda (BRA)'!E13</f>
        <v>2460.3528578351988</v>
      </c>
      <c r="D52" s="18"/>
      <c r="F52" s="15">
        <f>IFERROR($C52*$H$20*'Premissas (BRA)'!$D$20*1000," ")</f>
        <v>33590207.310443625</v>
      </c>
      <c r="G52" s="49"/>
    </row>
    <row r="53" spans="1:9" x14ac:dyDescent="0.25">
      <c r="A53" s="2" t="s">
        <v>48</v>
      </c>
      <c r="B53" s="16" t="s">
        <v>171</v>
      </c>
      <c r="C53" s="231">
        <f>'Demanda (BRA)'!E14</f>
        <v>1008.3686134701056</v>
      </c>
      <c r="D53" s="18"/>
      <c r="F53" s="15">
        <f>IFERROR($C53*$H$20*'Premissas (BRA)'!$D$20*1000," ")</f>
        <v>13766850.82545759</v>
      </c>
      <c r="G53" s="49"/>
    </row>
    <row r="54" spans="1:9" x14ac:dyDescent="0.25">
      <c r="A54" s="2" t="s">
        <v>49</v>
      </c>
      <c r="B54" s="16" t="s">
        <v>172</v>
      </c>
      <c r="C54" s="231">
        <f>'Demanda (BRA)'!E15</f>
        <v>1318.069593111717</v>
      </c>
      <c r="D54" s="18"/>
      <c r="F54" s="15">
        <f>IFERROR($C54*$H$20*'Premissas (BRA)'!$D$20*1000," ")</f>
        <v>17995073.65019602</v>
      </c>
      <c r="G54" s="49"/>
    </row>
    <row r="55" spans="1:9" x14ac:dyDescent="0.25">
      <c r="A55" s="2" t="s">
        <v>50</v>
      </c>
      <c r="B55" s="16" t="s">
        <v>199</v>
      </c>
      <c r="C55" s="191"/>
      <c r="D55" s="216" t="s">
        <v>386</v>
      </c>
      <c r="F55" s="15">
        <f>IFERROR($C55*$H$20*'Premissas (BRA)'!$D$20*1000," ")</f>
        <v>0</v>
      </c>
      <c r="G55" s="49"/>
    </row>
    <row r="56" spans="1:9" x14ac:dyDescent="0.25">
      <c r="A56" s="2" t="s">
        <v>51</v>
      </c>
      <c r="B56" s="16" t="s">
        <v>198</v>
      </c>
      <c r="C56" s="191"/>
      <c r="D56" s="216" t="s">
        <v>386</v>
      </c>
      <c r="F56" s="15">
        <f>IFERROR($C56*$H$20*'Premissas (BRA)'!$D$20*1000," ")</f>
        <v>0</v>
      </c>
      <c r="G56" s="49"/>
    </row>
    <row r="57" spans="1:9" x14ac:dyDescent="0.25">
      <c r="A57" s="2" t="s">
        <v>52</v>
      </c>
      <c r="B57" s="16" t="s">
        <v>197</v>
      </c>
      <c r="C57" s="191"/>
      <c r="D57" s="216" t="s">
        <v>386</v>
      </c>
      <c r="F57" s="15">
        <f>IFERROR($C57*$H$20*'Premissas (BRA)'!$D$20*1000," ")</f>
        <v>0</v>
      </c>
      <c r="G57" s="49"/>
    </row>
    <row r="58" spans="1:9" x14ac:dyDescent="0.25">
      <c r="C58" s="61">
        <f>SUM(C42:C57)</f>
        <v>17326.661063207372</v>
      </c>
      <c r="D58" s="61"/>
      <c r="F58" s="61">
        <f>SUM(F42:F57)</f>
        <v>236553929.75746563</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0.34062154572287345</v>
      </c>
      <c r="C100" s="8"/>
      <c r="D100" t="s">
        <v>232</v>
      </c>
      <c r="E100" s="66">
        <f t="shared" ref="E100:E115" si="2">F42/$F$58</f>
        <v>4.8456736230783589E-3</v>
      </c>
      <c r="G100" s="65" t="s">
        <v>140</v>
      </c>
      <c r="H100" s="67">
        <f>F25/$F$35</f>
        <v>0.34062154572287345</v>
      </c>
      <c r="I100" s="67">
        <f>F26/$F$35</f>
        <v>6.1252572488394537E-3</v>
      </c>
      <c r="J100" s="67">
        <f>$F27/$F$35</f>
        <v>0.41541494661629175</v>
      </c>
      <c r="K100" s="67">
        <f>$F28/$F$35</f>
        <v>0</v>
      </c>
      <c r="L100" s="67">
        <f>$F29/$F$35</f>
        <v>0</v>
      </c>
      <c r="M100" s="67">
        <f>$F30/$F$35</f>
        <v>0</v>
      </c>
      <c r="N100" s="67">
        <f>$F31/$F$35</f>
        <v>0.23783825041199536</v>
      </c>
      <c r="O100" s="67">
        <f>$F32/$F$35</f>
        <v>0</v>
      </c>
      <c r="P100" s="67">
        <f>$F33/$F$35</f>
        <v>0</v>
      </c>
      <c r="Q100" s="67">
        <f>$F34/$F$35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7.8410674417227141E-2</v>
      </c>
      <c r="W101" s="69"/>
    </row>
    <row r="102" spans="1:27" ht="18" x14ac:dyDescent="0.35">
      <c r="A102" t="s">
        <v>224</v>
      </c>
      <c r="B102" s="66">
        <f t="shared" si="1"/>
        <v>0.41541494661629175</v>
      </c>
      <c r="C102" s="4"/>
      <c r="D102" t="s">
        <v>234</v>
      </c>
      <c r="E102" s="66">
        <f t="shared" si="2"/>
        <v>9.18345182041478E-2</v>
      </c>
      <c r="G102" s="66"/>
      <c r="H102" s="68"/>
      <c r="I102" s="68"/>
    </row>
    <row r="103" spans="1:27" ht="18" x14ac:dyDescent="0.35">
      <c r="A103" t="s">
        <v>225</v>
      </c>
      <c r="B103" s="66">
        <f t="shared" si="1"/>
        <v>0</v>
      </c>
      <c r="C103" s="4"/>
      <c r="D103" t="s">
        <v>235</v>
      </c>
      <c r="E103" s="66">
        <f t="shared" si="2"/>
        <v>1.4884886929820127E-2</v>
      </c>
      <c r="G103" s="66"/>
      <c r="H103" s="68"/>
      <c r="I103" s="68"/>
    </row>
    <row r="104" spans="1:27" ht="18" x14ac:dyDescent="0.35">
      <c r="A104" t="s">
        <v>226</v>
      </c>
      <c r="B104" s="66">
        <f t="shared" si="1"/>
        <v>0</v>
      </c>
      <c r="C104" s="4"/>
      <c r="D104" t="s">
        <v>236</v>
      </c>
      <c r="E104" s="66">
        <f t="shared" si="2"/>
        <v>0.23741556060621632</v>
      </c>
      <c r="G104" s="66"/>
      <c r="H104" s="68"/>
      <c r="I104" s="68"/>
    </row>
    <row r="105" spans="1:27" ht="18" x14ac:dyDescent="0.35">
      <c r="A105" t="s">
        <v>227</v>
      </c>
      <c r="B105" s="66">
        <f t="shared" si="1"/>
        <v>0</v>
      </c>
      <c r="C105" s="4"/>
      <c r="D105" t="s">
        <v>237</v>
      </c>
      <c r="E105" s="66">
        <f t="shared" si="2"/>
        <v>9.6470753490641992E-2</v>
      </c>
      <c r="G105" s="66"/>
      <c r="H105" s="68"/>
      <c r="I105" s="68"/>
    </row>
    <row r="106" spans="1:27" ht="18" x14ac:dyDescent="0.35">
      <c r="A106" t="s">
        <v>228</v>
      </c>
      <c r="B106" s="66">
        <f t="shared" si="1"/>
        <v>0.23783825041199536</v>
      </c>
      <c r="C106" s="4"/>
      <c r="D106" t="s">
        <v>238</v>
      </c>
      <c r="E106" s="66">
        <f t="shared" si="2"/>
        <v>8.6420354386413878E-2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4.0169298014440795E-2</v>
      </c>
      <c r="G108" s="66"/>
      <c r="H108" s="68"/>
      <c r="I108" s="68"/>
    </row>
    <row r="109" spans="1:27" ht="18" x14ac:dyDescent="0.35">
      <c r="A109" t="s">
        <v>231</v>
      </c>
      <c r="B109" s="66">
        <f t="shared" si="1"/>
        <v>0</v>
      </c>
      <c r="D109" t="s">
        <v>241</v>
      </c>
      <c r="E109" s="66">
        <f t="shared" si="2"/>
        <v>5.740303916412056E-2</v>
      </c>
      <c r="G109" s="66"/>
    </row>
    <row r="110" spans="1:27" ht="18" x14ac:dyDescent="0.35">
      <c r="B110" s="66">
        <f>SUM(B100:B109)</f>
        <v>1</v>
      </c>
      <c r="D110" t="s">
        <v>242</v>
      </c>
      <c r="E110" s="66">
        <f t="shared" si="2"/>
        <v>0.14199809466231672</v>
      </c>
      <c r="G110" s="66"/>
    </row>
    <row r="111" spans="1:27" ht="18" x14ac:dyDescent="0.35">
      <c r="B111" s="68"/>
      <c r="D111" t="s">
        <v>243</v>
      </c>
      <c r="E111" s="66">
        <f t="shared" si="2"/>
        <v>5.8197514789005991E-2</v>
      </c>
      <c r="G111" s="66"/>
    </row>
    <row r="112" spans="1:27" ht="18" x14ac:dyDescent="0.35">
      <c r="B112" s="68"/>
      <c r="D112" t="s">
        <v>244</v>
      </c>
      <c r="E112" s="66">
        <f t="shared" si="2"/>
        <v>7.6071759486921381E-2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1.0000000000000002</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348.00559018731286</v>
      </c>
      <c r="C131" s="70"/>
      <c r="D131" t="s">
        <v>253</v>
      </c>
      <c r="E131" s="4">
        <f ca="1">SUMPRODUCT($H$100:$Q$100,$C68:$L68)</f>
        <v>381.82480233545687</v>
      </c>
    </row>
    <row r="132" spans="1:5" ht="18" x14ac:dyDescent="0.35">
      <c r="A132" t="s">
        <v>254</v>
      </c>
      <c r="B132" s="66">
        <f ca="1">SUMPRODUCT($E$100:$E$115,D$68:D$83)</f>
        <v>238.07443165879417</v>
      </c>
      <c r="C132" s="70"/>
      <c r="D132" t="s">
        <v>255</v>
      </c>
      <c r="E132" s="4">
        <f t="shared" ref="E132:E146" ca="1" si="3">SUMPRODUCT($H$100:$Q$100,$C69:$L69)</f>
        <v>478.98880233545691</v>
      </c>
    </row>
    <row r="133" spans="1:5" ht="18" x14ac:dyDescent="0.35">
      <c r="A133" t="s">
        <v>256</v>
      </c>
      <c r="B133" s="66">
        <f ca="1">SUMPRODUCT($E$100:$E$115,E$68:E$83)</f>
        <v>274.56161386783612</v>
      </c>
      <c r="C133" s="70"/>
      <c r="D133" t="s">
        <v>257</v>
      </c>
      <c r="E133" s="4">
        <f t="shared" ca="1" si="3"/>
        <v>596.15400233545688</v>
      </c>
    </row>
    <row r="134" spans="1:5" ht="18" x14ac:dyDescent="0.35">
      <c r="A134" t="s">
        <v>258</v>
      </c>
      <c r="B134" s="66">
        <f ca="1">SUMPRODUCT($E$100:$E$115,F$68:F$83)</f>
        <v>459.39338604153443</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213.98004830229476</v>
      </c>
    </row>
    <row r="137" spans="1:5" ht="18" x14ac:dyDescent="0.35">
      <c r="A137" t="s">
        <v>264</v>
      </c>
      <c r="B137" s="66">
        <f ca="1">SUMPRODUCT($E$100:$E$115,I$68:I$83)</f>
        <v>385.09157515500448</v>
      </c>
      <c r="D137" t="s">
        <v>265</v>
      </c>
      <c r="E137" s="4">
        <f t="shared" ca="1" si="3"/>
        <v>229.34466796296687</v>
      </c>
    </row>
    <row r="138" spans="1:5" ht="18" x14ac:dyDescent="0.35">
      <c r="A138" t="s">
        <v>266</v>
      </c>
      <c r="B138" s="66">
        <f ca="1">SUMPRODUCT($E$100:$E$115,J$68:J$83)</f>
        <v>303.67115177082854</v>
      </c>
      <c r="D138" t="s">
        <v>267</v>
      </c>
      <c r="E138" s="4">
        <f t="shared" ca="1" si="3"/>
        <v>248.57032826686191</v>
      </c>
    </row>
    <row r="139" spans="1:5" ht="18" x14ac:dyDescent="0.35">
      <c r="A139" t="s">
        <v>268</v>
      </c>
      <c r="B139" s="66">
        <f ca="1">SUMPRODUCT($E$100:$E$115,K$68:K$83)</f>
        <v>459.39338604153443</v>
      </c>
      <c r="D139" t="s">
        <v>269</v>
      </c>
      <c r="E139" s="4">
        <f t="shared" ca="1" si="3"/>
        <v>223.14240453800079</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445.66464244190951</v>
      </c>
    </row>
    <row r="144" spans="1:5" ht="18" x14ac:dyDescent="0.35">
      <c r="B144" s="66"/>
      <c r="D144" t="s">
        <v>275</v>
      </c>
      <c r="E144" s="4">
        <f t="shared" si="3"/>
        <v>340.32764244190952</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0.36401277341349392</v>
      </c>
      <c r="C163" s="13"/>
      <c r="D163" t="s">
        <v>283</v>
      </c>
      <c r="E163" s="71">
        <f t="shared" ref="E163:E178" ca="1" si="5">($F42*$E131)/SUMPRODUCT($F$42:$F$57,$E$131:$E$146)</f>
        <v>5.6816775485780437E-3</v>
      </c>
    </row>
    <row r="164" spans="1:9" ht="18" x14ac:dyDescent="0.35">
      <c r="A164" t="s">
        <v>284</v>
      </c>
      <c r="B164" s="71">
        <f t="shared" ca="1" si="4"/>
        <v>4.4781163895208434E-3</v>
      </c>
      <c r="C164" s="4"/>
      <c r="D164" t="s">
        <v>285</v>
      </c>
      <c r="E164" s="71">
        <f t="shared" ca="1" si="5"/>
        <v>0.115334393942661</v>
      </c>
    </row>
    <row r="165" spans="1:9" ht="18" x14ac:dyDescent="0.35">
      <c r="A165" t="s">
        <v>286</v>
      </c>
      <c r="B165" s="71">
        <f t="shared" ca="1" si="4"/>
        <v>0.3502516784659121</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2.7011397732216617E-2</v>
      </c>
    </row>
    <row r="167" spans="1:9" ht="18" x14ac:dyDescent="0.35">
      <c r="A167" t="s">
        <v>290</v>
      </c>
      <c r="B167" s="71">
        <f t="shared" ca="1" si="4"/>
        <v>0</v>
      </c>
      <c r="C167" s="4"/>
      <c r="D167" t="s">
        <v>291</v>
      </c>
      <c r="E167" s="71">
        <f t="shared" ca="1" si="5"/>
        <v>0.15832190090488177</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1.2119923438785542E-2</v>
      </c>
    </row>
    <row r="171" spans="1:9" ht="18" x14ac:dyDescent="0.35">
      <c r="A171" t="s">
        <v>298</v>
      </c>
      <c r="B171" s="71">
        <f t="shared" ca="1" si="4"/>
        <v>0</v>
      </c>
      <c r="D171" t="s">
        <v>299</v>
      </c>
      <c r="E171" s="71">
        <f t="shared" ca="1" si="5"/>
        <v>2.752546336827643E-2</v>
      </c>
    </row>
    <row r="172" spans="1:9" ht="18" x14ac:dyDescent="0.35">
      <c r="A172" t="s">
        <v>300</v>
      </c>
      <c r="B172" s="71">
        <f t="shared" ca="1" si="4"/>
        <v>0</v>
      </c>
      <c r="D172" t="s">
        <v>301</v>
      </c>
      <c r="E172" s="71">
        <f t="shared" ca="1" si="5"/>
        <v>5.3526533245923012E-2</v>
      </c>
    </row>
    <row r="173" spans="1:9" ht="18" x14ac:dyDescent="0.35">
      <c r="B173" s="175">
        <f ca="1">SUM(B163:B172)</f>
        <v>1</v>
      </c>
      <c r="D173" t="s">
        <v>302</v>
      </c>
      <c r="E173" s="71">
        <f t="shared" ca="1" si="5"/>
        <v>0.13071969216727203</v>
      </c>
    </row>
    <row r="174" spans="1:9" ht="18" x14ac:dyDescent="0.35">
      <c r="B174" s="71"/>
      <c r="D174" t="s">
        <v>303</v>
      </c>
      <c r="E174" s="71">
        <f t="shared" ca="1" si="5"/>
        <v>7.3273039393892847E-2</v>
      </c>
    </row>
    <row r="175" spans="1:9" ht="18" x14ac:dyDescent="0.35">
      <c r="B175" s="71"/>
      <c r="D175" t="s">
        <v>304</v>
      </c>
      <c r="E175" s="71">
        <f t="shared" ca="1" si="5"/>
        <v>0.10410939653318836</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541.59562602004564</v>
      </c>
      <c r="C194" s="19"/>
      <c r="D194" t="s">
        <v>311</v>
      </c>
      <c r="E194" s="5">
        <f t="shared" ref="E194:E209" ca="1" si="7">$E163*$D$9</f>
        <v>3.5970751977632451</v>
      </c>
    </row>
    <row r="195" spans="1:5" ht="18" x14ac:dyDescent="0.35">
      <c r="A195" t="s">
        <v>312</v>
      </c>
      <c r="B195" s="6">
        <f t="shared" ca="1" si="6"/>
        <v>6.6627558880142885</v>
      </c>
      <c r="D195" t="s">
        <v>313</v>
      </c>
      <c r="E195" s="5">
        <f t="shared" ca="1" si="7"/>
        <v>73.018309179483481</v>
      </c>
    </row>
    <row r="196" spans="1:5" ht="18" x14ac:dyDescent="0.35">
      <c r="A196" t="s">
        <v>314</v>
      </c>
      <c r="B196" s="6">
        <f t="shared" ca="1" si="6"/>
        <v>521.12121034784934</v>
      </c>
      <c r="D196" t="s">
        <v>315</v>
      </c>
      <c r="E196" s="5">
        <f t="shared" ca="1" si="7"/>
        <v>106.43773839183574</v>
      </c>
    </row>
    <row r="197" spans="1:5" ht="18" x14ac:dyDescent="0.35">
      <c r="A197" t="s">
        <v>316</v>
      </c>
      <c r="B197" s="6">
        <f t="shared" ca="1" si="6"/>
        <v>0</v>
      </c>
      <c r="D197" t="s">
        <v>317</v>
      </c>
      <c r="E197" s="5">
        <f t="shared" ca="1" si="7"/>
        <v>17.100940348822075</v>
      </c>
    </row>
    <row r="198" spans="1:5" ht="18" x14ac:dyDescent="0.35">
      <c r="A198" t="s">
        <v>318</v>
      </c>
      <c r="B198" s="6">
        <f t="shared" ca="1" si="6"/>
        <v>0</v>
      </c>
      <c r="D198" t="s">
        <v>319</v>
      </c>
      <c r="E198" s="5">
        <f t="shared" ca="1" si="7"/>
        <v>100.23373873975099</v>
      </c>
    </row>
    <row r="199" spans="1:5" ht="18" x14ac:dyDescent="0.35">
      <c r="A199" t="s">
        <v>320</v>
      </c>
      <c r="B199" s="6">
        <f t="shared" ca="1" si="6"/>
        <v>0</v>
      </c>
      <c r="D199" t="s">
        <v>321</v>
      </c>
      <c r="E199" s="5">
        <f t="shared" ca="1" si="7"/>
        <v>40.132865905195594</v>
      </c>
    </row>
    <row r="200" spans="1:5" ht="18" x14ac:dyDescent="0.35">
      <c r="A200" t="s">
        <v>322</v>
      </c>
      <c r="B200" s="6">
        <f t="shared" ca="1" si="6"/>
        <v>418.46826797516451</v>
      </c>
      <c r="D200" t="s">
        <v>323</v>
      </c>
      <c r="E200" s="5">
        <f t="shared" ca="1" si="7"/>
        <v>38.533274185226993</v>
      </c>
    </row>
    <row r="201" spans="1:5" ht="18" x14ac:dyDescent="0.35">
      <c r="A201" t="s">
        <v>324</v>
      </c>
      <c r="B201" s="6">
        <f t="shared" ca="1" si="6"/>
        <v>0</v>
      </c>
      <c r="D201" t="s">
        <v>325</v>
      </c>
      <c r="E201" s="5">
        <f t="shared" ca="1" si="7"/>
        <v>7.6731344972851829</v>
      </c>
    </row>
    <row r="202" spans="1:5" ht="18" x14ac:dyDescent="0.35">
      <c r="A202" t="s">
        <v>326</v>
      </c>
      <c r="B202" s="6">
        <f t="shared" ca="1" si="6"/>
        <v>0</v>
      </c>
      <c r="D202" t="s">
        <v>327</v>
      </c>
      <c r="E202" s="5">
        <f t="shared" ca="1" si="7"/>
        <v>17.426395768226495</v>
      </c>
    </row>
    <row r="203" spans="1:5" ht="18" x14ac:dyDescent="0.35">
      <c r="A203" t="s">
        <v>328</v>
      </c>
      <c r="B203" s="6">
        <f t="shared" ca="1" si="6"/>
        <v>0</v>
      </c>
      <c r="D203" t="s">
        <v>329</v>
      </c>
      <c r="E203" s="5">
        <f t="shared" ca="1" si="7"/>
        <v>33.88769663800197</v>
      </c>
    </row>
    <row r="204" spans="1:5" ht="18" x14ac:dyDescent="0.35">
      <c r="B204" s="6">
        <f ca="1">SUM(B194:B203)</f>
        <v>1487.8478602310738</v>
      </c>
      <c r="D204" t="s">
        <v>330</v>
      </c>
      <c r="E204" s="5">
        <f t="shared" ca="1" si="7"/>
        <v>82.758755408747177</v>
      </c>
    </row>
    <row r="205" spans="1:5" ht="18" x14ac:dyDescent="0.35">
      <c r="B205" s="6"/>
      <c r="D205" t="s">
        <v>331</v>
      </c>
      <c r="E205" s="5">
        <f t="shared" ca="1" si="7"/>
        <v>46.389227550314722</v>
      </c>
    </row>
    <row r="206" spans="1:5" ht="18" x14ac:dyDescent="0.35">
      <c r="B206" s="6"/>
      <c r="D206" t="s">
        <v>332</v>
      </c>
      <c r="E206" s="5">
        <f t="shared" ca="1" si="7"/>
        <v>65.911753161239204</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633.10090497189276</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3.566827307825378</v>
      </c>
      <c r="D227" s="77"/>
      <c r="E227" s="7"/>
      <c r="F227" s="7"/>
      <c r="G227" s="78"/>
      <c r="H227" s="20" t="s">
        <v>343</v>
      </c>
      <c r="I227" s="20" t="str">
        <f t="shared" ref="I227:I242" si="9">B42</f>
        <v>NTS MG 1</v>
      </c>
      <c r="J227" s="11">
        <f t="shared" ref="J227:J242" ca="1" si="10">IFERROR($E194/$F42*1000000," ")</f>
        <v>3.1380885234386331</v>
      </c>
      <c r="L227" s="12"/>
      <c r="M227" s="79"/>
      <c r="Q227" s="7"/>
      <c r="R227" s="80"/>
      <c r="S227" s="81"/>
      <c r="T227" s="81"/>
      <c r="U227" s="81"/>
    </row>
    <row r="228" spans="1:21" ht="18" x14ac:dyDescent="0.25">
      <c r="A228" s="20" t="s">
        <v>344</v>
      </c>
      <c r="B228" s="20" t="str">
        <f t="shared" ref="B228:B236" si="11">B26</f>
        <v>PR-GNLBGB</v>
      </c>
      <c r="C228" s="11">
        <f t="shared" ca="1" si="8"/>
        <v>2.4401055847365281</v>
      </c>
      <c r="D228" s="77"/>
      <c r="E228" s="7"/>
      <c r="F228" s="7"/>
      <c r="G228" s="78"/>
      <c r="H228" s="20" t="s">
        <v>345</v>
      </c>
      <c r="I228" s="20" t="str">
        <f t="shared" si="9"/>
        <v>NTS MG 2</v>
      </c>
      <c r="J228" s="11">
        <f t="shared" ca="1" si="10"/>
        <v>3.9366464783603505</v>
      </c>
      <c r="L228" s="12"/>
      <c r="M228" s="79"/>
      <c r="Q228" s="7"/>
      <c r="R228" s="80"/>
      <c r="S228" s="81"/>
      <c r="T228" s="81"/>
      <c r="U228" s="81"/>
    </row>
    <row r="229" spans="1:21" ht="18" x14ac:dyDescent="0.25">
      <c r="A229" s="20" t="s">
        <v>346</v>
      </c>
      <c r="B229" s="20" t="str">
        <f t="shared" si="11"/>
        <v>PR-ITABORAÍ</v>
      </c>
      <c r="C229" s="11">
        <f t="shared" ca="1" si="8"/>
        <v>2.8140750885561703</v>
      </c>
      <c r="D229" s="77"/>
      <c r="E229" s="7"/>
      <c r="F229" s="7"/>
      <c r="G229" s="78"/>
      <c r="H229" s="20" t="s">
        <v>347</v>
      </c>
      <c r="I229" s="20" t="str">
        <f t="shared" si="9"/>
        <v>NTS MG 3</v>
      </c>
      <c r="J229" s="11">
        <f t="shared" ca="1" si="10"/>
        <v>4.8995875110472928</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4.8567336292573025</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1.7847384613095236</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1.7586294282484336</v>
      </c>
      <c r="L232" s="12"/>
      <c r="M232" s="79"/>
      <c r="Q232" s="7"/>
      <c r="R232" s="80"/>
      <c r="S232" s="81"/>
      <c r="T232" s="81"/>
      <c r="U232" s="81"/>
    </row>
    <row r="233" spans="1:21" ht="18" x14ac:dyDescent="0.25">
      <c r="A233" s="20" t="s">
        <v>354</v>
      </c>
      <c r="B233" s="20" t="str">
        <f t="shared" si="11"/>
        <v>PR-TECAB</v>
      </c>
      <c r="C233" s="11">
        <f t="shared" ca="1" si="8"/>
        <v>3.9469341441815553</v>
      </c>
      <c r="D233" s="77"/>
      <c r="E233" s="7"/>
      <c r="F233" s="7"/>
      <c r="G233" s="78"/>
      <c r="H233" s="20" t="s">
        <v>355</v>
      </c>
      <c r="I233" s="20" t="str">
        <f t="shared" si="9"/>
        <v>NTS RJ 3</v>
      </c>
      <c r="J233" s="11">
        <f t="shared" ca="1" si="10"/>
        <v>1.8849060250782916</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2.0429152051686339</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1.8339317259909067</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2.4956116081473874</v>
      </c>
      <c r="L236" s="12"/>
      <c r="Q236" s="7"/>
      <c r="R236" s="80"/>
      <c r="S236" s="81"/>
      <c r="T236" s="81"/>
      <c r="U236" s="81"/>
    </row>
    <row r="237" spans="1:21" ht="18" x14ac:dyDescent="0.25">
      <c r="D237" s="72"/>
      <c r="E237" s="7"/>
      <c r="F237" s="7"/>
      <c r="G237" s="72"/>
      <c r="H237" s="20" t="s">
        <v>362</v>
      </c>
      <c r="I237" s="20" t="str">
        <f t="shared" si="9"/>
        <v>NTS SP 2</v>
      </c>
      <c r="J237" s="11">
        <f t="shared" ca="1" si="10"/>
        <v>2.4637762620481483</v>
      </c>
      <c r="K237" s="72"/>
      <c r="L237" s="12"/>
      <c r="Q237" s="7"/>
      <c r="R237" s="80"/>
      <c r="S237" s="81"/>
      <c r="T237" s="81"/>
      <c r="U237" s="81"/>
    </row>
    <row r="238" spans="1:21" ht="18" x14ac:dyDescent="0.25">
      <c r="D238" s="72"/>
      <c r="E238" s="7"/>
      <c r="F238" s="7"/>
      <c r="G238" s="72"/>
      <c r="H238" s="20" t="s">
        <v>363</v>
      </c>
      <c r="I238" s="20" t="str">
        <f t="shared" si="9"/>
        <v>NTS SP 3</v>
      </c>
      <c r="J238" s="11">
        <f t="shared" ca="1" si="10"/>
        <v>3.3696324699423634</v>
      </c>
      <c r="L238" s="12"/>
      <c r="Q238" s="7"/>
      <c r="R238" s="80"/>
      <c r="S238" s="81"/>
      <c r="T238" s="81"/>
      <c r="U238" s="81"/>
    </row>
    <row r="239" spans="1:21" ht="18" x14ac:dyDescent="0.25">
      <c r="D239" s="72"/>
      <c r="E239" s="7"/>
      <c r="F239" s="7"/>
      <c r="G239" s="72"/>
      <c r="H239" s="20" t="s">
        <v>364</v>
      </c>
      <c r="I239" s="20" t="str">
        <f t="shared" si="9"/>
        <v>NTS SP 4</v>
      </c>
      <c r="J239" s="11">
        <f t="shared" ca="1" si="10"/>
        <v>3.662766512796197</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3.3376252693691821</v>
      </c>
      <c r="E246" s="11">
        <f ca="1">IFERROR(C246+D246," ")</f>
        <v>3.3376252693691821</v>
      </c>
      <c r="F246" s="198">
        <f ca="1">E246*F25</f>
        <v>506793037.95237815</v>
      </c>
      <c r="G246" s="79"/>
      <c r="H246" s="20" t="s">
        <v>343</v>
      </c>
      <c r="I246" s="20" t="str">
        <f t="shared" ref="I246:I261" si="15">I227</f>
        <v>NTS MG 1</v>
      </c>
      <c r="J246" s="11">
        <f t="shared" ref="J246:J261" ca="1" si="16">IF(F42=0," ",J227*(1-$C$12))</f>
        <v>0</v>
      </c>
      <c r="K246" s="11">
        <f t="shared" ref="K246:K258" ca="1" si="17">$F$11*$C$12</f>
        <v>2.6763491336668959</v>
      </c>
      <c r="L246" s="11">
        <f ca="1">IFERROR(J246+K246," ")</f>
        <v>2.6763491336668959</v>
      </c>
      <c r="M246" s="198">
        <f t="shared" ref="M246:M258" ca="1" si="18">L246*F42</f>
        <v>3067800.3559693401</v>
      </c>
      <c r="N246" s="87"/>
    </row>
    <row r="247" spans="1:22" ht="18" x14ac:dyDescent="0.25">
      <c r="A247" s="20" t="s">
        <v>344</v>
      </c>
      <c r="B247" s="20" t="str">
        <f t="shared" si="12"/>
        <v>PR-GNLBGB</v>
      </c>
      <c r="C247" s="11">
        <f t="shared" ca="1" si="13"/>
        <v>0</v>
      </c>
      <c r="D247" s="11">
        <f t="shared" ca="1" si="14"/>
        <v>3.3376252693691821</v>
      </c>
      <c r="E247" s="11">
        <f t="shared" ref="E247:E252" ca="1" si="19">IFERROR(C247+D247," ")</f>
        <v>3.3376252693691821</v>
      </c>
      <c r="F247" s="198">
        <f ca="1">E247*F26</f>
        <v>9113450.8910506554</v>
      </c>
      <c r="G247" s="79"/>
      <c r="H247" s="20" t="s">
        <v>345</v>
      </c>
      <c r="I247" s="20" t="str">
        <f t="shared" si="15"/>
        <v>NTS MG 2</v>
      </c>
      <c r="J247" s="11">
        <f t="shared" ca="1" si="16"/>
        <v>0</v>
      </c>
      <c r="K247" s="11">
        <f t="shared" ca="1" si="17"/>
        <v>2.6763491336668959</v>
      </c>
      <c r="L247" s="11">
        <f t="shared" ref="L247:L258" ca="1" si="20">IFERROR(J247+K247," ")</f>
        <v>2.6763491336668959</v>
      </c>
      <c r="M247" s="198">
        <f t="shared" ca="1" si="18"/>
        <v>49641868.933002949</v>
      </c>
    </row>
    <row r="248" spans="1:22" ht="18" x14ac:dyDescent="0.25">
      <c r="A248" s="20" t="s">
        <v>346</v>
      </c>
      <c r="B248" s="20" t="str">
        <f t="shared" si="12"/>
        <v>PR-ITABORAÍ</v>
      </c>
      <c r="C248" s="11">
        <f t="shared" ca="1" si="13"/>
        <v>0</v>
      </c>
      <c r="D248" s="11">
        <f t="shared" ca="1" si="14"/>
        <v>3.3376252693691821</v>
      </c>
      <c r="E248" s="11">
        <f t="shared" ca="1" si="19"/>
        <v>3.3376252693691821</v>
      </c>
      <c r="F248" s="198">
        <f ca="1">E248*F27</f>
        <v>618074239.43105543</v>
      </c>
      <c r="G248" s="79"/>
      <c r="H248" s="20" t="s">
        <v>347</v>
      </c>
      <c r="I248" s="20" t="str">
        <f t="shared" si="15"/>
        <v>NTS MG 3</v>
      </c>
      <c r="J248" s="11">
        <f t="shared" ca="1" si="16"/>
        <v>0</v>
      </c>
      <c r="K248" s="11">
        <f t="shared" ca="1" si="17"/>
        <v>2.6763491336668959</v>
      </c>
      <c r="L248" s="11">
        <f t="shared" ca="1" si="20"/>
        <v>2.6763491336668959</v>
      </c>
      <c r="M248" s="198">
        <f t="shared" ca="1" si="18"/>
        <v>58140516.582703739</v>
      </c>
    </row>
    <row r="249" spans="1:22" ht="18" x14ac:dyDescent="0.25">
      <c r="A249" s="20" t="s">
        <v>348</v>
      </c>
      <c r="B249" s="20" t="str">
        <f t="shared" si="12"/>
        <v>PR-GASPAJ (INTERCONEXÃO)</v>
      </c>
      <c r="C249" s="11" t="str">
        <f t="shared" si="13"/>
        <v xml:space="preserve"> </v>
      </c>
      <c r="D249" s="11">
        <f t="shared" ca="1" si="14"/>
        <v>3.3376252693691821</v>
      </c>
      <c r="E249" s="83">
        <f ca="1">E271</f>
        <v>0.30018997699137395</v>
      </c>
      <c r="F249" s="198">
        <f ca="1">E249*F28</f>
        <v>0</v>
      </c>
      <c r="G249" s="79"/>
      <c r="H249" s="20" t="s">
        <v>349</v>
      </c>
      <c r="I249" s="20" t="str">
        <f t="shared" si="15"/>
        <v>NTS MG 4</v>
      </c>
      <c r="J249" s="11">
        <f t="shared" ca="1" si="16"/>
        <v>0</v>
      </c>
      <c r="K249" s="11">
        <f t="shared" ca="1" si="17"/>
        <v>2.6763491336668959</v>
      </c>
      <c r="L249" s="11">
        <f t="shared" ca="1" si="20"/>
        <v>2.6763491336668959</v>
      </c>
      <c r="M249" s="198">
        <f t="shared" ca="1" si="18"/>
        <v>9423635.3856734224</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2.6763491336668959</v>
      </c>
      <c r="L250" s="11">
        <f t="shared" ca="1" si="20"/>
        <v>2.6763491336668959</v>
      </c>
      <c r="M250" s="198">
        <f t="shared" ca="1" si="18"/>
        <v>150308006.27420482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2.6763491336668959</v>
      </c>
      <c r="L251" s="11">
        <f t="shared" ca="1" si="20"/>
        <v>2.6763491336668959</v>
      </c>
      <c r="M251" s="198">
        <f t="shared" ca="1" si="18"/>
        <v>61075721.338245839</v>
      </c>
    </row>
    <row r="252" spans="1:22" ht="18" x14ac:dyDescent="0.25">
      <c r="A252" s="20" t="s">
        <v>354</v>
      </c>
      <c r="B252" s="20" t="str">
        <f t="shared" si="12"/>
        <v>PR-TECAB</v>
      </c>
      <c r="C252" s="11">
        <f t="shared" ca="1" si="13"/>
        <v>0</v>
      </c>
      <c r="D252" s="11">
        <f t="shared" ca="1" si="14"/>
        <v>3.3376252693691821</v>
      </c>
      <c r="E252" s="11">
        <f t="shared" ca="1" si="19"/>
        <v>3.3376252693691821</v>
      </c>
      <c r="F252" s="198">
        <f ca="1">E252*F31</f>
        <v>353867131.95658964</v>
      </c>
      <c r="G252" s="79"/>
      <c r="H252" s="20" t="s">
        <v>355</v>
      </c>
      <c r="I252" s="20" t="str">
        <f t="shared" si="15"/>
        <v>NTS RJ 3</v>
      </c>
      <c r="J252" s="11">
        <f t="shared" ca="1" si="16"/>
        <v>0</v>
      </c>
      <c r="K252" s="11">
        <f t="shared" ca="1" si="17"/>
        <v>2.6763491336668959</v>
      </c>
      <c r="L252" s="11">
        <f t="shared" ca="1" si="20"/>
        <v>2.6763491336668959</v>
      </c>
      <c r="M252" s="198">
        <f t="shared" ca="1" si="18"/>
        <v>54712804.570030317</v>
      </c>
    </row>
    <row r="253" spans="1:22" ht="18" x14ac:dyDescent="0.25">
      <c r="A253" s="20" t="s">
        <v>356</v>
      </c>
      <c r="B253" s="20" t="str">
        <f t="shared" si="12"/>
        <v>PR-GUARAREMA (INTERCONEXÃO)</v>
      </c>
      <c r="C253" s="11" t="str">
        <f t="shared" si="13"/>
        <v xml:space="preserve"> </v>
      </c>
      <c r="D253" s="11"/>
      <c r="E253" s="83">
        <f ca="1">E269</f>
        <v>0.30018997699137395</v>
      </c>
      <c r="F253" s="199"/>
      <c r="G253" s="79"/>
      <c r="H253" s="20" t="s">
        <v>357</v>
      </c>
      <c r="I253" s="20" t="str">
        <f t="shared" si="15"/>
        <v>NTS RJ 4</v>
      </c>
      <c r="J253" s="11">
        <f t="shared" ca="1" si="16"/>
        <v>0</v>
      </c>
      <c r="K253" s="11">
        <f t="shared" ca="1" si="17"/>
        <v>2.6763491336668959</v>
      </c>
      <c r="L253" s="11">
        <f t="shared" ca="1" si="20"/>
        <v>2.6763491336668959</v>
      </c>
      <c r="M253" s="198">
        <f t="shared" ca="1" si="18"/>
        <v>10052295.275086373</v>
      </c>
    </row>
    <row r="254" spans="1:22" ht="18" x14ac:dyDescent="0.25">
      <c r="A254" s="20" t="s">
        <v>358</v>
      </c>
      <c r="B254" s="20" t="str">
        <f t="shared" si="12"/>
        <v>PR-REPLAN (INTERCONEXÃO)</v>
      </c>
      <c r="C254" s="11" t="str">
        <f t="shared" si="13"/>
        <v xml:space="preserve"> </v>
      </c>
      <c r="D254" s="11"/>
      <c r="E254" s="83">
        <f ca="1">E268</f>
        <v>0.30018997699137395</v>
      </c>
      <c r="F254" s="200">
        <f ca="1">SUM(F246:F252)</f>
        <v>1487847860.2310739</v>
      </c>
      <c r="G254" s="79"/>
      <c r="H254" s="20" t="s">
        <v>359</v>
      </c>
      <c r="I254" s="20" t="str">
        <f t="shared" si="15"/>
        <v>NTS RJ 5</v>
      </c>
      <c r="J254" s="11">
        <f t="shared" ca="1" si="16"/>
        <v>0</v>
      </c>
      <c r="K254" s="11">
        <f t="shared" ca="1" si="17"/>
        <v>2.6763491336668959</v>
      </c>
      <c r="L254" s="11">
        <f t="shared" ca="1" si="20"/>
        <v>2.6763491336668959</v>
      </c>
      <c r="M254" s="198">
        <f t="shared" ca="1" si="18"/>
        <v>25431218.925028127</v>
      </c>
    </row>
    <row r="255" spans="1:22" ht="18" x14ac:dyDescent="0.25">
      <c r="A255" s="20" t="s">
        <v>360</v>
      </c>
      <c r="B255" s="20" t="str">
        <f t="shared" si="12"/>
        <v>PR-TECAB (INTERCONEXÃO)</v>
      </c>
      <c r="C255" s="11" t="str">
        <f t="shared" si="13"/>
        <v xml:space="preserve"> </v>
      </c>
      <c r="D255" s="11"/>
      <c r="E255" s="83">
        <f ca="1">E270</f>
        <v>0.30018997699137395</v>
      </c>
      <c r="G255" s="79"/>
      <c r="H255" s="20" t="s">
        <v>361</v>
      </c>
      <c r="I255" s="20" t="str">
        <f t="shared" si="15"/>
        <v>NTS SP 1</v>
      </c>
      <c r="J255" s="11">
        <f t="shared" ca="1" si="16"/>
        <v>0</v>
      </c>
      <c r="K255" s="11">
        <f t="shared" ca="1" si="17"/>
        <v>2.6763491336668959</v>
      </c>
      <c r="L255" s="11">
        <f t="shared" ca="1" si="20"/>
        <v>2.6763491336668959</v>
      </c>
      <c r="M255" s="198">
        <f t="shared" ca="1" si="18"/>
        <v>36341916.042941734</v>
      </c>
    </row>
    <row r="256" spans="1:22" ht="18" x14ac:dyDescent="0.25">
      <c r="F256" s="87"/>
      <c r="H256" s="20" t="s">
        <v>362</v>
      </c>
      <c r="I256" s="20" t="str">
        <f t="shared" si="15"/>
        <v>NTS SP 2</v>
      </c>
      <c r="J256" s="11">
        <f t="shared" ca="1" si="16"/>
        <v>0</v>
      </c>
      <c r="K256" s="11">
        <f t="shared" ca="1" si="17"/>
        <v>2.6763491336668959</v>
      </c>
      <c r="L256" s="11">
        <f t="shared" ca="1" si="20"/>
        <v>2.6763491336668959</v>
      </c>
      <c r="M256" s="198">
        <f t="shared" ca="1" si="18"/>
        <v>89899122.234997228</v>
      </c>
    </row>
    <row r="257" spans="1:13" ht="18" x14ac:dyDescent="0.25">
      <c r="H257" s="20" t="s">
        <v>363</v>
      </c>
      <c r="I257" s="20" t="str">
        <f t="shared" si="15"/>
        <v>NTS SP 3</v>
      </c>
      <c r="J257" s="11">
        <f t="shared" ca="1" si="16"/>
        <v>0</v>
      </c>
      <c r="K257" s="11">
        <f t="shared" ca="1" si="17"/>
        <v>2.6763491336668959</v>
      </c>
      <c r="L257" s="11">
        <f t="shared" ca="1" si="20"/>
        <v>2.6763491336668959</v>
      </c>
      <c r="M257" s="198">
        <f t="shared" ca="1" si="18"/>
        <v>36844899.28003481</v>
      </c>
    </row>
    <row r="258" spans="1:13" ht="18" x14ac:dyDescent="0.25">
      <c r="H258" s="20" t="s">
        <v>364</v>
      </c>
      <c r="I258" s="20" t="str">
        <f t="shared" si="15"/>
        <v>NTS SP 4</v>
      </c>
      <c r="J258" s="11">
        <f t="shared" ca="1" si="16"/>
        <v>0</v>
      </c>
      <c r="K258" s="11">
        <f t="shared" ca="1" si="17"/>
        <v>2.6763491336668959</v>
      </c>
      <c r="L258" s="11">
        <f t="shared" ca="1" si="20"/>
        <v>2.6763491336668959</v>
      </c>
      <c r="M258" s="198">
        <f t="shared" ca="1" si="18"/>
        <v>48161099.773974106</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0.22316381060675794</v>
      </c>
      <c r="M260" s="200">
        <f ca="1">SUM(M246:M258)</f>
        <v>633100904.97189283</v>
      </c>
    </row>
    <row r="261" spans="1:13" ht="18" x14ac:dyDescent="0.25">
      <c r="H261" s="20" t="s">
        <v>367</v>
      </c>
      <c r="I261" s="20" t="str">
        <f t="shared" si="15"/>
        <v>PE-TECAB (INTERCONEXÃO)</v>
      </c>
      <c r="J261" s="11" t="str">
        <f t="shared" si="16"/>
        <v xml:space="preserve"> </v>
      </c>
      <c r="K261" s="11"/>
      <c r="L261" s="83">
        <f ca="1">E273</f>
        <v>0.22316381060675794</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(BRA)'!E11</f>
        <v>200</v>
      </c>
      <c r="D268" s="207">
        <f ca="1">'CWD 2028 BRA (sem desc.)'!D267</f>
        <v>3.0018997699137402</v>
      </c>
      <c r="E268" s="210">
        <f ca="1">D268*(1-$C$263)</f>
        <v>0.30018997699137395</v>
      </c>
      <c r="F268" s="208">
        <f ca="1">C268*E268*'Premissas (BRA)'!$C$35*'Premissas (BRA)'!$F$20*1000</f>
        <v>817435.0386688821</v>
      </c>
      <c r="L268" s="84"/>
    </row>
    <row r="269" spans="1:13" ht="18.75" x14ac:dyDescent="0.3">
      <c r="B269" s="189" t="s">
        <v>376</v>
      </c>
      <c r="C269" s="213">
        <f>'Oferta (BRA)'!E10</f>
        <v>3398.2010229822185</v>
      </c>
      <c r="D269" s="207">
        <f ca="1">'CWD 2028 BRA (sem desc.)'!D268</f>
        <v>3.0018997699137402</v>
      </c>
      <c r="E269" s="210">
        <f t="shared" ref="E269:E271" ca="1" si="21">D269*(1-$C$263)</f>
        <v>0.30018997699137395</v>
      </c>
      <c r="F269" s="208">
        <f ca="1">C269*E269*'Premissas (BRA)'!$C$35*'Premissas (BRA)'!$F$20*1000</f>
        <v>13889042.923130523</v>
      </c>
      <c r="G269" s="85"/>
      <c r="K269" s="85"/>
      <c r="L269" s="84"/>
    </row>
    <row r="270" spans="1:13" ht="18.75" x14ac:dyDescent="0.3">
      <c r="B270" s="190" t="s">
        <v>377</v>
      </c>
      <c r="C270" s="213">
        <f>'Oferta (BRA)'!E12</f>
        <v>200</v>
      </c>
      <c r="D270" s="207">
        <f ca="1">'CWD 2028 BRA (sem desc.)'!D269</f>
        <v>3.0018997699137402</v>
      </c>
      <c r="E270" s="210">
        <f t="shared" ca="1" si="21"/>
        <v>0.30018997699137395</v>
      </c>
      <c r="F270" s="208">
        <f ca="1">C270*E270*'Premissas (BRA)'!$C$35*'Premissas (BRA)'!$F$20*1000</f>
        <v>817435.0386688821</v>
      </c>
      <c r="K270" s="85"/>
      <c r="L270" s="84"/>
    </row>
    <row r="271" spans="1:13" ht="18.75" x14ac:dyDescent="0.3">
      <c r="B271" s="190" t="s">
        <v>185</v>
      </c>
      <c r="C271" s="213">
        <f>'Oferta (BRA)'!E6</f>
        <v>258</v>
      </c>
      <c r="D271" s="207">
        <f ca="1">'CWD 2028 BRA (sem desc.)'!D270</f>
        <v>3.0018997699137402</v>
      </c>
      <c r="E271" s="210">
        <f t="shared" ca="1" si="21"/>
        <v>0.30018997699137395</v>
      </c>
      <c r="F271" s="208">
        <f ca="1">C271*E271*'Premissas (BRA)'!$C$35*'Premissas (BRA)'!$F$20*1000</f>
        <v>1054491.1998828582</v>
      </c>
      <c r="K271" s="85"/>
      <c r="L271" s="84"/>
    </row>
    <row r="272" spans="1:13" ht="18.75" x14ac:dyDescent="0.3">
      <c r="B272" s="188" t="s">
        <v>378</v>
      </c>
      <c r="C272" s="213">
        <f>'Demanda (BRA)'!E17</f>
        <v>3635.2588149970047</v>
      </c>
      <c r="D272" s="207">
        <f ca="1">'CWD 2028 BRA (sem desc.)'!D271</f>
        <v>2.2316381060675798</v>
      </c>
      <c r="E272" s="210">
        <f ca="1">D272*(1-$C$263)</f>
        <v>0.22316381060675794</v>
      </c>
      <c r="F272" s="208">
        <f ca="1">C272*E272*'Premissas (BRA)'!$C$35*'Premissas (BRA)'!$F$20*1000</f>
        <v>11045520.117961736</v>
      </c>
      <c r="K272" s="85"/>
      <c r="L272" s="84"/>
    </row>
    <row r="273" spans="2:13" ht="18.75" x14ac:dyDescent="0.3">
      <c r="B273" s="190" t="s">
        <v>379</v>
      </c>
      <c r="C273" s="213">
        <f>'Demanda (BRA)'!E18</f>
        <v>200</v>
      </c>
      <c r="D273" s="207">
        <f ca="1">'CWD 2028 BRA (sem desc.)'!D272</f>
        <v>2.2316381060675798</v>
      </c>
      <c r="E273" s="210">
        <f ca="1">D273*(1-$C$263)</f>
        <v>0.22316381060675794</v>
      </c>
      <c r="F273" s="208">
        <f ca="1">C273*E273*'Premissas (BRA)'!$C$35*'Premissas (BRA)'!$F$20*1000</f>
        <v>607688.23789900297</v>
      </c>
      <c r="K273" s="85"/>
      <c r="L273" s="84"/>
    </row>
    <row r="274" spans="2:13" ht="19.5" thickBot="1" x14ac:dyDescent="0.35">
      <c r="B274" s="190"/>
      <c r="C274" s="211"/>
      <c r="D274" s="211"/>
      <c r="E274" s="211"/>
      <c r="F274" s="209">
        <f ca="1">SUM(F268:F273)</f>
        <v>28231612.556211885</v>
      </c>
      <c r="K274" s="85"/>
      <c r="L274" s="84"/>
    </row>
    <row r="275" spans="2:13" ht="15.75" thickTop="1" x14ac:dyDescent="0.25">
      <c r="K275" s="85"/>
      <c r="L275" s="84"/>
    </row>
    <row r="276" spans="2:13" x14ac:dyDescent="0.25">
      <c r="E276" t="s">
        <v>102</v>
      </c>
      <c r="F276" s="177">
        <f ca="1">F254+M260+F274</f>
        <v>2149180377.7591786</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6BAC3-88F0-4D5D-866E-A3C5C25741D2}">
  <sheetPr codeName="Planilha39">
    <tabColor theme="5"/>
  </sheetPr>
  <dimension ref="A1:V39"/>
  <sheetViews>
    <sheetView showGridLines="0" zoomScale="110" zoomScaleNormal="110" workbookViewId="0">
      <selection activeCell="H18" sqref="H1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2028 BRA (com desc.)'!A246</f>
        <v>TEN1</v>
      </c>
      <c r="B2" s="261" t="str">
        <f>'CWD 2028 BRA (com desc.)'!B246</f>
        <v>PR-CARAGUATATUBA</v>
      </c>
      <c r="C2" s="262">
        <f>'CWD 2028 BRA (sem desc.)'!F24</f>
        <v>151842402.02261025</v>
      </c>
      <c r="D2" s="263">
        <f ca="1">'CWD 2028 BRA (com desc.)'!E246</f>
        <v>3.3376252693691821</v>
      </c>
      <c r="E2" s="264">
        <f t="shared" ref="E2:E11" ca="1" si="0">IFERROR(C2*D2," ")</f>
        <v>506793037.95237815</v>
      </c>
      <c r="F2" s="298"/>
      <c r="L2" s="39" t="s">
        <v>53</v>
      </c>
      <c r="M2" s="38">
        <f ca="1">IFERROR($D$2+$C34," ")</f>
        <v>6.0139744030360776</v>
      </c>
      <c r="N2" s="38">
        <f ca="1">IFERROR($D$3+$C34," ")</f>
        <v>6.0139744030360776</v>
      </c>
      <c r="O2" s="38">
        <f ca="1">IFERROR($D$4+$C34," ")</f>
        <v>6.0139744030360776</v>
      </c>
      <c r="P2" s="38">
        <f ca="1">IFERROR($D$5+$C34," ")</f>
        <v>2.9765391106582695</v>
      </c>
      <c r="Q2" s="38" t="str">
        <f ca="1">IFERROR($D$6+$C34," ")</f>
        <v xml:space="preserve"> </v>
      </c>
      <c r="R2" s="38" t="str">
        <f ca="1">IFERROR($D$7+$C34," ")</f>
        <v xml:space="preserve"> </v>
      </c>
      <c r="S2" s="38">
        <f ca="1">IFERROR($D$8+$C34," ")</f>
        <v>6.0139744030360776</v>
      </c>
      <c r="T2" s="38">
        <f ca="1">IFERROR($D$9+$C34," ")</f>
        <v>2.9765391106582695</v>
      </c>
      <c r="U2" s="38">
        <f ca="1">IFERROR($D$10+$C34," ")</f>
        <v>2.9765391106582695</v>
      </c>
      <c r="V2" s="38">
        <f ca="1">IFERROR($D$11+$C34," ")</f>
        <v>2.9765391106582695</v>
      </c>
    </row>
    <row r="3" spans="1:22" s="33" customFormat="1" x14ac:dyDescent="0.25">
      <c r="A3" s="233" t="str">
        <f>'CWD 2028 BRA (com desc.)'!A247</f>
        <v>TEN2</v>
      </c>
      <c r="B3" s="236" t="str">
        <f>'CWD 2028 BRA (com desc.)'!B247</f>
        <v>PR-GNLBGB</v>
      </c>
      <c r="C3" s="237">
        <f>'CWD 2028 BRA (sem desc.)'!F25</f>
        <v>2730519.5027999999</v>
      </c>
      <c r="D3" s="238">
        <f ca="1">'CWD 2028 BRA (com desc.)'!E247</f>
        <v>3.3376252693691821</v>
      </c>
      <c r="E3" s="239">
        <f t="shared" ca="1" si="0"/>
        <v>9113450.8910506554</v>
      </c>
      <c r="F3" s="298"/>
      <c r="L3" s="39" t="s">
        <v>64</v>
      </c>
      <c r="M3" s="38">
        <f t="shared" ref="M3:M7" ca="1" si="1">IFERROR($D$2+$C35," ")</f>
        <v>6.0139744030360776</v>
      </c>
      <c r="N3" s="38">
        <f t="shared" ref="N3:N7" ca="1" si="2">IFERROR($D$3+$C35," ")</f>
        <v>6.0139744030360776</v>
      </c>
      <c r="O3" s="38">
        <f t="shared" ref="O3:O7" ca="1" si="3">IFERROR($D$4+$C35," ")</f>
        <v>6.0139744030360776</v>
      </c>
      <c r="P3" s="38">
        <f t="shared" ref="P3:P7" ca="1" si="4">IFERROR($D$5+$C35," ")</f>
        <v>2.9765391106582695</v>
      </c>
      <c r="Q3" s="38" t="str">
        <f t="shared" ref="Q3:Q7" ca="1" si="5">IFERROR($D$6+$C35," ")</f>
        <v xml:space="preserve"> </v>
      </c>
      <c r="R3" s="38" t="str">
        <f t="shared" ref="R3:R7" ca="1" si="6">IFERROR($D$7+$C35," ")</f>
        <v xml:space="preserve"> </v>
      </c>
      <c r="S3" s="38">
        <f t="shared" ref="S3:S7" ca="1" si="7">IFERROR($D$8+$C35," ")</f>
        <v>6.0139744030360776</v>
      </c>
      <c r="T3" s="38">
        <f t="shared" ref="T3:T7" ca="1" si="8">IFERROR($D$9+$C35," ")</f>
        <v>2.9765391106582695</v>
      </c>
      <c r="U3" s="38">
        <f t="shared" ref="U3:U7" ca="1" si="9">IFERROR($D$10+$C35," ")</f>
        <v>2.9765391106582695</v>
      </c>
      <c r="V3" s="38">
        <f t="shared" ref="V3:V7" ca="1" si="10">IFERROR($D$11+$C35," ")</f>
        <v>2.9765391106582695</v>
      </c>
    </row>
    <row r="4" spans="1:22" x14ac:dyDescent="0.25">
      <c r="A4" s="233" t="str">
        <f>'CWD 2028 BRA (com desc.)'!A248</f>
        <v>TEN3</v>
      </c>
      <c r="B4" s="236" t="str">
        <f>'CWD 2028 BRA (com desc.)'!B248</f>
        <v>PR-ITABORAÍ</v>
      </c>
      <c r="C4" s="237">
        <f>'CWD 2028 BRA (sem desc.)'!F26</f>
        <v>185183832.679896</v>
      </c>
      <c r="D4" s="238">
        <f ca="1">'CWD 2028 BRA (com desc.)'!E248</f>
        <v>3.3376252693691821</v>
      </c>
      <c r="E4" s="237">
        <f t="shared" ca="1" si="0"/>
        <v>618074239.43105543</v>
      </c>
      <c r="F4" s="298"/>
      <c r="L4" s="39" t="s">
        <v>193</v>
      </c>
      <c r="M4" s="38">
        <f t="shared" ca="1" si="1"/>
        <v>6.0139744030360784</v>
      </c>
      <c r="N4" s="38">
        <f t="shared" ca="1" si="2"/>
        <v>6.0139744030360784</v>
      </c>
      <c r="O4" s="38">
        <f t="shared" ca="1" si="3"/>
        <v>6.0139744030360784</v>
      </c>
      <c r="P4" s="38">
        <f t="shared" ca="1" si="4"/>
        <v>2.9765391106582699</v>
      </c>
      <c r="Q4" s="38" t="str">
        <f t="shared" ca="1" si="5"/>
        <v xml:space="preserve"> </v>
      </c>
      <c r="R4" s="38" t="str">
        <f t="shared" ca="1" si="6"/>
        <v xml:space="preserve"> </v>
      </c>
      <c r="S4" s="38">
        <f t="shared" ca="1" si="7"/>
        <v>6.0139744030360784</v>
      </c>
      <c r="T4" s="38">
        <f t="shared" ca="1" si="8"/>
        <v>2.9765391106582699</v>
      </c>
      <c r="U4" s="38">
        <f t="shared" ca="1" si="9"/>
        <v>2.9765391106582699</v>
      </c>
      <c r="V4" s="38">
        <f t="shared" ca="1" si="10"/>
        <v>2.9765391106582699</v>
      </c>
    </row>
    <row r="5" spans="1:22" ht="24" x14ac:dyDescent="0.25">
      <c r="A5" s="233" t="str">
        <f>'CWD 2028 BRA (com desc.)'!A249</f>
        <v>TEN4</v>
      </c>
      <c r="B5" s="236" t="str">
        <f>'CWD 2028 BRA (com desc.)'!B249</f>
        <v>PR-GASPAJ (INTERCONEXÃO)</v>
      </c>
      <c r="C5" s="237">
        <f>'CWD 2028 BRA (sem desc.)'!F27</f>
        <v>3522370.1586120003</v>
      </c>
      <c r="D5" s="238">
        <f ca="1">'CWD 2028 BRA (com desc.)'!E249</f>
        <v>0.30018997699137395</v>
      </c>
      <c r="E5" s="237">
        <f t="shared" ca="1" si="0"/>
        <v>1057380.2168688385</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2028 BRA (com desc.)'!A250</f>
        <v>TEN5</v>
      </c>
      <c r="B6" s="236" t="str">
        <f>'CWD 2028 BRA (com desc.)'!B250</f>
        <v>PR-REDUC</v>
      </c>
      <c r="C6" s="237">
        <f>'CWD 2028 BRA (sem desc.)'!F28</f>
        <v>0</v>
      </c>
      <c r="D6" s="238" t="str">
        <f>'CWD 2028 BRA (com desc.)'!E250</f>
        <v xml:space="preserve"> </v>
      </c>
      <c r="E6" s="237" t="str">
        <f t="shared" si="0"/>
        <v xml:space="preserve"> </v>
      </c>
      <c r="F6" s="298"/>
      <c r="L6" s="88" t="str">
        <f t="shared" ref="L6:L7" si="11">B29</f>
        <v>PE-REPLAN (INTERCONEXÃO)</v>
      </c>
      <c r="M6" s="38">
        <f t="shared" ca="1" si="1"/>
        <v>3.5607890799759403</v>
      </c>
      <c r="N6" s="38">
        <f t="shared" ca="1" si="2"/>
        <v>3.5607890799759403</v>
      </c>
      <c r="O6" s="38">
        <f t="shared" ca="1" si="3"/>
        <v>3.5607890799759403</v>
      </c>
      <c r="P6" s="38">
        <f t="shared" ca="1" si="4"/>
        <v>0.52335378759813189</v>
      </c>
      <c r="Q6" s="38" t="str">
        <f t="shared" ca="1" si="5"/>
        <v xml:space="preserve"> </v>
      </c>
      <c r="R6" s="38" t="str">
        <f t="shared" ca="1" si="6"/>
        <v xml:space="preserve"> </v>
      </c>
      <c r="S6" s="38">
        <f t="shared" ca="1" si="7"/>
        <v>3.5607890799759403</v>
      </c>
      <c r="T6" s="38">
        <f t="shared" ca="1" si="8"/>
        <v>0.52335378759813189</v>
      </c>
      <c r="U6" s="38">
        <f t="shared" ca="1" si="9"/>
        <v>0.52335378759813189</v>
      </c>
      <c r="V6" s="38">
        <f t="shared" ca="1" si="10"/>
        <v>0.52335378759813189</v>
      </c>
    </row>
    <row r="7" spans="1:22" x14ac:dyDescent="0.25">
      <c r="A7" s="233" t="str">
        <f>'CWD 2028 BRA (com desc.)'!A251</f>
        <v>TEN6</v>
      </c>
      <c r="B7" s="236" t="str">
        <f>'CWD 2028 BRA (com desc.)'!B251</f>
        <v>PR-RPBC</v>
      </c>
      <c r="C7" s="237">
        <f>'CWD 2028 BRA (sem desc.)'!F29</f>
        <v>0</v>
      </c>
      <c r="D7" s="238" t="str">
        <f>'CWD 2028 BRA (com desc.)'!E251</f>
        <v xml:space="preserve"> </v>
      </c>
      <c r="E7" s="237" t="str">
        <f t="shared" si="0"/>
        <v xml:space="preserve"> </v>
      </c>
      <c r="F7" s="298"/>
      <c r="L7" s="88" t="str">
        <f t="shared" si="11"/>
        <v>PE-TECAB (INTERCONEXÃO)</v>
      </c>
      <c r="M7" s="38">
        <f t="shared" ca="1" si="1"/>
        <v>3.5607890799759403</v>
      </c>
      <c r="N7" s="38">
        <f t="shared" ca="1" si="2"/>
        <v>3.5607890799759403</v>
      </c>
      <c r="O7" s="38">
        <f t="shared" ca="1" si="3"/>
        <v>3.5607890799759403</v>
      </c>
      <c r="P7" s="38">
        <f t="shared" ca="1" si="4"/>
        <v>0.52335378759813189</v>
      </c>
      <c r="Q7" s="38" t="str">
        <f t="shared" ca="1" si="5"/>
        <v xml:space="preserve"> </v>
      </c>
      <c r="R7" s="38" t="str">
        <f t="shared" ca="1" si="6"/>
        <v xml:space="preserve"> </v>
      </c>
      <c r="S7" s="38">
        <f t="shared" ca="1" si="7"/>
        <v>3.5607890799759403</v>
      </c>
      <c r="T7" s="38">
        <f t="shared" ca="1" si="8"/>
        <v>0.52335378759813189</v>
      </c>
      <c r="U7" s="38">
        <f t="shared" ca="1" si="9"/>
        <v>0.52335378759813189</v>
      </c>
      <c r="V7" s="38">
        <f t="shared" ca="1" si="10"/>
        <v>0.52335378759813189</v>
      </c>
    </row>
    <row r="8" spans="1:22" x14ac:dyDescent="0.25">
      <c r="A8" s="233" t="str">
        <f>'CWD 2028 BRA (com desc.)'!A252</f>
        <v>TEN7</v>
      </c>
      <c r="B8" s="236" t="str">
        <f>'CWD 2028 BRA (com desc.)'!B252</f>
        <v>PR-TECAB</v>
      </c>
      <c r="C8" s="237">
        <f>'CWD 2028 BRA (sem desc.)'!F30</f>
        <v>106023625.60116619</v>
      </c>
      <c r="D8" s="238">
        <f ca="1">'CWD 2028 BRA (com desc.)'!E252</f>
        <v>3.3376252693691821</v>
      </c>
      <c r="E8" s="237">
        <f t="shared" ca="1" si="0"/>
        <v>353867131.95658964</v>
      </c>
      <c r="F8" s="298"/>
      <c r="L8" s="32"/>
    </row>
    <row r="9" spans="1:22" x14ac:dyDescent="0.25">
      <c r="A9" s="233" t="str">
        <f>'CWD 2028 BRA (com desc.)'!A253</f>
        <v>TEN8</v>
      </c>
      <c r="B9" s="236" t="str">
        <f>'CWD 2028 BRA (com desc.)'!B253</f>
        <v>PR-GUARAREMA (INTERCONEXÃO)</v>
      </c>
      <c r="C9" s="237">
        <f>'CWD 2028 BRA (sem desc.)'!F31</f>
        <v>46394270.838439293</v>
      </c>
      <c r="D9" s="238">
        <f ca="1">'CWD 2028 BRA (com desc.)'!E253</f>
        <v>0.30018997699137395</v>
      </c>
      <c r="E9" s="237">
        <f t="shared" ca="1" si="0"/>
        <v>13927095.095522663</v>
      </c>
      <c r="F9" s="298"/>
      <c r="L9" s="32"/>
    </row>
    <row r="10" spans="1:22" x14ac:dyDescent="0.25">
      <c r="A10" s="233" t="str">
        <f>'CWD 2028 BRA (com desc.)'!A254</f>
        <v>TEN9</v>
      </c>
      <c r="B10" s="236" t="str">
        <f>'CWD 2028 BRA (com desc.)'!B254</f>
        <v>PR-REPLAN (INTERCONEXÃO)</v>
      </c>
      <c r="C10" s="237">
        <f>'CWD 2028 BRA (sem desc.)'!F32</f>
        <v>2730519.5027999999</v>
      </c>
      <c r="D10" s="238">
        <f ca="1">'CWD 2028 BRA (com desc.)'!E254</f>
        <v>0.30018997699137395</v>
      </c>
      <c r="E10" s="237">
        <f t="shared" ca="1" si="0"/>
        <v>819674.58672002982</v>
      </c>
      <c r="F10" s="298"/>
      <c r="L10" s="32"/>
    </row>
    <row r="11" spans="1:22" x14ac:dyDescent="0.25">
      <c r="A11" s="233" t="str">
        <f>'CWD 2028 BRA (com desc.)'!A255</f>
        <v>TEN10</v>
      </c>
      <c r="B11" s="236" t="str">
        <f>'CWD 2028 BRA (com desc.)'!B255</f>
        <v>PR-TECAB (INTERCONEXÃO)</v>
      </c>
      <c r="C11" s="237">
        <f>'CWD 2028 BRA (sem desc.)'!F33</f>
        <v>2730519.5027999999</v>
      </c>
      <c r="D11" s="238">
        <f ca="1">'CWD 2028 BRA (com desc.)'!E255</f>
        <v>0.30018997699137395</v>
      </c>
      <c r="E11" s="237">
        <f t="shared" ca="1" si="0"/>
        <v>819674.58672002982</v>
      </c>
      <c r="F11" s="298"/>
      <c r="L11" s="32"/>
    </row>
    <row r="12" spans="1:22" x14ac:dyDescent="0.25">
      <c r="E12" s="36">
        <f ca="1">SUM(E2:E11)</f>
        <v>1504471684.7169054</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2028 BRA (com desc.)'!H246</f>
        <v>TEX1</v>
      </c>
      <c r="B15" s="237" t="str">
        <f>'CWD 2028 BRA (com desc.)'!I246</f>
        <v>NTS MG 1</v>
      </c>
      <c r="C15" s="237">
        <f>'CWD 2028 BRA (sem desc.)'!F41</f>
        <v>1146263.1378612821</v>
      </c>
      <c r="D15" s="237"/>
      <c r="E15" s="240">
        <f ca="1">'CWD 2028 BRA (com desc.)'!L246</f>
        <v>2.6763491336668959</v>
      </c>
      <c r="F15" s="246">
        <f ca="1">IFERROR(C15*E15," ")</f>
        <v>3067800.3559693401</v>
      </c>
      <c r="G15" s="249"/>
      <c r="H15" s="255" t="str">
        <f>IFERROR(G15/D15," ")</f>
        <v xml:space="preserve"> </v>
      </c>
      <c r="I15" s="37"/>
      <c r="J15" s="37"/>
      <c r="L15" s="30"/>
    </row>
    <row r="16" spans="1:22" x14ac:dyDescent="0.25">
      <c r="A16" s="237" t="str">
        <f>'CWD 2028 BRA (com desc.)'!H247</f>
        <v>TEX2</v>
      </c>
      <c r="B16" s="237" t="str">
        <f>'CWD 2028 BRA (com desc.)'!I247</f>
        <v>NTS MG 2</v>
      </c>
      <c r="C16" s="237">
        <f>'CWD 2028 BRA (sem desc.)'!F42</f>
        <v>18548353.168328255</v>
      </c>
      <c r="D16" s="237"/>
      <c r="E16" s="240">
        <f ca="1">'CWD 2028 BRA (com desc.)'!L247</f>
        <v>2.6763491336668959</v>
      </c>
      <c r="F16" s="246">
        <f t="shared" ref="F16:F30" ca="1" si="12">IFERROR(C16*E16," ")</f>
        <v>49641868.933002949</v>
      </c>
      <c r="G16" s="258"/>
      <c r="H16" s="256" t="str">
        <f t="shared" ref="H16:H30" si="13">IFERROR(G16/D16," ")</f>
        <v xml:space="preserve"> </v>
      </c>
      <c r="I16" s="37"/>
      <c r="J16" s="37"/>
      <c r="L16" s="30"/>
    </row>
    <row r="17" spans="1:12" x14ac:dyDescent="0.25">
      <c r="A17" s="237" t="str">
        <f>'CWD 2028 BRA (com desc.)'!H248</f>
        <v>TEX3</v>
      </c>
      <c r="B17" s="237" t="str">
        <f>'CWD 2028 BRA (com desc.)'!I248</f>
        <v>NTS MG 3</v>
      </c>
      <c r="C17" s="237">
        <f>'CWD 2028 BRA (sem desc.)'!F43</f>
        <v>21723816.168574676</v>
      </c>
      <c r="D17" s="237"/>
      <c r="E17" s="240">
        <f ca="1">'CWD 2028 BRA (com desc.)'!L248</f>
        <v>2.6763491336668959</v>
      </c>
      <c r="F17" s="246">
        <f ca="1">IFERROR(C17*E17," ")</f>
        <v>58140516.582703739</v>
      </c>
      <c r="G17" s="251"/>
      <c r="H17" s="257" t="str">
        <f t="shared" si="13"/>
        <v xml:space="preserve"> </v>
      </c>
      <c r="I17" s="37"/>
      <c r="J17" s="37"/>
      <c r="L17" s="30"/>
    </row>
    <row r="18" spans="1:12" x14ac:dyDescent="0.25">
      <c r="A18" s="242" t="str">
        <f>'CWD 2028 BRA (com desc.)'!H249</f>
        <v>TEX4</v>
      </c>
      <c r="B18" s="242" t="str">
        <f>'CWD 2028 BRA (com desc.)'!I249</f>
        <v>NTS MG 4</v>
      </c>
      <c r="C18" s="242">
        <f>'CWD 2028 BRA (sem desc.)'!F44</f>
        <v>3521078.4972444884</v>
      </c>
      <c r="D18" s="242">
        <f>SUM(C15:C18)</f>
        <v>44939510.972008705</v>
      </c>
      <c r="E18" s="243">
        <f ca="1">'CWD 2028 BRA (com desc.)'!L249</f>
        <v>2.6763491336668959</v>
      </c>
      <c r="F18" s="242">
        <f ca="1">IFERROR(C18*E18," ")</f>
        <v>9423635.3856734224</v>
      </c>
      <c r="G18" s="254">
        <f ca="1">SUM(F15:F18)</f>
        <v>120273821.25734945</v>
      </c>
      <c r="H18" s="252">
        <f t="shared" ca="1" si="13"/>
        <v>2.6763491336668954</v>
      </c>
      <c r="I18" s="298"/>
      <c r="J18"/>
      <c r="L18" s="30"/>
    </row>
    <row r="19" spans="1:12" x14ac:dyDescent="0.25">
      <c r="A19" s="237" t="str">
        <f>'CWD 2028 BRA (com desc.)'!H250</f>
        <v>TEX5</v>
      </c>
      <c r="B19" s="237" t="str">
        <f>'CWD 2028 BRA (com desc.)'!I250</f>
        <v>NTS RJ 1</v>
      </c>
      <c r="C19" s="237">
        <f>'CWD 2028 BRA (sem desc.)'!F45</f>
        <v>56161583.84697222</v>
      </c>
      <c r="D19" s="237"/>
      <c r="E19" s="240">
        <f ca="1">'CWD 2028 BRA (com desc.)'!L250</f>
        <v>2.6763491336668959</v>
      </c>
      <c r="F19" s="246">
        <f t="shared" ca="1" si="12"/>
        <v>150308006.27420482</v>
      </c>
      <c r="G19" s="249"/>
      <c r="H19" s="255" t="str">
        <f t="shared" si="13"/>
        <v xml:space="preserve"> </v>
      </c>
      <c r="I19"/>
      <c r="J19"/>
      <c r="L19" s="30"/>
    </row>
    <row r="20" spans="1:12" x14ac:dyDescent="0.25">
      <c r="A20" s="237" t="str">
        <f>'CWD 2028 BRA (com desc.)'!H251</f>
        <v>TEX6</v>
      </c>
      <c r="B20" s="237" t="str">
        <f>'CWD 2028 BRA (com desc.)'!I251</f>
        <v>NTS RJ 2</v>
      </c>
      <c r="C20" s="237">
        <f>'CWD 2028 BRA (sem desc.)'!F46</f>
        <v>22820535.844875108</v>
      </c>
      <c r="D20" s="237"/>
      <c r="E20" s="240">
        <f ca="1">'CWD 2028 BRA (com desc.)'!L251</f>
        <v>2.6763491336668959</v>
      </c>
      <c r="F20" s="246">
        <f t="shared" ca="1" si="12"/>
        <v>61075721.338245839</v>
      </c>
      <c r="G20" s="250"/>
      <c r="H20" s="256" t="str">
        <f t="shared" si="13"/>
        <v xml:space="preserve"> </v>
      </c>
      <c r="I20"/>
      <c r="J20"/>
      <c r="L20" s="30"/>
    </row>
    <row r="21" spans="1:12" x14ac:dyDescent="0.25">
      <c r="A21" s="237" t="str">
        <f>'CWD 2028 BRA (com desc.)'!H252</f>
        <v>TEX7</v>
      </c>
      <c r="B21" s="237" t="str">
        <f>'CWD 2028 BRA (com desc.)'!I252</f>
        <v>NTS RJ 3</v>
      </c>
      <c r="C21" s="237">
        <f>'CWD 2028 BRA (sem desc.)'!F47</f>
        <v>20443074.441139035</v>
      </c>
      <c r="D21" s="245"/>
      <c r="E21" s="240">
        <f ca="1">'CWD 2028 BRA (com desc.)'!L252</f>
        <v>2.6763491336668959</v>
      </c>
      <c r="F21" s="246">
        <f t="shared" ca="1" si="12"/>
        <v>54712804.570030317</v>
      </c>
      <c r="G21" s="253"/>
      <c r="H21" s="256" t="str">
        <f t="shared" si="13"/>
        <v xml:space="preserve"> </v>
      </c>
      <c r="I21"/>
      <c r="J21"/>
      <c r="L21" s="30"/>
    </row>
    <row r="22" spans="1:12" x14ac:dyDescent="0.25">
      <c r="A22" s="237" t="str">
        <f>'CWD 2028 BRA (com desc.)'!H253</f>
        <v>TEX8</v>
      </c>
      <c r="B22" s="237" t="str">
        <f>'CWD 2028 BRA (com desc.)'!I253</f>
        <v>NTS RJ 4</v>
      </c>
      <c r="C22" s="237">
        <f>'CWD 2028 BRA (sem desc.)'!F48</f>
        <v>3755973.071164154</v>
      </c>
      <c r="D22" s="237"/>
      <c r="E22" s="240">
        <f ca="1">'CWD 2028 BRA (com desc.)'!L253</f>
        <v>2.6763491336668959</v>
      </c>
      <c r="F22" s="246">
        <f t="shared" ca="1" si="12"/>
        <v>10052295.275086373</v>
      </c>
      <c r="G22" s="251"/>
      <c r="H22" s="257" t="str">
        <f t="shared" si="13"/>
        <v xml:space="preserve"> </v>
      </c>
      <c r="I22"/>
      <c r="J22"/>
      <c r="L22" s="30"/>
    </row>
    <row r="23" spans="1:12" x14ac:dyDescent="0.25">
      <c r="A23" s="242" t="str">
        <f>'CWD 2028 BRA (com desc.)'!H254</f>
        <v>TEX9</v>
      </c>
      <c r="B23" s="242" t="str">
        <f>'CWD 2028 BRA (com desc.)'!I254</f>
        <v>NTS RJ 5</v>
      </c>
      <c r="C23" s="242">
        <f>'CWD 2028 BRA (sem desc.)'!F49</f>
        <v>9502205.3009147309</v>
      </c>
      <c r="D23" s="242">
        <f>SUM(C19:C23)</f>
        <v>112683372.50506526</v>
      </c>
      <c r="E23" s="243">
        <f ca="1">'CWD 2028 BRA (com desc.)'!L254</f>
        <v>2.6763491336668959</v>
      </c>
      <c r="F23" s="242">
        <f t="shared" ca="1" si="12"/>
        <v>25431218.925028127</v>
      </c>
      <c r="G23" s="254">
        <f ca="1">SUM(F19:F23)</f>
        <v>301580046.38259548</v>
      </c>
      <c r="H23" s="252">
        <f t="shared" ca="1" si="13"/>
        <v>2.6763491336668954</v>
      </c>
      <c r="I23" s="298"/>
      <c r="J23"/>
    </row>
    <row r="24" spans="1:12" x14ac:dyDescent="0.25">
      <c r="A24" s="237" t="str">
        <f>'CWD 2028 BRA (com desc.)'!H255</f>
        <v>TEX10</v>
      </c>
      <c r="B24" s="237" t="str">
        <f>'CWD 2028 BRA (com desc.)'!I255</f>
        <v>NTS SP 1</v>
      </c>
      <c r="C24" s="237">
        <f>'CWD 2028 BRA (sem desc.)'!F50</f>
        <v>13578914.494294424</v>
      </c>
      <c r="D24" s="237"/>
      <c r="E24" s="240">
        <f ca="1">'CWD 2028 BRA (com desc.)'!L255</f>
        <v>2.6763491336668959</v>
      </c>
      <c r="F24" s="246">
        <f t="shared" ca="1" si="12"/>
        <v>36341916.042941734</v>
      </c>
      <c r="G24" s="249"/>
      <c r="H24" s="255" t="str">
        <f t="shared" si="13"/>
        <v xml:space="preserve"> </v>
      </c>
      <c r="I24"/>
      <c r="J24"/>
    </row>
    <row r="25" spans="1:12" x14ac:dyDescent="0.25">
      <c r="A25" s="237" t="str">
        <f>'CWD 2028 BRA (com desc.)'!H256</f>
        <v>TEX11</v>
      </c>
      <c r="B25" s="237" t="str">
        <f>'CWD 2028 BRA (com desc.)'!I256</f>
        <v>NTS SP 2</v>
      </c>
      <c r="C25" s="237">
        <f>'CWD 2028 BRA (sem desc.)'!F51</f>
        <v>33590207.310443625</v>
      </c>
      <c r="D25" s="237"/>
      <c r="E25" s="240">
        <f ca="1">'CWD 2028 BRA (com desc.)'!L256</f>
        <v>2.6763491336668959</v>
      </c>
      <c r="F25" s="246">
        <f t="shared" ca="1" si="12"/>
        <v>89899122.234997228</v>
      </c>
      <c r="G25" s="250"/>
      <c r="H25" s="256" t="str">
        <f t="shared" si="13"/>
        <v xml:space="preserve"> </v>
      </c>
      <c r="I25"/>
      <c r="J25"/>
    </row>
    <row r="26" spans="1:12" x14ac:dyDescent="0.25">
      <c r="A26" s="237" t="str">
        <f>'CWD 2028 BRA (com desc.)'!H257</f>
        <v>TEX12</v>
      </c>
      <c r="B26" s="237" t="str">
        <f>'CWD 2028 BRA (com desc.)'!I257</f>
        <v>NTS SP 3</v>
      </c>
      <c r="C26" s="237">
        <f>'CWD 2028 BRA (sem desc.)'!F52</f>
        <v>13766850.82545759</v>
      </c>
      <c r="D26" s="245"/>
      <c r="E26" s="240">
        <f ca="1">'CWD 2028 BRA (com desc.)'!L257</f>
        <v>2.6763491336668959</v>
      </c>
      <c r="F26" s="246">
        <f t="shared" ca="1" si="12"/>
        <v>36844899.28003481</v>
      </c>
      <c r="G26" s="259"/>
      <c r="H26" s="257" t="str">
        <f t="shared" si="13"/>
        <v xml:space="preserve"> </v>
      </c>
      <c r="I26"/>
      <c r="J26"/>
    </row>
    <row r="27" spans="1:12" x14ac:dyDescent="0.25">
      <c r="A27" s="242" t="str">
        <f>'CWD 2028 BRA (com desc.)'!H258</f>
        <v>TEX13</v>
      </c>
      <c r="B27" s="242" t="str">
        <f>'CWD 2028 BRA (com desc.)'!I258</f>
        <v>NTS SP 4</v>
      </c>
      <c r="C27" s="242">
        <f>'CWD 2028 BRA (sem desc.)'!F53</f>
        <v>17995073.65019602</v>
      </c>
      <c r="D27" s="242">
        <f>SUM(C24:C27)</f>
        <v>78931046.280391648</v>
      </c>
      <c r="E27" s="243">
        <f ca="1">'CWD 2028 BRA (com desc.)'!L258</f>
        <v>2.6763491336668959</v>
      </c>
      <c r="F27" s="242">
        <f t="shared" ca="1" si="12"/>
        <v>48161099.773974106</v>
      </c>
      <c r="G27" s="247">
        <f ca="1">SUM(F24:F27)</f>
        <v>211247037.33194786</v>
      </c>
      <c r="H27" s="248">
        <f t="shared" ca="1" si="13"/>
        <v>2.6763491336668959</v>
      </c>
      <c r="I27" s="298"/>
      <c r="J27"/>
    </row>
    <row r="28" spans="1:12" x14ac:dyDescent="0.25">
      <c r="A28" s="237" t="str">
        <f>'CWD 2028 BRA (com desc.)'!H259</f>
        <v>TEX14</v>
      </c>
      <c r="B28" s="237" t="str">
        <f>'CWD 2028 BRA (com desc.)'!I259</f>
        <v>PE-GUARAREMA (INTERCONEXÃO)</v>
      </c>
      <c r="C28" s="237">
        <f>'CWD 2028 BRA (sem desc.)'!F54</f>
        <v>0</v>
      </c>
      <c r="D28" s="237">
        <f>C28</f>
        <v>0</v>
      </c>
      <c r="E28" s="240">
        <f>'CWD 2028 BRA (com desc.)'!L259</f>
        <v>0</v>
      </c>
      <c r="F28" s="237">
        <f t="shared" si="12"/>
        <v>0</v>
      </c>
      <c r="G28" s="237">
        <f>F28</f>
        <v>0</v>
      </c>
      <c r="H28" s="241" t="str">
        <f t="shared" si="13"/>
        <v xml:space="preserve"> </v>
      </c>
      <c r="I28"/>
      <c r="J28"/>
    </row>
    <row r="29" spans="1:12" x14ac:dyDescent="0.25">
      <c r="A29" s="242" t="str">
        <f>'CWD 2028 BRA (com desc.)'!H260</f>
        <v>TEX15</v>
      </c>
      <c r="B29" s="242" t="str">
        <f>'CWD 2028 BRA (com desc.)'!I260</f>
        <v>PE-REPLAN (INTERCONEXÃO)</v>
      </c>
      <c r="C29" s="242">
        <f>'CWD 2028 BRA (sem desc.)'!F55</f>
        <v>49630725.460374691</v>
      </c>
      <c r="D29" s="242">
        <f t="shared" ref="D29:D30" si="14">C29</f>
        <v>49630725.460374691</v>
      </c>
      <c r="E29" s="243">
        <f ca="1">'CWD 2028 BRA (com desc.)'!L260</f>
        <v>0.22316381060675794</v>
      </c>
      <c r="F29" s="242">
        <f t="shared" ca="1" si="12"/>
        <v>11075781.816915058</v>
      </c>
      <c r="G29" s="242">
        <f t="shared" ref="G29:G30" ca="1" si="15">F29</f>
        <v>11075781.816915058</v>
      </c>
      <c r="H29" s="244">
        <f t="shared" ca="1" si="13"/>
        <v>0.22316381060675797</v>
      </c>
      <c r="I29" s="298"/>
      <c r="J29"/>
    </row>
    <row r="30" spans="1:12" x14ac:dyDescent="0.25">
      <c r="A30" s="237" t="str">
        <f>'CWD 2028 BRA (com desc.)'!H261</f>
        <v>TEX16</v>
      </c>
      <c r="B30" s="237" t="str">
        <f>'CWD 2028 BRA (com desc.)'!I261</f>
        <v>PE-TECAB (INTERCONEXÃO)</v>
      </c>
      <c r="C30" s="237">
        <f>'CWD 2028 BRA (sem desc.)'!F56</f>
        <v>2730519.5027999999</v>
      </c>
      <c r="D30" s="237">
        <f t="shared" si="14"/>
        <v>2730519.5027999999</v>
      </c>
      <c r="E30" s="240">
        <f ca="1">'CWD 2028 BRA (com desc.)'!L261</f>
        <v>0.22316381060675794</v>
      </c>
      <c r="F30" s="237">
        <f t="shared" ca="1" si="12"/>
        <v>609353.13718091801</v>
      </c>
      <c r="G30" s="237">
        <f t="shared" ca="1" si="15"/>
        <v>609353.13718091801</v>
      </c>
      <c r="H30" s="241">
        <f t="shared" ca="1" si="13"/>
        <v>0.22316381060675794</v>
      </c>
      <c r="I30" s="298"/>
      <c r="J30" s="37"/>
    </row>
    <row r="31" spans="1:12" x14ac:dyDescent="0.25">
      <c r="C31" s="36">
        <f>SUM(C15:C30)</f>
        <v>288915174.7206403</v>
      </c>
      <c r="D31" s="36">
        <f>SUM(D15:D30)</f>
        <v>288915174.7206403</v>
      </c>
      <c r="F31" s="36">
        <f ca="1">SUM(F15:F30)</f>
        <v>644786039.92598879</v>
      </c>
      <c r="G31" s="36">
        <f ca="1">SUM(G15:G30)</f>
        <v>644786039.92598879</v>
      </c>
    </row>
    <row r="32" spans="1:12" x14ac:dyDescent="0.25">
      <c r="C32" s="36"/>
      <c r="D32" s="36"/>
      <c r="F32" s="36"/>
      <c r="G32" s="36"/>
    </row>
    <row r="33" spans="2:3" x14ac:dyDescent="0.25">
      <c r="C33" s="34" t="s">
        <v>192</v>
      </c>
    </row>
    <row r="34" spans="2:3" x14ac:dyDescent="0.25">
      <c r="B34" s="39" t="s">
        <v>53</v>
      </c>
      <c r="C34" s="37">
        <f ca="1">H18</f>
        <v>2.6763491336668954</v>
      </c>
    </row>
    <row r="35" spans="2:3" x14ac:dyDescent="0.25">
      <c r="B35" s="39" t="s">
        <v>64</v>
      </c>
      <c r="C35" s="37">
        <f ca="1">H23</f>
        <v>2.6763491336668954</v>
      </c>
    </row>
    <row r="36" spans="2:3" x14ac:dyDescent="0.25">
      <c r="B36" s="39" t="s">
        <v>193</v>
      </c>
      <c r="C36" s="37">
        <f ca="1">H27</f>
        <v>2.6763491336668959</v>
      </c>
    </row>
    <row r="37" spans="2:3" x14ac:dyDescent="0.25">
      <c r="B37" s="88" t="s">
        <v>199</v>
      </c>
      <c r="C37" s="37" t="str">
        <f>H28</f>
        <v xml:space="preserve"> </v>
      </c>
    </row>
    <row r="38" spans="2:3" x14ac:dyDescent="0.25">
      <c r="B38" s="88" t="s">
        <v>198</v>
      </c>
      <c r="C38" s="37">
        <f t="shared" ref="C38:C39" ca="1" si="16">H29</f>
        <v>0.22316381060675797</v>
      </c>
    </row>
    <row r="39" spans="2:3" x14ac:dyDescent="0.25">
      <c r="B39" s="88" t="s">
        <v>197</v>
      </c>
      <c r="C39" s="37">
        <f t="shared" ca="1" si="16"/>
        <v>0.22316381060675794</v>
      </c>
    </row>
  </sheetData>
  <pageMargins left="0.511811024" right="0.511811024" top="0.78740157499999996" bottom="0.78740157499999996" header="0.31496062000000002" footer="0.31496062000000002"/>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D100-7A30-411A-9CE4-E5B86DB513A9}">
  <sheetPr codeName="Planilha20">
    <tabColor theme="1" tint="0.499984740745262"/>
  </sheetPr>
  <dimension ref="A2:AA302"/>
  <sheetViews>
    <sheetView showGridLines="0" zoomScale="70" zoomScaleNormal="70" workbookViewId="0">
      <selection activeCell="C269" sqref="C269"/>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2028</v>
      </c>
    </row>
    <row r="4" spans="1:9" ht="18.75" thickBot="1" x14ac:dyDescent="0.3">
      <c r="A4" s="162"/>
      <c r="B4" s="163" t="s">
        <v>102</v>
      </c>
      <c r="C4" s="164" t="s">
        <v>200</v>
      </c>
      <c r="D4" s="165">
        <f>('Premissas (Legados)'!F37-'Premissas (Legados)'!F36)/1000</f>
        <v>5299.5858448669878</v>
      </c>
      <c r="E4" s="166" t="s">
        <v>103</v>
      </c>
      <c r="F4" s="162"/>
      <c r="G4" s="162"/>
      <c r="H4" s="177"/>
      <c r="I4" s="177"/>
    </row>
    <row r="5" spans="1:9" ht="18" x14ac:dyDescent="0.25">
      <c r="A5" s="148">
        <f>HLOOKUP($G$3,'Premissas (Legados)'!$B$5:$F$13,9,FALSE)</f>
        <v>0.7</v>
      </c>
      <c r="B5" s="149" t="s">
        <v>104</v>
      </c>
      <c r="C5" s="150" t="s">
        <v>201</v>
      </c>
      <c r="D5" s="151">
        <f>$A$5*$D$4</f>
        <v>3709.710091406891</v>
      </c>
      <c r="E5" s="152" t="s">
        <v>105</v>
      </c>
      <c r="F5" s="153"/>
      <c r="G5" s="153"/>
      <c r="H5" s="177"/>
    </row>
    <row r="6" spans="1:9" ht="30" x14ac:dyDescent="0.25">
      <c r="A6" s="48"/>
      <c r="B6" s="154" t="s">
        <v>106</v>
      </c>
      <c r="C6" s="155" t="s">
        <v>202</v>
      </c>
      <c r="D6" s="156">
        <f>$C$34*'Premissas (Legados)'!$D$20</f>
        <v>29901102</v>
      </c>
      <c r="E6" s="154" t="s">
        <v>107</v>
      </c>
      <c r="F6" s="172">
        <f>F34</f>
        <v>1115376259.1012578</v>
      </c>
      <c r="G6" s="40" t="s">
        <v>108</v>
      </c>
    </row>
    <row r="7" spans="1:9" ht="18.75" thickBot="1" x14ac:dyDescent="0.3">
      <c r="A7" s="157"/>
      <c r="B7" s="158" t="s">
        <v>109</v>
      </c>
      <c r="C7" s="159" t="s">
        <v>203</v>
      </c>
      <c r="D7" s="160">
        <f>$D$5/$D$6*1000</f>
        <v>0.12406599901926328</v>
      </c>
      <c r="E7" s="161" t="s">
        <v>110</v>
      </c>
      <c r="F7" s="174">
        <f>$D$5/$F$6*1000000</f>
        <v>3.3259718961528573</v>
      </c>
      <c r="G7" s="170" t="s">
        <v>15</v>
      </c>
      <c r="I7" s="177"/>
    </row>
    <row r="8" spans="1:9" ht="18" x14ac:dyDescent="0.25">
      <c r="A8" s="148">
        <f>1-A5</f>
        <v>0.30000000000000004</v>
      </c>
      <c r="B8" s="149" t="s">
        <v>111</v>
      </c>
      <c r="C8" s="150" t="s">
        <v>204</v>
      </c>
      <c r="D8" s="151">
        <f>$A$8*$D$4</f>
        <v>1589.8757534600966</v>
      </c>
      <c r="E8" s="152" t="s">
        <v>105</v>
      </c>
      <c r="F8" s="173"/>
      <c r="G8" s="171"/>
    </row>
    <row r="9" spans="1:9" ht="30" x14ac:dyDescent="0.25">
      <c r="B9" s="154" t="s">
        <v>112</v>
      </c>
      <c r="C9" s="155" t="s">
        <v>205</v>
      </c>
      <c r="D9" s="156">
        <f>$C$57*'Premissas (Legados)'!$D$20</f>
        <v>24466368</v>
      </c>
      <c r="E9" s="154" t="s">
        <v>107</v>
      </c>
      <c r="F9" s="172">
        <f>F57</f>
        <v>912648838.61587191</v>
      </c>
      <c r="G9" s="40" t="s">
        <v>108</v>
      </c>
    </row>
    <row r="10" spans="1:9" ht="18.75" thickBot="1" x14ac:dyDescent="0.3">
      <c r="A10" s="167"/>
      <c r="B10" s="158" t="s">
        <v>113</v>
      </c>
      <c r="C10" s="159" t="s">
        <v>206</v>
      </c>
      <c r="D10" s="160">
        <f>$D$8/$D$9*1000</f>
        <v>6.4982091067219153E-2</v>
      </c>
      <c r="E10" s="161" t="s">
        <v>110</v>
      </c>
      <c r="F10" s="174">
        <f>$D$8/$F$9*1000000</f>
        <v>1.7420454463858308</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v>37.302179000000002</v>
      </c>
      <c r="I18" s="49"/>
    </row>
    <row r="19" spans="1:9" ht="18" x14ac:dyDescent="0.35">
      <c r="A19" t="s">
        <v>210</v>
      </c>
      <c r="B19" t="s">
        <v>122</v>
      </c>
      <c r="C19" s="19"/>
      <c r="H19" s="55">
        <v>3.7302178999999998E-2</v>
      </c>
      <c r="I19" s="49"/>
    </row>
    <row r="20" spans="1:9" x14ac:dyDescent="0.25">
      <c r="C20" s="19"/>
      <c r="H20" s="55"/>
      <c r="I20" s="49"/>
    </row>
    <row r="21" spans="1:9" x14ac:dyDescent="0.25">
      <c r="A21" s="203"/>
      <c r="B21" s="203"/>
      <c r="C21" s="374">
        <v>2028</v>
      </c>
      <c r="F21" s="376">
        <v>2028</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(Legados)'!E3</f>
        <v>14956</v>
      </c>
      <c r="E24" s="60"/>
      <c r="F24" s="15">
        <f>IFERROR($C24*$H$19*'Premissas (Legados)'!$D$20*1000," ")</f>
        <v>204188248.41938397</v>
      </c>
      <c r="G24" s="49"/>
    </row>
    <row r="25" spans="1:9" x14ac:dyDescent="0.25">
      <c r="A25" s="2" t="s">
        <v>125</v>
      </c>
      <c r="B25" s="16" t="s">
        <v>26</v>
      </c>
      <c r="C25" s="231">
        <f>'Oferta (Legados)'!E4</f>
        <v>20000</v>
      </c>
      <c r="E25" s="60"/>
      <c r="F25" s="15">
        <f>IFERROR($C25*$H$19*'Premissas (Legados)'!$D$20*1000," ")</f>
        <v>273051950.27999997</v>
      </c>
      <c r="G25" s="49"/>
    </row>
    <row r="26" spans="1:9" x14ac:dyDescent="0.25">
      <c r="A26" s="2" t="s">
        <v>126</v>
      </c>
      <c r="B26" s="16" t="s">
        <v>411</v>
      </c>
      <c r="C26" s="231">
        <f>'Oferta (Legados)'!E5</f>
        <v>13564</v>
      </c>
      <c r="D26" s="18"/>
      <c r="E26" s="60"/>
      <c r="F26" s="15">
        <f>IFERROR($C26*$H$19*'Premissas (Legados)'!$D$20*1000," ")</f>
        <v>185183832.679896</v>
      </c>
      <c r="G26" s="49"/>
    </row>
    <row r="27" spans="1:9" x14ac:dyDescent="0.25">
      <c r="A27" s="2" t="s">
        <v>127</v>
      </c>
      <c r="B27" s="16" t="s">
        <v>388</v>
      </c>
      <c r="C27" s="231">
        <f>'Oferta (Legados)'!E6</f>
        <v>383</v>
      </c>
      <c r="D27" s="18"/>
      <c r="E27" s="60"/>
      <c r="F27" s="15">
        <f>IFERROR($C27*$H$19*'Premissas (Legados)'!$D$20*1000," ")</f>
        <v>5228944.8478619996</v>
      </c>
      <c r="G27" s="49"/>
    </row>
    <row r="28" spans="1:9" x14ac:dyDescent="0.25">
      <c r="A28" s="2" t="s">
        <v>128</v>
      </c>
      <c r="B28" s="16" t="s">
        <v>27</v>
      </c>
      <c r="C28" s="231">
        <f>'Oferta (Legados)'!E7</f>
        <v>0</v>
      </c>
      <c r="D28" s="18"/>
      <c r="E28" s="60"/>
      <c r="F28" s="15">
        <f>IFERROR($C28*$H$19*'Premissas (Legados)'!$D$20*1000," ")</f>
        <v>0</v>
      </c>
      <c r="G28" s="49"/>
    </row>
    <row r="29" spans="1:9" x14ac:dyDescent="0.25">
      <c r="A29" s="2" t="s">
        <v>183</v>
      </c>
      <c r="B29" s="16" t="s">
        <v>29</v>
      </c>
      <c r="C29" s="231">
        <f>'Oferta (Legados)'!E8</f>
        <v>0</v>
      </c>
      <c r="D29" s="18"/>
      <c r="E29" s="60"/>
      <c r="F29" s="15">
        <f>IFERROR($C29*$H$19*'Premissas (Legados)'!$D$20*1000," ")</f>
        <v>0</v>
      </c>
      <c r="G29" s="49"/>
    </row>
    <row r="30" spans="1:9" x14ac:dyDescent="0.25">
      <c r="A30" s="2" t="s">
        <v>129</v>
      </c>
      <c r="B30" s="16" t="s">
        <v>24</v>
      </c>
      <c r="C30" s="231">
        <f>'Oferta (Legados)'!E9</f>
        <v>24869</v>
      </c>
      <c r="D30" s="18"/>
      <c r="E30" s="60"/>
      <c r="F30" s="15">
        <f>IFERROR($C30*$H$19*'Premissas (Legados)'!$D$20*1000," ")</f>
        <v>339526447.57566595</v>
      </c>
      <c r="G30" s="49"/>
    </row>
    <row r="31" spans="1:9" x14ac:dyDescent="0.25">
      <c r="A31" s="2" t="s">
        <v>184</v>
      </c>
      <c r="B31" s="16" t="s">
        <v>194</v>
      </c>
      <c r="C31" s="231">
        <f>'Oferta (Legados)'!E10</f>
        <v>7525</v>
      </c>
      <c r="D31" s="18"/>
      <c r="E31" s="60"/>
      <c r="F31" s="15">
        <f>IFERROR($C31*$H$19*'Premissas (Legados)'!$D$20*1000," ")</f>
        <v>102735796.29284999</v>
      </c>
      <c r="G31" s="49"/>
    </row>
    <row r="32" spans="1:9" x14ac:dyDescent="0.25">
      <c r="A32" s="2" t="s">
        <v>130</v>
      </c>
      <c r="B32" s="16" t="s">
        <v>196</v>
      </c>
      <c r="C32" s="231">
        <f>'Oferta (Legados)'!E11</f>
        <v>200</v>
      </c>
      <c r="D32" s="18"/>
      <c r="E32" s="60"/>
      <c r="F32" s="15">
        <f>IFERROR($C32*$H$19*'Premissas (Legados)'!$D$20*1000," ")</f>
        <v>2730519.5027999999</v>
      </c>
      <c r="G32" s="49"/>
    </row>
    <row r="33" spans="1:8" x14ac:dyDescent="0.25">
      <c r="A33" s="2" t="s">
        <v>131</v>
      </c>
      <c r="B33" s="16" t="s">
        <v>195</v>
      </c>
      <c r="C33" s="231">
        <f>'Oferta (Legados)'!E12</f>
        <v>200</v>
      </c>
      <c r="D33" s="18"/>
      <c r="E33" s="60"/>
      <c r="F33" s="15">
        <f>IFERROR($C33*$H$19*'Premissas (Legados)'!$D$20*1000," ")</f>
        <v>2730519.5027999999</v>
      </c>
      <c r="G33" s="49"/>
    </row>
    <row r="34" spans="1:8" x14ac:dyDescent="0.25">
      <c r="C34" s="61">
        <f>SUM(C24:C33)</f>
        <v>81697</v>
      </c>
      <c r="D34" s="61"/>
      <c r="E34" s="60"/>
      <c r="F34" s="61">
        <f>SUM(F24:F33)</f>
        <v>1115376259.1012578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2028</v>
      </c>
      <c r="F38" s="376">
        <v>2028</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(Legados)'!E3</f>
        <v>668</v>
      </c>
      <c r="F41" s="15">
        <f>IFERROR($C41*$H$19*'Premissas (Legados)'!$D$20*1000," ")</f>
        <v>9119935.1393519994</v>
      </c>
      <c r="G41" s="49"/>
    </row>
    <row r="42" spans="1:8" x14ac:dyDescent="0.25">
      <c r="A42" s="2" t="s">
        <v>38</v>
      </c>
      <c r="B42" s="16" t="s">
        <v>161</v>
      </c>
      <c r="C42" s="231">
        <f>'Demanda (Legados)'!E4</f>
        <v>1824</v>
      </c>
      <c r="F42" s="15">
        <f>IFERROR($C42*$H$19*'Premissas (Legados)'!$D$20*1000," ")</f>
        <v>24902337.865536001</v>
      </c>
      <c r="G42" s="49"/>
    </row>
    <row r="43" spans="1:8" x14ac:dyDescent="0.25">
      <c r="A43" s="2" t="s">
        <v>39</v>
      </c>
      <c r="B43" s="16" t="s">
        <v>162</v>
      </c>
      <c r="C43" s="231">
        <f>'Demanda (Legados)'!E5</f>
        <v>3002</v>
      </c>
      <c r="D43" s="18"/>
      <c r="F43" s="15">
        <f>IFERROR($C43*$H$19*'Premissas (Legados)'!$D$20*1000," ")</f>
        <v>40985097.737027995</v>
      </c>
      <c r="G43" s="49"/>
    </row>
    <row r="44" spans="1:8" x14ac:dyDescent="0.25">
      <c r="A44" s="2" t="s">
        <v>40</v>
      </c>
      <c r="B44" s="16" t="s">
        <v>163</v>
      </c>
      <c r="C44" s="231">
        <f>'Demanda (Legados)'!E6</f>
        <v>351</v>
      </c>
      <c r="D44" s="18"/>
      <c r="F44" s="15">
        <f>IFERROR($C44*$H$19*'Premissas (Legados)'!$D$20*1000," ")</f>
        <v>4792061.7274139998</v>
      </c>
      <c r="G44" s="49"/>
    </row>
    <row r="45" spans="1:8" x14ac:dyDescent="0.25">
      <c r="A45" s="2" t="s">
        <v>41</v>
      </c>
      <c r="B45" s="16" t="s">
        <v>164</v>
      </c>
      <c r="C45" s="231">
        <f>'Demanda (Legados)'!E7</f>
        <v>17575</v>
      </c>
      <c r="D45" s="18"/>
      <c r="F45" s="15">
        <f>IFERROR($C45*$H$19*'Premissas (Legados)'!$D$20*1000," ")</f>
        <v>239944401.30854997</v>
      </c>
      <c r="G45" s="49"/>
    </row>
    <row r="46" spans="1:8" x14ac:dyDescent="0.25">
      <c r="A46" s="2" t="s">
        <v>42</v>
      </c>
      <c r="B46" s="16" t="s">
        <v>165</v>
      </c>
      <c r="C46" s="231">
        <f>'Demanda (Legados)'!E8</f>
        <v>11227</v>
      </c>
      <c r="D46" s="18"/>
      <c r="F46" s="15">
        <f>IFERROR($C46*$H$19*'Premissas (Legados)'!$D$20*1000," ")</f>
        <v>153277712.28967798</v>
      </c>
      <c r="G46" s="49"/>
    </row>
    <row r="47" spans="1:8" x14ac:dyDescent="0.25">
      <c r="A47" s="2" t="s">
        <v>43</v>
      </c>
      <c r="B47" s="16" t="s">
        <v>166</v>
      </c>
      <c r="C47" s="231">
        <f>'Demanda (Legados)'!E9</f>
        <v>2083</v>
      </c>
      <c r="D47" s="18"/>
      <c r="F47" s="15">
        <f>IFERROR($C47*$H$19*'Premissas (Legados)'!$D$20*1000," ")</f>
        <v>28438360.621661998</v>
      </c>
      <c r="G47" s="49"/>
    </row>
    <row r="48" spans="1:8" x14ac:dyDescent="0.25">
      <c r="A48" s="2" t="s">
        <v>44</v>
      </c>
      <c r="B48" s="16" t="s">
        <v>167</v>
      </c>
      <c r="C48" s="231">
        <f>'Demanda (Legados)'!E10</f>
        <v>340</v>
      </c>
      <c r="D48" s="18"/>
      <c r="F48" s="15">
        <f>IFERROR($C48*$H$19*'Premissas (Legados)'!$D$20*1000," ")</f>
        <v>4641883.1547599994</v>
      </c>
      <c r="G48" s="49"/>
    </row>
    <row r="49" spans="1:9" x14ac:dyDescent="0.25">
      <c r="A49" s="2" t="s">
        <v>45</v>
      </c>
      <c r="B49" s="16" t="s">
        <v>168</v>
      </c>
      <c r="C49" s="231">
        <f>'Demanda (Legados)'!E11</f>
        <v>2249</v>
      </c>
      <c r="D49" s="18"/>
      <c r="F49" s="15">
        <f>IFERROR($C49*$H$19*'Premissas (Legados)'!$D$20*1000," ")</f>
        <v>30704691.808985997</v>
      </c>
      <c r="G49" s="49"/>
    </row>
    <row r="50" spans="1:9" x14ac:dyDescent="0.25">
      <c r="A50" s="2" t="s">
        <v>46</v>
      </c>
      <c r="B50" s="16" t="s">
        <v>169</v>
      </c>
      <c r="C50" s="231">
        <f>'Demanda (Legados)'!E12</f>
        <v>1161</v>
      </c>
      <c r="D50" s="18"/>
      <c r="F50" s="15">
        <f>IFERROR($C50*$H$19*'Premissas (Legados)'!$D$20*1000," ")</f>
        <v>15850665.713753998</v>
      </c>
      <c r="G50" s="49"/>
    </row>
    <row r="51" spans="1:9" x14ac:dyDescent="0.25">
      <c r="A51" s="2" t="s">
        <v>47</v>
      </c>
      <c r="B51" s="16" t="s">
        <v>170</v>
      </c>
      <c r="C51" s="231">
        <f>'Demanda (Legados)'!E13</f>
        <v>3064</v>
      </c>
      <c r="D51" s="18"/>
      <c r="F51" s="15">
        <f>IFERROR($C51*$H$19*'Premissas (Legados)'!$D$20*1000," ")</f>
        <v>41831558.782895997</v>
      </c>
      <c r="G51" s="49"/>
    </row>
    <row r="52" spans="1:9" x14ac:dyDescent="0.25">
      <c r="A52" s="2" t="s">
        <v>48</v>
      </c>
      <c r="B52" s="16" t="s">
        <v>171</v>
      </c>
      <c r="C52" s="231">
        <f>'Demanda (Legados)'!E14</f>
        <v>9481</v>
      </c>
      <c r="D52" s="18"/>
      <c r="F52" s="15">
        <f>IFERROR($C52*$H$19*'Premissas (Legados)'!$D$20*1000," ")</f>
        <v>129440277.03023401</v>
      </c>
      <c r="G52" s="49"/>
    </row>
    <row r="53" spans="1:9" x14ac:dyDescent="0.25">
      <c r="A53" s="2" t="s">
        <v>49</v>
      </c>
      <c r="B53" s="16" t="s">
        <v>172</v>
      </c>
      <c r="C53" s="231">
        <f>'Demanda (Legados)'!E15</f>
        <v>3920</v>
      </c>
      <c r="D53" s="18"/>
      <c r="F53" s="15">
        <f>IFERROR($C53*$H$19*'Premissas (Legados)'!$D$20*1000," ")</f>
        <v>53518182.254879996</v>
      </c>
      <c r="G53" s="49"/>
    </row>
    <row r="54" spans="1:9" x14ac:dyDescent="0.25">
      <c r="A54" s="2" t="s">
        <v>50</v>
      </c>
      <c r="B54" s="16" t="s">
        <v>199</v>
      </c>
      <c r="C54" s="231">
        <f>'Demanda (Legados)'!E16</f>
        <v>0</v>
      </c>
      <c r="D54" s="18"/>
      <c r="F54" s="15">
        <f>IFERROR($C54*$H$19*'Premissas (Legados)'!$D$20*1000," ")</f>
        <v>0</v>
      </c>
      <c r="G54" s="49"/>
    </row>
    <row r="55" spans="1:9" x14ac:dyDescent="0.25">
      <c r="A55" s="2" t="s">
        <v>51</v>
      </c>
      <c r="B55" s="16" t="s">
        <v>198</v>
      </c>
      <c r="C55" s="231">
        <f>'Demanda (Legados)'!E17</f>
        <v>9703</v>
      </c>
      <c r="D55" s="18"/>
      <c r="F55" s="15">
        <f>IFERROR($C55*$H$19*'Premissas (Legados)'!$D$20*1000," ")</f>
        <v>132471153.67834197</v>
      </c>
      <c r="G55" s="49"/>
    </row>
    <row r="56" spans="1:9" x14ac:dyDescent="0.25">
      <c r="A56" s="2" t="s">
        <v>52</v>
      </c>
      <c r="B56" s="16" t="s">
        <v>197</v>
      </c>
      <c r="C56" s="231">
        <f>'Demanda (Legados)'!E18</f>
        <v>200</v>
      </c>
      <c r="D56" s="18"/>
      <c r="F56" s="15">
        <f>IFERROR($C56*$H$19*'Premissas (Legados)'!$D$20*1000," ")</f>
        <v>2730519.5027999999</v>
      </c>
      <c r="G56" s="49"/>
    </row>
    <row r="57" spans="1:9" x14ac:dyDescent="0.25">
      <c r="C57" s="61">
        <f>SUM(C41:C56)</f>
        <v>66848</v>
      </c>
      <c r="D57" s="61"/>
      <c r="F57" s="61">
        <f>SUM(F41:F56)</f>
        <v>912648838.61587191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9.9928195308760168E-3</v>
      </c>
      <c r="G99" s="65" t="s">
        <v>140</v>
      </c>
      <c r="H99" s="67">
        <f>F24/$F$34</f>
        <v>0.18306669767555725</v>
      </c>
      <c r="I99" s="67">
        <f>F25/$F$34</f>
        <v>0.24480703085792627</v>
      </c>
      <c r="J99" s="67">
        <f>$F26/$F$34</f>
        <v>0.16602812832784561</v>
      </c>
      <c r="K99" s="67">
        <f>$F27/$F$34</f>
        <v>4.6880546409292876E-3</v>
      </c>
      <c r="L99" s="67">
        <f>$F28/$F$34</f>
        <v>0</v>
      </c>
      <c r="M99" s="67">
        <f>$F29/$F$34</f>
        <v>0</v>
      </c>
      <c r="N99" s="67">
        <f>$F30/$F$34</f>
        <v>0.30440530252028841</v>
      </c>
      <c r="O99" s="67">
        <f>$F31/$F$34</f>
        <v>9.2108645360294755E-2</v>
      </c>
      <c r="P99" s="67">
        <f>$F32/$F$34</f>
        <v>2.4480703085792629E-3</v>
      </c>
      <c r="Q99" s="67">
        <f>$F33/$F$34</f>
        <v>2.4480703085792629E-3</v>
      </c>
      <c r="R99" s="67">
        <f>SUM(H99:Q99)</f>
        <v>1</v>
      </c>
      <c r="S99" s="66"/>
      <c r="T99" s="66"/>
      <c r="U99" s="66"/>
      <c r="V99" s="66"/>
      <c r="W99" s="66"/>
    </row>
    <row r="100" spans="1:27" ht="18" x14ac:dyDescent="0.35">
      <c r="A100" t="s">
        <v>223</v>
      </c>
      <c r="B100" s="68">
        <f t="shared" si="1"/>
        <v>0.24480703085792627</v>
      </c>
      <c r="C100" s="4"/>
      <c r="D100" t="s">
        <v>233</v>
      </c>
      <c r="E100" s="66">
        <f t="shared" si="2"/>
        <v>2.7285782671134517E-2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4.6880546409292876E-3</v>
      </c>
      <c r="C102" s="4"/>
      <c r="D102" t="s">
        <v>235</v>
      </c>
      <c r="E102" s="66">
        <f t="shared" si="2"/>
        <v>5.250718046912399E-3</v>
      </c>
      <c r="G102" s="66"/>
      <c r="H102" s="68"/>
      <c r="I102" s="68"/>
    </row>
    <row r="103" spans="1:27" ht="18" x14ac:dyDescent="0.35">
      <c r="A103" t="s">
        <v>226</v>
      </c>
      <c r="B103" s="68">
        <f t="shared" si="1"/>
        <v>0</v>
      </c>
      <c r="C103" s="4"/>
      <c r="D103" t="s">
        <v>236</v>
      </c>
      <c r="E103" s="66">
        <f t="shared" si="2"/>
        <v>0.26290988511249402</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3.1160244135950216E-2</v>
      </c>
      <c r="G105" s="66"/>
      <c r="H105" s="68"/>
      <c r="I105" s="68"/>
    </row>
    <row r="106" spans="1:27" ht="18" x14ac:dyDescent="0.35">
      <c r="A106" t="s">
        <v>229</v>
      </c>
      <c r="B106" s="68">
        <f t="shared" si="1"/>
        <v>9.2108645360294755E-2</v>
      </c>
      <c r="C106" s="4"/>
      <c r="D106" t="s">
        <v>239</v>
      </c>
      <c r="E106" s="66">
        <f t="shared" si="2"/>
        <v>5.0861656294877928E-3</v>
      </c>
      <c r="G106" s="66"/>
      <c r="H106" s="68"/>
      <c r="I106" s="68"/>
    </row>
    <row r="107" spans="1:27" ht="18" x14ac:dyDescent="0.35">
      <c r="A107" t="s">
        <v>230</v>
      </c>
      <c r="B107" s="68">
        <f t="shared" si="1"/>
        <v>2.4480703085792629E-3</v>
      </c>
      <c r="C107" s="4"/>
      <c r="D107" t="s">
        <v>240</v>
      </c>
      <c r="E107" s="66">
        <f t="shared" si="2"/>
        <v>3.3643489707994259E-2</v>
      </c>
      <c r="G107" s="66"/>
      <c r="H107" s="68"/>
      <c r="I107" s="68"/>
    </row>
    <row r="108" spans="1:27" ht="18" x14ac:dyDescent="0.35">
      <c r="A108" t="s">
        <v>231</v>
      </c>
      <c r="B108" s="68">
        <f t="shared" si="1"/>
        <v>2.4480703085792629E-3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0.14182922450933463</v>
      </c>
      <c r="G110" s="66"/>
    </row>
    <row r="111" spans="1:27" ht="18" x14ac:dyDescent="0.35">
      <c r="B111" s="68"/>
      <c r="D111" t="s">
        <v>244</v>
      </c>
      <c r="E111" s="66">
        <f t="shared" si="2"/>
        <v>5.8640497845859264E-2</v>
      </c>
    </row>
    <row r="112" spans="1:27" ht="18" x14ac:dyDescent="0.35">
      <c r="B112" s="68"/>
      <c r="D112" t="s">
        <v>245</v>
      </c>
      <c r="E112" s="66">
        <f t="shared" si="2"/>
        <v>0</v>
      </c>
    </row>
    <row r="113" spans="1:5" ht="18" x14ac:dyDescent="0.35">
      <c r="B113" s="68"/>
      <c r="D113" t="s">
        <v>246</v>
      </c>
      <c r="E113" s="66">
        <f t="shared" si="2"/>
        <v>0.14515019147917663</v>
      </c>
    </row>
    <row r="114" spans="1:5" ht="18" x14ac:dyDescent="0.35">
      <c r="B114" s="68"/>
      <c r="D114" t="s">
        <v>247</v>
      </c>
      <c r="E114" s="66">
        <f t="shared" si="2"/>
        <v>2.9918621349928195E-3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344.89216593465773</v>
      </c>
      <c r="C130" s="70"/>
      <c r="D130" t="s">
        <v>253</v>
      </c>
      <c r="E130" s="4">
        <f ca="1">SUMPRODUCT($H$99:$Q$99,$C67:$L67)</f>
        <v>368.15066269263258</v>
      </c>
    </row>
    <row r="131" spans="1:5" ht="18" x14ac:dyDescent="0.35">
      <c r="A131" t="s">
        <v>254</v>
      </c>
      <c r="B131" s="66">
        <f ca="1">SUMPRODUCT($E$99:$E$114,D$67:D$82)</f>
        <v>249.02062822821924</v>
      </c>
      <c r="C131" s="70"/>
      <c r="D131" t="s">
        <v>255</v>
      </c>
      <c r="E131" s="4">
        <f t="shared" ref="E131:E145" ca="1" si="3">SUMPRODUCT($H$99:$Q$99,$C68:$L68)</f>
        <v>465.31466269263262</v>
      </c>
    </row>
    <row r="132" spans="1:5" ht="18" x14ac:dyDescent="0.35">
      <c r="A132" t="s">
        <v>256</v>
      </c>
      <c r="B132" s="66">
        <f ca="1">SUMPRODUCT($E$99:$E$114,E$67:E$82)</f>
        <v>286.84911951890859</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238.92642818533588</v>
      </c>
      <c r="C134" s="70"/>
      <c r="D134" t="s">
        <v>261</v>
      </c>
      <c r="E134" s="4">
        <f t="shared" ca="1" si="3"/>
        <v>192.49826560338812</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394.34532132000959</v>
      </c>
      <c r="D136" t="s">
        <v>265</v>
      </c>
      <c r="E136" s="4">
        <f t="shared" ca="1" si="3"/>
        <v>214.79297235883817</v>
      </c>
    </row>
    <row r="137" spans="1:5" ht="18" x14ac:dyDescent="0.35">
      <c r="A137" t="s">
        <v>266</v>
      </c>
      <c r="B137" s="66">
        <f ca="1">SUMPRODUCT($E$99:$E$114,J$67:J$82)</f>
        <v>295.52801588529201</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394.34532132000959</v>
      </c>
      <c r="D139" t="s">
        <v>271</v>
      </c>
      <c r="E139" s="4">
        <f t="shared" ca="1" si="3"/>
        <v>323.0102807508232</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503.74906342950175</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0.19558683701185309</v>
      </c>
      <c r="C162" s="13"/>
      <c r="D162" t="s">
        <v>283</v>
      </c>
      <c r="E162" s="71">
        <f t="shared" ref="E162:E177" ca="1" si="5">($F41*$E130)/SUMPRODUCT($F$41:$F$56,$E$130:$E$145)</f>
        <v>1.1396213506293749E-2</v>
      </c>
    </row>
    <row r="163" spans="1:9" ht="18" x14ac:dyDescent="0.35">
      <c r="A163" t="s">
        <v>284</v>
      </c>
      <c r="B163" s="71">
        <f t="shared" ca="1" si="4"/>
        <v>0.18884528991964772</v>
      </c>
      <c r="C163" s="4"/>
      <c r="D163" t="s">
        <v>285</v>
      </c>
      <c r="E163" s="71">
        <f t="shared" ca="1" si="5"/>
        <v>3.9330557275885504E-2</v>
      </c>
    </row>
    <row r="164" spans="1:9" ht="18" x14ac:dyDescent="0.35">
      <c r="A164" t="s">
        <v>286</v>
      </c>
      <c r="B164" s="71">
        <f t="shared" ca="1" si="4"/>
        <v>0.14753061048190289</v>
      </c>
      <c r="C164" s="4"/>
      <c r="D164" t="s">
        <v>287</v>
      </c>
      <c r="E164" s="71">
        <f t="shared" ca="1" si="5"/>
        <v>8.1030800930671193E-2</v>
      </c>
      <c r="H164" s="72"/>
      <c r="I164" s="72"/>
    </row>
    <row r="165" spans="1:9" ht="18" x14ac:dyDescent="0.35">
      <c r="A165" t="s">
        <v>288</v>
      </c>
      <c r="B165" s="71">
        <f t="shared" ca="1" si="4"/>
        <v>5.82504243530357E-3</v>
      </c>
      <c r="C165" s="4"/>
      <c r="D165" t="s">
        <v>289</v>
      </c>
      <c r="E165" s="71">
        <f t="shared" ca="1" si="5"/>
        <v>9.7188415761294018E-3</v>
      </c>
    </row>
    <row r="166" spans="1:9" ht="18" x14ac:dyDescent="0.35">
      <c r="A166" t="s">
        <v>290</v>
      </c>
      <c r="B166" s="71">
        <f t="shared" ca="1" si="4"/>
        <v>0</v>
      </c>
      <c r="C166" s="4"/>
      <c r="D166" t="s">
        <v>291</v>
      </c>
      <c r="E166" s="71">
        <f t="shared" ca="1" si="5"/>
        <v>0.15677639817733355</v>
      </c>
    </row>
    <row r="167" spans="1:9" ht="18" x14ac:dyDescent="0.35">
      <c r="A167" t="s">
        <v>292</v>
      </c>
      <c r="B167" s="71">
        <f t="shared" ca="1" si="4"/>
        <v>0</v>
      </c>
      <c r="C167" s="4"/>
      <c r="D167" t="s">
        <v>293</v>
      </c>
      <c r="E167" s="71">
        <f t="shared" ca="1" si="5"/>
        <v>0.10082924825991463</v>
      </c>
    </row>
    <row r="168" spans="1:9" ht="18" x14ac:dyDescent="0.35">
      <c r="A168" t="s">
        <v>294</v>
      </c>
      <c r="B168" s="71">
        <f t="shared" ca="1" si="4"/>
        <v>0.37185690657426329</v>
      </c>
      <c r="C168" s="4"/>
      <c r="D168" t="s">
        <v>295</v>
      </c>
      <c r="E168" s="71">
        <f t="shared" ca="1" si="5"/>
        <v>2.0733272986789567E-2</v>
      </c>
    </row>
    <row r="169" spans="1:9" ht="18" x14ac:dyDescent="0.35">
      <c r="A169" t="s">
        <v>296</v>
      </c>
      <c r="B169" s="71">
        <f t="shared" ca="1" si="4"/>
        <v>8.4322990353909555E-2</v>
      </c>
      <c r="C169" s="4"/>
      <c r="D169" t="s">
        <v>297</v>
      </c>
      <c r="E169" s="71">
        <f t="shared" ca="1" si="5"/>
        <v>3.7980337726921218E-3</v>
      </c>
    </row>
    <row r="170" spans="1:9" ht="18" x14ac:dyDescent="0.35">
      <c r="A170" t="s">
        <v>298</v>
      </c>
      <c r="B170" s="71">
        <f t="shared" ca="1" si="4"/>
        <v>3.0417976163465118E-3</v>
      </c>
      <c r="D170" t="s">
        <v>299</v>
      </c>
      <c r="E170" s="71">
        <f t="shared" ca="1" si="5"/>
        <v>2.0772739611069756E-2</v>
      </c>
    </row>
    <row r="171" spans="1:9" ht="18" x14ac:dyDescent="0.35">
      <c r="A171" t="s">
        <v>300</v>
      </c>
      <c r="B171" s="71">
        <f t="shared" ca="1" si="4"/>
        <v>2.9905256067736005E-3</v>
      </c>
      <c r="D171" t="s">
        <v>301</v>
      </c>
      <c r="E171" s="71">
        <f t="shared" ca="1" si="5"/>
        <v>1.7378292112591301E-2</v>
      </c>
    </row>
    <row r="172" spans="1:9" ht="18" x14ac:dyDescent="0.35">
      <c r="B172" s="175">
        <f ca="1">SUM(B162:B171)</f>
        <v>1.0000000000000002</v>
      </c>
      <c r="D172" t="s">
        <v>302</v>
      </c>
      <c r="E172" s="71">
        <f t="shared" ca="1" si="5"/>
        <v>4.4339138154354682E-2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0.22650553083723332</v>
      </c>
    </row>
    <row r="177" spans="1:5" ht="18" x14ac:dyDescent="0.35">
      <c r="B177" s="71"/>
      <c r="D177" t="s">
        <v>307</v>
      </c>
      <c r="E177" s="71">
        <f t="shared" ca="1" si="5"/>
        <v>2.1383565429600342E-3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725.57046300922616</v>
      </c>
      <c r="C193" s="19"/>
      <c r="D193" t="s">
        <v>311</v>
      </c>
      <c r="E193" s="5">
        <f t="shared" ref="E193:E208" ca="1" si="7">$E162*$D$8</f>
        <v>18.118563534910901</v>
      </c>
    </row>
    <row r="194" spans="1:5" ht="18" x14ac:dyDescent="0.35">
      <c r="A194" t="s">
        <v>312</v>
      </c>
      <c r="B194" s="6">
        <f t="shared" ca="1" si="6"/>
        <v>700.56127772957723</v>
      </c>
      <c r="D194" t="s">
        <v>313</v>
      </c>
      <c r="E194" s="5">
        <f t="shared" ca="1" si="7"/>
        <v>62.530699383003949</v>
      </c>
    </row>
    <row r="195" spans="1:5" ht="18" x14ac:dyDescent="0.35">
      <c r="A195" t="s">
        <v>314</v>
      </c>
      <c r="B195" s="6">
        <f t="shared" ca="1" si="6"/>
        <v>547.29579449613436</v>
      </c>
      <c r="D195" t="s">
        <v>315</v>
      </c>
      <c r="E195" s="5">
        <f t="shared" ca="1" si="7"/>
        <v>128.82890568312595</v>
      </c>
    </row>
    <row r="196" spans="1:5" ht="18" x14ac:dyDescent="0.35">
      <c r="A196" t="s">
        <v>316</v>
      </c>
      <c r="B196" s="6">
        <f t="shared" ca="1" si="6"/>
        <v>21.609218705119027</v>
      </c>
      <c r="D196" t="s">
        <v>317</v>
      </c>
      <c r="E196" s="5">
        <f t="shared" ca="1" si="7"/>
        <v>15.451750573608045</v>
      </c>
    </row>
    <row r="197" spans="1:5" ht="18" x14ac:dyDescent="0.35">
      <c r="A197" t="s">
        <v>318</v>
      </c>
      <c r="B197" s="6">
        <f t="shared" ca="1" si="6"/>
        <v>0</v>
      </c>
      <c r="D197" t="s">
        <v>319</v>
      </c>
      <c r="E197" s="5">
        <f t="shared" ca="1" si="7"/>
        <v>249.25499417694829</v>
      </c>
    </row>
    <row r="198" spans="1:5" ht="18" x14ac:dyDescent="0.35">
      <c r="A198" t="s">
        <v>320</v>
      </c>
      <c r="B198" s="6">
        <f t="shared" ca="1" si="6"/>
        <v>0</v>
      </c>
      <c r="D198" t="s">
        <v>321</v>
      </c>
      <c r="E198" s="5">
        <f t="shared" ca="1" si="7"/>
        <v>160.30597704804691</v>
      </c>
    </row>
    <row r="199" spans="1:5" ht="18" x14ac:dyDescent="0.35">
      <c r="A199" t="s">
        <v>322</v>
      </c>
      <c r="B199" s="6">
        <f t="shared" ca="1" si="6"/>
        <v>1379.481318877894</v>
      </c>
      <c r="D199" t="s">
        <v>323</v>
      </c>
      <c r="E199" s="5">
        <f t="shared" ca="1" si="7"/>
        <v>32.963328011565928</v>
      </c>
    </row>
    <row r="200" spans="1:5" ht="18" x14ac:dyDescent="0.35">
      <c r="A200" t="s">
        <v>324</v>
      </c>
      <c r="B200" s="6">
        <f t="shared" ca="1" si="6"/>
        <v>312.8138482535042</v>
      </c>
      <c r="D200" t="s">
        <v>325</v>
      </c>
      <c r="E200" s="5">
        <f t="shared" ca="1" si="7"/>
        <v>6.0384018060257807</v>
      </c>
    </row>
    <row r="201" spans="1:5" ht="18" x14ac:dyDescent="0.35">
      <c r="A201" t="s">
        <v>326</v>
      </c>
      <c r="B201" s="6">
        <f t="shared" ca="1" si="6"/>
        <v>11.284187313378082</v>
      </c>
      <c r="D201" t="s">
        <v>327</v>
      </c>
      <c r="E201" s="5">
        <f t="shared" ca="1" si="7"/>
        <v>33.026075040579919</v>
      </c>
    </row>
    <row r="202" spans="1:5" ht="18" x14ac:dyDescent="0.35">
      <c r="A202" t="s">
        <v>328</v>
      </c>
      <c r="B202" s="6">
        <f t="shared" ca="1" si="6"/>
        <v>11.093983022058742</v>
      </c>
      <c r="D202" t="s">
        <v>329</v>
      </c>
      <c r="E202" s="5">
        <f t="shared" ca="1" si="7"/>
        <v>27.62932526635575</v>
      </c>
    </row>
    <row r="203" spans="1:5" ht="18" x14ac:dyDescent="0.35">
      <c r="B203" s="6">
        <f ca="1">SUM(B193:B202)</f>
        <v>3709.7100914068915</v>
      </c>
      <c r="D203" t="s">
        <v>330</v>
      </c>
      <c r="E203" s="5">
        <f t="shared" ca="1" si="7"/>
        <v>70.493720680925961</v>
      </c>
    </row>
    <row r="204" spans="1:5" ht="18" x14ac:dyDescent="0.35">
      <c r="B204" s="6"/>
      <c r="D204" t="s">
        <v>331</v>
      </c>
      <c r="E204" s="5">
        <f t="shared" ca="1" si="7"/>
        <v>291.11031132360034</v>
      </c>
    </row>
    <row r="205" spans="1:5" ht="18" x14ac:dyDescent="0.35">
      <c r="B205" s="6"/>
      <c r="D205" t="s">
        <v>332</v>
      </c>
      <c r="E205" s="5">
        <f t="shared" ca="1" si="7"/>
        <v>130.60832820876837</v>
      </c>
    </row>
    <row r="206" spans="1:5" ht="18" x14ac:dyDescent="0.35">
      <c r="B206" s="6"/>
      <c r="D206" t="s">
        <v>333</v>
      </c>
      <c r="E206" s="5">
        <f t="shared" ca="1" si="7"/>
        <v>0</v>
      </c>
    </row>
    <row r="207" spans="1:5" ht="18" x14ac:dyDescent="0.35">
      <c r="B207" s="6"/>
      <c r="D207" t="s">
        <v>334</v>
      </c>
      <c r="E207" s="5">
        <f t="shared" ca="1" si="7"/>
        <v>360.11565150272548</v>
      </c>
    </row>
    <row r="208" spans="1:5" ht="18" x14ac:dyDescent="0.35">
      <c r="B208" s="6"/>
      <c r="D208" t="s">
        <v>335</v>
      </c>
      <c r="E208" s="5">
        <f t="shared" ca="1" si="7"/>
        <v>3.3997212199049116</v>
      </c>
    </row>
    <row r="209" spans="1:5" x14ac:dyDescent="0.25">
      <c r="B209" s="6"/>
      <c r="E209" s="5">
        <f ca="1">SUM(E193:E208)</f>
        <v>1589.8757534600968</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3.5534388909540517</v>
      </c>
      <c r="D226" s="77"/>
      <c r="E226" s="7"/>
      <c r="F226" s="7"/>
      <c r="G226" s="78"/>
      <c r="H226" s="20" t="s">
        <v>343</v>
      </c>
      <c r="I226" s="20" t="str">
        <f t="shared" ref="I226:I241" si="9">B41</f>
        <v>NTS MG 1</v>
      </c>
      <c r="J226" s="11">
        <f t="shared" ref="J226:J241" ca="1" si="10">IFERROR($E193/$F41*1000000," ")</f>
        <v>1.9866987273550154</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2.9554188752652926</v>
      </c>
      <c r="D228" s="77"/>
      <c r="E228" s="7"/>
      <c r="F228" s="7"/>
      <c r="G228" s="78"/>
      <c r="H228" s="20" t="s">
        <v>347</v>
      </c>
      <c r="I228" s="20" t="str">
        <f t="shared" si="9"/>
        <v>NTS MG 3</v>
      </c>
      <c r="J228" s="11">
        <f t="shared" ca="1" si="10"/>
        <v>3.1433109299806659</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3.2244473156956737</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1.0458531423347857</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1.1591149169990194</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1.3008517458768274</v>
      </c>
      <c r="L233" s="12"/>
      <c r="M233" s="79"/>
      <c r="Q233" s="7"/>
      <c r="R233" s="80"/>
      <c r="S233" s="81"/>
      <c r="T233" s="81"/>
      <c r="U233" s="81"/>
    </row>
    <row r="234" spans="1:22" ht="18" x14ac:dyDescent="0.25">
      <c r="A234" s="20" t="s">
        <v>358</v>
      </c>
      <c r="B234" s="20" t="str">
        <f t="shared" si="11"/>
        <v>PR-REPLAN (INTERCONEXÃO)</v>
      </c>
      <c r="C234" s="11">
        <f t="shared" ca="1" si="8"/>
        <v>4.1326155340794157</v>
      </c>
      <c r="D234" s="72"/>
      <c r="E234" s="7"/>
      <c r="F234" s="7"/>
      <c r="G234" s="72"/>
      <c r="H234" s="20" t="s">
        <v>359</v>
      </c>
      <c r="I234" s="20" t="str">
        <f t="shared" si="9"/>
        <v>NTS RJ 5</v>
      </c>
      <c r="J234" s="11">
        <f t="shared" ca="1" si="10"/>
        <v>1.0756035346661434</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1.7431018838774153</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1.6851803454608365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2.2489932654857054</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2.7184458012431554</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1.2450821964167189</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3.3259718961528573</v>
      </c>
      <c r="E245" s="11">
        <f ca="1">IFERROR(C245+D245," ")</f>
        <v>3.3259718961528573</v>
      </c>
      <c r="G245" s="79"/>
      <c r="H245" s="20" t="s">
        <v>343</v>
      </c>
      <c r="I245" s="20" t="str">
        <f t="shared" ref="I245:I260" si="15">I226</f>
        <v>NTS MG 1</v>
      </c>
      <c r="J245" s="11">
        <f t="shared" ref="J245:J260" ca="1" si="16">IF(F41=0," ",J226*(1-$C$11))</f>
        <v>0</v>
      </c>
      <c r="K245" s="11">
        <f t="shared" ref="K245:K260" si="17">$F$10*$C$11</f>
        <v>1.7420454463858308</v>
      </c>
      <c r="L245" s="11">
        <f ca="1">IFERROR(J245+K245," ")</f>
        <v>1.7420454463858308</v>
      </c>
    </row>
    <row r="246" spans="1:22" ht="18" x14ac:dyDescent="0.25">
      <c r="A246" s="20" t="s">
        <v>344</v>
      </c>
      <c r="B246" s="20" t="str">
        <f t="shared" si="12"/>
        <v>PR-GNLBGB</v>
      </c>
      <c r="C246" s="11">
        <f t="shared" ca="1" si="13"/>
        <v>0</v>
      </c>
      <c r="D246" s="11">
        <f t="shared" si="14"/>
        <v>3.3259718961528573</v>
      </c>
      <c r="E246" s="11">
        <f t="shared" ref="E246:E254" ca="1" si="18">IFERROR(C246+D246," ")</f>
        <v>3.3259718961528573</v>
      </c>
      <c r="G246" s="79"/>
      <c r="H246" s="20" t="s">
        <v>345</v>
      </c>
      <c r="I246" s="20" t="str">
        <f t="shared" si="15"/>
        <v>NTS MG 2</v>
      </c>
      <c r="J246" s="11">
        <f t="shared" ca="1" si="16"/>
        <v>0</v>
      </c>
      <c r="K246" s="11">
        <f t="shared" si="17"/>
        <v>1.7420454463858308</v>
      </c>
      <c r="L246" s="11">
        <f t="shared" ref="L246:L260" ca="1" si="19">IFERROR(J246+K246," ")</f>
        <v>1.7420454463858308</v>
      </c>
    </row>
    <row r="247" spans="1:22" ht="18" x14ac:dyDescent="0.25">
      <c r="A247" s="20" t="s">
        <v>346</v>
      </c>
      <c r="B247" s="20" t="str">
        <f t="shared" si="12"/>
        <v>PR-ITABORAÍ</v>
      </c>
      <c r="C247" s="11">
        <f t="shared" ca="1" si="13"/>
        <v>0</v>
      </c>
      <c r="D247" s="11">
        <f t="shared" si="14"/>
        <v>3.3259718961528573</v>
      </c>
      <c r="E247" s="11">
        <f t="shared" ca="1" si="18"/>
        <v>3.3259718961528573</v>
      </c>
      <c r="G247" s="79"/>
      <c r="H247" s="20" t="s">
        <v>347</v>
      </c>
      <c r="I247" s="20" t="str">
        <f t="shared" si="15"/>
        <v>NTS MG 3</v>
      </c>
      <c r="J247" s="11">
        <f t="shared" ca="1" si="16"/>
        <v>0</v>
      </c>
      <c r="K247" s="11">
        <f t="shared" si="17"/>
        <v>1.7420454463858308</v>
      </c>
      <c r="L247" s="11">
        <f t="shared" ca="1" si="19"/>
        <v>1.7420454463858308</v>
      </c>
    </row>
    <row r="248" spans="1:22" ht="18" x14ac:dyDescent="0.25">
      <c r="A248" s="20" t="s">
        <v>348</v>
      </c>
      <c r="B248" s="20" t="str">
        <f t="shared" si="12"/>
        <v>PR-GASPAJ (INTERCONEXÃO)</v>
      </c>
      <c r="C248" s="11">
        <f t="shared" ca="1" si="13"/>
        <v>0</v>
      </c>
      <c r="D248" s="11">
        <f t="shared" si="14"/>
        <v>3.3259718961528573</v>
      </c>
      <c r="E248" s="11">
        <f t="shared" ca="1" si="18"/>
        <v>3.3259718961528573</v>
      </c>
      <c r="G248" s="79"/>
      <c r="H248" s="20" t="s">
        <v>349</v>
      </c>
      <c r="I248" s="20" t="str">
        <f t="shared" si="15"/>
        <v>NTS MG 4</v>
      </c>
      <c r="J248" s="11">
        <f t="shared" ca="1" si="16"/>
        <v>0</v>
      </c>
      <c r="K248" s="11">
        <f t="shared" si="17"/>
        <v>1.7420454463858308</v>
      </c>
      <c r="L248" s="11">
        <f t="shared" ca="1" si="19"/>
        <v>1.7420454463858308</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1.7420454463858308</v>
      </c>
      <c r="L249" s="11">
        <f t="shared" ca="1" si="19"/>
        <v>1.7420454463858308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1.7420454463858308</v>
      </c>
      <c r="L250" s="11">
        <f t="shared" ca="1" si="19"/>
        <v>1.7420454463858308</v>
      </c>
    </row>
    <row r="251" spans="1:22" ht="18" x14ac:dyDescent="0.25">
      <c r="A251" s="20" t="s">
        <v>354</v>
      </c>
      <c r="B251" s="20" t="str">
        <f t="shared" si="12"/>
        <v>PR-TECAB</v>
      </c>
      <c r="C251" s="11">
        <f t="shared" ca="1" si="13"/>
        <v>0</v>
      </c>
      <c r="D251" s="11">
        <f t="shared" si="14"/>
        <v>3.3259718961528573</v>
      </c>
      <c r="E251" s="11">
        <f t="shared" ca="1" si="18"/>
        <v>3.3259718961528573</v>
      </c>
      <c r="G251" s="79"/>
      <c r="H251" s="20" t="s">
        <v>355</v>
      </c>
      <c r="I251" s="20" t="str">
        <f t="shared" si="15"/>
        <v>NTS RJ 3</v>
      </c>
      <c r="J251" s="11">
        <f t="shared" ca="1" si="16"/>
        <v>0</v>
      </c>
      <c r="K251" s="11">
        <f t="shared" si="17"/>
        <v>1.7420454463858308</v>
      </c>
      <c r="L251" s="11">
        <f t="shared" ca="1" si="19"/>
        <v>1.7420454463858308</v>
      </c>
    </row>
    <row r="252" spans="1:22" ht="18" x14ac:dyDescent="0.25">
      <c r="A252" s="20" t="s">
        <v>356</v>
      </c>
      <c r="B252" s="20" t="str">
        <f t="shared" si="12"/>
        <v>PR-GUARAREMA (INTERCONEXÃO)</v>
      </c>
      <c r="C252" s="11">
        <f t="shared" ca="1" si="13"/>
        <v>0</v>
      </c>
      <c r="D252" s="11">
        <f t="shared" si="14"/>
        <v>3.3259718961528573</v>
      </c>
      <c r="E252" s="11">
        <f t="shared" ca="1" si="18"/>
        <v>3.3259718961528573</v>
      </c>
      <c r="G252" s="79"/>
      <c r="H252" s="20" t="s">
        <v>357</v>
      </c>
      <c r="I252" s="20" t="str">
        <f t="shared" si="15"/>
        <v>NTS RJ 4</v>
      </c>
      <c r="J252" s="11">
        <f t="shared" ca="1" si="16"/>
        <v>0</v>
      </c>
      <c r="K252" s="11">
        <f t="shared" si="17"/>
        <v>1.7420454463858308</v>
      </c>
      <c r="L252" s="11">
        <f t="shared" ca="1" si="19"/>
        <v>1.7420454463858308</v>
      </c>
    </row>
    <row r="253" spans="1:22" ht="18" x14ac:dyDescent="0.25">
      <c r="A253" s="20" t="s">
        <v>358</v>
      </c>
      <c r="B253" s="20" t="str">
        <f t="shared" si="12"/>
        <v>PR-REPLAN (INTERCONEXÃO)</v>
      </c>
      <c r="C253" s="11">
        <f t="shared" ca="1" si="13"/>
        <v>0</v>
      </c>
      <c r="D253" s="11">
        <f t="shared" si="14"/>
        <v>3.3259718961528573</v>
      </c>
      <c r="E253" s="11">
        <f t="shared" ca="1" si="18"/>
        <v>3.3259718961528573</v>
      </c>
      <c r="G253" s="79"/>
      <c r="H253" s="20" t="s">
        <v>359</v>
      </c>
      <c r="I253" s="20" t="str">
        <f t="shared" si="15"/>
        <v>NTS RJ 5</v>
      </c>
      <c r="J253" s="11">
        <f t="shared" ca="1" si="16"/>
        <v>0</v>
      </c>
      <c r="K253" s="11">
        <f t="shared" si="17"/>
        <v>1.7420454463858308</v>
      </c>
      <c r="L253" s="11">
        <f t="shared" ca="1" si="19"/>
        <v>1.7420454463858308</v>
      </c>
    </row>
    <row r="254" spans="1:22" ht="18" x14ac:dyDescent="0.25">
      <c r="A254" s="20" t="s">
        <v>360</v>
      </c>
      <c r="B254" s="20" t="str">
        <f t="shared" si="12"/>
        <v>PR-TECAB (INTERCONEXÃO)</v>
      </c>
      <c r="C254" s="11">
        <f t="shared" ca="1" si="13"/>
        <v>0</v>
      </c>
      <c r="D254" s="11">
        <f t="shared" si="14"/>
        <v>3.3259718961528573</v>
      </c>
      <c r="E254" s="11">
        <f t="shared" ca="1" si="18"/>
        <v>3.3259718961528573</v>
      </c>
      <c r="G254" s="79"/>
      <c r="H254" s="20" t="s">
        <v>361</v>
      </c>
      <c r="I254" s="20" t="str">
        <f t="shared" si="15"/>
        <v>NTS SP 1</v>
      </c>
      <c r="J254" s="11">
        <f t="shared" ca="1" si="16"/>
        <v>0</v>
      </c>
      <c r="K254" s="11">
        <f t="shared" si="17"/>
        <v>1.7420454463858308</v>
      </c>
      <c r="L254" s="11">
        <f t="shared" ca="1" si="19"/>
        <v>1.7420454463858308</v>
      </c>
    </row>
    <row r="255" spans="1:22" ht="18" x14ac:dyDescent="0.25">
      <c r="H255" s="20" t="s">
        <v>362</v>
      </c>
      <c r="I255" s="20" t="str">
        <f t="shared" si="15"/>
        <v>NTS SP 2</v>
      </c>
      <c r="J255" s="11">
        <f t="shared" ca="1" si="16"/>
        <v>0</v>
      </c>
      <c r="K255" s="11">
        <f t="shared" si="17"/>
        <v>1.7420454463858308</v>
      </c>
      <c r="L255" s="11">
        <f t="shared" ca="1" si="19"/>
        <v>1.7420454463858308</v>
      </c>
    </row>
    <row r="256" spans="1:22" ht="18" x14ac:dyDescent="0.25">
      <c r="H256" s="20" t="s">
        <v>363</v>
      </c>
      <c r="I256" s="20" t="str">
        <f t="shared" si="15"/>
        <v>NTS SP 3</v>
      </c>
      <c r="J256" s="11">
        <f t="shared" ca="1" si="16"/>
        <v>0</v>
      </c>
      <c r="K256" s="11">
        <f t="shared" si="17"/>
        <v>1.7420454463858308</v>
      </c>
      <c r="L256" s="11">
        <f t="shared" ca="1" si="19"/>
        <v>1.7420454463858308</v>
      </c>
    </row>
    <row r="257" spans="1:13" ht="18" x14ac:dyDescent="0.25">
      <c r="H257" s="20" t="s">
        <v>364</v>
      </c>
      <c r="I257" s="20" t="str">
        <f t="shared" si="15"/>
        <v>NTS SP 4</v>
      </c>
      <c r="J257" s="11">
        <f t="shared" ca="1" si="16"/>
        <v>0</v>
      </c>
      <c r="K257" s="11">
        <f t="shared" si="17"/>
        <v>1.7420454463858308</v>
      </c>
      <c r="L257" s="11">
        <f t="shared" ca="1" si="19"/>
        <v>1.7420454463858308</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1.7420454463858308</v>
      </c>
      <c r="L259" s="11">
        <f t="shared" ca="1" si="19"/>
        <v>1.7420454463858308</v>
      </c>
    </row>
    <row r="260" spans="1:13" ht="18" x14ac:dyDescent="0.25">
      <c r="H260" s="20" t="s">
        <v>367</v>
      </c>
      <c r="I260" s="20" t="str">
        <f t="shared" si="15"/>
        <v>PE-TECAB (INTERCONEXÃO)</v>
      </c>
      <c r="J260" s="11">
        <f t="shared" ca="1" si="16"/>
        <v>0</v>
      </c>
      <c r="K260" s="11">
        <f t="shared" si="17"/>
        <v>1.7420454463858308</v>
      </c>
      <c r="L260" s="11">
        <f t="shared" ca="1" si="19"/>
        <v>1.7420454463858308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(Legados)'!E11</f>
        <v>200</v>
      </c>
      <c r="D267" s="207">
        <f ca="1">E253</f>
        <v>3.3259718961528573</v>
      </c>
      <c r="E267" s="210">
        <f ca="1">D267*(1-$C$262)</f>
        <v>0.33259718961528567</v>
      </c>
      <c r="F267" s="208">
        <f ca="1">C267*E267*'Premissas (Legados)'!$C$54*'Premissas (Legados)'!$F$20*1000</f>
        <v>905681.7928406219</v>
      </c>
      <c r="L267" s="84"/>
    </row>
    <row r="268" spans="1:13" ht="18.75" x14ac:dyDescent="0.3">
      <c r="B268" s="189" t="s">
        <v>376</v>
      </c>
      <c r="C268" s="213">
        <f>'Oferta (Legados)'!E10</f>
        <v>7525</v>
      </c>
      <c r="D268" s="207">
        <f ca="1">E252</f>
        <v>3.3259718961528573</v>
      </c>
      <c r="E268" s="210">
        <f t="shared" ref="E268:E270" ca="1" si="20">D268*(1-$C$262)</f>
        <v>0.33259718961528567</v>
      </c>
      <c r="F268" s="208">
        <f ca="1">C268*E268*'Premissas (Legados)'!$C$54*'Premissas (Legados)'!$F$20*1000</f>
        <v>34076277.455628395</v>
      </c>
      <c r="G268" s="85"/>
      <c r="K268" s="85"/>
      <c r="L268" s="84"/>
    </row>
    <row r="269" spans="1:13" ht="18.75" x14ac:dyDescent="0.3">
      <c r="B269" s="190" t="s">
        <v>377</v>
      </c>
      <c r="C269" s="213">
        <f>'Oferta (Legados)'!E12</f>
        <v>200</v>
      </c>
      <c r="D269" s="207">
        <f ca="1">E254</f>
        <v>3.3259718961528573</v>
      </c>
      <c r="E269" s="210">
        <f t="shared" ca="1" si="20"/>
        <v>0.33259718961528567</v>
      </c>
      <c r="F269" s="208">
        <f ca="1">C269*E269*'Premissas (Legados)'!$C$54*'Premissas (Legados)'!$F$20*1000</f>
        <v>905681.7928406219</v>
      </c>
      <c r="K269" s="85"/>
      <c r="L269" s="84"/>
    </row>
    <row r="270" spans="1:13" ht="18.75" x14ac:dyDescent="0.3">
      <c r="B270" s="190" t="s">
        <v>185</v>
      </c>
      <c r="C270" s="213">
        <f>'Oferta (Legados)'!E6</f>
        <v>383</v>
      </c>
      <c r="D270" s="207">
        <f ca="1">E248</f>
        <v>3.3259718961528573</v>
      </c>
      <c r="E270" s="210">
        <f t="shared" ca="1" si="20"/>
        <v>0.33259718961528567</v>
      </c>
      <c r="F270" s="208">
        <f ca="1">C270*E270*'Premissas (Legados)'!$C$54*'Premissas (Legados)'!$F$20*1000</f>
        <v>1734380.6332897907</v>
      </c>
      <c r="K270" s="85"/>
      <c r="L270" s="84"/>
    </row>
    <row r="271" spans="1:13" ht="18.75" x14ac:dyDescent="0.3">
      <c r="B271" s="188" t="s">
        <v>378</v>
      </c>
      <c r="C271" s="213">
        <f>'Demanda (Legados)'!E17</f>
        <v>9703</v>
      </c>
      <c r="D271" s="207">
        <f ca="1">L259</f>
        <v>1.7420454463858308</v>
      </c>
      <c r="E271" s="210">
        <f ca="1">D271*(1-$C$262)</f>
        <v>0.17420454463858304</v>
      </c>
      <c r="F271" s="208">
        <f ca="1">C271*E271*'Premissas (Legados)'!$C$54*'Premissas (Legados)'!$F$20*1000</f>
        <v>23014024.881320797</v>
      </c>
      <c r="K271" s="85"/>
      <c r="L271" s="84"/>
    </row>
    <row r="272" spans="1:13" ht="18.75" x14ac:dyDescent="0.3">
      <c r="B272" s="190" t="s">
        <v>379</v>
      </c>
      <c r="C272" s="213">
        <f>'Demanda (Legados)'!E18</f>
        <v>200</v>
      </c>
      <c r="D272" s="207">
        <f ca="1">L260</f>
        <v>1.7420454463858308</v>
      </c>
      <c r="E272" s="210">
        <f ca="1">D272*(1-$C$262)</f>
        <v>0.17420454463858304</v>
      </c>
      <c r="F272" s="208">
        <f ca="1">C272*E272*'Premissas (Legados)'!$C$54*'Premissas (Legados)'!$F$20*1000</f>
        <v>474369.26479069976</v>
      </c>
      <c r="K272" s="85"/>
      <c r="L272" s="84"/>
    </row>
    <row r="273" spans="2:13" ht="19.5" thickBot="1" x14ac:dyDescent="0.35">
      <c r="B273" s="190"/>
      <c r="C273" s="190"/>
      <c r="D273" s="190"/>
      <c r="E273" s="190"/>
      <c r="F273" s="209">
        <f ca="1">SUM(F267:F272)</f>
        <v>61110415.820710927</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FF96-DEB0-4D41-83E9-D41233F5D881}">
  <sheetPr codeName="Planilha21">
    <tabColor theme="1" tint="0.499984740745262"/>
  </sheetPr>
  <dimension ref="A2:AA303"/>
  <sheetViews>
    <sheetView showGridLines="0"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2028</v>
      </c>
    </row>
    <row r="4" spans="1:9" ht="18.75" thickBot="1" x14ac:dyDescent="0.3">
      <c r="A4" s="162"/>
      <c r="B4" s="163" t="s">
        <v>102</v>
      </c>
      <c r="C4" s="164" t="s">
        <v>200</v>
      </c>
      <c r="D4" s="165">
        <f>('Premissas (Legados)'!F37-'Premissas (Legados)'!F36)/1000</f>
        <v>5299.5858448669878</v>
      </c>
      <c r="E4" s="166" t="s">
        <v>103</v>
      </c>
      <c r="F4" s="162"/>
      <c r="G4" s="162"/>
      <c r="H4" s="177"/>
      <c r="I4" s="177"/>
    </row>
    <row r="5" spans="1:9" ht="15.75" thickBot="1" x14ac:dyDescent="0.3">
      <c r="A5" s="153"/>
      <c r="B5" s="197" t="s">
        <v>385</v>
      </c>
      <c r="C5" s="150"/>
      <c r="D5" s="151">
        <f ca="1">D6+D9</f>
        <v>5238.475429046277</v>
      </c>
      <c r="E5" s="166" t="s">
        <v>103</v>
      </c>
      <c r="F5" s="215" t="s">
        <v>390</v>
      </c>
      <c r="G5" s="153"/>
      <c r="H5" s="177"/>
      <c r="I5" s="177"/>
    </row>
    <row r="6" spans="1:9" ht="18" x14ac:dyDescent="0.25">
      <c r="A6" s="148">
        <f>HLOOKUP($G$3,'Premissas (Legados)'!$B$5:$F$13,9,FALSE)</f>
        <v>0.7</v>
      </c>
      <c r="B6" s="149" t="s">
        <v>104</v>
      </c>
      <c r="C6" s="150" t="s">
        <v>201</v>
      </c>
      <c r="D6" s="151">
        <f ca="1">($A$6*$D$4)-(SUM($F$268:$F$271)/10^6)</f>
        <v>3672.0880697322914</v>
      </c>
      <c r="E6" s="152" t="s">
        <v>105</v>
      </c>
      <c r="F6" s="215" t="s">
        <v>383</v>
      </c>
      <c r="G6" s="153"/>
      <c r="H6" s="177"/>
    </row>
    <row r="7" spans="1:9" ht="30" x14ac:dyDescent="0.25">
      <c r="A7" s="48"/>
      <c r="B7" s="154" t="s">
        <v>106</v>
      </c>
      <c r="C7" s="155" t="s">
        <v>202</v>
      </c>
      <c r="D7" s="156">
        <f>$C$35*'Premissas (Legados)'!$D$20</f>
        <v>26860374</v>
      </c>
      <c r="E7" s="154" t="s">
        <v>107</v>
      </c>
      <c r="F7" s="172">
        <f>F35</f>
        <v>1001950478.9549459</v>
      </c>
      <c r="G7" s="40" t="s">
        <v>108</v>
      </c>
    </row>
    <row r="8" spans="1:9" ht="18.75" thickBot="1" x14ac:dyDescent="0.3">
      <c r="A8" s="157"/>
      <c r="B8" s="158" t="s">
        <v>109</v>
      </c>
      <c r="C8" s="159" t="s">
        <v>203</v>
      </c>
      <c r="D8" s="160">
        <f ca="1">$D$6/$D$7*1000</f>
        <v>0.13671023604259167</v>
      </c>
      <c r="E8" s="161" t="s">
        <v>110</v>
      </c>
      <c r="F8" s="174">
        <f ca="1">$D$6/$F$7*1000000</f>
        <v>3.664939682011382</v>
      </c>
      <c r="G8" s="170" t="s">
        <v>15</v>
      </c>
      <c r="I8" s="177"/>
    </row>
    <row r="9" spans="1:9" ht="18" x14ac:dyDescent="0.25">
      <c r="A9" s="148">
        <f>1-A6</f>
        <v>0.30000000000000004</v>
      </c>
      <c r="B9" s="149" t="s">
        <v>111</v>
      </c>
      <c r="C9" s="150" t="s">
        <v>204</v>
      </c>
      <c r="D9" s="151">
        <f ca="1">($A$9*$D$4)-(SUM($F$272:$F$273)/10^6)</f>
        <v>1566.3873593139851</v>
      </c>
      <c r="E9" s="152" t="s">
        <v>105</v>
      </c>
      <c r="F9" s="215" t="s">
        <v>384</v>
      </c>
      <c r="G9" s="171"/>
    </row>
    <row r="10" spans="1:9" ht="30" x14ac:dyDescent="0.25">
      <c r="B10" s="154" t="s">
        <v>112</v>
      </c>
      <c r="C10" s="155" t="s">
        <v>205</v>
      </c>
      <c r="D10" s="156">
        <f>$C$58*'Premissas (Legados)'!$D$20</f>
        <v>20841870</v>
      </c>
      <c r="E10" s="154" t="s">
        <v>107</v>
      </c>
      <c r="F10" s="172">
        <f>F58</f>
        <v>777447165.43472993</v>
      </c>
      <c r="G10" s="40" t="s">
        <v>108</v>
      </c>
    </row>
    <row r="11" spans="1:9" ht="18.75" thickBot="1" x14ac:dyDescent="0.3">
      <c r="A11" s="167"/>
      <c r="B11" s="158" t="s">
        <v>113</v>
      </c>
      <c r="C11" s="159" t="s">
        <v>206</v>
      </c>
      <c r="D11" s="160">
        <f ca="1">$D$9/$D$10*1000</f>
        <v>7.5155797407525579E-2</v>
      </c>
      <c r="E11" s="161" t="s">
        <v>110</v>
      </c>
      <c r="F11" s="174">
        <f ca="1">$D$9/$F$10*1000000</f>
        <v>2.0147830347263516</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2028</v>
      </c>
      <c r="F22" s="376">
        <v>2028</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(Legados)'!E3</f>
        <v>14956</v>
      </c>
      <c r="E25" s="60"/>
      <c r="F25" s="15">
        <f>IFERROR($C25*$H$20*'Premissas (Legados)'!$D$20*1000," ")</f>
        <v>204188248.41938397</v>
      </c>
      <c r="G25" s="49"/>
    </row>
    <row r="26" spans="1:9" x14ac:dyDescent="0.25">
      <c r="A26" s="2" t="s">
        <v>125</v>
      </c>
      <c r="B26" s="16" t="s">
        <v>26</v>
      </c>
      <c r="C26" s="231">
        <f>'Oferta (Legados)'!E4</f>
        <v>20000</v>
      </c>
      <c r="E26" s="60"/>
      <c r="F26" s="15">
        <f>IFERROR($C26*$H$20*'Premissas (Legados)'!$D$20*1000," ")</f>
        <v>273051950.27999997</v>
      </c>
      <c r="G26" s="49"/>
    </row>
    <row r="27" spans="1:9" x14ac:dyDescent="0.25">
      <c r="A27" s="2" t="s">
        <v>126</v>
      </c>
      <c r="B27" s="16" t="s">
        <v>411</v>
      </c>
      <c r="C27" s="231">
        <f>'Oferta (Legados)'!E5</f>
        <v>13564</v>
      </c>
      <c r="D27" s="18"/>
      <c r="E27" s="60"/>
      <c r="F27" s="15">
        <f>IFERROR($C27*$H$20*'Premissas (Legados)'!$D$20*1000," ")</f>
        <v>185183832.679896</v>
      </c>
      <c r="G27" s="49"/>
    </row>
    <row r="28" spans="1:9" x14ac:dyDescent="0.25">
      <c r="A28" s="2" t="s">
        <v>127</v>
      </c>
      <c r="B28" s="16" t="s">
        <v>388</v>
      </c>
      <c r="C28" s="234"/>
      <c r="D28" s="216" t="s">
        <v>386</v>
      </c>
      <c r="E28" s="60"/>
      <c r="F28" s="15">
        <f>IFERROR($C28*$H$20*'Premissas (Legados)'!$D$20*1000," ")</f>
        <v>0</v>
      </c>
      <c r="G28" s="49"/>
    </row>
    <row r="29" spans="1:9" x14ac:dyDescent="0.25">
      <c r="A29" s="2" t="s">
        <v>128</v>
      </c>
      <c r="B29" s="16" t="s">
        <v>27</v>
      </c>
      <c r="C29" s="231">
        <f>'Oferta (Legados)'!E7</f>
        <v>0</v>
      </c>
      <c r="D29" s="18"/>
      <c r="E29" s="60"/>
      <c r="F29" s="15">
        <f>IFERROR($C29*$H$20*'Premissas (Legados)'!$D$20*1000," ")</f>
        <v>0</v>
      </c>
      <c r="G29" s="49"/>
    </row>
    <row r="30" spans="1:9" x14ac:dyDescent="0.25">
      <c r="A30" s="2" t="s">
        <v>183</v>
      </c>
      <c r="B30" s="16" t="s">
        <v>29</v>
      </c>
      <c r="C30" s="231">
        <f>'Oferta (Legados)'!E8</f>
        <v>0</v>
      </c>
      <c r="D30" s="18"/>
      <c r="E30" s="60"/>
      <c r="F30" s="15">
        <f>IFERROR($C30*$H$20*'Premissas (Legados)'!$D$20*1000," ")</f>
        <v>0</v>
      </c>
      <c r="G30" s="49"/>
    </row>
    <row r="31" spans="1:9" x14ac:dyDescent="0.25">
      <c r="A31" s="2" t="s">
        <v>129</v>
      </c>
      <c r="B31" s="16" t="s">
        <v>24</v>
      </c>
      <c r="C31" s="231">
        <f>'Oferta (Legados)'!E9</f>
        <v>24869</v>
      </c>
      <c r="D31" s="18"/>
      <c r="E31" s="60"/>
      <c r="F31" s="15">
        <f>IFERROR($C31*$H$20*'Premissas (Legados)'!$D$20*1000," ")</f>
        <v>339526447.57566595</v>
      </c>
      <c r="G31" s="49"/>
    </row>
    <row r="32" spans="1:9" x14ac:dyDescent="0.25">
      <c r="A32" s="2" t="s">
        <v>184</v>
      </c>
      <c r="B32" s="16" t="s">
        <v>194</v>
      </c>
      <c r="C32" s="191"/>
      <c r="D32" s="216" t="s">
        <v>386</v>
      </c>
      <c r="E32" s="60"/>
      <c r="F32" s="15">
        <f>IFERROR($C32*$H$20*'Premissas (Legados)'!$D$20*1000," ")</f>
        <v>0</v>
      </c>
      <c r="G32" s="49"/>
    </row>
    <row r="33" spans="1:8" x14ac:dyDescent="0.25">
      <c r="A33" s="2" t="s">
        <v>130</v>
      </c>
      <c r="B33" s="16" t="s">
        <v>196</v>
      </c>
      <c r="C33" s="191"/>
      <c r="D33" s="216" t="s">
        <v>386</v>
      </c>
      <c r="E33" s="60"/>
      <c r="F33" s="15">
        <f>IFERROR($C33*$H$20*'Premissas (Legados)'!$D$20*1000," ")</f>
        <v>0</v>
      </c>
      <c r="G33" s="49"/>
    </row>
    <row r="34" spans="1:8" x14ac:dyDescent="0.25">
      <c r="A34" s="2" t="s">
        <v>131</v>
      </c>
      <c r="B34" s="16" t="s">
        <v>195</v>
      </c>
      <c r="C34" s="191"/>
      <c r="D34" s="216" t="s">
        <v>386</v>
      </c>
      <c r="E34" s="60"/>
      <c r="F34" s="15">
        <f>IFERROR($C34*$H$20*'Premissas (Legados)'!$D$20*1000," ")</f>
        <v>0</v>
      </c>
      <c r="G34" s="49"/>
    </row>
    <row r="35" spans="1:8" x14ac:dyDescent="0.25">
      <c r="C35" s="61">
        <f>SUM(C25:C34)</f>
        <v>73389</v>
      </c>
      <c r="D35" s="61"/>
      <c r="E35" s="60"/>
      <c r="F35" s="61">
        <f>SUM(F25:F34)</f>
        <v>1001950478.9549459</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c r="F39" s="376">
        <v>2028</v>
      </c>
      <c r="H39" s="49"/>
    </row>
    <row r="40" spans="1:8" ht="15.95" customHeight="1" x14ac:dyDescent="0.25">
      <c r="C40" s="376"/>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(Legados)'!E3</f>
        <v>668</v>
      </c>
      <c r="F42" s="15">
        <f>IFERROR($C42*$H$20*'Premissas (Legados)'!$D$20*1000," ")</f>
        <v>9119935.1393519994</v>
      </c>
      <c r="G42" s="49"/>
    </row>
    <row r="43" spans="1:8" x14ac:dyDescent="0.25">
      <c r="A43" s="2" t="s">
        <v>38</v>
      </c>
      <c r="B43" s="16" t="s">
        <v>161</v>
      </c>
      <c r="C43" s="231">
        <f>'Demanda (Legados)'!E4</f>
        <v>1824</v>
      </c>
      <c r="D43" s="18"/>
      <c r="F43" s="15">
        <f>IFERROR($C43*$H$20*'Premissas (Legados)'!$D$20*1000," ")</f>
        <v>24902337.865536001</v>
      </c>
      <c r="G43" s="49"/>
    </row>
    <row r="44" spans="1:8" x14ac:dyDescent="0.25">
      <c r="A44" s="2" t="s">
        <v>39</v>
      </c>
      <c r="B44" s="16" t="s">
        <v>162</v>
      </c>
      <c r="C44" s="231">
        <f>'Demanda (Legados)'!E5</f>
        <v>3002</v>
      </c>
      <c r="D44" s="18"/>
      <c r="F44" s="15">
        <f>IFERROR($C44*$H$20*'Premissas (Legados)'!$D$20*1000," ")</f>
        <v>40985097.737027995</v>
      </c>
      <c r="G44" s="49"/>
    </row>
    <row r="45" spans="1:8" x14ac:dyDescent="0.25">
      <c r="A45" s="2" t="s">
        <v>40</v>
      </c>
      <c r="B45" s="16" t="s">
        <v>163</v>
      </c>
      <c r="C45" s="231">
        <f>'Demanda (Legados)'!E6</f>
        <v>351</v>
      </c>
      <c r="D45" s="18"/>
      <c r="F45" s="15">
        <f>IFERROR($C45*$H$20*'Premissas (Legados)'!$D$20*1000," ")</f>
        <v>4792061.7274139998</v>
      </c>
      <c r="G45" s="49"/>
    </row>
    <row r="46" spans="1:8" x14ac:dyDescent="0.25">
      <c r="A46" s="2" t="s">
        <v>41</v>
      </c>
      <c r="B46" s="16" t="s">
        <v>164</v>
      </c>
      <c r="C46" s="231">
        <f>'Demanda (Legados)'!E7</f>
        <v>17575</v>
      </c>
      <c r="D46" s="18"/>
      <c r="F46" s="15">
        <f>IFERROR($C46*$H$20*'Premissas (Legados)'!$D$20*1000," ")</f>
        <v>239944401.30854997</v>
      </c>
      <c r="G46" s="49"/>
    </row>
    <row r="47" spans="1:8" x14ac:dyDescent="0.25">
      <c r="A47" s="2" t="s">
        <v>42</v>
      </c>
      <c r="B47" s="16" t="s">
        <v>165</v>
      </c>
      <c r="C47" s="231">
        <f>'Demanda (Legados)'!E8</f>
        <v>11227</v>
      </c>
      <c r="D47" s="18"/>
      <c r="F47" s="15">
        <f>IFERROR($C47*$H$20*'Premissas (Legados)'!$D$20*1000," ")</f>
        <v>153277712.28967798</v>
      </c>
      <c r="G47" s="49"/>
    </row>
    <row r="48" spans="1:8" x14ac:dyDescent="0.25">
      <c r="A48" s="2" t="s">
        <v>43</v>
      </c>
      <c r="B48" s="16" t="s">
        <v>166</v>
      </c>
      <c r="C48" s="231">
        <f>'Demanda (Legados)'!E9</f>
        <v>2083</v>
      </c>
      <c r="D48" s="18"/>
      <c r="F48" s="15">
        <f>IFERROR($C48*$H$20*'Premissas (Legados)'!$D$20*1000," ")</f>
        <v>28438360.621661998</v>
      </c>
      <c r="G48" s="49"/>
    </row>
    <row r="49" spans="1:9" x14ac:dyDescent="0.25">
      <c r="A49" s="2" t="s">
        <v>44</v>
      </c>
      <c r="B49" s="16" t="s">
        <v>167</v>
      </c>
      <c r="C49" s="231">
        <f>'Demanda (Legados)'!E10</f>
        <v>340</v>
      </c>
      <c r="D49" s="18"/>
      <c r="F49" s="15">
        <f>IFERROR($C49*$H$20*'Premissas (Legados)'!$D$20*1000," ")</f>
        <v>4641883.1547599994</v>
      </c>
      <c r="G49" s="49"/>
    </row>
    <row r="50" spans="1:9" x14ac:dyDescent="0.25">
      <c r="A50" s="2" t="s">
        <v>45</v>
      </c>
      <c r="B50" s="16" t="s">
        <v>168</v>
      </c>
      <c r="C50" s="231">
        <f>'Demanda (Legados)'!E11</f>
        <v>2249</v>
      </c>
      <c r="D50" s="18"/>
      <c r="F50" s="15">
        <f>IFERROR($C50*$H$20*'Premissas (Legados)'!$D$20*1000," ")</f>
        <v>30704691.808985997</v>
      </c>
      <c r="G50" s="49"/>
    </row>
    <row r="51" spans="1:9" x14ac:dyDescent="0.25">
      <c r="A51" s="2" t="s">
        <v>46</v>
      </c>
      <c r="B51" s="16" t="s">
        <v>169</v>
      </c>
      <c r="C51" s="231">
        <f>'Demanda (Legados)'!E12</f>
        <v>1161</v>
      </c>
      <c r="D51" s="18"/>
      <c r="F51" s="15">
        <f>IFERROR($C51*$H$20*'Premissas (Legados)'!$D$20*1000," ")</f>
        <v>15850665.713753998</v>
      </c>
      <c r="G51" s="49"/>
    </row>
    <row r="52" spans="1:9" x14ac:dyDescent="0.25">
      <c r="A52" s="2" t="s">
        <v>47</v>
      </c>
      <c r="B52" s="16" t="s">
        <v>170</v>
      </c>
      <c r="C52" s="231">
        <f>'Demanda (Legados)'!E13</f>
        <v>3064</v>
      </c>
      <c r="D52" s="18"/>
      <c r="F52" s="15">
        <f>IFERROR($C52*$H$20*'Premissas (Legados)'!$D$20*1000," ")</f>
        <v>41831558.782895997</v>
      </c>
      <c r="G52" s="49"/>
    </row>
    <row r="53" spans="1:9" x14ac:dyDescent="0.25">
      <c r="A53" s="2" t="s">
        <v>48</v>
      </c>
      <c r="B53" s="16" t="s">
        <v>171</v>
      </c>
      <c r="C53" s="231">
        <f>'Demanda (Legados)'!E14</f>
        <v>9481</v>
      </c>
      <c r="D53" s="18"/>
      <c r="F53" s="15">
        <f>IFERROR($C53*$H$20*'Premissas (Legados)'!$D$20*1000," ")</f>
        <v>129440277.03023401</v>
      </c>
      <c r="G53" s="49"/>
    </row>
    <row r="54" spans="1:9" x14ac:dyDescent="0.25">
      <c r="A54" s="2" t="s">
        <v>49</v>
      </c>
      <c r="B54" s="16" t="s">
        <v>172</v>
      </c>
      <c r="C54" s="231">
        <f>'Demanda (Legados)'!E15</f>
        <v>3920</v>
      </c>
      <c r="D54" s="18"/>
      <c r="F54" s="15">
        <f>IFERROR($C54*$H$20*'Premissas (Legados)'!$D$20*1000," ")</f>
        <v>53518182.254879996</v>
      </c>
      <c r="G54" s="49"/>
    </row>
    <row r="55" spans="1:9" x14ac:dyDescent="0.25">
      <c r="A55" s="2" t="s">
        <v>50</v>
      </c>
      <c r="B55" s="16" t="s">
        <v>199</v>
      </c>
      <c r="C55" s="191"/>
      <c r="D55" s="216" t="s">
        <v>386</v>
      </c>
      <c r="F55" s="15">
        <f>IFERROR($C55*$H$20*'Premissas (Legados)'!$D$20*1000," ")</f>
        <v>0</v>
      </c>
      <c r="G55" s="49"/>
    </row>
    <row r="56" spans="1:9" x14ac:dyDescent="0.25">
      <c r="A56" s="2" t="s">
        <v>51</v>
      </c>
      <c r="B56" s="16" t="s">
        <v>198</v>
      </c>
      <c r="C56" s="191"/>
      <c r="D56" s="216" t="s">
        <v>386</v>
      </c>
      <c r="F56" s="15">
        <f>IFERROR($C56*$H$20*'Premissas (Legados)'!$D$20*1000," ")</f>
        <v>0</v>
      </c>
      <c r="G56" s="49"/>
    </row>
    <row r="57" spans="1:9" x14ac:dyDescent="0.25">
      <c r="A57" s="2" t="s">
        <v>52</v>
      </c>
      <c r="B57" s="16" t="s">
        <v>197</v>
      </c>
      <c r="C57" s="191"/>
      <c r="D57" s="216" t="s">
        <v>386</v>
      </c>
      <c r="F57" s="15">
        <f>IFERROR($C57*$H$20*'Premissas (Legados)'!$D$20*1000," ")</f>
        <v>0</v>
      </c>
      <c r="G57" s="49"/>
    </row>
    <row r="58" spans="1:9" x14ac:dyDescent="0.25">
      <c r="C58" s="61">
        <f>SUM(C42:C57)</f>
        <v>56945</v>
      </c>
      <c r="D58" s="61"/>
      <c r="F58" s="61">
        <f>SUM(F42:F57)</f>
        <v>777447165.43472993</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v>
      </c>
      <c r="C100" s="8"/>
      <c r="D100" t="s">
        <v>232</v>
      </c>
      <c r="E100" s="66">
        <f t="shared" ref="E100:E115" si="2">F42/$F$58</f>
        <v>1.1730617262270612E-2</v>
      </c>
      <c r="G100" s="65" t="s">
        <v>140</v>
      </c>
      <c r="H100" s="67">
        <f>F25/$F$35</f>
        <v>0.2037907588330676</v>
      </c>
      <c r="I100" s="67">
        <f>F26/$F$35</f>
        <v>0.27252040496532176</v>
      </c>
      <c r="J100" s="67">
        <f>$F27/$F$35</f>
        <v>0.18482333864748124</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0.27252040496532176</v>
      </c>
      <c r="C101" s="4"/>
      <c r="D101" t="s">
        <v>233</v>
      </c>
      <c r="E101" s="66">
        <f t="shared" si="2"/>
        <v>3.2030907015541316E-2</v>
      </c>
      <c r="W101" s="69"/>
    </row>
    <row r="102" spans="1:27" ht="18" x14ac:dyDescent="0.35">
      <c r="A102" t="s">
        <v>224</v>
      </c>
      <c r="B102" s="66">
        <f t="shared" si="1"/>
        <v>0.18482333864748124</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6.1638423039775221E-3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3.6579155325313903E-2</v>
      </c>
      <c r="G106" s="66"/>
      <c r="H106" s="68"/>
      <c r="I106" s="68"/>
    </row>
    <row r="107" spans="1:27" ht="18" x14ac:dyDescent="0.35">
      <c r="A107" t="s">
        <v>229</v>
      </c>
      <c r="B107" s="66">
        <f t="shared" si="1"/>
        <v>0</v>
      </c>
      <c r="C107" s="4"/>
      <c r="D107" t="s">
        <v>239</v>
      </c>
      <c r="E107" s="66">
        <f t="shared" si="2"/>
        <v>5.9706734568443229E-3</v>
      </c>
      <c r="G107" s="66"/>
      <c r="H107" s="68"/>
      <c r="I107" s="68"/>
    </row>
    <row r="108" spans="1:27" ht="18" x14ac:dyDescent="0.35">
      <c r="A108" t="s">
        <v>230</v>
      </c>
      <c r="B108" s="66">
        <f t="shared" si="1"/>
        <v>0</v>
      </c>
      <c r="C108" s="4"/>
      <c r="D108" t="s">
        <v>240</v>
      </c>
      <c r="E108" s="66">
        <f t="shared" si="2"/>
        <v>3.9494248836596718E-2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5.3806304328738258E-2</v>
      </c>
      <c r="G110" s="66"/>
    </row>
    <row r="111" spans="1:27" ht="18" x14ac:dyDescent="0.35">
      <c r="B111" s="68"/>
      <c r="D111" t="s">
        <v>243</v>
      </c>
      <c r="E111" s="66">
        <f t="shared" si="2"/>
        <v>0.16649398542453248</v>
      </c>
      <c r="G111" s="66"/>
    </row>
    <row r="112" spans="1:27" ht="18" x14ac:dyDescent="0.35">
      <c r="B112" s="68"/>
      <c r="D112" t="s">
        <v>244</v>
      </c>
      <c r="E112" s="66">
        <f t="shared" si="2"/>
        <v>6.8838352796558089E-2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361.93893396830589</v>
      </c>
    </row>
    <row r="132" spans="1:5" ht="18" x14ac:dyDescent="0.35">
      <c r="A132" t="s">
        <v>254</v>
      </c>
      <c r="B132" s="66">
        <f ca="1">SUMPRODUCT($E$100:$E$115,D$68:D$83)</f>
        <v>206.08566711388184</v>
      </c>
      <c r="C132" s="70"/>
      <c r="D132" t="s">
        <v>255</v>
      </c>
      <c r="E132" s="4">
        <f t="shared" ref="E132:E146" ca="1" si="3">SUMPRODUCT($H$100:$Q$100,$C69:$L69)</f>
        <v>459.10293396830582</v>
      </c>
    </row>
    <row r="133" spans="1:5" ht="18" x14ac:dyDescent="0.35">
      <c r="A133" t="s">
        <v>256</v>
      </c>
      <c r="B133" s="66">
        <f ca="1">SUMPRODUCT($E$100:$E$115,E$68:E$83)</f>
        <v>242.16788187900607</v>
      </c>
      <c r="C133" s="70"/>
      <c r="D133" t="s">
        <v>257</v>
      </c>
      <c r="E133" s="4">
        <f t="shared" ca="1" si="3"/>
        <v>576.26813396830573</v>
      </c>
    </row>
    <row r="134" spans="1:5" ht="18" x14ac:dyDescent="0.35">
      <c r="A134" t="s">
        <v>258</v>
      </c>
      <c r="B134" s="66">
        <f ca="1">SUMPRODUCT($E$100:$E$115,F$68:F$83)</f>
        <v>468.46275318757864</v>
      </c>
      <c r="C134" s="70"/>
      <c r="D134" t="s">
        <v>259</v>
      </c>
      <c r="E134" s="4">
        <f t="shared" ca="1" si="3"/>
        <v>625.3368792870865</v>
      </c>
    </row>
    <row r="135" spans="1:5" ht="18" x14ac:dyDescent="0.35">
      <c r="A135" t="s">
        <v>260</v>
      </c>
      <c r="B135" s="66">
        <f ca="1">SUMPRODUCT($E$100:$E$115,G$68:G$83)</f>
        <v>193.84413608452604</v>
      </c>
      <c r="C135" s="70"/>
      <c r="D135" t="s">
        <v>261</v>
      </c>
      <c r="E135" s="4">
        <f t="shared" ca="1" si="3"/>
        <v>166.01101580164146</v>
      </c>
    </row>
    <row r="136" spans="1:5" ht="18" x14ac:dyDescent="0.35">
      <c r="A136" t="s">
        <v>262</v>
      </c>
      <c r="B136" s="66">
        <f ca="1">SUMPRODUCT($E$100:$E$115,H$68:H$83)</f>
        <v>369.36097533058211</v>
      </c>
      <c r="C136" s="70"/>
      <c r="D136" t="s">
        <v>263</v>
      </c>
      <c r="E136" s="4">
        <f t="shared" ca="1" si="3"/>
        <v>178.83234762702855</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343.36521386720074</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487.89954083036963</v>
      </c>
    </row>
    <row r="144" spans="1:5" ht="18" x14ac:dyDescent="0.35">
      <c r="B144" s="66"/>
      <c r="D144" t="s">
        <v>275</v>
      </c>
      <c r="E144" s="4">
        <f t="shared" si="3"/>
        <v>382.56254083036964</v>
      </c>
    </row>
    <row r="145" spans="1:5" ht="18" x14ac:dyDescent="0.35">
      <c r="B145" s="66"/>
      <c r="D145" t="s">
        <v>276</v>
      </c>
      <c r="E145" s="4">
        <f t="shared" si="3"/>
        <v>531.57087928708665</v>
      </c>
    </row>
    <row r="146" spans="1:5" ht="18" x14ac:dyDescent="0.35">
      <c r="B146" s="66"/>
      <c r="D146" t="s">
        <v>277</v>
      </c>
      <c r="E146" s="4">
        <f t="shared" si="3"/>
        <v>195.4982975105261</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1.4639737640094177E-2</v>
      </c>
    </row>
    <row r="164" spans="1:9" ht="18" x14ac:dyDescent="0.35">
      <c r="A164" t="s">
        <v>284</v>
      </c>
      <c r="B164" s="71">
        <f t="shared" ca="1" si="4"/>
        <v>0.19365287087649977</v>
      </c>
      <c r="C164" s="4"/>
      <c r="D164" t="s">
        <v>285</v>
      </c>
      <c r="E164" s="71">
        <f t="shared" ca="1" si="5"/>
        <v>5.0705658899394372E-2</v>
      </c>
    </row>
    <row r="165" spans="1:9" ht="18" x14ac:dyDescent="0.35">
      <c r="A165" t="s">
        <v>286</v>
      </c>
      <c r="B165" s="71">
        <f t="shared" ca="1" si="4"/>
        <v>0.15433004398691694</v>
      </c>
      <c r="C165" s="4"/>
      <c r="D165" t="s">
        <v>287</v>
      </c>
      <c r="E165" s="71">
        <f t="shared" ca="1" si="5"/>
        <v>0.10475067284378889</v>
      </c>
      <c r="H165" s="72"/>
      <c r="I165" s="72"/>
    </row>
    <row r="166" spans="1:9" ht="18" x14ac:dyDescent="0.35">
      <c r="A166" t="s">
        <v>288</v>
      </c>
      <c r="B166" s="71">
        <f t="shared" ca="1" si="4"/>
        <v>0</v>
      </c>
      <c r="C166" s="4"/>
      <c r="D166" t="s">
        <v>289</v>
      </c>
      <c r="E166" s="71">
        <f t="shared" ca="1" si="5"/>
        <v>1.3290541835057608E-2</v>
      </c>
    </row>
    <row r="167" spans="1:9" ht="18" x14ac:dyDescent="0.35">
      <c r="A167" t="s">
        <v>290</v>
      </c>
      <c r="B167" s="71">
        <f t="shared" ca="1" si="4"/>
        <v>0</v>
      </c>
      <c r="C167" s="4"/>
      <c r="D167" t="s">
        <v>291</v>
      </c>
      <c r="E167" s="71">
        <f t="shared" ca="1" si="5"/>
        <v>0.17666632258803336</v>
      </c>
    </row>
    <row r="168" spans="1:9" ht="18" x14ac:dyDescent="0.35">
      <c r="A168" t="s">
        <v>292</v>
      </c>
      <c r="B168" s="71">
        <f t="shared" ca="1" si="4"/>
        <v>0</v>
      </c>
      <c r="C168" s="4"/>
      <c r="D168" t="s">
        <v>293</v>
      </c>
      <c r="E168" s="71">
        <f t="shared" ca="1" si="5"/>
        <v>0.12157137503547792</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5.004387433832652E-3</v>
      </c>
    </row>
    <row r="171" spans="1:9" ht="18" x14ac:dyDescent="0.35">
      <c r="A171" t="s">
        <v>298</v>
      </c>
      <c r="B171" s="71">
        <f t="shared" ca="1" si="4"/>
        <v>0</v>
      </c>
      <c r="D171" t="s">
        <v>299</v>
      </c>
      <c r="E171" s="71">
        <f t="shared" ca="1" si="5"/>
        <v>2.4599914791066761E-2</v>
      </c>
    </row>
    <row r="172" spans="1:9" ht="18" x14ac:dyDescent="0.35">
      <c r="A172" t="s">
        <v>300</v>
      </c>
      <c r="B172" s="71">
        <f t="shared" ca="1" si="4"/>
        <v>0</v>
      </c>
      <c r="D172" t="s">
        <v>301</v>
      </c>
      <c r="E172" s="71">
        <f t="shared" ca="1" si="5"/>
        <v>2.413848688882831E-2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0.11580785156748051</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907.16604574083567</v>
      </c>
      <c r="C194" s="19"/>
      <c r="D194" t="s">
        <v>311</v>
      </c>
      <c r="E194" s="5">
        <f t="shared" ref="E194:E209" ca="1" si="7">$E163*$D$9</f>
        <v>22.931499983116669</v>
      </c>
    </row>
    <row r="195" spans="1:5" ht="18" x14ac:dyDescent="0.35">
      <c r="A195" t="s">
        <v>312</v>
      </c>
      <c r="B195" s="6">
        <f t="shared" ca="1" si="6"/>
        <v>711.11039681500267</v>
      </c>
      <c r="D195" t="s">
        <v>313</v>
      </c>
      <c r="E195" s="5">
        <f t="shared" ca="1" si="7"/>
        <v>79.424703145698018</v>
      </c>
    </row>
    <row r="196" spans="1:5" ht="18" x14ac:dyDescent="0.35">
      <c r="A196" t="s">
        <v>314</v>
      </c>
      <c r="B196" s="6">
        <f t="shared" ca="1" si="6"/>
        <v>566.71351332561744</v>
      </c>
      <c r="D196" t="s">
        <v>315</v>
      </c>
      <c r="E196" s="5">
        <f t="shared" ca="1" si="7"/>
        <v>164.08012982214566</v>
      </c>
    </row>
    <row r="197" spans="1:5" ht="18" x14ac:dyDescent="0.35">
      <c r="A197" t="s">
        <v>316</v>
      </c>
      <c r="B197" s="6">
        <f t="shared" ca="1" si="6"/>
        <v>0</v>
      </c>
      <c r="D197" t="s">
        <v>317</v>
      </c>
      <c r="E197" s="5">
        <f t="shared" ca="1" si="7"/>
        <v>20.818136728867934</v>
      </c>
    </row>
    <row r="198" spans="1:5" ht="18" x14ac:dyDescent="0.35">
      <c r="A198" t="s">
        <v>318</v>
      </c>
      <c r="B198" s="6">
        <f t="shared" ca="1" si="6"/>
        <v>0</v>
      </c>
      <c r="D198" t="s">
        <v>319</v>
      </c>
      <c r="E198" s="5">
        <f t="shared" ca="1" si="7"/>
        <v>276.72789451838224</v>
      </c>
    </row>
    <row r="199" spans="1:5" ht="18" x14ac:dyDescent="0.35">
      <c r="A199" t="s">
        <v>320</v>
      </c>
      <c r="B199" s="6">
        <f t="shared" ca="1" si="6"/>
        <v>0</v>
      </c>
      <c r="D199" t="s">
        <v>321</v>
      </c>
      <c r="E199" s="5">
        <f t="shared" ca="1" si="7"/>
        <v>190.42786510999241</v>
      </c>
    </row>
    <row r="200" spans="1:5" ht="18" x14ac:dyDescent="0.35">
      <c r="A200" t="s">
        <v>322</v>
      </c>
      <c r="B200" s="6">
        <f t="shared" ca="1" si="6"/>
        <v>1487.0981138508357</v>
      </c>
      <c r="D200" t="s">
        <v>323</v>
      </c>
      <c r="E200" s="5">
        <f t="shared" ca="1" si="7"/>
        <v>40.848601214175119</v>
      </c>
    </row>
    <row r="201" spans="1:5" ht="18" x14ac:dyDescent="0.35">
      <c r="A201" t="s">
        <v>324</v>
      </c>
      <c r="B201" s="6">
        <f t="shared" ca="1" si="6"/>
        <v>0</v>
      </c>
      <c r="D201" t="s">
        <v>325</v>
      </c>
      <c r="E201" s="5">
        <f t="shared" ca="1" si="7"/>
        <v>7.8388092174652186</v>
      </c>
    </row>
    <row r="202" spans="1:5" ht="18" x14ac:dyDescent="0.35">
      <c r="A202" t="s">
        <v>326</v>
      </c>
      <c r="B202" s="6">
        <f t="shared" ca="1" si="6"/>
        <v>0</v>
      </c>
      <c r="D202" t="s">
        <v>327</v>
      </c>
      <c r="E202" s="5">
        <f t="shared" ca="1" si="7"/>
        <v>38.532995568928108</v>
      </c>
    </row>
    <row r="203" spans="1:5" ht="18" x14ac:dyDescent="0.35">
      <c r="A203" t="s">
        <v>328</v>
      </c>
      <c r="B203" s="6">
        <f t="shared" ca="1" si="6"/>
        <v>0</v>
      </c>
      <c r="D203" t="s">
        <v>329</v>
      </c>
      <c r="E203" s="5">
        <f t="shared" ca="1" si="7"/>
        <v>37.810220735627027</v>
      </c>
    </row>
    <row r="204" spans="1:5" ht="18" x14ac:dyDescent="0.35">
      <c r="B204" s="6">
        <f ca="1">SUM(B194:B203)</f>
        <v>3672.0880697322918</v>
      </c>
      <c r="D204" t="s">
        <v>330</v>
      </c>
      <c r="E204" s="5">
        <f t="shared" ca="1" si="7"/>
        <v>98.759571252546209</v>
      </c>
    </row>
    <row r="205" spans="1:5" ht="18" x14ac:dyDescent="0.35">
      <c r="B205" s="6"/>
      <c r="D205" t="s">
        <v>331</v>
      </c>
      <c r="E205" s="5">
        <f t="shared" ca="1" si="7"/>
        <v>406.78697721242884</v>
      </c>
    </row>
    <row r="206" spans="1:5" ht="18" x14ac:dyDescent="0.35">
      <c r="B206" s="6"/>
      <c r="D206" t="s">
        <v>332</v>
      </c>
      <c r="E206" s="5">
        <f t="shared" ca="1" si="7"/>
        <v>181.39995480461175</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1566.3873593139854</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4.442792632598521</v>
      </c>
      <c r="D227" s="77"/>
      <c r="E227" s="7"/>
      <c r="F227" s="7"/>
      <c r="G227" s="78"/>
      <c r="H227" s="20" t="s">
        <v>343</v>
      </c>
      <c r="I227" s="20" t="str">
        <f t="shared" ref="I227:I242" si="9">B42</f>
        <v>NTS MG 1</v>
      </c>
      <c r="J227" s="11">
        <f t="shared" ref="J227:J242" ca="1" si="10">IFERROR($E194/$F42*1000000," ")</f>
        <v>2.5144367402536183</v>
      </c>
      <c r="L227" s="12"/>
      <c r="M227" s="79"/>
      <c r="Q227" s="7"/>
      <c r="R227" s="80"/>
      <c r="S227" s="81"/>
      <c r="T227" s="81"/>
      <c r="U227" s="81"/>
    </row>
    <row r="228" spans="1:21" ht="18" x14ac:dyDescent="0.25">
      <c r="A228" s="20" t="s">
        <v>344</v>
      </c>
      <c r="B228" s="20" t="str">
        <f t="shared" ref="B228:B236" si="11">B26</f>
        <v>PR-GNLBGB</v>
      </c>
      <c r="C228" s="11">
        <f t="shared" ca="1" si="8"/>
        <v>2.6043044046592509</v>
      </c>
      <c r="D228" s="77"/>
      <c r="E228" s="7"/>
      <c r="F228" s="7"/>
      <c r="G228" s="78"/>
      <c r="H228" s="20" t="s">
        <v>345</v>
      </c>
      <c r="I228" s="20" t="str">
        <f t="shared" si="9"/>
        <v>NTS MG 2</v>
      </c>
      <c r="J228" s="11">
        <f t="shared" ca="1" si="10"/>
        <v>3.1894476564635781</v>
      </c>
      <c r="L228" s="12"/>
      <c r="M228" s="79"/>
      <c r="Q228" s="7"/>
      <c r="R228" s="80"/>
      <c r="S228" s="81"/>
      <c r="T228" s="81"/>
      <c r="U228" s="81"/>
    </row>
    <row r="229" spans="1:21" ht="18" x14ac:dyDescent="0.25">
      <c r="A229" s="20" t="s">
        <v>346</v>
      </c>
      <c r="B229" s="20" t="str">
        <f t="shared" si="11"/>
        <v>PR-ITABORAÍ</v>
      </c>
      <c r="C229" s="11">
        <f t="shared" ca="1" si="8"/>
        <v>3.0602753227665604</v>
      </c>
      <c r="D229" s="77"/>
      <c r="E229" s="7"/>
      <c r="F229" s="7"/>
      <c r="G229" s="78"/>
      <c r="H229" s="20" t="s">
        <v>347</v>
      </c>
      <c r="I229" s="20" t="str">
        <f t="shared" si="9"/>
        <v>NTS MG 3</v>
      </c>
      <c r="J229" s="11">
        <f t="shared" ca="1" si="10"/>
        <v>4.0034095044723399</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4.3442964454680109</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1.1533000687210515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1.2423715246356544</v>
      </c>
      <c r="L232" s="12"/>
      <c r="M232" s="79"/>
      <c r="Q232" s="7"/>
      <c r="R232" s="80"/>
      <c r="S232" s="81"/>
      <c r="T232" s="81"/>
      <c r="U232" s="81"/>
    </row>
    <row r="233" spans="1:21" ht="18" x14ac:dyDescent="0.25">
      <c r="A233" s="20" t="s">
        <v>354</v>
      </c>
      <c r="B233" s="20" t="str">
        <f t="shared" si="11"/>
        <v>PR-TECAB</v>
      </c>
      <c r="C233" s="11">
        <f t="shared" ca="1" si="8"/>
        <v>4.3799183376412083</v>
      </c>
      <c r="D233" s="77"/>
      <c r="E233" s="7"/>
      <c r="F233" s="7"/>
      <c r="G233" s="78"/>
      <c r="H233" s="20" t="s">
        <v>355</v>
      </c>
      <c r="I233" s="20" t="str">
        <f t="shared" si="9"/>
        <v>NTS RJ 3</v>
      </c>
      <c r="J233" s="11">
        <f t="shared" ca="1" si="10"/>
        <v>1.4363908580250586</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1.6887131700906657</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1.2549546436955634</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2.3854026965453068</v>
      </c>
      <c r="L236" s="12"/>
      <c r="Q236" s="7"/>
      <c r="R236" s="80"/>
      <c r="S236" s="81"/>
      <c r="T236" s="81"/>
      <c r="U236" s="81"/>
    </row>
    <row r="237" spans="1:21" ht="18" x14ac:dyDescent="0.25">
      <c r="D237" s="72"/>
      <c r="E237" s="7"/>
      <c r="F237" s="7"/>
      <c r="G237" s="72"/>
      <c r="H237" s="20" t="s">
        <v>362</v>
      </c>
      <c r="I237" s="20" t="str">
        <f t="shared" si="9"/>
        <v>NTS SP 2</v>
      </c>
      <c r="J237" s="11">
        <f t="shared" ca="1" si="10"/>
        <v>2.3608867115161583</v>
      </c>
      <c r="K237" s="72"/>
      <c r="L237" s="12"/>
      <c r="Q237" s="7"/>
      <c r="R237" s="80"/>
      <c r="S237" s="81"/>
      <c r="T237" s="81"/>
      <c r="U237" s="81"/>
    </row>
    <row r="238" spans="1:21" ht="18" x14ac:dyDescent="0.25">
      <c r="D238" s="72"/>
      <c r="E238" s="7"/>
      <c r="F238" s="7"/>
      <c r="G238" s="72"/>
      <c r="H238" s="20" t="s">
        <v>363</v>
      </c>
      <c r="I238" s="20" t="str">
        <f t="shared" si="9"/>
        <v>NTS SP 3</v>
      </c>
      <c r="J238" s="11">
        <f t="shared" ca="1" si="10"/>
        <v>3.1426615157615396</v>
      </c>
      <c r="L238" s="12"/>
      <c r="Q238" s="7"/>
      <c r="R238" s="80"/>
      <c r="S238" s="81"/>
      <c r="T238" s="81"/>
      <c r="U238" s="81"/>
    </row>
    <row r="239" spans="1:21" ht="18" x14ac:dyDescent="0.25">
      <c r="D239" s="72"/>
      <c r="E239" s="7"/>
      <c r="F239" s="7"/>
      <c r="G239" s="72"/>
      <c r="H239" s="20" t="s">
        <v>364</v>
      </c>
      <c r="I239" s="20" t="str">
        <f t="shared" si="9"/>
        <v>NTS SP 4</v>
      </c>
      <c r="J239" s="11">
        <f t="shared" ca="1" si="10"/>
        <v>3.3895014210440793</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3.664939682011382</v>
      </c>
      <c r="E246" s="11">
        <f ca="1">IFERROR(C246+D246," ")</f>
        <v>3.664939682011382</v>
      </c>
      <c r="F246" s="198">
        <f ca="1">E246*F25</f>
        <v>748337614.23259819</v>
      </c>
      <c r="G246" s="79"/>
      <c r="H246" s="20" t="s">
        <v>343</v>
      </c>
      <c r="I246" s="20" t="str">
        <f t="shared" ref="I246:I261" si="15">I227</f>
        <v>NTS MG 1</v>
      </c>
      <c r="J246" s="11">
        <f t="shared" ref="J246:J261" ca="1" si="16">IF(F42=0," ",J227*(1-$C$12))</f>
        <v>0</v>
      </c>
      <c r="K246" s="11">
        <f t="shared" ref="K246:K258" ca="1" si="17">$F$11*$C$12</f>
        <v>2.0147830347263516</v>
      </c>
      <c r="L246" s="11">
        <f ca="1">IFERROR(J246+K246," ")</f>
        <v>2.0147830347263516</v>
      </c>
      <c r="M246" s="198">
        <f t="shared" ref="M246:M258" ca="1" si="18">L246*F42</f>
        <v>18374690.596571114</v>
      </c>
      <c r="N246" s="87"/>
    </row>
    <row r="247" spans="1:22" ht="18" x14ac:dyDescent="0.25">
      <c r="A247" s="20" t="s">
        <v>344</v>
      </c>
      <c r="B247" s="20" t="str">
        <f t="shared" si="12"/>
        <v>PR-GNLBGB</v>
      </c>
      <c r="C247" s="11">
        <f t="shared" ca="1" si="13"/>
        <v>0</v>
      </c>
      <c r="D247" s="11">
        <f t="shared" ca="1" si="14"/>
        <v>3.664939682011382</v>
      </c>
      <c r="E247" s="11">
        <f t="shared" ref="E247:E252" ca="1" si="19">IFERROR(C247+D247," ")</f>
        <v>3.664939682011382</v>
      </c>
      <c r="F247" s="198">
        <f ca="1">E247*F26</f>
        <v>1000718927.8317708</v>
      </c>
      <c r="G247" s="79"/>
      <c r="H247" s="20" t="s">
        <v>345</v>
      </c>
      <c r="I247" s="20" t="str">
        <f t="shared" si="15"/>
        <v>NTS MG 2</v>
      </c>
      <c r="J247" s="11">
        <f t="shared" ca="1" si="16"/>
        <v>0</v>
      </c>
      <c r="K247" s="11">
        <f t="shared" ca="1" si="17"/>
        <v>2.0147830347263516</v>
      </c>
      <c r="L247" s="11">
        <f t="shared" ref="L247:L258" ca="1" si="20">IFERROR(J247+K247," ")</f>
        <v>2.0147830347263516</v>
      </c>
      <c r="M247" s="198">
        <f t="shared" ca="1" si="18"/>
        <v>50172807.856505558</v>
      </c>
    </row>
    <row r="248" spans="1:22" ht="18" x14ac:dyDescent="0.25">
      <c r="A248" s="20" t="s">
        <v>346</v>
      </c>
      <c r="B248" s="20" t="str">
        <f t="shared" si="12"/>
        <v>PR-ITABORAÍ</v>
      </c>
      <c r="C248" s="11">
        <f t="shared" ca="1" si="13"/>
        <v>0</v>
      </c>
      <c r="D248" s="11">
        <f t="shared" ca="1" si="14"/>
        <v>3.664939682011382</v>
      </c>
      <c r="E248" s="11">
        <f t="shared" ca="1" si="19"/>
        <v>3.664939682011382</v>
      </c>
      <c r="F248" s="198">
        <f ca="1">E248*F27</f>
        <v>678687576.85550702</v>
      </c>
      <c r="G248" s="79"/>
      <c r="H248" s="20" t="s">
        <v>347</v>
      </c>
      <c r="I248" s="20" t="str">
        <f t="shared" si="15"/>
        <v>NTS MG 3</v>
      </c>
      <c r="J248" s="11">
        <f t="shared" ca="1" si="16"/>
        <v>0</v>
      </c>
      <c r="K248" s="11">
        <f t="shared" ca="1" si="17"/>
        <v>2.0147830347263516</v>
      </c>
      <c r="L248" s="11">
        <f t="shared" ca="1" si="20"/>
        <v>2.0147830347263516</v>
      </c>
      <c r="M248" s="198">
        <f t="shared" ca="1" si="18"/>
        <v>82576079.597165391</v>
      </c>
    </row>
    <row r="249" spans="1:22" ht="18" x14ac:dyDescent="0.25">
      <c r="A249" s="20" t="s">
        <v>348</v>
      </c>
      <c r="B249" s="20" t="str">
        <f t="shared" si="12"/>
        <v>PR-GASPAJ (INTERCONEXÃO)</v>
      </c>
      <c r="C249" s="11" t="str">
        <f t="shared" si="13"/>
        <v xml:space="preserve"> </v>
      </c>
      <c r="D249" s="11">
        <f t="shared" ca="1" si="14"/>
        <v>3.664939682011382</v>
      </c>
      <c r="E249" s="83">
        <f ca="1">E271</f>
        <v>0.33259718961528567</v>
      </c>
      <c r="F249" s="198">
        <f ca="1">E249*F28</f>
        <v>0</v>
      </c>
      <c r="G249" s="79"/>
      <c r="H249" s="20" t="s">
        <v>349</v>
      </c>
      <c r="I249" s="20" t="str">
        <f t="shared" si="15"/>
        <v>NTS MG 4</v>
      </c>
      <c r="J249" s="11">
        <f t="shared" ca="1" si="16"/>
        <v>0</v>
      </c>
      <c r="K249" s="11">
        <f t="shared" ca="1" si="17"/>
        <v>2.0147830347263516</v>
      </c>
      <c r="L249" s="11">
        <f t="shared" ca="1" si="20"/>
        <v>2.0147830347263516</v>
      </c>
      <c r="M249" s="198">
        <f t="shared" ca="1" si="18"/>
        <v>9654964.6697551813</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2.0147830347263516</v>
      </c>
      <c r="L250" s="11">
        <f t="shared" ca="1" si="20"/>
        <v>2.0147830347263516</v>
      </c>
      <c r="M250" s="198">
        <f t="shared" ca="1" si="18"/>
        <v>483435909.03403789</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2.0147830347263516</v>
      </c>
      <c r="L251" s="11">
        <f t="shared" ca="1" si="20"/>
        <v>2.0147830347263516</v>
      </c>
      <c r="M251" s="198">
        <f t="shared" ca="1" si="18"/>
        <v>308821334.32291001</v>
      </c>
    </row>
    <row r="252" spans="1:22" ht="18" x14ac:dyDescent="0.25">
      <c r="A252" s="20" t="s">
        <v>354</v>
      </c>
      <c r="B252" s="20" t="str">
        <f t="shared" si="12"/>
        <v>PR-TECAB</v>
      </c>
      <c r="C252" s="11">
        <f t="shared" ca="1" si="13"/>
        <v>0</v>
      </c>
      <c r="D252" s="11">
        <f t="shared" ca="1" si="14"/>
        <v>3.664939682011382</v>
      </c>
      <c r="E252" s="11">
        <f t="shared" ca="1" si="19"/>
        <v>3.664939682011382</v>
      </c>
      <c r="F252" s="198">
        <f ca="1">E252*F31</f>
        <v>1244343950.8124154</v>
      </c>
      <c r="G252" s="79"/>
      <c r="H252" s="20" t="s">
        <v>355</v>
      </c>
      <c r="I252" s="20" t="str">
        <f t="shared" si="15"/>
        <v>NTS RJ 3</v>
      </c>
      <c r="J252" s="11">
        <f t="shared" ca="1" si="16"/>
        <v>0</v>
      </c>
      <c r="K252" s="11">
        <f t="shared" ca="1" si="17"/>
        <v>2.0147830347263516</v>
      </c>
      <c r="L252" s="11">
        <f t="shared" ca="1" si="20"/>
        <v>2.0147830347263516</v>
      </c>
      <c r="M252" s="198">
        <f t="shared" ca="1" si="18"/>
        <v>57297126.515954532</v>
      </c>
    </row>
    <row r="253" spans="1:22" ht="18" x14ac:dyDescent="0.25">
      <c r="A253" s="20" t="s">
        <v>356</v>
      </c>
      <c r="B253" s="20" t="str">
        <f t="shared" si="12"/>
        <v>PR-GUARAREMA (INTERCONEXÃO)</v>
      </c>
      <c r="C253" s="11" t="str">
        <f t="shared" si="13"/>
        <v xml:space="preserve"> </v>
      </c>
      <c r="D253" s="11"/>
      <c r="E253" s="83">
        <f ca="1">E269</f>
        <v>0.33259718961528567</v>
      </c>
      <c r="F253" s="199"/>
      <c r="G253" s="79"/>
      <c r="H253" s="20" t="s">
        <v>357</v>
      </c>
      <c r="I253" s="20" t="str">
        <f t="shared" si="15"/>
        <v>NTS RJ 4</v>
      </c>
      <c r="J253" s="11">
        <f t="shared" ca="1" si="16"/>
        <v>0</v>
      </c>
      <c r="K253" s="11">
        <f t="shared" ca="1" si="17"/>
        <v>2.0147830347263516</v>
      </c>
      <c r="L253" s="11">
        <f t="shared" ca="1" si="20"/>
        <v>2.0147830347263516</v>
      </c>
      <c r="M253" s="198">
        <f t="shared" ca="1" si="18"/>
        <v>9352387.4293924812</v>
      </c>
    </row>
    <row r="254" spans="1:22" ht="18" x14ac:dyDescent="0.25">
      <c r="A254" s="20" t="s">
        <v>358</v>
      </c>
      <c r="B254" s="20" t="str">
        <f t="shared" si="12"/>
        <v>PR-REPLAN (INTERCONEXÃO)</v>
      </c>
      <c r="C254" s="11" t="str">
        <f t="shared" si="13"/>
        <v xml:space="preserve"> </v>
      </c>
      <c r="D254" s="11"/>
      <c r="E254" s="83">
        <f ca="1">E268</f>
        <v>0.33259718961528567</v>
      </c>
      <c r="F254" s="200">
        <f ca="1">SUM(F246:F252)</f>
        <v>3672088069.7322912</v>
      </c>
      <c r="G254" s="79"/>
      <c r="H254" s="20" t="s">
        <v>359</v>
      </c>
      <c r="I254" s="20" t="str">
        <f t="shared" si="15"/>
        <v>NTS RJ 5</v>
      </c>
      <c r="J254" s="11">
        <f t="shared" ca="1" si="16"/>
        <v>0</v>
      </c>
      <c r="K254" s="11">
        <f t="shared" ca="1" si="17"/>
        <v>2.0147830347263516</v>
      </c>
      <c r="L254" s="11">
        <f t="shared" ca="1" si="20"/>
        <v>2.0147830347263516</v>
      </c>
      <c r="M254" s="198">
        <f t="shared" ca="1" si="18"/>
        <v>61863292.143246159</v>
      </c>
    </row>
    <row r="255" spans="1:22" ht="18" x14ac:dyDescent="0.25">
      <c r="A255" s="20" t="s">
        <v>360</v>
      </c>
      <c r="B255" s="20" t="str">
        <f t="shared" si="12"/>
        <v>PR-TECAB (INTERCONEXÃO)</v>
      </c>
      <c r="C255" s="11" t="str">
        <f t="shared" si="13"/>
        <v xml:space="preserve"> </v>
      </c>
      <c r="D255" s="11"/>
      <c r="E255" s="83">
        <f ca="1">E270</f>
        <v>0.33259718961528567</v>
      </c>
      <c r="G255" s="79"/>
      <c r="H255" s="20" t="s">
        <v>361</v>
      </c>
      <c r="I255" s="20" t="str">
        <f t="shared" si="15"/>
        <v>NTS SP 1</v>
      </c>
      <c r="J255" s="11">
        <f t="shared" ca="1" si="16"/>
        <v>0</v>
      </c>
      <c r="K255" s="11">
        <f t="shared" ca="1" si="17"/>
        <v>2.0147830347263516</v>
      </c>
      <c r="L255" s="11">
        <f t="shared" ca="1" si="20"/>
        <v>2.0147830347263516</v>
      </c>
      <c r="M255" s="198">
        <f t="shared" ca="1" si="18"/>
        <v>31935652.369190212</v>
      </c>
    </row>
    <row r="256" spans="1:22" ht="18" x14ac:dyDescent="0.25">
      <c r="F256" s="87"/>
      <c r="H256" s="20" t="s">
        <v>362</v>
      </c>
      <c r="I256" s="20" t="str">
        <f t="shared" si="15"/>
        <v>NTS SP 2</v>
      </c>
      <c r="J256" s="11">
        <f t="shared" ca="1" si="16"/>
        <v>0</v>
      </c>
      <c r="K256" s="11">
        <f t="shared" ca="1" si="17"/>
        <v>2.0147830347263516</v>
      </c>
      <c r="L256" s="11">
        <f t="shared" ca="1" si="20"/>
        <v>2.0147830347263516</v>
      </c>
      <c r="M256" s="198">
        <f t="shared" ca="1" si="18"/>
        <v>84281514.95193696</v>
      </c>
    </row>
    <row r="257" spans="1:13" ht="18" x14ac:dyDescent="0.25">
      <c r="H257" s="20" t="s">
        <v>363</v>
      </c>
      <c r="I257" s="20" t="str">
        <f t="shared" si="15"/>
        <v>NTS SP 3</v>
      </c>
      <c r="J257" s="11">
        <f t="shared" ca="1" si="16"/>
        <v>0</v>
      </c>
      <c r="K257" s="11">
        <f t="shared" ca="1" si="17"/>
        <v>2.0147830347263516</v>
      </c>
      <c r="L257" s="11">
        <f t="shared" ca="1" si="20"/>
        <v>2.0147830347263516</v>
      </c>
      <c r="M257" s="198">
        <f t="shared" ca="1" si="18"/>
        <v>260794074.17079455</v>
      </c>
    </row>
    <row r="258" spans="1:13" ht="18" x14ac:dyDescent="0.25">
      <c r="H258" s="20" t="s">
        <v>364</v>
      </c>
      <c r="I258" s="20" t="str">
        <f t="shared" si="15"/>
        <v>NTS SP 4</v>
      </c>
      <c r="J258" s="11">
        <f t="shared" ca="1" si="16"/>
        <v>0</v>
      </c>
      <c r="K258" s="11">
        <f t="shared" ca="1" si="17"/>
        <v>2.0147830347263516</v>
      </c>
      <c r="L258" s="11">
        <f t="shared" ca="1" si="20"/>
        <v>2.0147830347263516</v>
      </c>
      <c r="M258" s="198">
        <f t="shared" ca="1" si="18"/>
        <v>107827525.65652509</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0.17420454463858304</v>
      </c>
      <c r="M260" s="200">
        <f ca="1">SUM(M246:M258)</f>
        <v>1566387359.3139849</v>
      </c>
    </row>
    <row r="261" spans="1:13" ht="18" x14ac:dyDescent="0.25">
      <c r="H261" s="20" t="s">
        <v>367</v>
      </c>
      <c r="I261" s="20" t="str">
        <f t="shared" si="15"/>
        <v>PE-TECAB (INTERCONEXÃO)</v>
      </c>
      <c r="J261" s="11" t="str">
        <f t="shared" si="16"/>
        <v xml:space="preserve"> </v>
      </c>
      <c r="K261" s="11"/>
      <c r="L261" s="83">
        <f ca="1">E273</f>
        <v>0.17420454463858304</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(Legados)'!E11</f>
        <v>200</v>
      </c>
      <c r="D268" s="207">
        <f ca="1">'CWD 2028 Legados (sem desc.)'!D267</f>
        <v>3.3259718961528573</v>
      </c>
      <c r="E268" s="210">
        <f ca="1">D268*(1-$C$263)</f>
        <v>0.33259718961528567</v>
      </c>
      <c r="F268" s="208">
        <f ca="1">C268*E268*'Premissas (Legados)'!$C$54*'Premissas (Legados)'!$F$20*1000</f>
        <v>905681.7928406219</v>
      </c>
      <c r="L268" s="84"/>
    </row>
    <row r="269" spans="1:13" ht="18.75" x14ac:dyDescent="0.3">
      <c r="B269" s="189" t="s">
        <v>376</v>
      </c>
      <c r="C269" s="213">
        <f>'Oferta (Legados)'!E10</f>
        <v>7525</v>
      </c>
      <c r="D269" s="207">
        <f ca="1">'CWD 2028 Legados (sem desc.)'!D268</f>
        <v>3.3259718961528573</v>
      </c>
      <c r="E269" s="210">
        <f t="shared" ref="E269:E271" ca="1" si="21">D269*(1-$C$263)</f>
        <v>0.33259718961528567</v>
      </c>
      <c r="F269" s="208">
        <f ca="1">C269*E269*'Premissas (Legados)'!$C$54*'Premissas (Legados)'!$F$20*1000</f>
        <v>34076277.455628395</v>
      </c>
      <c r="G269" s="85"/>
      <c r="K269" s="85"/>
      <c r="L269" s="84"/>
    </row>
    <row r="270" spans="1:13" ht="18.75" x14ac:dyDescent="0.3">
      <c r="B270" s="190" t="s">
        <v>377</v>
      </c>
      <c r="C270" s="213">
        <f>'Oferta (Legados)'!E12</f>
        <v>200</v>
      </c>
      <c r="D270" s="207">
        <f ca="1">'CWD 2028 Legados (sem desc.)'!D269</f>
        <v>3.3259718961528573</v>
      </c>
      <c r="E270" s="210">
        <f t="shared" ca="1" si="21"/>
        <v>0.33259718961528567</v>
      </c>
      <c r="F270" s="208">
        <f ca="1">C270*E270*'Premissas (Legados)'!$C$54*'Premissas (Legados)'!$F$20*1000</f>
        <v>905681.7928406219</v>
      </c>
      <c r="K270" s="85"/>
      <c r="L270" s="84"/>
    </row>
    <row r="271" spans="1:13" ht="18.75" x14ac:dyDescent="0.3">
      <c r="B271" s="190" t="s">
        <v>185</v>
      </c>
      <c r="C271" s="213">
        <f>'Oferta (Legados)'!E6</f>
        <v>383</v>
      </c>
      <c r="D271" s="207">
        <f ca="1">'CWD 2028 Legados (sem desc.)'!D270</f>
        <v>3.3259718961528573</v>
      </c>
      <c r="E271" s="210">
        <f t="shared" ca="1" si="21"/>
        <v>0.33259718961528567</v>
      </c>
      <c r="F271" s="208">
        <f ca="1">C271*E271*'Premissas (Legados)'!$C$54*'Premissas (Legados)'!$F$20*1000</f>
        <v>1734380.6332897907</v>
      </c>
      <c r="K271" s="85"/>
      <c r="L271" s="84"/>
    </row>
    <row r="272" spans="1:13" ht="18.75" x14ac:dyDescent="0.3">
      <c r="B272" s="188" t="s">
        <v>378</v>
      </c>
      <c r="C272" s="213">
        <f>'Demanda (Legados)'!E17</f>
        <v>9703</v>
      </c>
      <c r="D272" s="207">
        <f ca="1">'CWD 2028 Legados (sem desc.)'!D271</f>
        <v>1.7420454463858308</v>
      </c>
      <c r="E272" s="210">
        <f ca="1">D272*(1-$C$263)</f>
        <v>0.17420454463858304</v>
      </c>
      <c r="F272" s="208">
        <f ca="1">C272*E272*'Premissas (Legados)'!$C$54*'Premissas (Legados)'!$F$20*1000</f>
        <v>23014024.881320797</v>
      </c>
      <c r="K272" s="85"/>
      <c r="L272" s="84"/>
    </row>
    <row r="273" spans="2:13" ht="18.75" x14ac:dyDescent="0.3">
      <c r="B273" s="190" t="s">
        <v>379</v>
      </c>
      <c r="C273" s="213">
        <f>'Demanda (Legados)'!D18</f>
        <v>200</v>
      </c>
      <c r="D273" s="207">
        <f ca="1">'CWD 2028 Legados (sem desc.)'!D272</f>
        <v>1.7420454463858308</v>
      </c>
      <c r="E273" s="210">
        <f ca="1">D273*(1-$C$263)</f>
        <v>0.17420454463858304</v>
      </c>
      <c r="F273" s="208">
        <f ca="1">C273*E273*'Premissas (Legados)'!$C$54*'Premissas (Legados)'!$F$20*1000</f>
        <v>474369.26479069976</v>
      </c>
      <c r="K273" s="85"/>
      <c r="L273" s="84"/>
    </row>
    <row r="274" spans="2:13" ht="19.5" thickBot="1" x14ac:dyDescent="0.35">
      <c r="B274" s="190"/>
      <c r="C274" s="211"/>
      <c r="D274" s="211"/>
      <c r="E274" s="211"/>
      <c r="F274" s="209">
        <f ca="1">SUM(F268:F273)</f>
        <v>61110415.820710927</v>
      </c>
      <c r="K274" s="85"/>
      <c r="L274" s="84"/>
    </row>
    <row r="275" spans="2:13" ht="15.75" thickTop="1" x14ac:dyDescent="0.25">
      <c r="K275" s="85"/>
      <c r="L275" s="84"/>
    </row>
    <row r="276" spans="2:13" x14ac:dyDescent="0.25">
      <c r="E276" t="s">
        <v>102</v>
      </c>
      <c r="F276" s="177">
        <f ca="1">F254+M260+F274</f>
        <v>5299585844.8669872</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FEAF-AC0A-4717-8F92-53A008D4DE91}">
  <sheetPr codeName="Planilha22">
    <tabColor theme="1" tint="0.499984740745262"/>
  </sheetPr>
  <dimension ref="A1:V39"/>
  <sheetViews>
    <sheetView showGridLines="0" topLeftCell="A11" zoomScale="110" zoomScaleNormal="110" workbookViewId="0">
      <selection activeCell="J48" sqref="J4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2028 Legados (com desc.)'!A246</f>
        <v>TEN1</v>
      </c>
      <c r="B2" s="261" t="str">
        <f>'CWD 2028 Legados (com desc.)'!B246</f>
        <v>PR-CARAGUATATUBA</v>
      </c>
      <c r="C2" s="262">
        <f>'CWD 2028 Legados (sem desc.)'!F24</f>
        <v>204188248.41938397</v>
      </c>
      <c r="D2" s="263">
        <f ca="1">'CWD 2028 Legados (com desc.)'!E246</f>
        <v>3.664939682011382</v>
      </c>
      <c r="E2" s="264">
        <f t="shared" ref="E2:E11" ca="1" si="0">IFERROR(C2*D2," ")</f>
        <v>748337614.23259819</v>
      </c>
      <c r="F2" s="298"/>
      <c r="L2" s="39" t="s">
        <v>53</v>
      </c>
      <c r="M2" s="38">
        <f ca="1">IFERROR($D$2+$C34," ")</f>
        <v>5.679722716737734</v>
      </c>
      <c r="N2" s="38">
        <f ca="1">IFERROR($D$3+$C34," ")</f>
        <v>5.679722716737734</v>
      </c>
      <c r="O2" s="38">
        <f ca="1">IFERROR($D$4+$C34," ")</f>
        <v>5.679722716737734</v>
      </c>
      <c r="P2" s="38">
        <f ca="1">IFERROR($D$5+$C34," ")</f>
        <v>2.3473802243416371</v>
      </c>
      <c r="Q2" s="38" t="str">
        <f ca="1">IFERROR($D$6+$C34," ")</f>
        <v xml:space="preserve"> </v>
      </c>
      <c r="R2" s="38" t="str">
        <f ca="1">IFERROR($D$7+$C34," ")</f>
        <v xml:space="preserve"> </v>
      </c>
      <c r="S2" s="38">
        <f ca="1">IFERROR($D$8+$C34," ")</f>
        <v>5.679722716737734</v>
      </c>
      <c r="T2" s="38">
        <f ca="1">IFERROR($D$9+$C34," ")</f>
        <v>2.3473802243416371</v>
      </c>
      <c r="U2" s="38">
        <f ca="1">IFERROR($D$10+$C34," ")</f>
        <v>2.3473802243416371</v>
      </c>
      <c r="V2" s="38">
        <f ca="1">IFERROR($D$11+$C34," ")</f>
        <v>2.3473802243416371</v>
      </c>
    </row>
    <row r="3" spans="1:22" s="33" customFormat="1" x14ac:dyDescent="0.25">
      <c r="A3" s="233" t="str">
        <f>'CWD 2028 Legados (com desc.)'!A247</f>
        <v>TEN2</v>
      </c>
      <c r="B3" s="236" t="str">
        <f>'CWD 2028 Legados (com desc.)'!B247</f>
        <v>PR-GNLBGB</v>
      </c>
      <c r="C3" s="237">
        <f>'CWD 2028 Legados (sem desc.)'!F25</f>
        <v>273051950.27999997</v>
      </c>
      <c r="D3" s="238">
        <f ca="1">'CWD 2028 Legados (com desc.)'!E247</f>
        <v>3.664939682011382</v>
      </c>
      <c r="E3" s="239">
        <f t="shared" ca="1" si="0"/>
        <v>1000718927.8317708</v>
      </c>
      <c r="F3" s="298"/>
      <c r="L3" s="39" t="s">
        <v>64</v>
      </c>
      <c r="M3" s="38">
        <f t="shared" ref="M3:M7" ca="1" si="1">IFERROR($D$2+$C35," ")</f>
        <v>5.6797227167377331</v>
      </c>
      <c r="N3" s="38">
        <f t="shared" ref="N3:N7" ca="1" si="2">IFERROR($D$3+$C35," ")</f>
        <v>5.6797227167377331</v>
      </c>
      <c r="O3" s="38">
        <f t="shared" ref="O3:O7" ca="1" si="3">IFERROR($D$4+$C35," ")</f>
        <v>5.6797227167377331</v>
      </c>
      <c r="P3" s="38">
        <f t="shared" ref="P3:P7" ca="1" si="4">IFERROR($D$5+$C35," ")</f>
        <v>2.3473802243416366</v>
      </c>
      <c r="Q3" s="38" t="str">
        <f t="shared" ref="Q3:Q7" ca="1" si="5">IFERROR($D$6+$C35," ")</f>
        <v xml:space="preserve"> </v>
      </c>
      <c r="R3" s="38" t="str">
        <f t="shared" ref="R3:R7" ca="1" si="6">IFERROR($D$7+$C35," ")</f>
        <v xml:space="preserve"> </v>
      </c>
      <c r="S3" s="38">
        <f t="shared" ref="S3:S7" ca="1" si="7">IFERROR($D$8+$C35," ")</f>
        <v>5.6797227167377331</v>
      </c>
      <c r="T3" s="38">
        <f t="shared" ref="T3:T7" ca="1" si="8">IFERROR($D$9+$C35," ")</f>
        <v>2.3473802243416366</v>
      </c>
      <c r="U3" s="38">
        <f t="shared" ref="U3:U7" ca="1" si="9">IFERROR($D$10+$C35," ")</f>
        <v>2.3473802243416366</v>
      </c>
      <c r="V3" s="38">
        <f t="shared" ref="V3:V7" ca="1" si="10">IFERROR($D$11+$C35," ")</f>
        <v>2.3473802243416366</v>
      </c>
    </row>
    <row r="4" spans="1:22" x14ac:dyDescent="0.25">
      <c r="A4" s="233" t="str">
        <f>'CWD 2028 Legados (com desc.)'!A248</f>
        <v>TEN3</v>
      </c>
      <c r="B4" s="236" t="str">
        <f>'CWD 2028 Legados (com desc.)'!B248</f>
        <v>PR-ITABORAÍ</v>
      </c>
      <c r="C4" s="237">
        <f>'CWD 2028 Legados (sem desc.)'!F26</f>
        <v>185183832.679896</v>
      </c>
      <c r="D4" s="238">
        <f ca="1">'CWD 2028 Legados (com desc.)'!E248</f>
        <v>3.664939682011382</v>
      </c>
      <c r="E4" s="237">
        <f t="shared" ca="1" si="0"/>
        <v>678687576.85550702</v>
      </c>
      <c r="F4" s="298"/>
      <c r="L4" s="39" t="s">
        <v>193</v>
      </c>
      <c r="M4" s="38">
        <f t="shared" ca="1" si="1"/>
        <v>5.6797227167377331</v>
      </c>
      <c r="N4" s="38">
        <f t="shared" ca="1" si="2"/>
        <v>5.6797227167377331</v>
      </c>
      <c r="O4" s="38">
        <f t="shared" ca="1" si="3"/>
        <v>5.6797227167377331</v>
      </c>
      <c r="P4" s="38">
        <f t="shared" ca="1" si="4"/>
        <v>2.3473802243416366</v>
      </c>
      <c r="Q4" s="38" t="str">
        <f t="shared" ca="1" si="5"/>
        <v xml:space="preserve"> </v>
      </c>
      <c r="R4" s="38" t="str">
        <f t="shared" ca="1" si="6"/>
        <v xml:space="preserve"> </v>
      </c>
      <c r="S4" s="38">
        <f t="shared" ca="1" si="7"/>
        <v>5.6797227167377331</v>
      </c>
      <c r="T4" s="38">
        <f t="shared" ca="1" si="8"/>
        <v>2.3473802243416366</v>
      </c>
      <c r="U4" s="38">
        <f t="shared" ca="1" si="9"/>
        <v>2.3473802243416366</v>
      </c>
      <c r="V4" s="38">
        <f t="shared" ca="1" si="10"/>
        <v>2.3473802243416366</v>
      </c>
    </row>
    <row r="5" spans="1:22" ht="24" x14ac:dyDescent="0.25">
      <c r="A5" s="233" t="str">
        <f>'CWD 2028 Legados (com desc.)'!A249</f>
        <v>TEN4</v>
      </c>
      <c r="B5" s="236" t="str">
        <f>'CWD 2028 Legados (com desc.)'!B249</f>
        <v>PR-GASPAJ (INTERCONEXÃO)</v>
      </c>
      <c r="C5" s="237">
        <f>'CWD 2028 Legados (sem desc.)'!F27</f>
        <v>5228944.8478619996</v>
      </c>
      <c r="D5" s="238">
        <f ca="1">'CWD 2028 Legados (com desc.)'!E249</f>
        <v>0.33259718961528567</v>
      </c>
      <c r="E5" s="237">
        <f t="shared" ca="1" si="0"/>
        <v>1739132.3610522286</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2028 Legados (com desc.)'!A250</f>
        <v>TEN5</v>
      </c>
      <c r="B6" s="236" t="str">
        <f>'CWD 2028 Legados (com desc.)'!B250</f>
        <v>PR-REDUC</v>
      </c>
      <c r="C6" s="237">
        <f>'CWD 2028 Legados (sem desc.)'!F28</f>
        <v>0</v>
      </c>
      <c r="D6" s="238" t="str">
        <f>'CWD 2028 Legados (com desc.)'!E250</f>
        <v xml:space="preserve"> </v>
      </c>
      <c r="E6" s="237" t="str">
        <f t="shared" si="0"/>
        <v xml:space="preserve"> </v>
      </c>
      <c r="F6" s="298"/>
      <c r="L6" s="88" t="str">
        <f t="shared" ref="L6:L7" si="11">B29</f>
        <v>PE-REPLAN (INTERCONEXÃO)</v>
      </c>
      <c r="M6" s="38">
        <f t="shared" ca="1" si="1"/>
        <v>3.8391442266499651</v>
      </c>
      <c r="N6" s="38">
        <f t="shared" ca="1" si="2"/>
        <v>3.8391442266499651</v>
      </c>
      <c r="O6" s="38">
        <f t="shared" ca="1" si="3"/>
        <v>3.8391442266499651</v>
      </c>
      <c r="P6" s="38">
        <f t="shared" ca="1" si="4"/>
        <v>0.50680173425386865</v>
      </c>
      <c r="Q6" s="38" t="str">
        <f t="shared" ca="1" si="5"/>
        <v xml:space="preserve"> </v>
      </c>
      <c r="R6" s="38" t="str">
        <f t="shared" ca="1" si="6"/>
        <v xml:space="preserve"> </v>
      </c>
      <c r="S6" s="38">
        <f t="shared" ca="1" si="7"/>
        <v>3.8391442266499651</v>
      </c>
      <c r="T6" s="38">
        <f t="shared" ca="1" si="8"/>
        <v>0.50680173425386865</v>
      </c>
      <c r="U6" s="38">
        <f t="shared" ca="1" si="9"/>
        <v>0.50680173425386865</v>
      </c>
      <c r="V6" s="38">
        <f t="shared" ca="1" si="10"/>
        <v>0.50680173425386865</v>
      </c>
    </row>
    <row r="7" spans="1:22" x14ac:dyDescent="0.25">
      <c r="A7" s="233" t="str">
        <f>'CWD 2028 Legados (com desc.)'!A251</f>
        <v>TEN6</v>
      </c>
      <c r="B7" s="236" t="str">
        <f>'CWD 2028 Legados (com desc.)'!B251</f>
        <v>PR-RPBC</v>
      </c>
      <c r="C7" s="237">
        <f>'CWD 2028 Legados (sem desc.)'!F29</f>
        <v>0</v>
      </c>
      <c r="D7" s="238" t="str">
        <f>'CWD 2028 Legados (com desc.)'!E251</f>
        <v xml:space="preserve"> </v>
      </c>
      <c r="E7" s="237" t="str">
        <f t="shared" si="0"/>
        <v xml:space="preserve"> </v>
      </c>
      <c r="F7" s="298"/>
      <c r="L7" s="88" t="str">
        <f t="shared" si="11"/>
        <v>PE-TECAB (INTERCONEXÃO)</v>
      </c>
      <c r="M7" s="38">
        <f t="shared" ca="1" si="1"/>
        <v>3.8391442266499651</v>
      </c>
      <c r="N7" s="38">
        <f t="shared" ca="1" si="2"/>
        <v>3.8391442266499651</v>
      </c>
      <c r="O7" s="38">
        <f t="shared" ca="1" si="3"/>
        <v>3.8391442266499651</v>
      </c>
      <c r="P7" s="38">
        <f t="shared" ca="1" si="4"/>
        <v>0.50680173425386865</v>
      </c>
      <c r="Q7" s="38" t="str">
        <f t="shared" ca="1" si="5"/>
        <v xml:space="preserve"> </v>
      </c>
      <c r="R7" s="38" t="str">
        <f t="shared" ca="1" si="6"/>
        <v xml:space="preserve"> </v>
      </c>
      <c r="S7" s="38">
        <f t="shared" ca="1" si="7"/>
        <v>3.8391442266499651</v>
      </c>
      <c r="T7" s="38">
        <f t="shared" ca="1" si="8"/>
        <v>0.50680173425386865</v>
      </c>
      <c r="U7" s="38">
        <f t="shared" ca="1" si="9"/>
        <v>0.50680173425386865</v>
      </c>
      <c r="V7" s="38">
        <f t="shared" ca="1" si="10"/>
        <v>0.50680173425386865</v>
      </c>
    </row>
    <row r="8" spans="1:22" x14ac:dyDescent="0.25">
      <c r="A8" s="233" t="str">
        <f>'CWD 2028 Legados (com desc.)'!A252</f>
        <v>TEN7</v>
      </c>
      <c r="B8" s="236" t="str">
        <f>'CWD 2028 Legados (com desc.)'!B252</f>
        <v>PR-TECAB</v>
      </c>
      <c r="C8" s="237">
        <f>'CWD 2028 Legados (sem desc.)'!F30</f>
        <v>339526447.57566595</v>
      </c>
      <c r="D8" s="238">
        <f ca="1">'CWD 2028 Legados (com desc.)'!E252</f>
        <v>3.664939682011382</v>
      </c>
      <c r="E8" s="237">
        <f t="shared" ca="1" si="0"/>
        <v>1244343950.8124154</v>
      </c>
      <c r="F8" s="298"/>
      <c r="L8" s="32"/>
    </row>
    <row r="9" spans="1:22" x14ac:dyDescent="0.25">
      <c r="A9" s="233" t="str">
        <f>'CWD 2028 Legados (com desc.)'!A253</f>
        <v>TEN8</v>
      </c>
      <c r="B9" s="236" t="str">
        <f>'CWD 2028 Legados (com desc.)'!B253</f>
        <v>PR-GUARAREMA (INTERCONEXÃO)</v>
      </c>
      <c r="C9" s="237">
        <f>'CWD 2028 Legados (sem desc.)'!F31</f>
        <v>102735796.29284999</v>
      </c>
      <c r="D9" s="238">
        <f ca="1">'CWD 2028 Legados (com desc.)'!E253</f>
        <v>0.33259718961528567</v>
      </c>
      <c r="E9" s="237">
        <f t="shared" ca="1" si="0"/>
        <v>34169637.119890392</v>
      </c>
      <c r="F9" s="298"/>
      <c r="L9" s="32"/>
    </row>
    <row r="10" spans="1:22" x14ac:dyDescent="0.25">
      <c r="A10" s="233" t="str">
        <f>'CWD 2028 Legados (com desc.)'!A254</f>
        <v>TEN9</v>
      </c>
      <c r="B10" s="236" t="str">
        <f>'CWD 2028 Legados (com desc.)'!B254</f>
        <v>PR-REPLAN (INTERCONEXÃO)</v>
      </c>
      <c r="C10" s="237">
        <f>'CWD 2028 Legados (sem desc.)'!F32</f>
        <v>2730519.5027999999</v>
      </c>
      <c r="D10" s="238">
        <f ca="1">'CWD 2028 Legados (com desc.)'!E254</f>
        <v>0.33259718961528567</v>
      </c>
      <c r="E10" s="237">
        <f t="shared" ca="1" si="0"/>
        <v>908163.11282100715</v>
      </c>
      <c r="F10" s="298"/>
      <c r="L10" s="32"/>
    </row>
    <row r="11" spans="1:22" x14ac:dyDescent="0.25">
      <c r="A11" s="233" t="str">
        <f>'CWD 2028 Legados (com desc.)'!A255</f>
        <v>TEN10</v>
      </c>
      <c r="B11" s="236" t="str">
        <f>'CWD 2028 Legados (com desc.)'!B255</f>
        <v>PR-TECAB (INTERCONEXÃO)</v>
      </c>
      <c r="C11" s="237">
        <f>'CWD 2028 Legados (sem desc.)'!F33</f>
        <v>2730519.5027999999</v>
      </c>
      <c r="D11" s="238">
        <f ca="1">'CWD 2028 Legados (com desc.)'!E255</f>
        <v>0.33259718961528567</v>
      </c>
      <c r="E11" s="237">
        <f t="shared" ca="1" si="0"/>
        <v>908163.11282100715</v>
      </c>
      <c r="F11" s="298"/>
      <c r="L11" s="32"/>
    </row>
    <row r="12" spans="1:22" x14ac:dyDescent="0.25">
      <c r="E12" s="36">
        <f ca="1">SUM(E2:E11)</f>
        <v>3709813165.4388762</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2028 Legados (com desc.)'!H246</f>
        <v>TEX1</v>
      </c>
      <c r="B15" s="237" t="str">
        <f>'CWD 2028 Legados (com desc.)'!I246</f>
        <v>NTS MG 1</v>
      </c>
      <c r="C15" s="237">
        <f>'CWD 2028 Legados (sem desc.)'!F41</f>
        <v>9119935.1393519994</v>
      </c>
      <c r="D15" s="237"/>
      <c r="E15" s="240">
        <f ca="1">'CWD 2028 Legados (com desc.)'!L246</f>
        <v>2.0147830347263516</v>
      </c>
      <c r="F15" s="246">
        <f ca="1">IFERROR(C15*E15," ")</f>
        <v>18374690.596571114</v>
      </c>
      <c r="G15" s="249"/>
      <c r="H15" s="255" t="str">
        <f>IFERROR(G15/D15," ")</f>
        <v xml:space="preserve"> </v>
      </c>
      <c r="I15" s="37"/>
      <c r="J15" s="37"/>
      <c r="L15" s="30"/>
    </row>
    <row r="16" spans="1:22" x14ac:dyDescent="0.25">
      <c r="A16" s="237" t="str">
        <f>'CWD 2028 Legados (com desc.)'!H247</f>
        <v>TEX2</v>
      </c>
      <c r="B16" s="237" t="str">
        <f>'CWD 2028 Legados (com desc.)'!I247</f>
        <v>NTS MG 2</v>
      </c>
      <c r="C16" s="237">
        <f>'CWD 2028 Legados (sem desc.)'!F42</f>
        <v>24902337.865536001</v>
      </c>
      <c r="D16" s="237"/>
      <c r="E16" s="240">
        <f ca="1">'CWD 2028 Legados (com desc.)'!L247</f>
        <v>2.0147830347263516</v>
      </c>
      <c r="F16" s="246">
        <f t="shared" ref="F16:F30" ca="1" si="12">IFERROR(C16*E16," ")</f>
        <v>50172807.856505558</v>
      </c>
      <c r="G16" s="258"/>
      <c r="H16" s="256" t="str">
        <f t="shared" ref="H16:H30" si="13">IFERROR(G16/D16," ")</f>
        <v xml:space="preserve"> </v>
      </c>
      <c r="I16" s="37"/>
      <c r="J16" s="37"/>
      <c r="L16" s="30"/>
    </row>
    <row r="17" spans="1:12" x14ac:dyDescent="0.25">
      <c r="A17" s="237" t="str">
        <f>'CWD 2028 Legados (com desc.)'!H248</f>
        <v>TEX3</v>
      </c>
      <c r="B17" s="237" t="str">
        <f>'CWD 2028 Legados (com desc.)'!I248</f>
        <v>NTS MG 3</v>
      </c>
      <c r="C17" s="237">
        <f>'CWD 2028 Legados (sem desc.)'!F43</f>
        <v>40985097.737027995</v>
      </c>
      <c r="D17" s="237"/>
      <c r="E17" s="240">
        <f ca="1">'CWD 2028 Legados (com desc.)'!L248</f>
        <v>2.0147830347263516</v>
      </c>
      <c r="F17" s="246">
        <f ca="1">IFERROR(C17*E17," ")</f>
        <v>82576079.597165391</v>
      </c>
      <c r="G17" s="251"/>
      <c r="H17" s="257" t="str">
        <f t="shared" si="13"/>
        <v xml:space="preserve"> </v>
      </c>
      <c r="I17" s="37"/>
      <c r="J17" s="37"/>
      <c r="L17" s="30"/>
    </row>
    <row r="18" spans="1:12" x14ac:dyDescent="0.25">
      <c r="A18" s="242" t="str">
        <f>'CWD 2028 Legados (com desc.)'!H249</f>
        <v>TEX4</v>
      </c>
      <c r="B18" s="242" t="str">
        <f>'CWD 2028 Legados (com desc.)'!I249</f>
        <v>NTS MG 4</v>
      </c>
      <c r="C18" s="242">
        <f>'CWD 2028 Legados (sem desc.)'!F44</f>
        <v>4792061.7274139998</v>
      </c>
      <c r="D18" s="242">
        <f>SUM(C15:C18)</f>
        <v>79799432.469329998</v>
      </c>
      <c r="E18" s="243">
        <f ca="1">'CWD 2028 Legados (com desc.)'!L249</f>
        <v>2.0147830347263516</v>
      </c>
      <c r="F18" s="242">
        <f ca="1">IFERROR(C18*E18," ")</f>
        <v>9654964.6697551813</v>
      </c>
      <c r="G18" s="254">
        <f ca="1">SUM(F15:F18)</f>
        <v>160778542.71999726</v>
      </c>
      <c r="H18" s="252">
        <f t="shared" ca="1" si="13"/>
        <v>2.0147830347263516</v>
      </c>
      <c r="I18" s="298"/>
      <c r="J18"/>
      <c r="L18" s="30"/>
    </row>
    <row r="19" spans="1:12" x14ac:dyDescent="0.25">
      <c r="A19" s="237" t="str">
        <f>'CWD 2028 Legados (com desc.)'!H250</f>
        <v>TEX5</v>
      </c>
      <c r="B19" s="237" t="str">
        <f>'CWD 2028 Legados (com desc.)'!I250</f>
        <v>NTS RJ 1</v>
      </c>
      <c r="C19" s="237">
        <f>'CWD 2028 Legados (sem desc.)'!F45</f>
        <v>239944401.30854997</v>
      </c>
      <c r="D19" s="237"/>
      <c r="E19" s="240">
        <f ca="1">'CWD 2028 Legados (com desc.)'!L250</f>
        <v>2.0147830347263516</v>
      </c>
      <c r="F19" s="246">
        <f t="shared" ca="1" si="12"/>
        <v>483435909.03403789</v>
      </c>
      <c r="G19" s="249"/>
      <c r="H19" s="255" t="str">
        <f t="shared" si="13"/>
        <v xml:space="preserve"> </v>
      </c>
      <c r="I19"/>
      <c r="J19"/>
      <c r="L19" s="30"/>
    </row>
    <row r="20" spans="1:12" x14ac:dyDescent="0.25">
      <c r="A20" s="237" t="str">
        <f>'CWD 2028 Legados (com desc.)'!H251</f>
        <v>TEX6</v>
      </c>
      <c r="B20" s="237" t="str">
        <f>'CWD 2028 Legados (com desc.)'!I251</f>
        <v>NTS RJ 2</v>
      </c>
      <c r="C20" s="237">
        <f>'CWD 2028 Legados (sem desc.)'!F46</f>
        <v>153277712.28967798</v>
      </c>
      <c r="D20" s="237"/>
      <c r="E20" s="240">
        <f ca="1">'CWD 2028 Legados (com desc.)'!L251</f>
        <v>2.0147830347263516</v>
      </c>
      <c r="F20" s="246">
        <f t="shared" ca="1" si="12"/>
        <v>308821334.32291001</v>
      </c>
      <c r="G20" s="250"/>
      <c r="H20" s="256" t="str">
        <f t="shared" si="13"/>
        <v xml:space="preserve"> </v>
      </c>
      <c r="I20"/>
      <c r="J20"/>
      <c r="L20" s="30"/>
    </row>
    <row r="21" spans="1:12" x14ac:dyDescent="0.25">
      <c r="A21" s="237" t="str">
        <f>'CWD 2028 Legados (com desc.)'!H252</f>
        <v>TEX7</v>
      </c>
      <c r="B21" s="237" t="str">
        <f>'CWD 2028 Legados (com desc.)'!I252</f>
        <v>NTS RJ 3</v>
      </c>
      <c r="C21" s="237">
        <f>'CWD 2028 Legados (sem desc.)'!F47</f>
        <v>28438360.621661998</v>
      </c>
      <c r="D21" s="245"/>
      <c r="E21" s="240">
        <f ca="1">'CWD 2028 Legados (com desc.)'!L252</f>
        <v>2.0147830347263516</v>
      </c>
      <c r="F21" s="246">
        <f t="shared" ca="1" si="12"/>
        <v>57297126.515954532</v>
      </c>
      <c r="G21" s="253"/>
      <c r="H21" s="256" t="str">
        <f t="shared" si="13"/>
        <v xml:space="preserve"> </v>
      </c>
      <c r="I21"/>
      <c r="J21"/>
      <c r="L21" s="30"/>
    </row>
    <row r="22" spans="1:12" x14ac:dyDescent="0.25">
      <c r="A22" s="237" t="str">
        <f>'CWD 2028 Legados (com desc.)'!H253</f>
        <v>TEX8</v>
      </c>
      <c r="B22" s="237" t="str">
        <f>'CWD 2028 Legados (com desc.)'!I253</f>
        <v>NTS RJ 4</v>
      </c>
      <c r="C22" s="237">
        <f>'CWD 2028 Legados (sem desc.)'!F48</f>
        <v>4641883.1547599994</v>
      </c>
      <c r="D22" s="237"/>
      <c r="E22" s="240">
        <f ca="1">'CWD 2028 Legados (com desc.)'!L253</f>
        <v>2.0147830347263516</v>
      </c>
      <c r="F22" s="246">
        <f t="shared" ca="1" si="12"/>
        <v>9352387.4293924812</v>
      </c>
      <c r="G22" s="251"/>
      <c r="H22" s="257" t="str">
        <f t="shared" si="13"/>
        <v xml:space="preserve"> </v>
      </c>
      <c r="I22"/>
      <c r="J22"/>
      <c r="L22" s="30"/>
    </row>
    <row r="23" spans="1:12" x14ac:dyDescent="0.25">
      <c r="A23" s="242" t="str">
        <f>'CWD 2028 Legados (com desc.)'!H254</f>
        <v>TEX9</v>
      </c>
      <c r="B23" s="242" t="str">
        <f>'CWD 2028 Legados (com desc.)'!I254</f>
        <v>NTS RJ 5</v>
      </c>
      <c r="C23" s="242">
        <f>'CWD 2028 Legados (sem desc.)'!F49</f>
        <v>30704691.808985997</v>
      </c>
      <c r="D23" s="242">
        <f>SUM(C19:C23)</f>
        <v>457007049.18363601</v>
      </c>
      <c r="E23" s="243">
        <f ca="1">'CWD 2028 Legados (com desc.)'!L254</f>
        <v>2.0147830347263516</v>
      </c>
      <c r="F23" s="242">
        <f t="shared" ca="1" si="12"/>
        <v>61863292.143246159</v>
      </c>
      <c r="G23" s="254">
        <f ca="1">SUM(F19:F23)</f>
        <v>920770049.44554102</v>
      </c>
      <c r="H23" s="252">
        <f t="shared" ca="1" si="13"/>
        <v>2.0147830347263511</v>
      </c>
      <c r="I23" s="298"/>
      <c r="J23"/>
    </row>
    <row r="24" spans="1:12" x14ac:dyDescent="0.25">
      <c r="A24" s="237" t="str">
        <f>'CWD 2028 Legados (com desc.)'!H255</f>
        <v>TEX10</v>
      </c>
      <c r="B24" s="237" t="str">
        <f>'CWD 2028 Legados (com desc.)'!I255</f>
        <v>NTS SP 1</v>
      </c>
      <c r="C24" s="237">
        <f>'CWD 2028 Legados (sem desc.)'!F50</f>
        <v>15850665.713753998</v>
      </c>
      <c r="D24" s="237"/>
      <c r="E24" s="240">
        <f ca="1">'CWD 2028 Legados (com desc.)'!L255</f>
        <v>2.0147830347263516</v>
      </c>
      <c r="F24" s="246">
        <f t="shared" ca="1" si="12"/>
        <v>31935652.369190212</v>
      </c>
      <c r="G24" s="249"/>
      <c r="H24" s="255" t="str">
        <f t="shared" si="13"/>
        <v xml:space="preserve"> </v>
      </c>
      <c r="I24"/>
      <c r="J24"/>
    </row>
    <row r="25" spans="1:12" x14ac:dyDescent="0.25">
      <c r="A25" s="237" t="str">
        <f>'CWD 2028 Legados (com desc.)'!H256</f>
        <v>TEX11</v>
      </c>
      <c r="B25" s="237" t="str">
        <f>'CWD 2028 Legados (com desc.)'!I256</f>
        <v>NTS SP 2</v>
      </c>
      <c r="C25" s="237">
        <f>'CWD 2028 Legados (sem desc.)'!F51</f>
        <v>41831558.782895997</v>
      </c>
      <c r="D25" s="237"/>
      <c r="E25" s="240">
        <f ca="1">'CWD 2028 Legados (com desc.)'!L256</f>
        <v>2.0147830347263516</v>
      </c>
      <c r="F25" s="246">
        <f t="shared" ca="1" si="12"/>
        <v>84281514.95193696</v>
      </c>
      <c r="G25" s="250"/>
      <c r="H25" s="256" t="str">
        <f t="shared" si="13"/>
        <v xml:space="preserve"> </v>
      </c>
      <c r="I25"/>
      <c r="J25"/>
    </row>
    <row r="26" spans="1:12" x14ac:dyDescent="0.25">
      <c r="A26" s="237" t="str">
        <f>'CWD 2028 Legados (com desc.)'!H257</f>
        <v>TEX12</v>
      </c>
      <c r="B26" s="237" t="str">
        <f>'CWD 2028 Legados (com desc.)'!I257</f>
        <v>NTS SP 3</v>
      </c>
      <c r="C26" s="237">
        <f>'CWD 2028 Legados (sem desc.)'!F52</f>
        <v>129440277.03023401</v>
      </c>
      <c r="D26" s="245"/>
      <c r="E26" s="240">
        <f ca="1">'CWD 2028 Legados (com desc.)'!L257</f>
        <v>2.0147830347263516</v>
      </c>
      <c r="F26" s="246">
        <f t="shared" ca="1" si="12"/>
        <v>260794074.17079455</v>
      </c>
      <c r="G26" s="259"/>
      <c r="H26" s="257" t="str">
        <f t="shared" si="13"/>
        <v xml:space="preserve"> </v>
      </c>
      <c r="I26"/>
      <c r="J26"/>
    </row>
    <row r="27" spans="1:12" x14ac:dyDescent="0.25">
      <c r="A27" s="242" t="str">
        <f>'CWD 2028 Legados (com desc.)'!H258</f>
        <v>TEX13</v>
      </c>
      <c r="B27" s="242" t="str">
        <f>'CWD 2028 Legados (com desc.)'!I258</f>
        <v>NTS SP 4</v>
      </c>
      <c r="C27" s="242">
        <f>'CWD 2028 Legados (sem desc.)'!F53</f>
        <v>53518182.254879996</v>
      </c>
      <c r="D27" s="242">
        <f>SUM(C24:C27)</f>
        <v>240640683.78176403</v>
      </c>
      <c r="E27" s="243">
        <f ca="1">'CWD 2028 Legados (com desc.)'!L258</f>
        <v>2.0147830347263516</v>
      </c>
      <c r="F27" s="242">
        <f t="shared" ca="1" si="12"/>
        <v>107827525.65652509</v>
      </c>
      <c r="G27" s="247">
        <f ca="1">SUM(F24:F27)</f>
        <v>484838767.1484468</v>
      </c>
      <c r="H27" s="248">
        <f t="shared" ca="1" si="13"/>
        <v>2.0147830347263511</v>
      </c>
      <c r="I27" s="298"/>
      <c r="J27"/>
    </row>
    <row r="28" spans="1:12" x14ac:dyDescent="0.25">
      <c r="A28" s="237" t="str">
        <f>'CWD 2028 Legados (com desc.)'!H259</f>
        <v>TEX14</v>
      </c>
      <c r="B28" s="237" t="str">
        <f>'CWD 2028 Legados (com desc.)'!I259</f>
        <v>PE-GUARAREMA (INTERCONEXÃO)</v>
      </c>
      <c r="C28" s="237">
        <f>'CWD 2028 Legados (sem desc.)'!F54</f>
        <v>0</v>
      </c>
      <c r="D28" s="237">
        <f>C28</f>
        <v>0</v>
      </c>
      <c r="E28" s="240">
        <f>'CWD 2028 Legados (com desc.)'!L259</f>
        <v>0</v>
      </c>
      <c r="F28" s="237">
        <f t="shared" si="12"/>
        <v>0</v>
      </c>
      <c r="G28" s="237">
        <f>F28</f>
        <v>0</v>
      </c>
      <c r="H28" s="241" t="str">
        <f t="shared" si="13"/>
        <v xml:space="preserve"> </v>
      </c>
      <c r="I28"/>
      <c r="J28"/>
    </row>
    <row r="29" spans="1:12" x14ac:dyDescent="0.25">
      <c r="A29" s="242" t="str">
        <f>'CWD 2028 Legados (com desc.)'!H260</f>
        <v>TEX15</v>
      </c>
      <c r="B29" s="242" t="str">
        <f>'CWD 2028 Legados (com desc.)'!I260</f>
        <v>PE-REPLAN (INTERCONEXÃO)</v>
      </c>
      <c r="C29" s="242">
        <f>'CWD 2028 Legados (sem desc.)'!F55</f>
        <v>132471153.67834197</v>
      </c>
      <c r="D29" s="242">
        <f t="shared" ref="D29:D30" si="14">C29</f>
        <v>132471153.67834197</v>
      </c>
      <c r="E29" s="243">
        <f ca="1">'CWD 2028 Legados (com desc.)'!L260</f>
        <v>0.17420454463858304</v>
      </c>
      <c r="F29" s="242">
        <f t="shared" ca="1" si="12"/>
        <v>23077077.004283316</v>
      </c>
      <c r="G29" s="242">
        <f t="shared" ref="G29:G30" ca="1" si="15">F29</f>
        <v>23077077.004283316</v>
      </c>
      <c r="H29" s="244">
        <f t="shared" ca="1" si="13"/>
        <v>0.17420454463858304</v>
      </c>
      <c r="I29" s="298"/>
      <c r="J29"/>
    </row>
    <row r="30" spans="1:12" x14ac:dyDescent="0.25">
      <c r="A30" s="237" t="str">
        <f>'CWD 2028 Legados (com desc.)'!H261</f>
        <v>TEX16</v>
      </c>
      <c r="B30" s="237" t="str">
        <f>'CWD 2028 Legados (com desc.)'!I261</f>
        <v>PE-TECAB (INTERCONEXÃO)</v>
      </c>
      <c r="C30" s="237">
        <f>'CWD 2028 Legados (sem desc.)'!F56</f>
        <v>2730519.5027999999</v>
      </c>
      <c r="D30" s="237">
        <f t="shared" si="14"/>
        <v>2730519.5027999999</v>
      </c>
      <c r="E30" s="240">
        <f ca="1">'CWD 2028 Legados (com desc.)'!L261</f>
        <v>0.17420454463858304</v>
      </c>
      <c r="F30" s="237">
        <f t="shared" ca="1" si="12"/>
        <v>475668.90661204414</v>
      </c>
      <c r="G30" s="237">
        <f t="shared" ca="1" si="15"/>
        <v>475668.90661204414</v>
      </c>
      <c r="H30" s="241">
        <f t="shared" ca="1" si="13"/>
        <v>0.17420454463858304</v>
      </c>
      <c r="I30" s="298"/>
      <c r="J30" s="37"/>
    </row>
    <row r="31" spans="1:12" x14ac:dyDescent="0.25">
      <c r="C31" s="36">
        <f>SUM(C15:C30)</f>
        <v>912648838.61587191</v>
      </c>
      <c r="D31" s="36">
        <f>SUM(D15:D30)</f>
        <v>912648838.61587203</v>
      </c>
      <c r="F31" s="36">
        <f ca="1">SUM(F15:F30)</f>
        <v>1589940105.2248805</v>
      </c>
      <c r="G31" s="36">
        <f ca="1">SUM(G15:G30)</f>
        <v>1589940105.2248807</v>
      </c>
    </row>
    <row r="32" spans="1:12" x14ac:dyDescent="0.25">
      <c r="C32" s="36"/>
      <c r="D32" s="36"/>
      <c r="F32" s="36"/>
      <c r="G32" s="36"/>
    </row>
    <row r="33" spans="2:3" x14ac:dyDescent="0.25">
      <c r="C33" s="34" t="s">
        <v>192</v>
      </c>
    </row>
    <row r="34" spans="2:3" x14ac:dyDescent="0.25">
      <c r="B34" s="39" t="s">
        <v>53</v>
      </c>
      <c r="C34" s="37">
        <f ca="1">H18</f>
        <v>2.0147830347263516</v>
      </c>
    </row>
    <row r="35" spans="2:3" x14ac:dyDescent="0.25">
      <c r="B35" s="39" t="s">
        <v>64</v>
      </c>
      <c r="C35" s="37">
        <f ca="1">H23</f>
        <v>2.0147830347263511</v>
      </c>
    </row>
    <row r="36" spans="2:3" x14ac:dyDescent="0.25">
      <c r="B36" s="39" t="s">
        <v>193</v>
      </c>
      <c r="C36" s="37">
        <f ca="1">H27</f>
        <v>2.0147830347263511</v>
      </c>
    </row>
    <row r="37" spans="2:3" x14ac:dyDescent="0.25">
      <c r="B37" s="88" t="s">
        <v>199</v>
      </c>
      <c r="C37" s="37" t="str">
        <f>H28</f>
        <v xml:space="preserve"> </v>
      </c>
    </row>
    <row r="38" spans="2:3" x14ac:dyDescent="0.25">
      <c r="B38" s="88" t="s">
        <v>198</v>
      </c>
      <c r="C38" s="37">
        <f t="shared" ref="C38:C39" ca="1" si="16">H29</f>
        <v>0.17420454463858304</v>
      </c>
    </row>
    <row r="39" spans="2:3" x14ac:dyDescent="0.25">
      <c r="B39" s="88" t="s">
        <v>197</v>
      </c>
      <c r="C39" s="37">
        <f t="shared" ca="1" si="16"/>
        <v>0.17420454463858304</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2E0F-622A-4250-8C06-DE00C30D076B}">
  <sheetPr codeName="Planilha9">
    <tabColor theme="5"/>
  </sheetPr>
  <dimension ref="A1:AM53"/>
  <sheetViews>
    <sheetView showGridLines="0" topLeftCell="A11" zoomScaleNormal="100" workbookViewId="0">
      <selection activeCell="AK39" sqref="AK39"/>
    </sheetView>
  </sheetViews>
  <sheetFormatPr defaultColWidth="8.85546875" defaultRowHeight="12.75" outlineLevelRow="1" x14ac:dyDescent="0.2"/>
  <cols>
    <col min="1" max="1" width="37.7109375" style="94" customWidth="1"/>
    <col min="2" max="2" width="12.5703125" style="94" bestFit="1" customWidth="1"/>
    <col min="3" max="3" width="13.42578125" style="94" customWidth="1"/>
    <col min="4" max="4" width="14.5703125" style="94" bestFit="1" customWidth="1"/>
    <col min="5" max="6" width="12.5703125" style="94" bestFit="1" customWidth="1"/>
    <col min="7" max="7" width="14" style="94" bestFit="1" customWidth="1"/>
    <col min="8" max="8" width="12.5703125" style="94" bestFit="1" customWidth="1"/>
    <col min="9" max="9" width="11.140625" style="94" customWidth="1"/>
    <col min="10" max="35" width="9.85546875" style="94" hidden="1" customWidth="1"/>
    <col min="36" max="36" width="11" style="94" bestFit="1" customWidth="1"/>
    <col min="37" max="37" width="12.140625" style="94" bestFit="1" customWidth="1"/>
    <col min="38" max="38" width="8.85546875" style="94"/>
    <col min="39" max="39" width="29.85546875" style="94" bestFit="1" customWidth="1"/>
    <col min="40" max="16384" width="8.85546875" style="94"/>
  </cols>
  <sheetData>
    <row r="1" spans="1:39" s="92" customFormat="1" x14ac:dyDescent="0.2">
      <c r="A1" s="91"/>
    </row>
    <row r="2" spans="1:39" x14ac:dyDescent="0.2">
      <c r="A2" s="93"/>
    </row>
    <row r="3" spans="1:39" s="92" customFormat="1" ht="20.25" customHeight="1" x14ac:dyDescent="0.2">
      <c r="A3" s="384" t="s">
        <v>0</v>
      </c>
      <c r="B3" s="385"/>
      <c r="C3" s="385"/>
      <c r="D3" s="385"/>
      <c r="E3" s="385"/>
      <c r="F3" s="385"/>
      <c r="G3" s="340"/>
      <c r="H3" s="340"/>
      <c r="I3" s="340"/>
      <c r="AJ3" s="94"/>
    </row>
    <row r="4" spans="1:39" s="92" customFormat="1" ht="15" customHeight="1" x14ac:dyDescent="0.2">
      <c r="G4" s="98"/>
      <c r="H4" s="98"/>
      <c r="I4" s="98"/>
      <c r="AJ4" s="94"/>
    </row>
    <row r="5" spans="1:39" s="92" customFormat="1" ht="15" customHeight="1" x14ac:dyDescent="0.2">
      <c r="A5" s="95" t="s">
        <v>1</v>
      </c>
      <c r="B5" s="97">
        <v>2026</v>
      </c>
      <c r="C5" s="97">
        <f>B5+1</f>
        <v>2027</v>
      </c>
      <c r="D5" s="97">
        <f>C5+1</f>
        <v>2028</v>
      </c>
      <c r="E5" s="97">
        <f>D5+1</f>
        <v>2029</v>
      </c>
      <c r="F5" s="96">
        <f>E5+1</f>
        <v>2030</v>
      </c>
      <c r="G5" s="341"/>
      <c r="H5" s="341"/>
      <c r="I5" s="341"/>
      <c r="AJ5" s="94"/>
    </row>
    <row r="6" spans="1:39" s="98" customFormat="1" ht="15" customHeight="1" x14ac:dyDescent="0.2">
      <c r="A6" s="94"/>
      <c r="AM6" s="94"/>
    </row>
    <row r="7" spans="1:39" s="98" customFormat="1" ht="15" customHeight="1" x14ac:dyDescent="0.2">
      <c r="A7" s="99" t="s">
        <v>2</v>
      </c>
      <c r="B7" s="100"/>
      <c r="C7" s="100"/>
      <c r="D7" s="100"/>
      <c r="E7" s="100"/>
      <c r="F7" s="100"/>
      <c r="AM7" s="94"/>
    </row>
    <row r="8" spans="1:39" s="98" customFormat="1" ht="15" customHeight="1" x14ac:dyDescent="0.2">
      <c r="A8" s="101" t="s">
        <v>3</v>
      </c>
      <c r="B8" s="102">
        <v>1</v>
      </c>
      <c r="C8" s="102">
        <v>1</v>
      </c>
      <c r="D8" s="103">
        <v>1</v>
      </c>
      <c r="E8" s="103">
        <v>1</v>
      </c>
      <c r="F8" s="335">
        <v>1</v>
      </c>
      <c r="G8" s="332"/>
      <c r="H8" s="332"/>
      <c r="I8" s="332"/>
    </row>
    <row r="9" spans="1:39" s="98" customFormat="1" ht="15" customHeight="1" x14ac:dyDescent="0.2">
      <c r="A9" s="101" t="s">
        <v>4</v>
      </c>
      <c r="B9" s="104">
        <f>1-B8</f>
        <v>0</v>
      </c>
      <c r="C9" s="104">
        <f>1-C8</f>
        <v>0</v>
      </c>
      <c r="D9" s="104">
        <f>1-D8</f>
        <v>0</v>
      </c>
      <c r="E9" s="104">
        <f>1-E8</f>
        <v>0</v>
      </c>
      <c r="F9" s="336">
        <f>1-F8</f>
        <v>0</v>
      </c>
      <c r="G9" s="332"/>
      <c r="H9" s="332"/>
      <c r="I9" s="332"/>
    </row>
    <row r="10" spans="1:39" s="98" customFormat="1" ht="15" customHeight="1" x14ac:dyDescent="0.2"/>
    <row r="11" spans="1:39" s="98" customFormat="1" ht="15" customHeight="1" x14ac:dyDescent="0.2"/>
    <row r="12" spans="1:39" s="98" customFormat="1" ht="15" customHeight="1" x14ac:dyDescent="0.2">
      <c r="A12" s="99" t="s">
        <v>5</v>
      </c>
      <c r="B12" s="100"/>
      <c r="C12" s="100"/>
      <c r="D12" s="100"/>
      <c r="E12" s="100"/>
      <c r="F12" s="100"/>
    </row>
    <row r="13" spans="1:39" s="98" customFormat="1" ht="15" customHeight="1" x14ac:dyDescent="0.2">
      <c r="A13" s="105" t="s">
        <v>6</v>
      </c>
      <c r="B13" s="103">
        <v>0.7</v>
      </c>
      <c r="C13" s="103">
        <v>0.7</v>
      </c>
      <c r="D13" s="103">
        <v>0.7</v>
      </c>
      <c r="E13" s="103">
        <v>0.7</v>
      </c>
      <c r="F13" s="103">
        <v>0.7</v>
      </c>
      <c r="G13" s="333"/>
      <c r="H13" s="333"/>
      <c r="I13" s="333"/>
    </row>
    <row r="14" spans="1:39" s="98" customFormat="1" ht="15" customHeight="1" x14ac:dyDescent="0.2">
      <c r="A14" s="105" t="s">
        <v>7</v>
      </c>
      <c r="B14" s="106">
        <f>1-B13</f>
        <v>0.30000000000000004</v>
      </c>
      <c r="C14" s="106">
        <f>1-C13</f>
        <v>0.30000000000000004</v>
      </c>
      <c r="D14" s="106">
        <f>1-D13</f>
        <v>0.30000000000000004</v>
      </c>
      <c r="E14" s="106">
        <f>1-E13</f>
        <v>0.30000000000000004</v>
      </c>
      <c r="F14" s="337">
        <f>1-F13</f>
        <v>0.30000000000000004</v>
      </c>
      <c r="G14" s="334"/>
      <c r="H14" s="334"/>
      <c r="I14" s="334"/>
    </row>
    <row r="15" spans="1:39" s="98" customFormat="1" ht="15" customHeight="1" x14ac:dyDescent="0.2"/>
    <row r="16" spans="1:39" s="92" customFormat="1" ht="15" customHeight="1" x14ac:dyDescent="0.2">
      <c r="B16" s="98"/>
      <c r="G16" s="98"/>
      <c r="H16" s="98"/>
      <c r="I16" s="98"/>
      <c r="AK16" s="107"/>
    </row>
    <row r="17" spans="1:35" s="92" customFormat="1" ht="15" customHeight="1" x14ac:dyDescent="0.2">
      <c r="A17" s="99" t="s">
        <v>8</v>
      </c>
      <c r="B17" s="100"/>
      <c r="C17" s="100"/>
      <c r="D17" s="100"/>
      <c r="E17" s="100"/>
      <c r="F17" s="100"/>
      <c r="G17" s="98"/>
      <c r="H17" s="98"/>
      <c r="I17" s="98"/>
      <c r="J17" s="108">
        <v>2025</v>
      </c>
      <c r="K17" s="109">
        <v>2026</v>
      </c>
      <c r="L17" s="109">
        <v>2027</v>
      </c>
      <c r="M17" s="109">
        <v>2028</v>
      </c>
      <c r="N17" s="109">
        <v>2029</v>
      </c>
      <c r="O17" s="109">
        <v>2030</v>
      </c>
      <c r="P17" s="109">
        <v>2031</v>
      </c>
      <c r="Q17" s="109">
        <v>2032</v>
      </c>
      <c r="R17" s="109">
        <v>2033</v>
      </c>
      <c r="S17" s="109">
        <v>2034</v>
      </c>
      <c r="T17" s="109">
        <v>2035</v>
      </c>
      <c r="U17" s="109">
        <v>2036</v>
      </c>
      <c r="V17" s="109">
        <v>2037</v>
      </c>
      <c r="W17" s="109">
        <v>2038</v>
      </c>
      <c r="X17" s="109">
        <v>2039</v>
      </c>
      <c r="Y17" s="109">
        <v>2040</v>
      </c>
      <c r="Z17" s="109">
        <v>2041</v>
      </c>
      <c r="AA17" s="109">
        <v>2042</v>
      </c>
      <c r="AB17" s="109">
        <v>2043</v>
      </c>
      <c r="AC17" s="109">
        <v>2044</v>
      </c>
      <c r="AD17" s="109">
        <v>2045</v>
      </c>
      <c r="AE17" s="109">
        <v>2046</v>
      </c>
      <c r="AF17" s="109">
        <v>2047</v>
      </c>
      <c r="AG17" s="109">
        <v>2048</v>
      </c>
      <c r="AH17" s="109">
        <v>2049</v>
      </c>
      <c r="AI17" s="109">
        <v>2050</v>
      </c>
    </row>
    <row r="18" spans="1:35" s="92" customFormat="1" ht="15" customHeight="1" x14ac:dyDescent="0.2">
      <c r="A18" s="110" t="s">
        <v>372</v>
      </c>
      <c r="B18" s="111">
        <v>9400</v>
      </c>
      <c r="C18" s="111">
        <f>+B18</f>
        <v>9400</v>
      </c>
      <c r="D18" s="111">
        <f>+C18</f>
        <v>9400</v>
      </c>
      <c r="E18" s="111">
        <f>+D18</f>
        <v>9400</v>
      </c>
      <c r="F18" s="338">
        <f>+E18</f>
        <v>9400</v>
      </c>
      <c r="G18" s="342"/>
      <c r="H18" s="342"/>
      <c r="I18" s="342"/>
      <c r="J18" s="112">
        <f>+F18</f>
        <v>9400</v>
      </c>
      <c r="K18" s="113">
        <f t="shared" ref="K18:AI18" si="0">+J18</f>
        <v>9400</v>
      </c>
      <c r="L18" s="113">
        <f t="shared" si="0"/>
        <v>9400</v>
      </c>
      <c r="M18" s="113">
        <f t="shared" si="0"/>
        <v>9400</v>
      </c>
      <c r="N18" s="113">
        <f t="shared" si="0"/>
        <v>9400</v>
      </c>
      <c r="O18" s="113">
        <f t="shared" si="0"/>
        <v>9400</v>
      </c>
      <c r="P18" s="113">
        <f t="shared" si="0"/>
        <v>9400</v>
      </c>
      <c r="Q18" s="113">
        <f t="shared" si="0"/>
        <v>9400</v>
      </c>
      <c r="R18" s="113">
        <f t="shared" si="0"/>
        <v>9400</v>
      </c>
      <c r="S18" s="113">
        <f t="shared" si="0"/>
        <v>9400</v>
      </c>
      <c r="T18" s="113">
        <f t="shared" si="0"/>
        <v>9400</v>
      </c>
      <c r="U18" s="113">
        <f t="shared" si="0"/>
        <v>9400</v>
      </c>
      <c r="V18" s="113">
        <f t="shared" si="0"/>
        <v>9400</v>
      </c>
      <c r="W18" s="113">
        <f t="shared" si="0"/>
        <v>9400</v>
      </c>
      <c r="X18" s="113">
        <f t="shared" si="0"/>
        <v>9400</v>
      </c>
      <c r="Y18" s="113">
        <f t="shared" si="0"/>
        <v>9400</v>
      </c>
      <c r="Z18" s="113">
        <f t="shared" si="0"/>
        <v>9400</v>
      </c>
      <c r="AA18" s="113">
        <f t="shared" si="0"/>
        <v>9400</v>
      </c>
      <c r="AB18" s="113">
        <f t="shared" si="0"/>
        <v>9400</v>
      </c>
      <c r="AC18" s="113">
        <f t="shared" si="0"/>
        <v>9400</v>
      </c>
      <c r="AD18" s="113">
        <f t="shared" si="0"/>
        <v>9400</v>
      </c>
      <c r="AE18" s="113">
        <f t="shared" si="0"/>
        <v>9400</v>
      </c>
      <c r="AF18" s="113">
        <f t="shared" si="0"/>
        <v>9400</v>
      </c>
      <c r="AG18" s="113">
        <f t="shared" si="0"/>
        <v>9400</v>
      </c>
      <c r="AH18" s="113">
        <f t="shared" si="0"/>
        <v>9400</v>
      </c>
      <c r="AI18" s="113">
        <f t="shared" si="0"/>
        <v>9400</v>
      </c>
    </row>
    <row r="19" spans="1:35" s="92" customFormat="1" ht="15" customHeight="1" x14ac:dyDescent="0.2">
      <c r="A19" s="114" t="s">
        <v>9</v>
      </c>
      <c r="B19" s="115">
        <v>37.302179000000002</v>
      </c>
      <c r="C19" s="115">
        <v>37.302179000000002</v>
      </c>
      <c r="D19" s="115">
        <v>37.302179000000002</v>
      </c>
      <c r="E19" s="115">
        <v>37.302179000000002</v>
      </c>
      <c r="F19" s="339">
        <v>37.302179000000002</v>
      </c>
      <c r="G19" s="343"/>
      <c r="H19" s="343"/>
      <c r="I19" s="343"/>
      <c r="J19" s="116">
        <f t="shared" ref="J19:AI19" si="1">J18/251996</f>
        <v>3.7302179399673008E-2</v>
      </c>
      <c r="K19" s="117">
        <f t="shared" si="1"/>
        <v>3.7302179399673008E-2</v>
      </c>
      <c r="L19" s="117">
        <f t="shared" si="1"/>
        <v>3.7302179399673008E-2</v>
      </c>
      <c r="M19" s="117">
        <f t="shared" si="1"/>
        <v>3.7302179399673008E-2</v>
      </c>
      <c r="N19" s="117">
        <f t="shared" si="1"/>
        <v>3.7302179399673008E-2</v>
      </c>
      <c r="O19" s="117">
        <f t="shared" si="1"/>
        <v>3.7302179399673008E-2</v>
      </c>
      <c r="P19" s="117">
        <f t="shared" si="1"/>
        <v>3.7302179399673008E-2</v>
      </c>
      <c r="Q19" s="117">
        <f t="shared" si="1"/>
        <v>3.7302179399673008E-2</v>
      </c>
      <c r="R19" s="117">
        <f t="shared" si="1"/>
        <v>3.7302179399673008E-2</v>
      </c>
      <c r="S19" s="117">
        <f t="shared" si="1"/>
        <v>3.7302179399673008E-2</v>
      </c>
      <c r="T19" s="117">
        <f t="shared" si="1"/>
        <v>3.7302179399673008E-2</v>
      </c>
      <c r="U19" s="117">
        <f t="shared" si="1"/>
        <v>3.7302179399673008E-2</v>
      </c>
      <c r="V19" s="117">
        <f t="shared" si="1"/>
        <v>3.7302179399673008E-2</v>
      </c>
      <c r="W19" s="117">
        <f t="shared" si="1"/>
        <v>3.7302179399673008E-2</v>
      </c>
      <c r="X19" s="117">
        <f t="shared" si="1"/>
        <v>3.7302179399673008E-2</v>
      </c>
      <c r="Y19" s="117">
        <f t="shared" si="1"/>
        <v>3.7302179399673008E-2</v>
      </c>
      <c r="Z19" s="117">
        <f t="shared" si="1"/>
        <v>3.7302179399673008E-2</v>
      </c>
      <c r="AA19" s="117">
        <f t="shared" si="1"/>
        <v>3.7302179399673008E-2</v>
      </c>
      <c r="AB19" s="117">
        <f t="shared" si="1"/>
        <v>3.7302179399673008E-2</v>
      </c>
      <c r="AC19" s="117">
        <f t="shared" si="1"/>
        <v>3.7302179399673008E-2</v>
      </c>
      <c r="AD19" s="117">
        <f t="shared" si="1"/>
        <v>3.7302179399673008E-2</v>
      </c>
      <c r="AE19" s="117">
        <f t="shared" si="1"/>
        <v>3.7302179399673008E-2</v>
      </c>
      <c r="AF19" s="117">
        <f t="shared" si="1"/>
        <v>3.7302179399673008E-2</v>
      </c>
      <c r="AG19" s="117">
        <f t="shared" si="1"/>
        <v>3.7302179399673008E-2</v>
      </c>
      <c r="AH19" s="117">
        <f t="shared" si="1"/>
        <v>3.7302179399673008E-2</v>
      </c>
      <c r="AI19" s="117">
        <f t="shared" si="1"/>
        <v>3.7302179399673008E-2</v>
      </c>
    </row>
    <row r="20" spans="1:35" s="92" customFormat="1" ht="15" customHeight="1" x14ac:dyDescent="0.2">
      <c r="A20" s="110" t="s">
        <v>10</v>
      </c>
      <c r="B20" s="111">
        <v>365</v>
      </c>
      <c r="C20" s="111">
        <v>365</v>
      </c>
      <c r="D20" s="111">
        <v>366</v>
      </c>
      <c r="E20" s="111">
        <v>365</v>
      </c>
      <c r="F20" s="338">
        <v>365</v>
      </c>
      <c r="G20" s="342"/>
      <c r="H20" s="342"/>
      <c r="I20" s="342"/>
      <c r="J20" s="118">
        <v>365</v>
      </c>
      <c r="K20" s="119">
        <v>365</v>
      </c>
      <c r="L20" s="119">
        <v>365</v>
      </c>
      <c r="M20" s="119">
        <v>366</v>
      </c>
      <c r="N20" s="119">
        <v>365</v>
      </c>
      <c r="O20" s="119">
        <v>365</v>
      </c>
      <c r="P20" s="119">
        <v>365</v>
      </c>
      <c r="Q20" s="119">
        <v>366</v>
      </c>
      <c r="R20" s="119">
        <v>365</v>
      </c>
      <c r="S20" s="119">
        <v>365</v>
      </c>
      <c r="T20" s="119">
        <v>365</v>
      </c>
      <c r="U20" s="119">
        <v>366</v>
      </c>
      <c r="V20" s="119">
        <v>365</v>
      </c>
      <c r="W20" s="119">
        <v>365</v>
      </c>
      <c r="X20" s="119">
        <v>365</v>
      </c>
      <c r="Y20" s="119">
        <v>366</v>
      </c>
      <c r="Z20" s="119">
        <v>365</v>
      </c>
      <c r="AA20" s="119">
        <v>365</v>
      </c>
      <c r="AB20" s="119">
        <v>365</v>
      </c>
      <c r="AC20" s="119">
        <v>366</v>
      </c>
      <c r="AD20" s="119">
        <v>365</v>
      </c>
      <c r="AE20" s="119">
        <v>365</v>
      </c>
      <c r="AF20" s="119">
        <v>365</v>
      </c>
      <c r="AG20" s="119">
        <v>366</v>
      </c>
      <c r="AH20" s="119">
        <v>260</v>
      </c>
      <c r="AI20" s="119">
        <v>365</v>
      </c>
    </row>
    <row r="21" spans="1:35" ht="15" customHeight="1" x14ac:dyDescent="0.2">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row>
    <row r="22" spans="1:35" ht="15" customHeight="1" thickBot="1" x14ac:dyDescent="0.25">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row>
    <row r="23" spans="1:35" ht="15" customHeight="1" thickBot="1" x14ac:dyDescent="0.25">
      <c r="A23" s="121" t="s">
        <v>11</v>
      </c>
      <c r="B23" s="122">
        <v>1</v>
      </c>
    </row>
    <row r="24" spans="1:35" ht="15" customHeight="1" x14ac:dyDescent="0.2">
      <c r="A24" s="123" t="s">
        <v>158</v>
      </c>
    </row>
    <row r="27" spans="1:35" ht="15" customHeight="1" x14ac:dyDescent="0.2">
      <c r="A27" s="388" t="s">
        <v>179</v>
      </c>
      <c r="B27" s="389"/>
      <c r="C27" s="389"/>
      <c r="D27" s="389"/>
      <c r="E27" s="389"/>
      <c r="F27" s="389"/>
    </row>
    <row r="28" spans="1:35" x14ac:dyDescent="0.2">
      <c r="F28" s="225" t="s">
        <v>455</v>
      </c>
    </row>
    <row r="29" spans="1:35" x14ac:dyDescent="0.2">
      <c r="A29" s="386" t="s">
        <v>478</v>
      </c>
      <c r="B29" s="42" t="s">
        <v>454</v>
      </c>
      <c r="C29" s="42" t="s">
        <v>456</v>
      </c>
      <c r="D29" s="42" t="s">
        <v>457</v>
      </c>
      <c r="E29" s="42" t="s">
        <v>458</v>
      </c>
      <c r="F29" s="42" t="s">
        <v>459</v>
      </c>
    </row>
    <row r="30" spans="1:35" x14ac:dyDescent="0.2">
      <c r="A30" s="387"/>
      <c r="B30" s="42" t="s">
        <v>16</v>
      </c>
      <c r="C30" s="42" t="s">
        <v>16</v>
      </c>
      <c r="D30" s="42" t="s">
        <v>16</v>
      </c>
      <c r="E30" s="42" t="s">
        <v>16</v>
      </c>
      <c r="F30" s="42" t="s">
        <v>16</v>
      </c>
    </row>
    <row r="31" spans="1:35" ht="15" x14ac:dyDescent="0.25">
      <c r="A31" s="268" t="s">
        <v>479</v>
      </c>
      <c r="B31" s="271">
        <v>2059277.5489447226</v>
      </c>
      <c r="C31" s="271">
        <v>2059828.7153439615</v>
      </c>
      <c r="D31" s="271">
        <v>2149180.3777591786</v>
      </c>
      <c r="E31" s="271">
        <v>2878104.4000105197</v>
      </c>
      <c r="F31" s="271">
        <v>3581041.917494846</v>
      </c>
      <c r="G31" s="373"/>
      <c r="H31" s="362"/>
      <c r="I31"/>
    </row>
    <row r="32" spans="1:35" ht="15" outlineLevel="1" x14ac:dyDescent="0.25">
      <c r="A32" s="43" t="s">
        <v>436</v>
      </c>
      <c r="B32" s="44">
        <f>-('Conta Regulatória (C.Reg)'!E4*(B31/SUM(B31,'Premissas (Legados)'!D35)))/10^3</f>
        <v>-26532.789425548755</v>
      </c>
      <c r="C32" s="217"/>
      <c r="D32" s="224"/>
      <c r="E32" s="224"/>
      <c r="F32" s="224"/>
      <c r="G32"/>
      <c r="H32"/>
      <c r="I32"/>
    </row>
    <row r="33" spans="1:9" ht="15.75" outlineLevel="1" thickBot="1" x14ac:dyDescent="0.3">
      <c r="A33" s="41"/>
      <c r="B33" s="45">
        <f>SUM(B31:B32)</f>
        <v>2032744.7595191738</v>
      </c>
      <c r="C33" s="45">
        <f t="shared" ref="C33:F33" si="2">SUM(C31:C32)</f>
        <v>2059828.7153439615</v>
      </c>
      <c r="D33" s="45">
        <f t="shared" si="2"/>
        <v>2149180.3777591786</v>
      </c>
      <c r="E33" s="45">
        <f t="shared" si="2"/>
        <v>2878104.4000105197</v>
      </c>
      <c r="F33" s="45">
        <f t="shared" si="2"/>
        <v>3581041.917494846</v>
      </c>
      <c r="G33"/>
      <c r="H33"/>
      <c r="I33"/>
    </row>
    <row r="34" spans="1:9" ht="15.75" outlineLevel="1" thickTop="1" x14ac:dyDescent="0.25">
      <c r="B34" s="372"/>
      <c r="C34" s="372"/>
      <c r="D34" s="372"/>
      <c r="E34" s="372"/>
      <c r="F34" s="372"/>
      <c r="G34"/>
      <c r="H34"/>
      <c r="I34"/>
    </row>
    <row r="35" spans="1:9" ht="15" outlineLevel="1" x14ac:dyDescent="0.25">
      <c r="A35" s="125" t="s">
        <v>22</v>
      </c>
      <c r="B35" s="125"/>
      <c r="C35" s="223">
        <v>3.7302178999999998E-2</v>
      </c>
      <c r="D35" s="41"/>
      <c r="G35"/>
      <c r="H35"/>
      <c r="I35"/>
    </row>
    <row r="36" spans="1:9" ht="15" outlineLevel="1" x14ac:dyDescent="0.25">
      <c r="A36"/>
      <c r="B36"/>
      <c r="C36"/>
      <c r="D36"/>
      <c r="E36"/>
      <c r="F36"/>
      <c r="G36"/>
      <c r="H36"/>
      <c r="I36"/>
    </row>
    <row r="37" spans="1:9" ht="15" outlineLevel="1" x14ac:dyDescent="0.25">
      <c r="A37"/>
      <c r="B37"/>
      <c r="C37"/>
      <c r="D37"/>
      <c r="E37"/>
      <c r="F37"/>
      <c r="G37"/>
      <c r="H37"/>
      <c r="I37"/>
    </row>
    <row r="38" spans="1:9" ht="15" outlineLevel="1" x14ac:dyDescent="0.25">
      <c r="A38"/>
      <c r="B38"/>
      <c r="C38"/>
      <c r="D38"/>
      <c r="E38"/>
      <c r="F38"/>
      <c r="G38"/>
      <c r="H38"/>
      <c r="I38"/>
    </row>
    <row r="39" spans="1:9" ht="15" outlineLevel="1" x14ac:dyDescent="0.25">
      <c r="A39"/>
      <c r="B39"/>
      <c r="C39"/>
      <c r="D39"/>
      <c r="E39"/>
      <c r="F39"/>
      <c r="G39"/>
      <c r="H39"/>
      <c r="I39"/>
    </row>
    <row r="40" spans="1:9" ht="15" outlineLevel="1" x14ac:dyDescent="0.25">
      <c r="A40"/>
      <c r="B40"/>
      <c r="C40"/>
      <c r="D40"/>
      <c r="E40"/>
      <c r="F40"/>
      <c r="G40"/>
      <c r="H40"/>
      <c r="I40"/>
    </row>
    <row r="41" spans="1:9" ht="15" outlineLevel="1" x14ac:dyDescent="0.25">
      <c r="A41"/>
      <c r="B41"/>
      <c r="C41"/>
      <c r="D41"/>
      <c r="E41"/>
      <c r="F41"/>
      <c r="G41"/>
      <c r="H41"/>
      <c r="I41"/>
    </row>
    <row r="42" spans="1:9" ht="15" outlineLevel="1" x14ac:dyDescent="0.25">
      <c r="A42"/>
      <c r="B42"/>
      <c r="C42"/>
      <c r="D42"/>
      <c r="E42"/>
      <c r="F42"/>
      <c r="G42"/>
      <c r="H42"/>
      <c r="I42"/>
    </row>
    <row r="43" spans="1:9" ht="15" outlineLevel="1" x14ac:dyDescent="0.25">
      <c r="A43"/>
      <c r="B43"/>
      <c r="C43"/>
      <c r="D43"/>
      <c r="E43"/>
      <c r="F43"/>
      <c r="G43"/>
      <c r="H43"/>
      <c r="I43"/>
    </row>
    <row r="44" spans="1:9" ht="15" outlineLevel="1" x14ac:dyDescent="0.25">
      <c r="A44"/>
      <c r="B44"/>
      <c r="C44"/>
      <c r="D44"/>
      <c r="E44"/>
      <c r="F44"/>
      <c r="G44"/>
      <c r="H44"/>
      <c r="I44"/>
    </row>
    <row r="45" spans="1:9" ht="15" outlineLevel="1" x14ac:dyDescent="0.25">
      <c r="A45"/>
      <c r="B45"/>
      <c r="C45"/>
      <c r="D45"/>
      <c r="E45"/>
      <c r="F45"/>
      <c r="G45"/>
      <c r="H45"/>
      <c r="I45"/>
    </row>
    <row r="46" spans="1:9" ht="15" outlineLevel="1" x14ac:dyDescent="0.25">
      <c r="A46"/>
      <c r="B46"/>
      <c r="C46"/>
      <c r="D46"/>
      <c r="E46"/>
      <c r="F46"/>
      <c r="G46"/>
      <c r="H46"/>
      <c r="I46"/>
    </row>
    <row r="47" spans="1:9" ht="15" x14ac:dyDescent="0.25">
      <c r="G47"/>
      <c r="H47"/>
      <c r="I47"/>
    </row>
    <row r="48" spans="1:9" ht="15" x14ac:dyDescent="0.25">
      <c r="G48"/>
      <c r="H48"/>
      <c r="I48"/>
    </row>
    <row r="51" spans="1:4" x14ac:dyDescent="0.2">
      <c r="A51" s="41"/>
      <c r="B51" s="41"/>
      <c r="C51" s="41"/>
      <c r="D51" s="41"/>
    </row>
    <row r="53" spans="1:4" x14ac:dyDescent="0.2">
      <c r="B53" s="221"/>
    </row>
  </sheetData>
  <mergeCells count="3">
    <mergeCell ref="A3:F3"/>
    <mergeCell ref="A29:A30"/>
    <mergeCell ref="A27:F27"/>
  </mergeCells>
  <printOptions gridLines="1"/>
  <pageMargins left="0.7" right="0.7" top="0.75" bottom="0.75" header="0.3" footer="0.3"/>
  <pageSetup paperSize="9" scale="80" fitToWidth="0"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F77-630B-424E-AF56-288E162EA6B7}">
  <sheetPr codeName="Planilha40">
    <tabColor theme="5"/>
  </sheetPr>
  <dimension ref="A2:AA302"/>
  <sheetViews>
    <sheetView showGridLines="0" zoomScale="70" zoomScaleNormal="70" workbookViewId="0">
      <selection activeCell="C267" sqref="C26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2029</v>
      </c>
    </row>
    <row r="4" spans="1:9" ht="18.75" thickBot="1" x14ac:dyDescent="0.3">
      <c r="A4" s="162"/>
      <c r="B4" s="163" t="s">
        <v>102</v>
      </c>
      <c r="C4" s="164" t="s">
        <v>200</v>
      </c>
      <c r="D4" s="306">
        <f>('Premissas (BRA)'!E33)/1000</f>
        <v>2878.1044000105198</v>
      </c>
      <c r="E4" s="166" t="s">
        <v>103</v>
      </c>
      <c r="F4" s="162"/>
      <c r="G4" s="162"/>
      <c r="H4" s="177"/>
      <c r="I4" s="177"/>
    </row>
    <row r="5" spans="1:9" ht="18" x14ac:dyDescent="0.25">
      <c r="A5" s="148">
        <f>HLOOKUP($G$3,'Premissas (BRA)'!$B$5:$F$13,9,FALSE)</f>
        <v>0.7</v>
      </c>
      <c r="B5" s="149" t="s">
        <v>104</v>
      </c>
      <c r="C5" s="150" t="s">
        <v>201</v>
      </c>
      <c r="D5" s="307">
        <f>$A$5*$D$4</f>
        <v>2014.6730800073638</v>
      </c>
      <c r="E5" s="152" t="s">
        <v>105</v>
      </c>
      <c r="F5" s="153"/>
      <c r="G5" s="153"/>
      <c r="H5" s="177"/>
    </row>
    <row r="6" spans="1:9" ht="30" x14ac:dyDescent="0.25">
      <c r="A6" s="48"/>
      <c r="B6" s="154" t="s">
        <v>106</v>
      </c>
      <c r="C6" s="155" t="s">
        <v>202</v>
      </c>
      <c r="D6" s="308">
        <f>$C$34*'Premissas (BRA)'!$E$20</f>
        <v>13398380.172179898</v>
      </c>
      <c r="E6" s="154" t="s">
        <v>107</v>
      </c>
      <c r="F6" s="172">
        <f>F34</f>
        <v>499788775.49270535</v>
      </c>
      <c r="G6" s="40" t="s">
        <v>108</v>
      </c>
    </row>
    <row r="7" spans="1:9" ht="18.75" thickBot="1" x14ac:dyDescent="0.3">
      <c r="A7" s="157"/>
      <c r="B7" s="158" t="s">
        <v>109</v>
      </c>
      <c r="C7" s="159" t="s">
        <v>203</v>
      </c>
      <c r="D7" s="160">
        <f>$D$5/$D$6*1000</f>
        <v>0.15036691406850705</v>
      </c>
      <c r="E7" s="161" t="s">
        <v>110</v>
      </c>
      <c r="F7" s="309">
        <f>$D$5/$F$6*1000000</f>
        <v>4.0310490727232606</v>
      </c>
      <c r="G7" s="170" t="s">
        <v>15</v>
      </c>
      <c r="I7" s="177"/>
    </row>
    <row r="8" spans="1:9" ht="18" x14ac:dyDescent="0.25">
      <c r="A8" s="148">
        <f>1-A5</f>
        <v>0.30000000000000004</v>
      </c>
      <c r="B8" s="149" t="s">
        <v>111</v>
      </c>
      <c r="C8" s="150" t="s">
        <v>204</v>
      </c>
      <c r="D8" s="307">
        <f>$A$8*$D$4</f>
        <v>863.43132000315609</v>
      </c>
      <c r="E8" s="152" t="s">
        <v>105</v>
      </c>
      <c r="F8" s="173"/>
      <c r="G8" s="171"/>
    </row>
    <row r="9" spans="1:9" ht="30" x14ac:dyDescent="0.25">
      <c r="B9" s="154" t="s">
        <v>112</v>
      </c>
      <c r="C9" s="155" t="s">
        <v>205</v>
      </c>
      <c r="D9" s="308">
        <f>$C$57*'Premissas (BRA)'!$E$20</f>
        <v>7724100.7555445973</v>
      </c>
      <c r="E9" s="154" t="s">
        <v>107</v>
      </c>
      <c r="F9" s="172">
        <f>F57</f>
        <v>288125788.99735987</v>
      </c>
      <c r="G9" s="40" t="s">
        <v>108</v>
      </c>
    </row>
    <row r="10" spans="1:9" ht="18.75" thickBot="1" x14ac:dyDescent="0.3">
      <c r="A10" s="167"/>
      <c r="B10" s="158" t="s">
        <v>113</v>
      </c>
      <c r="C10" s="159" t="s">
        <v>206</v>
      </c>
      <c r="D10" s="160">
        <f>$D$8/$D$9*1000</f>
        <v>0.11178405711284366</v>
      </c>
      <c r="E10" s="161" t="s">
        <v>110</v>
      </c>
      <c r="F10" s="309">
        <f>$D$8/$F$9*1000000</f>
        <v>2.9967165487261114</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2029</v>
      </c>
      <c r="F21" s="376">
        <v>2029</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(BRA)'!F3</f>
        <v>11121.869070475715</v>
      </c>
      <c r="E24" s="60"/>
      <c r="F24" s="15">
        <f>IFERROR($C24*$H$19*'Premissas (BRA)'!$E$20*1000," ")</f>
        <v>151427532.0717288</v>
      </c>
      <c r="G24" s="49"/>
    </row>
    <row r="25" spans="1:9" x14ac:dyDescent="0.25">
      <c r="A25" s="2" t="s">
        <v>125</v>
      </c>
      <c r="B25" s="16" t="s">
        <v>26</v>
      </c>
      <c r="C25" s="231">
        <f>'Oferta (BRA)'!F4</f>
        <v>200</v>
      </c>
      <c r="E25" s="60"/>
      <c r="F25" s="15">
        <f>IFERROR($C25*$H$19*'Premissas (BRA)'!$E$20*1000," ")</f>
        <v>2723059.0670000003</v>
      </c>
      <c r="G25" s="49"/>
    </row>
    <row r="26" spans="1:9" x14ac:dyDescent="0.25">
      <c r="A26" s="2" t="s">
        <v>126</v>
      </c>
      <c r="B26" s="16" t="s">
        <v>411</v>
      </c>
      <c r="C26" s="231">
        <f>'Oferta (BRA)'!F5</f>
        <v>13564</v>
      </c>
      <c r="D26" s="18"/>
      <c r="E26" s="60"/>
      <c r="F26" s="15">
        <f>IFERROR($C26*$H$19*'Premissas (BRA)'!$E$20*1000," ")</f>
        <v>184677865.92394</v>
      </c>
      <c r="G26" s="49"/>
    </row>
    <row r="27" spans="1:9" x14ac:dyDescent="0.25">
      <c r="A27" s="2" t="s">
        <v>127</v>
      </c>
      <c r="B27" s="16" t="s">
        <v>388</v>
      </c>
      <c r="C27" s="231">
        <f>'Oferta (BRA)'!F6</f>
        <v>258</v>
      </c>
      <c r="D27" s="18"/>
      <c r="E27" s="60"/>
      <c r="F27" s="15">
        <f>IFERROR($C27*$H$19*'Premissas (BRA)'!$E$20*1000," ")</f>
        <v>3512746.19643</v>
      </c>
      <c r="G27" s="49"/>
    </row>
    <row r="28" spans="1:9" x14ac:dyDescent="0.25">
      <c r="A28" s="2" t="s">
        <v>128</v>
      </c>
      <c r="B28" s="16" t="s">
        <v>27</v>
      </c>
      <c r="C28" s="231">
        <f>'Oferta (BRA)'!F7</f>
        <v>0</v>
      </c>
      <c r="D28" s="18"/>
      <c r="E28" s="60"/>
      <c r="F28" s="15">
        <f>IFERROR($C28*$H$19*'Premissas (BRA)'!$E$20*1000," ")</f>
        <v>0</v>
      </c>
      <c r="G28" s="49"/>
    </row>
    <row r="29" spans="1:9" x14ac:dyDescent="0.25">
      <c r="A29" s="2" t="s">
        <v>183</v>
      </c>
      <c r="B29" s="16" t="s">
        <v>29</v>
      </c>
      <c r="C29" s="231">
        <f>'Oferta (BRA)'!F8</f>
        <v>0</v>
      </c>
      <c r="D29" s="18"/>
      <c r="E29" s="60"/>
      <c r="F29" s="15">
        <f>IFERROR($C29*$H$19*'Premissas (BRA)'!$E$20*1000," ")</f>
        <v>0</v>
      </c>
      <c r="G29" s="49"/>
    </row>
    <row r="30" spans="1:9" x14ac:dyDescent="0.25">
      <c r="A30" s="2" t="s">
        <v>129</v>
      </c>
      <c r="B30" s="16" t="s">
        <v>24</v>
      </c>
      <c r="C30" s="231">
        <f>'Oferta (BRA)'!F9</f>
        <v>7765.8207892267164</v>
      </c>
      <c r="D30" s="18"/>
      <c r="E30" s="60"/>
      <c r="F30" s="15">
        <f>IFERROR($C30*$H$19*'Premissas (BRA)'!$E$20*1000," ")</f>
        <v>105733943.56400453</v>
      </c>
      <c r="G30" s="49"/>
    </row>
    <row r="31" spans="1:9" x14ac:dyDescent="0.25">
      <c r="A31" s="2" t="s">
        <v>184</v>
      </c>
      <c r="B31" s="16" t="s">
        <v>194</v>
      </c>
      <c r="C31" s="231">
        <f>'Oferta (BRA)'!F10</f>
        <v>3398.2010229822185</v>
      </c>
      <c r="D31" s="18"/>
      <c r="E31" s="60"/>
      <c r="F31" s="15">
        <f>IFERROR($C31*$H$19*'Premissas (BRA)'!$E$20*1000," ")</f>
        <v>46267510.535602026</v>
      </c>
      <c r="G31" s="49"/>
    </row>
    <row r="32" spans="1:9" x14ac:dyDescent="0.25">
      <c r="A32" s="2" t="s">
        <v>130</v>
      </c>
      <c r="B32" s="16" t="s">
        <v>196</v>
      </c>
      <c r="C32" s="231">
        <f>'Oferta (BRA)'!F11</f>
        <v>200</v>
      </c>
      <c r="D32" s="18"/>
      <c r="E32" s="60"/>
      <c r="F32" s="15">
        <f>IFERROR($C32*$H$19*'Premissas (BRA)'!$E$20*1000," ")</f>
        <v>2723059.0670000003</v>
      </c>
      <c r="G32" s="49"/>
    </row>
    <row r="33" spans="1:8" x14ac:dyDescent="0.25">
      <c r="A33" s="2" t="s">
        <v>131</v>
      </c>
      <c r="B33" s="16" t="s">
        <v>195</v>
      </c>
      <c r="C33" s="231">
        <f>'Oferta (BRA)'!F12</f>
        <v>200</v>
      </c>
      <c r="D33" s="18"/>
      <c r="E33" s="60"/>
      <c r="F33" s="15">
        <f>IFERROR($C33*$H$19*'Premissas (BRA)'!$E$20*1000," ")</f>
        <v>2723059.0670000003</v>
      </c>
      <c r="G33" s="49"/>
    </row>
    <row r="34" spans="1:8" x14ac:dyDescent="0.25">
      <c r="C34" s="61">
        <f>SUM(C24:C33)</f>
        <v>36707.890882684653</v>
      </c>
      <c r="D34" s="61"/>
      <c r="E34" s="60"/>
      <c r="F34" s="61">
        <f>SUM(F24:F33)</f>
        <v>499788775.49270535</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2029</v>
      </c>
      <c r="F38" s="376">
        <v>2029</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(BRA)'!F3</f>
        <v>83.95934449000282</v>
      </c>
      <c r="F41" s="15">
        <f>IFERROR($C41*$H$19*'Premissas (BRA)'!$E$20*1000," ")</f>
        <v>1143131.2713643934</v>
      </c>
      <c r="G41" s="49"/>
    </row>
    <row r="42" spans="1:8" x14ac:dyDescent="0.25">
      <c r="A42" s="2" t="s">
        <v>38</v>
      </c>
      <c r="B42" s="16" t="s">
        <v>161</v>
      </c>
      <c r="C42" s="231">
        <f>'Demanda (BRA)'!F4</f>
        <v>1358.5951793648003</v>
      </c>
      <c r="F42" s="15">
        <f>IFERROR($C42*$H$19*'Premissas (BRA)'!$E$20*1000," ")</f>
        <v>18497674.607759055</v>
      </c>
      <c r="G42" s="49"/>
    </row>
    <row r="43" spans="1:8" x14ac:dyDescent="0.25">
      <c r="A43" s="2" t="s">
        <v>39</v>
      </c>
      <c r="B43" s="16" t="s">
        <v>162</v>
      </c>
      <c r="C43" s="231">
        <f>'Demanda (BRA)'!F5</f>
        <v>1591.1855708262167</v>
      </c>
      <c r="D43" s="18"/>
      <c r="F43" s="15">
        <f>IFERROR($C43*$H$19*'Premissas (BRA)'!$E$20*1000," ")</f>
        <v>21664461.4795895</v>
      </c>
      <c r="G43" s="49"/>
    </row>
    <row r="44" spans="1:8" x14ac:dyDescent="0.25">
      <c r="A44" s="2" t="s">
        <v>40</v>
      </c>
      <c r="B44" s="16" t="s">
        <v>163</v>
      </c>
      <c r="C44" s="231">
        <f>'Demanda (BRA)'!F6</f>
        <v>257.90539079715882</v>
      </c>
      <c r="D44" s="18"/>
      <c r="F44" s="15">
        <f>IFERROR($C44*$H$19*'Premissas (BRA)'!$E$20*1000," ")</f>
        <v>3511458.0641919076</v>
      </c>
      <c r="G44" s="49"/>
    </row>
    <row r="45" spans="1:8" x14ac:dyDescent="0.25">
      <c r="A45" s="2" t="s">
        <v>41</v>
      </c>
      <c r="B45" s="16" t="s">
        <v>164</v>
      </c>
      <c r="C45" s="231">
        <f>'Demanda (BRA)'!F7</f>
        <v>4113.6189497552796</v>
      </c>
      <c r="D45" s="18"/>
      <c r="F45" s="15">
        <f>IFERROR($C45*$H$19*'Premissas (BRA)'!$E$20*1000," ")</f>
        <v>56008136.89657066</v>
      </c>
      <c r="G45" s="49"/>
    </row>
    <row r="46" spans="1:8" x14ac:dyDescent="0.25">
      <c r="A46" s="2" t="s">
        <v>42</v>
      </c>
      <c r="B46" s="16" t="s">
        <v>165</v>
      </c>
      <c r="C46" s="231">
        <f>'Demanda (BRA)'!F8</f>
        <v>1671.5160482445838</v>
      </c>
      <c r="D46" s="18"/>
      <c r="F46" s="15">
        <f>IFERROR($C46*$H$19*'Premissas (BRA)'!$E$20*1000," ")</f>
        <v>22758184.654042114</v>
      </c>
      <c r="G46" s="49"/>
    </row>
    <row r="47" spans="1:8" x14ac:dyDescent="0.25">
      <c r="A47" s="2" t="s">
        <v>43</v>
      </c>
      <c r="B47" s="16" t="s">
        <v>166</v>
      </c>
      <c r="C47" s="231">
        <f>'Demanda (BRA)'!F9</f>
        <v>1497.3761894156601</v>
      </c>
      <c r="D47" s="18"/>
      <c r="F47" s="15">
        <f>IFERROR($C47*$H$19*'Premissas (BRA)'!$E$20*1000," ")</f>
        <v>20387219.046491113</v>
      </c>
      <c r="G47" s="49"/>
    </row>
    <row r="48" spans="1:8" x14ac:dyDescent="0.25">
      <c r="A48" s="2" t="s">
        <v>44</v>
      </c>
      <c r="B48" s="16" t="s">
        <v>167</v>
      </c>
      <c r="C48" s="231">
        <f>'Demanda (BRA)'!F10</f>
        <v>275.11051045873194</v>
      </c>
      <c r="D48" s="18"/>
      <c r="F48" s="15">
        <f>IFERROR($C48*$H$19*'Premissas (BRA)'!$E$20*1000," ")</f>
        <v>3745710.8496582415</v>
      </c>
      <c r="G48" s="49"/>
    </row>
    <row r="49" spans="1:9" x14ac:dyDescent="0.25">
      <c r="A49" s="2" t="s">
        <v>45</v>
      </c>
      <c r="B49" s="16" t="s">
        <v>168</v>
      </c>
      <c r="C49" s="231">
        <f>'Demanda (BRA)'!F11</f>
        <v>695.99981184318472</v>
      </c>
      <c r="D49" s="18"/>
      <c r="F49" s="15">
        <f>IFERROR($C49*$H$19*'Premissas (BRA)'!$E$20*1000," ")</f>
        <v>9476242.9913493898</v>
      </c>
      <c r="G49" s="49"/>
    </row>
    <row r="50" spans="1:9" x14ac:dyDescent="0.25">
      <c r="A50" s="2" t="s">
        <v>46</v>
      </c>
      <c r="B50" s="16" t="s">
        <v>169</v>
      </c>
      <c r="C50" s="231">
        <f>'Demanda (BRA)'!F12</f>
        <v>994.60300359473592</v>
      </c>
      <c r="D50" s="18"/>
      <c r="F50" s="15">
        <f>IFERROR($C50*$H$19*'Premissas (BRA)'!$E$20*1000," ")</f>
        <v>13541813.635020396</v>
      </c>
      <c r="G50" s="49"/>
    </row>
    <row r="51" spans="1:9" x14ac:dyDescent="0.25">
      <c r="A51" s="2" t="s">
        <v>47</v>
      </c>
      <c r="B51" s="16" t="s">
        <v>170</v>
      </c>
      <c r="C51" s="231">
        <f>'Demanda (BRA)'!F13</f>
        <v>2460.3528578351988</v>
      </c>
      <c r="D51" s="18"/>
      <c r="F51" s="15">
        <f>IFERROR($C51*$H$19*'Premissas (BRA)'!$E$20*1000," ")</f>
        <v>33498430.787737504</v>
      </c>
      <c r="G51" s="49"/>
    </row>
    <row r="52" spans="1:9" x14ac:dyDescent="0.25">
      <c r="A52" s="2" t="s">
        <v>48</v>
      </c>
      <c r="B52" s="16" t="s">
        <v>171</v>
      </c>
      <c r="C52" s="231">
        <f>'Demanda (BRA)'!F14</f>
        <v>1008.3686134701056</v>
      </c>
      <c r="D52" s="18"/>
      <c r="F52" s="15">
        <f>IFERROR($C52*$H$19*'Premissas (BRA)'!$E$20*1000," ")</f>
        <v>13729236.478939947</v>
      </c>
      <c r="G52" s="49"/>
    </row>
    <row r="53" spans="1:9" x14ac:dyDescent="0.25">
      <c r="A53" s="2" t="s">
        <v>49</v>
      </c>
      <c r="B53" s="16" t="s">
        <v>172</v>
      </c>
      <c r="C53" s="231">
        <f>'Demanda (BRA)'!F15</f>
        <v>1318.069593111717</v>
      </c>
      <c r="D53" s="18"/>
      <c r="F53" s="15">
        <f>IFERROR($C53*$H$19*'Premissas (BRA)'!$E$20*1000," ")</f>
        <v>17945906.78229931</v>
      </c>
      <c r="G53" s="49"/>
    </row>
    <row r="54" spans="1:9" x14ac:dyDescent="0.25">
      <c r="A54" s="2" t="s">
        <v>50</v>
      </c>
      <c r="B54" s="16" t="s">
        <v>199</v>
      </c>
      <c r="C54" s="231">
        <f>'Demanda (BRA)'!F16</f>
        <v>0</v>
      </c>
      <c r="D54" s="18"/>
      <c r="F54" s="15">
        <f>IFERROR($C54*$H$19*'Premissas (BRA)'!$E$20*1000," ")</f>
        <v>0</v>
      </c>
      <c r="G54" s="49"/>
    </row>
    <row r="55" spans="1:9" x14ac:dyDescent="0.25">
      <c r="A55" s="2" t="s">
        <v>51</v>
      </c>
      <c r="B55" s="16" t="s">
        <v>198</v>
      </c>
      <c r="C55" s="231">
        <f>'Demanda (BRA)'!F17</f>
        <v>3635.2588149970047</v>
      </c>
      <c r="D55" s="18"/>
      <c r="F55" s="15">
        <f>IFERROR($C55*$H$19*'Premissas (BRA)'!$E$20*1000," ")</f>
        <v>49495122.385346346</v>
      </c>
      <c r="G55" s="49"/>
    </row>
    <row r="56" spans="1:9" x14ac:dyDescent="0.25">
      <c r="A56" s="2" t="s">
        <v>52</v>
      </c>
      <c r="B56" s="16" t="s">
        <v>197</v>
      </c>
      <c r="C56" s="231">
        <f>'Demanda (BRA)'!F18</f>
        <v>200</v>
      </c>
      <c r="D56" s="18"/>
      <c r="F56" s="15">
        <f>IFERROR($C56*$H$19*'Premissas (BRA)'!$E$20*1000," ")</f>
        <v>2723059.0670000003</v>
      </c>
      <c r="G56" s="49"/>
    </row>
    <row r="57" spans="1:9" x14ac:dyDescent="0.25">
      <c r="C57" s="61">
        <f>SUM(C41:C56)</f>
        <v>21161.919878204375</v>
      </c>
      <c r="D57" s="61"/>
      <c r="F57" s="61">
        <f>SUM(F41:F56)</f>
        <v>288125788.99735987</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0.30298305903818551</v>
      </c>
      <c r="C99" s="8"/>
      <c r="D99" t="s">
        <v>232</v>
      </c>
      <c r="E99" s="66">
        <f t="shared" ref="E99:E114" si="2">F41/$F$57</f>
        <v>3.9674729406983696E-3</v>
      </c>
      <c r="G99" s="65" t="s">
        <v>140</v>
      </c>
      <c r="H99" s="67">
        <f>F24/$F$34</f>
        <v>0.30298305903818551</v>
      </c>
      <c r="I99" s="67">
        <f>F25/$F$34</f>
        <v>5.4484198135813173E-3</v>
      </c>
      <c r="J99" s="67">
        <f>$F26/$F$34</f>
        <v>0.36951183175708485</v>
      </c>
      <c r="K99" s="67">
        <f>$F27/$F$34</f>
        <v>7.028461559519898E-3</v>
      </c>
      <c r="L99" s="67">
        <f>$F28/$F$34</f>
        <v>0</v>
      </c>
      <c r="M99" s="67">
        <f>$F29/$F$34</f>
        <v>0</v>
      </c>
      <c r="N99" s="67">
        <f>$F30/$F$34</f>
        <v>0.21155725928372268</v>
      </c>
      <c r="O99" s="67">
        <f>$F31/$F$34</f>
        <v>9.2574128920743085E-2</v>
      </c>
      <c r="P99" s="67">
        <f>$F32/$F$34</f>
        <v>5.4484198135813173E-3</v>
      </c>
      <c r="Q99" s="67">
        <f>$F33/$F$34</f>
        <v>5.4484198135813173E-3</v>
      </c>
      <c r="R99" s="67">
        <f>SUM(H99:Q99)</f>
        <v>1</v>
      </c>
      <c r="S99" s="66"/>
      <c r="T99" s="66"/>
      <c r="U99" s="66"/>
      <c r="V99" s="66"/>
      <c r="W99" s="66"/>
    </row>
    <row r="100" spans="1:27" ht="18" x14ac:dyDescent="0.35">
      <c r="A100" t="s">
        <v>223</v>
      </c>
      <c r="B100" s="68">
        <f t="shared" si="1"/>
        <v>5.4484198135813173E-3</v>
      </c>
      <c r="C100" s="4"/>
      <c r="D100" t="s">
        <v>233</v>
      </c>
      <c r="E100" s="66">
        <f t="shared" si="2"/>
        <v>6.4199996370087345E-2</v>
      </c>
    </row>
    <row r="101" spans="1:27" ht="18" x14ac:dyDescent="0.35">
      <c r="A101" t="s">
        <v>224</v>
      </c>
      <c r="B101" s="68">
        <f t="shared" si="1"/>
        <v>0.36951183175708485</v>
      </c>
      <c r="C101" s="4"/>
      <c r="D101" t="s">
        <v>234</v>
      </c>
      <c r="E101" s="66">
        <f t="shared" si="2"/>
        <v>7.5190983615104345E-2</v>
      </c>
      <c r="G101" s="66"/>
    </row>
    <row r="102" spans="1:27" ht="18" x14ac:dyDescent="0.35">
      <c r="A102" t="s">
        <v>225</v>
      </c>
      <c r="B102" s="68">
        <f t="shared" si="1"/>
        <v>7.028461559519898E-3</v>
      </c>
      <c r="C102" s="4"/>
      <c r="D102" t="s">
        <v>235</v>
      </c>
      <c r="E102" s="66">
        <f t="shared" si="2"/>
        <v>1.218723973446224E-2</v>
      </c>
      <c r="G102" s="66"/>
      <c r="H102" s="68"/>
      <c r="I102" s="68"/>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7.8986975561047917E-2</v>
      </c>
      <c r="G104" s="66"/>
      <c r="H104" s="68"/>
      <c r="I104" s="68"/>
    </row>
    <row r="105" spans="1:27" ht="18" x14ac:dyDescent="0.35">
      <c r="A105" t="s">
        <v>228</v>
      </c>
      <c r="B105" s="68">
        <f t="shared" si="1"/>
        <v>0.21155725928372268</v>
      </c>
      <c r="C105" s="4"/>
      <c r="D105" t="s">
        <v>238</v>
      </c>
      <c r="E105" s="66">
        <f t="shared" si="2"/>
        <v>7.0758050216316884E-2</v>
      </c>
      <c r="G105" s="66"/>
      <c r="H105" s="68"/>
      <c r="I105" s="68"/>
    </row>
    <row r="106" spans="1:27" ht="18" x14ac:dyDescent="0.35">
      <c r="A106" t="s">
        <v>229</v>
      </c>
      <c r="B106" s="68">
        <f t="shared" si="1"/>
        <v>9.2574128920743085E-2</v>
      </c>
      <c r="C106" s="4"/>
      <c r="D106" t="s">
        <v>239</v>
      </c>
      <c r="E106" s="66">
        <f t="shared" si="2"/>
        <v>1.3000262360036657E-2</v>
      </c>
      <c r="G106" s="66"/>
      <c r="H106" s="68"/>
      <c r="I106" s="68"/>
    </row>
    <row r="107" spans="1:27" ht="18" x14ac:dyDescent="0.35">
      <c r="A107" t="s">
        <v>230</v>
      </c>
      <c r="B107" s="68">
        <f t="shared" si="1"/>
        <v>5.4484198135813173E-3</v>
      </c>
      <c r="C107" s="4"/>
      <c r="D107" t="s">
        <v>240</v>
      </c>
      <c r="E107" s="66">
        <f t="shared" si="2"/>
        <v>3.2889256544252697E-2</v>
      </c>
      <c r="G107" s="66"/>
      <c r="H107" s="68"/>
      <c r="I107" s="68"/>
    </row>
    <row r="108" spans="1:27" ht="18" x14ac:dyDescent="0.35">
      <c r="A108" t="s">
        <v>231</v>
      </c>
      <c r="B108" s="68">
        <f t="shared" si="1"/>
        <v>5.4484198135813173E-3</v>
      </c>
      <c r="D108" t="s">
        <v>241</v>
      </c>
      <c r="E108" s="66">
        <f t="shared" si="2"/>
        <v>4.6999658316404576E-2</v>
      </c>
      <c r="G108" s="66"/>
    </row>
    <row r="109" spans="1:27" ht="18" x14ac:dyDescent="0.35">
      <c r="B109" s="68">
        <f>SUM(B99:B108)</f>
        <v>1</v>
      </c>
      <c r="D109" t="s">
        <v>242</v>
      </c>
      <c r="E109" s="66">
        <f t="shared" si="2"/>
        <v>0.11626321581385571</v>
      </c>
      <c r="G109" s="66"/>
    </row>
    <row r="110" spans="1:27" ht="18" x14ac:dyDescent="0.35">
      <c r="B110" s="68"/>
      <c r="D110" t="s">
        <v>243</v>
      </c>
      <c r="E110" s="66">
        <f t="shared" si="2"/>
        <v>4.7650147967371811E-2</v>
      </c>
      <c r="G110" s="66"/>
    </row>
    <row r="111" spans="1:27" ht="18" x14ac:dyDescent="0.35">
      <c r="B111" s="68"/>
      <c r="D111" t="s">
        <v>244</v>
      </c>
      <c r="E111" s="66">
        <f t="shared" si="2"/>
        <v>6.228497228501733E-2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9.4509383435474152E-3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387.07954179170122</v>
      </c>
    </row>
    <row r="131" spans="1:5" ht="18" x14ac:dyDescent="0.35">
      <c r="A131" t="s">
        <v>254</v>
      </c>
      <c r="B131" s="66">
        <f ca="1">SUMPRODUCT($E$99:$E$114,D$67:D$82)</f>
        <v>282.93744338444242</v>
      </c>
      <c r="C131" s="70"/>
      <c r="D131" t="s">
        <v>255</v>
      </c>
      <c r="E131" s="4">
        <f t="shared" ref="E131:E145" ca="1" si="3">SUMPRODUCT($H$99:$Q$99,$C68:$L68)</f>
        <v>484.24354179170115</v>
      </c>
    </row>
    <row r="132" spans="1:5" ht="18" x14ac:dyDescent="0.35">
      <c r="A132" t="s">
        <v>256</v>
      </c>
      <c r="B132" s="66">
        <f ca="1">SUMPRODUCT($E$99:$E$114,E$67:E$82)</f>
        <v>321.04260610518725</v>
      </c>
      <c r="C132" s="70"/>
      <c r="D132" t="s">
        <v>257</v>
      </c>
      <c r="E132" s="4">
        <f t="shared" ca="1" si="3"/>
        <v>601.40874179170112</v>
      </c>
    </row>
    <row r="133" spans="1:5" ht="18" x14ac:dyDescent="0.35">
      <c r="A133" t="s">
        <v>258</v>
      </c>
      <c r="B133" s="66">
        <f ca="1">SUMPRODUCT($E$99:$E$114,F$67:F$82)</f>
        <v>382.5879665558885</v>
      </c>
      <c r="C133" s="70"/>
      <c r="D133" t="s">
        <v>259</v>
      </c>
      <c r="E133" s="4">
        <f t="shared" ca="1" si="3"/>
        <v>564.41001328397806</v>
      </c>
    </row>
    <row r="134" spans="1:5" ht="18" x14ac:dyDescent="0.35">
      <c r="A134" t="s">
        <v>260</v>
      </c>
      <c r="B134" s="66">
        <f ca="1">SUMPRODUCT($E$99:$E$114,G$67:G$82)</f>
        <v>263.66286997668777</v>
      </c>
      <c r="C134" s="70"/>
      <c r="D134" t="s">
        <v>261</v>
      </c>
      <c r="E134" s="4">
        <f t="shared" ca="1" si="3"/>
        <v>240.10077571158112</v>
      </c>
    </row>
    <row r="135" spans="1:5" ht="18" x14ac:dyDescent="0.35">
      <c r="A135" t="s">
        <v>262</v>
      </c>
      <c r="B135" s="66">
        <f ca="1">SUMPRODUCT($E$99:$E$114,H$67:H$82)</f>
        <v>386.36871750115944</v>
      </c>
      <c r="C135" s="70"/>
      <c r="D135" t="s">
        <v>263</v>
      </c>
      <c r="E135" s="4">
        <f t="shared" ca="1" si="3"/>
        <v>226.75833749415148</v>
      </c>
    </row>
    <row r="136" spans="1:5" ht="18" x14ac:dyDescent="0.35">
      <c r="A136" t="s">
        <v>264</v>
      </c>
      <c r="B136" s="66">
        <f ca="1">SUMPRODUCT($E$99:$E$114,I$67:I$82)</f>
        <v>432.57823816543032</v>
      </c>
      <c r="D136" t="s">
        <v>265</v>
      </c>
      <c r="E136" s="4">
        <f t="shared" ca="1" si="3"/>
        <v>236.40511083257584</v>
      </c>
    </row>
    <row r="137" spans="1:5" ht="18" x14ac:dyDescent="0.35">
      <c r="A137" t="s">
        <v>266</v>
      </c>
      <c r="B137" s="66">
        <f ca="1">SUMPRODUCT($E$99:$E$114,J$67:J$82)</f>
        <v>299.60156188365494</v>
      </c>
      <c r="D137" t="s">
        <v>267</v>
      </c>
      <c r="E137" s="4">
        <f t="shared" ca="1" si="3"/>
        <v>246.76082506191898</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276.35074371959456</v>
      </c>
    </row>
    <row r="141" spans="1:5" ht="18" x14ac:dyDescent="0.35">
      <c r="B141" s="66"/>
      <c r="D141" t="s">
        <v>273</v>
      </c>
      <c r="E141" s="4">
        <f t="shared" ca="1" si="3"/>
        <v>378.76044577280231</v>
      </c>
    </row>
    <row r="142" spans="1:5" ht="18" x14ac:dyDescent="0.35">
      <c r="B142" s="66"/>
      <c r="D142" t="s">
        <v>274</v>
      </c>
      <c r="E142" s="4">
        <f t="shared" ca="1" si="3"/>
        <v>414.35744691016907</v>
      </c>
    </row>
    <row r="143" spans="1:5" ht="18" x14ac:dyDescent="0.35">
      <c r="B143" s="66"/>
      <c r="D143" t="s">
        <v>275</v>
      </c>
      <c r="E143" s="4">
        <f t="shared" si="3"/>
        <v>309.02044691016908</v>
      </c>
    </row>
    <row r="144" spans="1:5" ht="18" x14ac:dyDescent="0.35">
      <c r="B144" s="66"/>
      <c r="D144" t="s">
        <v>276</v>
      </c>
      <c r="E144" s="4">
        <f t="shared" si="3"/>
        <v>470.6440132839781</v>
      </c>
    </row>
    <row r="145" spans="1:5" ht="18" x14ac:dyDescent="0.35">
      <c r="B145" s="66"/>
      <c r="D145" t="s">
        <v>277</v>
      </c>
      <c r="E145" s="4">
        <f t="shared" si="3"/>
        <v>292.07370007863966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0.29597092688082333</v>
      </c>
      <c r="C162" s="13"/>
      <c r="D162" t="s">
        <v>283</v>
      </c>
      <c r="E162" s="71">
        <f t="shared" ref="E162:E177" ca="1" si="5">($F41*$E130)/SUMPRODUCT($F$41:$F$56,$E$130:$E$145)</f>
        <v>4.3852799120701544E-3</v>
      </c>
    </row>
    <row r="163" spans="1:9" ht="18" x14ac:dyDescent="0.35">
      <c r="A163" t="s">
        <v>284</v>
      </c>
      <c r="B163" s="71">
        <f t="shared" ca="1" si="4"/>
        <v>4.4019399770937034E-3</v>
      </c>
      <c r="C163" s="4"/>
      <c r="D163" t="s">
        <v>285</v>
      </c>
      <c r="E163" s="71">
        <f t="shared" ca="1" si="5"/>
        <v>8.8773219136179443E-2</v>
      </c>
    </row>
    <row r="164" spans="1:9" ht="18" x14ac:dyDescent="0.35">
      <c r="A164" t="s">
        <v>286</v>
      </c>
      <c r="B164" s="71">
        <f t="shared" ca="1" si="4"/>
        <v>0.33874597928767747</v>
      </c>
      <c r="C164" s="4"/>
      <c r="D164" t="s">
        <v>287</v>
      </c>
      <c r="E164" s="71">
        <f t="shared" ca="1" si="5"/>
        <v>0.12912746658844282</v>
      </c>
      <c r="H164" s="72"/>
      <c r="I164" s="72"/>
    </row>
    <row r="165" spans="1:9" ht="18" x14ac:dyDescent="0.35">
      <c r="A165" t="s">
        <v>288</v>
      </c>
      <c r="B165" s="71">
        <f t="shared" ca="1" si="4"/>
        <v>7.6784702848935304E-3</v>
      </c>
      <c r="C165" s="4"/>
      <c r="D165" t="s">
        <v>289</v>
      </c>
      <c r="E165" s="71">
        <f t="shared" ca="1" si="5"/>
        <v>1.9641886271158159E-2</v>
      </c>
    </row>
    <row r="166" spans="1:9" ht="18" x14ac:dyDescent="0.35">
      <c r="A166" t="s">
        <v>290</v>
      </c>
      <c r="B166" s="71">
        <f t="shared" ca="1" si="4"/>
        <v>0</v>
      </c>
      <c r="C166" s="4"/>
      <c r="D166" t="s">
        <v>291</v>
      </c>
      <c r="E166" s="71">
        <f t="shared" ca="1" si="5"/>
        <v>0.13327407753006018</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7.9198477926975666E-2</v>
      </c>
      <c r="C169" s="4"/>
      <c r="D169" t="s">
        <v>297</v>
      </c>
      <c r="E169" s="71">
        <f t="shared" ca="1" si="5"/>
        <v>9.1603371528331742E-3</v>
      </c>
    </row>
    <row r="170" spans="1:9" ht="18" x14ac:dyDescent="0.35">
      <c r="A170" t="s">
        <v>298</v>
      </c>
      <c r="B170" s="71">
        <f t="shared" ca="1" si="4"/>
        <v>5.9523025464290943E-3</v>
      </c>
      <c r="D170" t="s">
        <v>299</v>
      </c>
      <c r="E170" s="71">
        <f t="shared" ca="1" si="5"/>
        <v>2.2447266066533016E-2</v>
      </c>
    </row>
    <row r="171" spans="1:9" ht="18" x14ac:dyDescent="0.35">
      <c r="A171" t="s">
        <v>300</v>
      </c>
      <c r="B171" s="71">
        <f t="shared" ca="1" si="4"/>
        <v>6.7300510565999972E-3</v>
      </c>
      <c r="D171" t="s">
        <v>301</v>
      </c>
      <c r="E171" s="71">
        <f t="shared" ca="1" si="5"/>
        <v>3.8556314841768372E-2</v>
      </c>
    </row>
    <row r="172" spans="1:9" ht="18" x14ac:dyDescent="0.35">
      <c r="B172" s="175">
        <f ca="1">SUM(B162:B171)</f>
        <v>1.0000000000000002</v>
      </c>
      <c r="D172" t="s">
        <v>302</v>
      </c>
      <c r="E172" s="71">
        <f t="shared" ca="1" si="5"/>
        <v>9.1745779905480565E-2</v>
      </c>
    </row>
    <row r="173" spans="1:9" ht="18" x14ac:dyDescent="0.35">
      <c r="B173" s="71"/>
      <c r="D173" t="s">
        <v>303</v>
      </c>
      <c r="E173" s="71">
        <f t="shared" ca="1" si="5"/>
        <v>5.1536153433999747E-2</v>
      </c>
    </row>
    <row r="174" spans="1:9" ht="18" x14ac:dyDescent="0.35">
      <c r="B174" s="71"/>
      <c r="D174" t="s">
        <v>304</v>
      </c>
      <c r="E174" s="71">
        <f t="shared" ca="1" si="5"/>
        <v>7.3695598781305993E-2</v>
      </c>
    </row>
    <row r="175" spans="1:9" ht="18" x14ac:dyDescent="0.35">
      <c r="B175" s="71"/>
      <c r="D175" t="s">
        <v>305</v>
      </c>
      <c r="E175" s="71">
        <f t="shared" ca="1" si="5"/>
        <v>0</v>
      </c>
    </row>
    <row r="176" spans="1:9" ht="18" x14ac:dyDescent="0.35">
      <c r="B176" s="71"/>
      <c r="D176" t="s">
        <v>306</v>
      </c>
      <c r="E176" s="71">
        <f t="shared" ca="1" si="5"/>
        <v>0.23086385167581194</v>
      </c>
    </row>
    <row r="177" spans="1:5" ht="18" x14ac:dyDescent="0.35">
      <c r="B177" s="71"/>
      <c r="D177" t="s">
        <v>307</v>
      </c>
      <c r="E177" s="71">
        <f t="shared" ca="1" si="5"/>
        <v>7.882255536523752E-3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596.28465885162257</v>
      </c>
      <c r="C193" s="19"/>
      <c r="D193" t="s">
        <v>311</v>
      </c>
      <c r="E193" s="5">
        <f t="shared" ref="E193:E208" ca="1" si="7">$E162*$D$8</f>
        <v>3.7863880230620577</v>
      </c>
    </row>
    <row r="194" spans="1:5" ht="18" x14ac:dyDescent="0.35">
      <c r="A194" t="s">
        <v>312</v>
      </c>
      <c r="B194" s="6">
        <f t="shared" ca="1" si="6"/>
        <v>8.8684699716589162</v>
      </c>
      <c r="D194" t="s">
        <v>313</v>
      </c>
      <c r="E194" s="5">
        <f t="shared" ca="1" si="7"/>
        <v>76.649577779680854</v>
      </c>
    </row>
    <row r="195" spans="1:5" ht="18" x14ac:dyDescent="0.35">
      <c r="A195" t="s">
        <v>314</v>
      </c>
      <c r="B195" s="6">
        <f t="shared" ca="1" si="6"/>
        <v>682.46240543161582</v>
      </c>
      <c r="D195" t="s">
        <v>315</v>
      </c>
      <c r="E195" s="5">
        <f t="shared" ca="1" si="7"/>
        <v>111.49269892512261</v>
      </c>
    </row>
    <row r="196" spans="1:5" ht="18" x14ac:dyDescent="0.35">
      <c r="A196" t="s">
        <v>316</v>
      </c>
      <c r="B196" s="6">
        <f t="shared" ca="1" si="6"/>
        <v>15.469607378611469</v>
      </c>
      <c r="D196" t="s">
        <v>317</v>
      </c>
      <c r="E196" s="5">
        <f t="shared" ca="1" si="7"/>
        <v>16.959419790457957</v>
      </c>
    </row>
    <row r="197" spans="1:5" ht="18" x14ac:dyDescent="0.35">
      <c r="A197" t="s">
        <v>318</v>
      </c>
      <c r="B197" s="6">
        <f t="shared" ca="1" si="6"/>
        <v>0</v>
      </c>
      <c r="D197" t="s">
        <v>319</v>
      </c>
      <c r="E197" s="5">
        <f t="shared" ca="1" si="7"/>
        <v>115.07301268398282</v>
      </c>
    </row>
    <row r="198" spans="1:5" ht="18" x14ac:dyDescent="0.35">
      <c r="A198" t="s">
        <v>320</v>
      </c>
      <c r="B198" s="6">
        <f t="shared" ca="1" si="6"/>
        <v>0</v>
      </c>
      <c r="D198" t="s">
        <v>321</v>
      </c>
      <c r="E198" s="5">
        <f t="shared" ca="1" si="7"/>
        <v>44.160062066966539</v>
      </c>
    </row>
    <row r="199" spans="1:5" ht="18" x14ac:dyDescent="0.35">
      <c r="A199" t="s">
        <v>322</v>
      </c>
      <c r="B199" s="6">
        <f t="shared" ca="1" si="6"/>
        <v>526.47810052166301</v>
      </c>
      <c r="D199" t="s">
        <v>323</v>
      </c>
      <c r="E199" s="5">
        <f t="shared" ca="1" si="7"/>
        <v>41.24237287972489</v>
      </c>
    </row>
    <row r="200" spans="1:5" ht="18" x14ac:dyDescent="0.35">
      <c r="A200" t="s">
        <v>324</v>
      </c>
      <c r="B200" s="6">
        <f t="shared" ca="1" si="6"/>
        <v>159.55904145703528</v>
      </c>
      <c r="D200" t="s">
        <v>325</v>
      </c>
      <c r="E200" s="5">
        <f t="shared" ca="1" si="7"/>
        <v>7.9093219995447006</v>
      </c>
    </row>
    <row r="201" spans="1:5" ht="18" x14ac:dyDescent="0.35">
      <c r="A201" t="s">
        <v>326</v>
      </c>
      <c r="B201" s="6">
        <f t="shared" ca="1" si="6"/>
        <v>11.991943704349978</v>
      </c>
      <c r="D201" t="s">
        <v>327</v>
      </c>
      <c r="E201" s="5">
        <f t="shared" ca="1" si="7"/>
        <v>19.381672570288654</v>
      </c>
    </row>
    <row r="202" spans="1:5" ht="18" x14ac:dyDescent="0.35">
      <c r="A202" t="s">
        <v>328</v>
      </c>
      <c r="B202" s="6">
        <f t="shared" ca="1" si="6"/>
        <v>13.558852690807129</v>
      </c>
      <c r="D202" t="s">
        <v>329</v>
      </c>
      <c r="E202" s="5">
        <f t="shared" ca="1" si="7"/>
        <v>33.290729818285342</v>
      </c>
    </row>
    <row r="203" spans="1:5" ht="18" x14ac:dyDescent="0.35">
      <c r="B203" s="6">
        <f ca="1">SUM(B193:B202)</f>
        <v>2014.673080007364</v>
      </c>
      <c r="D203" t="s">
        <v>330</v>
      </c>
      <c r="E203" s="5">
        <f t="shared" ca="1" si="7"/>
        <v>79.216179848508119</v>
      </c>
    </row>
    <row r="204" spans="1:5" ht="18" x14ac:dyDescent="0.35">
      <c r="B204" s="6"/>
      <c r="D204" t="s">
        <v>331</v>
      </c>
      <c r="E204" s="5">
        <f t="shared" ca="1" si="7"/>
        <v>44.49792898740359</v>
      </c>
    </row>
    <row r="205" spans="1:5" ht="18" x14ac:dyDescent="0.35">
      <c r="B205" s="6"/>
      <c r="D205" t="s">
        <v>332</v>
      </c>
      <c r="E205" s="5">
        <f t="shared" ca="1" si="7"/>
        <v>63.631088134166014</v>
      </c>
    </row>
    <row r="206" spans="1:5" ht="18" x14ac:dyDescent="0.35">
      <c r="B206" s="6"/>
      <c r="D206" t="s">
        <v>333</v>
      </c>
      <c r="E206" s="5">
        <f t="shared" ca="1" si="7"/>
        <v>0</v>
      </c>
    </row>
    <row r="207" spans="1:5" ht="18" x14ac:dyDescent="0.35">
      <c r="B207" s="6"/>
      <c r="D207" t="s">
        <v>334</v>
      </c>
      <c r="E207" s="5">
        <f t="shared" ca="1" si="7"/>
        <v>199.33508019345913</v>
      </c>
    </row>
    <row r="208" spans="1:5" ht="18" x14ac:dyDescent="0.35">
      <c r="B208" s="6"/>
      <c r="D208" t="s">
        <v>335</v>
      </c>
      <c r="E208" s="5">
        <f t="shared" ca="1" si="7"/>
        <v>6.8057863025028889</v>
      </c>
    </row>
    <row r="209" spans="1:5" x14ac:dyDescent="0.25">
      <c r="B209" s="6"/>
      <c r="E209" s="5">
        <f ca="1">SUM(E193:E208)</f>
        <v>863.43132000315609</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3.9377559066945107</v>
      </c>
      <c r="D226" s="77"/>
      <c r="E226" s="7"/>
      <c r="F226" s="7"/>
      <c r="G226" s="78"/>
      <c r="H226" s="20" t="s">
        <v>343</v>
      </c>
      <c r="I226" s="20" t="str">
        <f t="shared" ref="I226:I241" si="9">B41</f>
        <v>NTS MG 1</v>
      </c>
      <c r="J226" s="11">
        <f t="shared" ref="J226:J241" ca="1" si="10">IFERROR($E193/$F41*1000000," ")</f>
        <v>3.3122950249998708</v>
      </c>
      <c r="L226" s="12"/>
      <c r="M226" s="79"/>
      <c r="Q226" s="7"/>
      <c r="R226" s="80"/>
      <c r="S226" s="81"/>
      <c r="T226" s="81"/>
      <c r="U226" s="81"/>
    </row>
    <row r="227" spans="1:22" ht="18" x14ac:dyDescent="0.25">
      <c r="A227" s="20" t="s">
        <v>344</v>
      </c>
      <c r="B227" s="20" t="str">
        <f t="shared" ref="B227:B235" si="11">B25</f>
        <v>PR-GNLBGB</v>
      </c>
      <c r="C227" s="11">
        <f t="shared" ca="1" si="8"/>
        <v>3.2568041138488146</v>
      </c>
      <c r="D227" s="77"/>
      <c r="E227" s="7"/>
      <c r="F227" s="7"/>
      <c r="G227" s="78"/>
      <c r="H227" s="20" t="s">
        <v>345</v>
      </c>
      <c r="I227" s="20" t="str">
        <f t="shared" si="9"/>
        <v>NTS MG 2</v>
      </c>
      <c r="J227" s="11">
        <f t="shared" ca="1" si="10"/>
        <v>4.1437412758644454</v>
      </c>
      <c r="L227" s="12"/>
      <c r="M227" s="79"/>
      <c r="Q227" s="7"/>
      <c r="R227" s="80"/>
      <c r="S227" s="81"/>
      <c r="T227" s="81"/>
      <c r="U227" s="81"/>
    </row>
    <row r="228" spans="1:22" ht="18" x14ac:dyDescent="0.25">
      <c r="A228" s="20" t="s">
        <v>346</v>
      </c>
      <c r="B228" s="20" t="str">
        <f t="shared" si="11"/>
        <v>PR-ITABORAÍ</v>
      </c>
      <c r="C228" s="11">
        <f t="shared" ca="1" si="8"/>
        <v>3.695420683021589</v>
      </c>
      <c r="D228" s="77"/>
      <c r="E228" s="7"/>
      <c r="F228" s="7"/>
      <c r="G228" s="78"/>
      <c r="H228" s="20" t="s">
        <v>347</v>
      </c>
      <c r="I228" s="20" t="str">
        <f t="shared" si="9"/>
        <v>NTS MG 3</v>
      </c>
      <c r="J228" s="11">
        <f t="shared" ca="1" si="10"/>
        <v>5.146340657032348</v>
      </c>
      <c r="L228" s="12"/>
      <c r="M228" s="79"/>
      <c r="Q228" s="7"/>
      <c r="R228" s="80"/>
      <c r="S228" s="81"/>
      <c r="T228" s="81"/>
      <c r="U228" s="81"/>
    </row>
    <row r="229" spans="1:22" ht="18" x14ac:dyDescent="0.25">
      <c r="A229" s="20" t="s">
        <v>348</v>
      </c>
      <c r="B229" s="20" t="str">
        <f t="shared" si="11"/>
        <v>PR-GASPAJ (INTERCONEXÃO)</v>
      </c>
      <c r="C229" s="11">
        <f t="shared" ca="1" si="8"/>
        <v>4.4038500118036463</v>
      </c>
      <c r="D229" s="77"/>
      <c r="E229" s="7"/>
      <c r="F229" s="7"/>
      <c r="G229" s="78"/>
      <c r="H229" s="20" t="s">
        <v>349</v>
      </c>
      <c r="I229" s="20" t="str">
        <f t="shared" si="9"/>
        <v>NTS MG 4</v>
      </c>
      <c r="J229" s="11">
        <f t="shared" ca="1" si="10"/>
        <v>4.8297372431701904</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2.0545766929631375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1.9404035400127226</v>
      </c>
      <c r="L231" s="12"/>
      <c r="M231" s="79"/>
      <c r="Q231" s="7"/>
      <c r="R231" s="80"/>
      <c r="S231" s="81"/>
      <c r="T231" s="81"/>
      <c r="U231" s="81"/>
    </row>
    <row r="232" spans="1:22" ht="18" x14ac:dyDescent="0.25">
      <c r="A232" s="20" t="s">
        <v>354</v>
      </c>
      <c r="B232" s="20" t="str">
        <f t="shared" si="11"/>
        <v>PR-TECAB</v>
      </c>
      <c r="C232" s="11">
        <f t="shared" ca="1" si="8"/>
        <v>4.9792723393785749</v>
      </c>
      <c r="D232" s="77"/>
      <c r="E232" s="7"/>
      <c r="F232" s="7"/>
      <c r="G232" s="78"/>
      <c r="H232" s="20" t="s">
        <v>355</v>
      </c>
      <c r="I232" s="20" t="str">
        <f t="shared" si="9"/>
        <v>NTS RJ 3</v>
      </c>
      <c r="J232" s="11">
        <f t="shared" ca="1" si="10"/>
        <v>2.0229523597934365</v>
      </c>
      <c r="L232" s="12"/>
      <c r="M232" s="79"/>
      <c r="Q232" s="7"/>
      <c r="R232" s="80"/>
      <c r="S232" s="81"/>
      <c r="T232" s="81"/>
      <c r="U232" s="81"/>
    </row>
    <row r="233" spans="1:22" ht="18" x14ac:dyDescent="0.25">
      <c r="A233" s="20" t="s">
        <v>356</v>
      </c>
      <c r="B233" s="20" t="str">
        <f t="shared" si="11"/>
        <v>PR-GUARAREMA (INTERCONEXÃO)</v>
      </c>
      <c r="C233" s="11">
        <f t="shared" ca="1" si="8"/>
        <v>3.4486195520344118</v>
      </c>
      <c r="D233" s="77"/>
      <c r="E233" s="7"/>
      <c r="F233" s="7"/>
      <c r="G233" s="78"/>
      <c r="H233" s="20" t="s">
        <v>357</v>
      </c>
      <c r="I233" s="20" t="str">
        <f t="shared" si="9"/>
        <v>NTS RJ 4</v>
      </c>
      <c r="J233" s="11">
        <f t="shared" ca="1" si="10"/>
        <v>2.1115676882176708</v>
      </c>
      <c r="L233" s="12"/>
      <c r="M233" s="79"/>
      <c r="Q233" s="7"/>
      <c r="R233" s="80"/>
      <c r="S233" s="81"/>
      <c r="T233" s="81"/>
      <c r="U233" s="81"/>
    </row>
    <row r="234" spans="1:22" ht="18" x14ac:dyDescent="0.25">
      <c r="A234" s="20" t="s">
        <v>358</v>
      </c>
      <c r="B234" s="20" t="str">
        <f t="shared" si="11"/>
        <v>PR-REPLAN (INTERCONEXÃO)</v>
      </c>
      <c r="C234" s="11">
        <f t="shared" ca="1" si="8"/>
        <v>4.4038500118036463</v>
      </c>
      <c r="D234" s="72"/>
      <c r="E234" s="7"/>
      <c r="F234" s="7"/>
      <c r="G234" s="72"/>
      <c r="H234" s="20" t="s">
        <v>359</v>
      </c>
      <c r="I234" s="20" t="str">
        <f t="shared" si="9"/>
        <v>NTS RJ 5</v>
      </c>
      <c r="J234" s="11">
        <f t="shared" ca="1" si="10"/>
        <v>2.0452907959390307</v>
      </c>
      <c r="L234" s="12"/>
      <c r="Q234" s="7"/>
      <c r="R234" s="80"/>
      <c r="S234" s="81"/>
      <c r="T234" s="81"/>
      <c r="U234" s="81"/>
    </row>
    <row r="235" spans="1:22" ht="18" x14ac:dyDescent="0.25">
      <c r="A235" s="20" t="s">
        <v>360</v>
      </c>
      <c r="B235" s="20" t="str">
        <f t="shared" si="11"/>
        <v>PR-TECAB (INTERCONEXÃO)</v>
      </c>
      <c r="C235" s="11">
        <f t="shared" ca="1" si="8"/>
        <v>4.9792723393785741</v>
      </c>
      <c r="D235" s="72"/>
      <c r="E235" s="7"/>
      <c r="F235" s="7"/>
      <c r="G235" s="72"/>
      <c r="H235" s="20" t="s">
        <v>361</v>
      </c>
      <c r="I235" s="20" t="str">
        <f t="shared" si="9"/>
        <v>NTS SP 1</v>
      </c>
      <c r="J235" s="11">
        <f t="shared" ca="1" si="10"/>
        <v>2.4583656750520038</v>
      </c>
      <c r="L235" s="12"/>
      <c r="Q235" s="7"/>
      <c r="R235" s="80"/>
      <c r="S235" s="81"/>
      <c r="T235" s="81"/>
      <c r="U235" s="81"/>
    </row>
    <row r="236" spans="1:22" ht="18" x14ac:dyDescent="0.25">
      <c r="D236" s="72"/>
      <c r="E236" s="7"/>
      <c r="F236" s="7"/>
      <c r="G236" s="72"/>
      <c r="H236" s="20" t="s">
        <v>362</v>
      </c>
      <c r="I236" s="20" t="str">
        <f t="shared" si="9"/>
        <v>NTS SP 2</v>
      </c>
      <c r="J236" s="11">
        <f t="shared" ca="1" si="10"/>
        <v>2.3647728560916987</v>
      </c>
      <c r="K236" s="72"/>
      <c r="L236" s="12"/>
      <c r="Q236" s="7"/>
      <c r="R236" s="80"/>
      <c r="S236" s="81"/>
      <c r="T236" s="81"/>
      <c r="U236" s="81"/>
    </row>
    <row r="237" spans="1:22" ht="18" x14ac:dyDescent="0.25">
      <c r="D237" s="72"/>
      <c r="E237" s="7"/>
      <c r="F237" s="7"/>
      <c r="G237" s="72"/>
      <c r="H237" s="20" t="s">
        <v>363</v>
      </c>
      <c r="I237" s="20" t="str">
        <f t="shared" si="9"/>
        <v>NTS SP 3</v>
      </c>
      <c r="J237" s="11">
        <f t="shared" ca="1" si="10"/>
        <v>3.2411073300151458</v>
      </c>
      <c r="L237" s="12"/>
      <c r="Q237" s="7"/>
      <c r="R237" s="80"/>
      <c r="S237" s="81"/>
      <c r="T237" s="81"/>
      <c r="U237" s="81"/>
    </row>
    <row r="238" spans="1:22" ht="18" x14ac:dyDescent="0.25">
      <c r="D238" s="72"/>
      <c r="E238" s="7"/>
      <c r="F238" s="7"/>
      <c r="G238" s="72"/>
      <c r="H238" s="20" t="s">
        <v>364</v>
      </c>
      <c r="I238" s="20" t="str">
        <f t="shared" si="9"/>
        <v>NTS SP 4</v>
      </c>
      <c r="J238" s="11">
        <f t="shared" ca="1" si="10"/>
        <v>3.5457159622007861</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4.0273681645138186</v>
      </c>
      <c r="L240" s="12"/>
      <c r="Q240" s="7"/>
      <c r="R240" s="82"/>
      <c r="S240" s="9"/>
      <c r="T240" s="9"/>
      <c r="U240" s="9"/>
      <c r="V240" s="72"/>
    </row>
    <row r="241" spans="1:22" ht="18" x14ac:dyDescent="0.25">
      <c r="E241" s="7"/>
      <c r="F241" s="7"/>
      <c r="G241" s="72"/>
      <c r="H241" s="20" t="s">
        <v>367</v>
      </c>
      <c r="I241" s="20" t="str">
        <f t="shared" si="9"/>
        <v>PE-TECAB (INTERCONEXÃO)</v>
      </c>
      <c r="J241" s="11">
        <f t="shared" ca="1" si="10"/>
        <v>2.4993164434001196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4.0310490727232606</v>
      </c>
      <c r="E245" s="11">
        <f ca="1">IFERROR(C245+D245," ")</f>
        <v>4.0310490727232606</v>
      </c>
      <c r="G245" s="79"/>
      <c r="H245" s="20" t="s">
        <v>343</v>
      </c>
      <c r="I245" s="20" t="str">
        <f t="shared" ref="I245:I260" si="15">I226</f>
        <v>NTS MG 1</v>
      </c>
      <c r="J245" s="11">
        <f t="shared" ref="J245:J260" ca="1" si="16">IF(F41=0," ",J226*(1-$C$11))</f>
        <v>0</v>
      </c>
      <c r="K245" s="11">
        <f t="shared" ref="K245:K260" si="17">$F$10*$C$11</f>
        <v>2.9967165487261114</v>
      </c>
      <c r="L245" s="11">
        <f ca="1">IFERROR(J245+K245," ")</f>
        <v>2.9967165487261114</v>
      </c>
    </row>
    <row r="246" spans="1:22" ht="18" x14ac:dyDescent="0.25">
      <c r="A246" s="20" t="s">
        <v>344</v>
      </c>
      <c r="B246" s="20" t="str">
        <f t="shared" si="12"/>
        <v>PR-GNLBGB</v>
      </c>
      <c r="C246" s="11">
        <f t="shared" ca="1" si="13"/>
        <v>0</v>
      </c>
      <c r="D246" s="11">
        <f t="shared" si="14"/>
        <v>4.0310490727232606</v>
      </c>
      <c r="E246" s="11">
        <f t="shared" ref="E246:E254" ca="1" si="18">IFERROR(C246+D246," ")</f>
        <v>4.0310490727232606</v>
      </c>
      <c r="G246" s="79"/>
      <c r="H246" s="20" t="s">
        <v>345</v>
      </c>
      <c r="I246" s="20" t="str">
        <f t="shared" si="15"/>
        <v>NTS MG 2</v>
      </c>
      <c r="J246" s="11">
        <f t="shared" ca="1" si="16"/>
        <v>0</v>
      </c>
      <c r="K246" s="11">
        <f t="shared" si="17"/>
        <v>2.9967165487261114</v>
      </c>
      <c r="L246" s="11">
        <f t="shared" ref="L246:L260" ca="1" si="19">IFERROR(J246+K246," ")</f>
        <v>2.9967165487261114</v>
      </c>
    </row>
    <row r="247" spans="1:22" ht="18" x14ac:dyDescent="0.25">
      <c r="A247" s="20" t="s">
        <v>346</v>
      </c>
      <c r="B247" s="20" t="str">
        <f t="shared" si="12"/>
        <v>PR-ITABORAÍ</v>
      </c>
      <c r="C247" s="11">
        <f t="shared" ca="1" si="13"/>
        <v>0</v>
      </c>
      <c r="D247" s="11">
        <f t="shared" si="14"/>
        <v>4.0310490727232606</v>
      </c>
      <c r="E247" s="11">
        <f t="shared" ca="1" si="18"/>
        <v>4.0310490727232606</v>
      </c>
      <c r="G247" s="79"/>
      <c r="H247" s="20" t="s">
        <v>347</v>
      </c>
      <c r="I247" s="20" t="str">
        <f t="shared" si="15"/>
        <v>NTS MG 3</v>
      </c>
      <c r="J247" s="11">
        <f t="shared" ca="1" si="16"/>
        <v>0</v>
      </c>
      <c r="K247" s="11">
        <f t="shared" si="17"/>
        <v>2.9967165487261114</v>
      </c>
      <c r="L247" s="11">
        <f t="shared" ca="1" si="19"/>
        <v>2.9967165487261114</v>
      </c>
    </row>
    <row r="248" spans="1:22" ht="18" x14ac:dyDescent="0.25">
      <c r="A248" s="20" t="s">
        <v>348</v>
      </c>
      <c r="B248" s="20" t="str">
        <f t="shared" si="12"/>
        <v>PR-GASPAJ (INTERCONEXÃO)</v>
      </c>
      <c r="C248" s="11">
        <f t="shared" ca="1" si="13"/>
        <v>0</v>
      </c>
      <c r="D248" s="11">
        <f t="shared" si="14"/>
        <v>4.0310490727232606</v>
      </c>
      <c r="E248" s="11">
        <f t="shared" ca="1" si="18"/>
        <v>4.0310490727232606</v>
      </c>
      <c r="G248" s="79"/>
      <c r="H248" s="20" t="s">
        <v>349</v>
      </c>
      <c r="I248" s="20" t="str">
        <f t="shared" si="15"/>
        <v>NTS MG 4</v>
      </c>
      <c r="J248" s="11">
        <f t="shared" ca="1" si="16"/>
        <v>0</v>
      </c>
      <c r="K248" s="11">
        <f t="shared" si="17"/>
        <v>2.9967165487261114</v>
      </c>
      <c r="L248" s="11">
        <f t="shared" ca="1" si="19"/>
        <v>2.9967165487261114</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2.9967165487261114</v>
      </c>
      <c r="L249" s="11">
        <f t="shared" ca="1" si="19"/>
        <v>2.9967165487261114</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2.9967165487261114</v>
      </c>
      <c r="L250" s="11">
        <f t="shared" ca="1" si="19"/>
        <v>2.9967165487261114</v>
      </c>
    </row>
    <row r="251" spans="1:22" ht="18" x14ac:dyDescent="0.25">
      <c r="A251" s="20" t="s">
        <v>354</v>
      </c>
      <c r="B251" s="20" t="str">
        <f t="shared" si="12"/>
        <v>PR-TECAB</v>
      </c>
      <c r="C251" s="11">
        <f t="shared" ca="1" si="13"/>
        <v>0</v>
      </c>
      <c r="D251" s="11">
        <f t="shared" si="14"/>
        <v>4.0310490727232606</v>
      </c>
      <c r="E251" s="11">
        <f t="shared" ca="1" si="18"/>
        <v>4.0310490727232606</v>
      </c>
      <c r="G251" s="79"/>
      <c r="H251" s="20" t="s">
        <v>355</v>
      </c>
      <c r="I251" s="20" t="str">
        <f t="shared" si="15"/>
        <v>NTS RJ 3</v>
      </c>
      <c r="J251" s="11">
        <f t="shared" ca="1" si="16"/>
        <v>0</v>
      </c>
      <c r="K251" s="11">
        <f t="shared" si="17"/>
        <v>2.9967165487261114</v>
      </c>
      <c r="L251" s="11">
        <f t="shared" ca="1" si="19"/>
        <v>2.9967165487261114</v>
      </c>
    </row>
    <row r="252" spans="1:22" ht="18" x14ac:dyDescent="0.25">
      <c r="A252" s="20" t="s">
        <v>356</v>
      </c>
      <c r="B252" s="20" t="str">
        <f t="shared" si="12"/>
        <v>PR-GUARAREMA (INTERCONEXÃO)</v>
      </c>
      <c r="C252" s="11">
        <f t="shared" ca="1" si="13"/>
        <v>0</v>
      </c>
      <c r="D252" s="11">
        <f t="shared" si="14"/>
        <v>4.0310490727232606</v>
      </c>
      <c r="E252" s="11">
        <f t="shared" ca="1" si="18"/>
        <v>4.0310490727232606</v>
      </c>
      <c r="G252" s="79"/>
      <c r="H252" s="20" t="s">
        <v>357</v>
      </c>
      <c r="I252" s="20" t="str">
        <f t="shared" si="15"/>
        <v>NTS RJ 4</v>
      </c>
      <c r="J252" s="11">
        <f t="shared" ca="1" si="16"/>
        <v>0</v>
      </c>
      <c r="K252" s="11">
        <f t="shared" si="17"/>
        <v>2.9967165487261114</v>
      </c>
      <c r="L252" s="11">
        <f t="shared" ca="1" si="19"/>
        <v>2.9967165487261114</v>
      </c>
    </row>
    <row r="253" spans="1:22" ht="18" x14ac:dyDescent="0.25">
      <c r="A253" s="20" t="s">
        <v>358</v>
      </c>
      <c r="B253" s="20" t="str">
        <f t="shared" si="12"/>
        <v>PR-REPLAN (INTERCONEXÃO)</v>
      </c>
      <c r="C253" s="11">
        <f t="shared" ca="1" si="13"/>
        <v>0</v>
      </c>
      <c r="D253" s="11">
        <f t="shared" si="14"/>
        <v>4.0310490727232606</v>
      </c>
      <c r="E253" s="11">
        <f t="shared" ca="1" si="18"/>
        <v>4.0310490727232606</v>
      </c>
      <c r="G253" s="79"/>
      <c r="H253" s="20" t="s">
        <v>359</v>
      </c>
      <c r="I253" s="20" t="str">
        <f t="shared" si="15"/>
        <v>NTS RJ 5</v>
      </c>
      <c r="J253" s="11">
        <f t="shared" ca="1" si="16"/>
        <v>0</v>
      </c>
      <c r="K253" s="11">
        <f t="shared" si="17"/>
        <v>2.9967165487261114</v>
      </c>
      <c r="L253" s="11">
        <f t="shared" ca="1" si="19"/>
        <v>2.9967165487261114</v>
      </c>
    </row>
    <row r="254" spans="1:22" ht="18" x14ac:dyDescent="0.25">
      <c r="A254" s="20" t="s">
        <v>360</v>
      </c>
      <c r="B254" s="20" t="str">
        <f t="shared" si="12"/>
        <v>PR-TECAB (INTERCONEXÃO)</v>
      </c>
      <c r="C254" s="11">
        <f t="shared" ca="1" si="13"/>
        <v>0</v>
      </c>
      <c r="D254" s="11">
        <f t="shared" si="14"/>
        <v>4.0310490727232606</v>
      </c>
      <c r="E254" s="11">
        <f t="shared" ca="1" si="18"/>
        <v>4.0310490727232606</v>
      </c>
      <c r="G254" s="79"/>
      <c r="H254" s="20" t="s">
        <v>361</v>
      </c>
      <c r="I254" s="20" t="str">
        <f t="shared" si="15"/>
        <v>NTS SP 1</v>
      </c>
      <c r="J254" s="11">
        <f t="shared" ca="1" si="16"/>
        <v>0</v>
      </c>
      <c r="K254" s="11">
        <f t="shared" si="17"/>
        <v>2.9967165487261114</v>
      </c>
      <c r="L254" s="11">
        <f t="shared" ca="1" si="19"/>
        <v>2.9967165487261114</v>
      </c>
    </row>
    <row r="255" spans="1:22" ht="18" x14ac:dyDescent="0.25">
      <c r="H255" s="20" t="s">
        <v>362</v>
      </c>
      <c r="I255" s="20" t="str">
        <f t="shared" si="15"/>
        <v>NTS SP 2</v>
      </c>
      <c r="J255" s="11">
        <f t="shared" ca="1" si="16"/>
        <v>0</v>
      </c>
      <c r="K255" s="11">
        <f t="shared" si="17"/>
        <v>2.9967165487261114</v>
      </c>
      <c r="L255" s="11">
        <f t="shared" ca="1" si="19"/>
        <v>2.9967165487261114</v>
      </c>
    </row>
    <row r="256" spans="1:22" ht="18" x14ac:dyDescent="0.25">
      <c r="H256" s="20" t="s">
        <v>363</v>
      </c>
      <c r="I256" s="20" t="str">
        <f t="shared" si="15"/>
        <v>NTS SP 3</v>
      </c>
      <c r="J256" s="11">
        <f t="shared" ca="1" si="16"/>
        <v>0</v>
      </c>
      <c r="K256" s="11">
        <f t="shared" si="17"/>
        <v>2.9967165487261114</v>
      </c>
      <c r="L256" s="11">
        <f t="shared" ca="1" si="19"/>
        <v>2.9967165487261114</v>
      </c>
    </row>
    <row r="257" spans="1:13" ht="18" x14ac:dyDescent="0.25">
      <c r="H257" s="20" t="s">
        <v>364</v>
      </c>
      <c r="I257" s="20" t="str">
        <f t="shared" si="15"/>
        <v>NTS SP 4</v>
      </c>
      <c r="J257" s="11">
        <f t="shared" ca="1" si="16"/>
        <v>0</v>
      </c>
      <c r="K257" s="11">
        <f t="shared" si="17"/>
        <v>2.9967165487261114</v>
      </c>
      <c r="L257" s="11">
        <f t="shared" ca="1" si="19"/>
        <v>2.9967165487261114</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2.9967165487261114</v>
      </c>
      <c r="L259" s="11">
        <f t="shared" ca="1" si="19"/>
        <v>2.9967165487261114</v>
      </c>
    </row>
    <row r="260" spans="1:13" ht="18" x14ac:dyDescent="0.25">
      <c r="H260" s="20" t="s">
        <v>367</v>
      </c>
      <c r="I260" s="20" t="str">
        <f t="shared" si="15"/>
        <v>PE-TECAB (INTERCONEXÃO)</v>
      </c>
      <c r="J260" s="11">
        <f t="shared" ca="1" si="16"/>
        <v>0</v>
      </c>
      <c r="K260" s="11">
        <f t="shared" si="17"/>
        <v>2.9967165487261114</v>
      </c>
      <c r="L260" s="11">
        <f t="shared" ca="1" si="19"/>
        <v>2.9967165487261114</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(BRA)'!F11</f>
        <v>200</v>
      </c>
      <c r="D267" s="207">
        <f ca="1">E253</f>
        <v>4.0310490727232606</v>
      </c>
      <c r="E267" s="210">
        <f ca="1">D267*(1-$C$262)</f>
        <v>0.40310490727232595</v>
      </c>
      <c r="F267" s="208">
        <f ca="1">C267*E267*'Premissas (BRA)'!$C$35*'Premissas (BRA)'!$F$20*1000</f>
        <v>1097678.4727001013</v>
      </c>
      <c r="L267" s="84"/>
    </row>
    <row r="268" spans="1:13" ht="18.75" x14ac:dyDescent="0.3">
      <c r="B268" s="189" t="s">
        <v>376</v>
      </c>
      <c r="C268" s="213">
        <f>'Oferta (BRA)'!F10</f>
        <v>3398.2010229822185</v>
      </c>
      <c r="D268" s="207">
        <f ca="1">E252</f>
        <v>4.0310490727232606</v>
      </c>
      <c r="E268" s="210">
        <f t="shared" ref="E268:E270" ca="1" si="20">D268*(1-$C$262)</f>
        <v>0.40310490727232595</v>
      </c>
      <c r="F268" s="208">
        <f ca="1">C268*E268*'Premissas (BRA)'!$C$35*'Premissas (BRA)'!$F$20*1000</f>
        <v>18650660.544175219</v>
      </c>
      <c r="G268" s="85"/>
      <c r="K268" s="85"/>
      <c r="L268" s="84"/>
    </row>
    <row r="269" spans="1:13" ht="18.75" x14ac:dyDescent="0.3">
      <c r="B269" s="190" t="s">
        <v>377</v>
      </c>
      <c r="C269" s="213">
        <f>'Oferta (BRA)'!F12</f>
        <v>200</v>
      </c>
      <c r="D269" s="207">
        <f ca="1">E254</f>
        <v>4.0310490727232606</v>
      </c>
      <c r="E269" s="210">
        <f t="shared" ca="1" si="20"/>
        <v>0.40310490727232595</v>
      </c>
      <c r="F269" s="208">
        <f ca="1">C269*E269*'Premissas (BRA)'!$C$35*'Premissas (BRA)'!$F$20*1000</f>
        <v>1097678.4727001013</v>
      </c>
      <c r="K269" s="85"/>
      <c r="L269" s="84"/>
    </row>
    <row r="270" spans="1:13" ht="18.75" x14ac:dyDescent="0.3">
      <c r="B270" s="190" t="s">
        <v>185</v>
      </c>
      <c r="C270" s="213">
        <f>'Oferta (BRA)'!F6</f>
        <v>258</v>
      </c>
      <c r="D270" s="207">
        <f ca="1">E248</f>
        <v>4.0310490727232606</v>
      </c>
      <c r="E270" s="210">
        <f t="shared" ca="1" si="20"/>
        <v>0.40310490727232595</v>
      </c>
      <c r="F270" s="208">
        <f ca="1">C270*E270*'Premissas (BRA)'!$C$35*'Premissas (BRA)'!$F$20*1000</f>
        <v>1416005.2297831308</v>
      </c>
      <c r="K270" s="85"/>
      <c r="L270" s="84"/>
    </row>
    <row r="271" spans="1:13" ht="18.75" x14ac:dyDescent="0.3">
      <c r="B271" s="188" t="s">
        <v>378</v>
      </c>
      <c r="C271" s="213">
        <f>'Demanda (BRA)'!F17</f>
        <v>3635.2588149970047</v>
      </c>
      <c r="D271" s="207">
        <f ca="1">L259</f>
        <v>2.9967165487261114</v>
      </c>
      <c r="E271" s="210">
        <f ca="1">D271*(1-$C$262)</f>
        <v>0.29967165487261105</v>
      </c>
      <c r="F271" s="208">
        <f ca="1">C271*E271*'Premissas (BRA)'!$C$35*'Premissas (BRA)'!$F$20*1000</f>
        <v>14832285.233339155</v>
      </c>
      <c r="K271" s="85"/>
      <c r="L271" s="84"/>
    </row>
    <row r="272" spans="1:13" ht="18.75" x14ac:dyDescent="0.3">
      <c r="B272" s="190" t="s">
        <v>379</v>
      </c>
      <c r="C272" s="213">
        <f>'Demanda (BRA)'!F18</f>
        <v>200</v>
      </c>
      <c r="D272" s="207">
        <f ca="1">L260</f>
        <v>2.9967165487261114</v>
      </c>
      <c r="E272" s="210">
        <f ca="1">D272*(1-$C$262)</f>
        <v>0.29967165487261105</v>
      </c>
      <c r="F272" s="208">
        <f ca="1">C272*E272*'Premissas (BRA)'!$C$35*'Premissas (BRA)'!$F$20*1000</f>
        <v>816023.61692375818</v>
      </c>
      <c r="K272" s="85"/>
      <c r="L272" s="84"/>
    </row>
    <row r="273" spans="2:13" ht="19.5" thickBot="1" x14ac:dyDescent="0.35">
      <c r="B273" s="190"/>
      <c r="C273" s="190"/>
      <c r="D273" s="190"/>
      <c r="E273" s="190"/>
      <c r="F273" s="209">
        <f ca="1">SUM(F267:F272)</f>
        <v>37910331.569621459</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8647-9A28-400A-88E3-FB5DCD6C965D}">
  <sheetPr codeName="Planilha41">
    <tabColor theme="5"/>
  </sheetPr>
  <dimension ref="A2:AA303"/>
  <sheetViews>
    <sheetView showGridLines="0" topLeftCell="A257" zoomScale="70" zoomScaleNormal="70" workbookViewId="0">
      <selection activeCell="C270" sqref="C270"/>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2029</v>
      </c>
    </row>
    <row r="4" spans="1:9" ht="18.75" thickBot="1" x14ac:dyDescent="0.3">
      <c r="A4" s="162"/>
      <c r="B4" s="163" t="s">
        <v>102</v>
      </c>
      <c r="C4" s="164" t="s">
        <v>200</v>
      </c>
      <c r="D4" s="306">
        <f>('Premissas (BRA)'!E33)/1000</f>
        <v>2878.1044000105198</v>
      </c>
      <c r="E4" s="166" t="s">
        <v>103</v>
      </c>
      <c r="F4" s="162"/>
      <c r="G4" s="162"/>
      <c r="H4" s="177"/>
      <c r="I4" s="177"/>
    </row>
    <row r="5" spans="1:9" ht="15.75" thickBot="1" x14ac:dyDescent="0.3">
      <c r="A5" s="153"/>
      <c r="B5" s="197" t="s">
        <v>385</v>
      </c>
      <c r="C5" s="150"/>
      <c r="D5" s="307">
        <f ca="1">D6+D9</f>
        <v>2840.1940684408983</v>
      </c>
      <c r="E5" s="166" t="s">
        <v>103</v>
      </c>
      <c r="F5" s="215" t="s">
        <v>390</v>
      </c>
      <c r="G5" s="153"/>
      <c r="H5" s="177"/>
      <c r="I5" s="177"/>
    </row>
    <row r="6" spans="1:9" ht="18" x14ac:dyDescent="0.25">
      <c r="A6" s="148">
        <f>HLOOKUP($G$3,'Premissas (BRA)'!$B$5:$F$13,9,FALSE)</f>
        <v>0.7</v>
      </c>
      <c r="B6" s="149" t="s">
        <v>104</v>
      </c>
      <c r="C6" s="150" t="s">
        <v>201</v>
      </c>
      <c r="D6" s="307">
        <f ca="1">($A$6*$D$4)-(SUM($F$268:$F$271)/10^6)</f>
        <v>1992.4110572880052</v>
      </c>
      <c r="E6" s="152" t="s">
        <v>105</v>
      </c>
      <c r="F6" s="215" t="s">
        <v>383</v>
      </c>
      <c r="G6" s="153"/>
      <c r="H6" s="177"/>
    </row>
    <row r="7" spans="1:9" ht="30" x14ac:dyDescent="0.25">
      <c r="A7" s="48"/>
      <c r="B7" s="154" t="s">
        <v>106</v>
      </c>
      <c r="C7" s="155" t="s">
        <v>202</v>
      </c>
      <c r="D7" s="308">
        <f>$C$35*'Premissas (BRA)'!$E$20</f>
        <v>11917866.798791388</v>
      </c>
      <c r="E7" s="154" t="s">
        <v>107</v>
      </c>
      <c r="F7" s="172">
        <f>F35</f>
        <v>444562400.62667334</v>
      </c>
      <c r="G7" s="40" t="s">
        <v>108</v>
      </c>
    </row>
    <row r="8" spans="1:9" ht="18.75" thickBot="1" x14ac:dyDescent="0.3">
      <c r="A8" s="157"/>
      <c r="B8" s="158" t="s">
        <v>109</v>
      </c>
      <c r="C8" s="159" t="s">
        <v>203</v>
      </c>
      <c r="D8" s="160">
        <f ca="1">$D$6/$D$7*1000</f>
        <v>0.16717849686741415</v>
      </c>
      <c r="E8" s="161" t="s">
        <v>110</v>
      </c>
      <c r="F8" s="309">
        <f ca="1">$D$6/$F$7*1000000</f>
        <v>4.4817354199982296</v>
      </c>
      <c r="G8" s="170" t="s">
        <v>15</v>
      </c>
      <c r="I8" s="177"/>
    </row>
    <row r="9" spans="1:9" ht="18" x14ac:dyDescent="0.25">
      <c r="A9" s="148">
        <f>1-A6</f>
        <v>0.30000000000000004</v>
      </c>
      <c r="B9" s="149" t="s">
        <v>111</v>
      </c>
      <c r="C9" s="150" t="s">
        <v>204</v>
      </c>
      <c r="D9" s="307">
        <f ca="1">($A$9*$D$4)-(SUM($F$272:$F$273)/10^6)</f>
        <v>847.78301115289321</v>
      </c>
      <c r="E9" s="152" t="s">
        <v>105</v>
      </c>
      <c r="F9" s="215" t="s">
        <v>384</v>
      </c>
      <c r="G9" s="171"/>
    </row>
    <row r="10" spans="1:9" ht="30" x14ac:dyDescent="0.25">
      <c r="B10" s="154" t="s">
        <v>112</v>
      </c>
      <c r="C10" s="155" t="s">
        <v>205</v>
      </c>
      <c r="D10" s="308">
        <f>$C$58*'Premissas (BRA)'!$E$20</f>
        <v>6324231.2880706908</v>
      </c>
      <c r="E10" s="154" t="s">
        <v>107</v>
      </c>
      <c r="F10" s="172">
        <f>F58</f>
        <v>235907607.54501358</v>
      </c>
      <c r="G10" s="40" t="s">
        <v>108</v>
      </c>
    </row>
    <row r="11" spans="1:9" ht="18.75" thickBot="1" x14ac:dyDescent="0.3">
      <c r="A11" s="167"/>
      <c r="B11" s="158" t="s">
        <v>113</v>
      </c>
      <c r="C11" s="159" t="s">
        <v>206</v>
      </c>
      <c r="D11" s="160">
        <f ca="1">$D$9/$D$10*1000</f>
        <v>0.13405313192008875</v>
      </c>
      <c r="E11" s="161" t="s">
        <v>110</v>
      </c>
      <c r="F11" s="309">
        <f ca="1">$D$9/$F$10*1000000</f>
        <v>3.5937078077955902</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2029</v>
      </c>
      <c r="F22" s="376">
        <v>2029</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(BRA)'!F3</f>
        <v>11121.869070475715</v>
      </c>
      <c r="E25" s="60"/>
      <c r="F25" s="15">
        <f>IFERROR($C25*$H$20*'Premissas (BRA)'!$E$20*1000," ")</f>
        <v>151427532.0717288</v>
      </c>
      <c r="G25" s="49"/>
    </row>
    <row r="26" spans="1:9" x14ac:dyDescent="0.25">
      <c r="A26" s="2" t="s">
        <v>125</v>
      </c>
      <c r="B26" s="16" t="s">
        <v>26</v>
      </c>
      <c r="C26" s="231">
        <f>'Oferta (BRA)'!F4</f>
        <v>200</v>
      </c>
      <c r="E26" s="60"/>
      <c r="F26" s="15">
        <f>IFERROR($C26*$H$20*'Premissas (BRA)'!$E$20*1000," ")</f>
        <v>2723059.0670000003</v>
      </c>
      <c r="G26" s="49"/>
    </row>
    <row r="27" spans="1:9" x14ac:dyDescent="0.25">
      <c r="A27" s="2" t="s">
        <v>126</v>
      </c>
      <c r="B27" s="16" t="s">
        <v>411</v>
      </c>
      <c r="C27" s="231">
        <f>'Oferta (BRA)'!F5</f>
        <v>13564</v>
      </c>
      <c r="D27" s="18"/>
      <c r="E27" s="60"/>
      <c r="F27" s="15">
        <f>IFERROR($C27*$H$20*'Premissas (BRA)'!$E$20*1000," ")</f>
        <v>184677865.92394</v>
      </c>
      <c r="G27" s="49"/>
    </row>
    <row r="28" spans="1:9" x14ac:dyDescent="0.25">
      <c r="A28" s="2" t="s">
        <v>127</v>
      </c>
      <c r="B28" s="16" t="s">
        <v>388</v>
      </c>
      <c r="C28" s="234"/>
      <c r="D28" s="216" t="s">
        <v>386</v>
      </c>
      <c r="E28" s="60"/>
      <c r="F28" s="15">
        <f>IFERROR($C28*$H$20*'Premissas (BRA)'!$E$20*1000," ")</f>
        <v>0</v>
      </c>
      <c r="G28" s="49"/>
    </row>
    <row r="29" spans="1:9" x14ac:dyDescent="0.25">
      <c r="A29" s="2" t="s">
        <v>128</v>
      </c>
      <c r="B29" s="16" t="s">
        <v>27</v>
      </c>
      <c r="C29" s="231">
        <f>'Oferta (BRA)'!F7</f>
        <v>0</v>
      </c>
      <c r="D29" s="18"/>
      <c r="E29" s="60"/>
      <c r="F29" s="15">
        <f>IFERROR($C29*$H$20*'Premissas (BRA)'!$E$20*1000," ")</f>
        <v>0</v>
      </c>
      <c r="G29" s="49"/>
    </row>
    <row r="30" spans="1:9" x14ac:dyDescent="0.25">
      <c r="A30" s="2" t="s">
        <v>183</v>
      </c>
      <c r="B30" s="16" t="s">
        <v>29</v>
      </c>
      <c r="C30" s="231">
        <f>'Oferta (BRA)'!F8</f>
        <v>0</v>
      </c>
      <c r="D30" s="18"/>
      <c r="E30" s="60"/>
      <c r="F30" s="15">
        <f>IFERROR($C30*$H$20*'Premissas (BRA)'!$E$20*1000," ")</f>
        <v>0</v>
      </c>
      <c r="G30" s="49"/>
    </row>
    <row r="31" spans="1:9" x14ac:dyDescent="0.25">
      <c r="A31" s="2" t="s">
        <v>129</v>
      </c>
      <c r="B31" s="16" t="s">
        <v>24</v>
      </c>
      <c r="C31" s="231">
        <f>'Oferta (BRA)'!F9</f>
        <v>7765.8207892267164</v>
      </c>
      <c r="D31" s="18"/>
      <c r="E31" s="60"/>
      <c r="F31" s="15">
        <f>IFERROR($C31*$H$20*'Premissas (BRA)'!$E$20*1000," ")</f>
        <v>105733943.56400453</v>
      </c>
      <c r="G31" s="49"/>
    </row>
    <row r="32" spans="1:9" x14ac:dyDescent="0.25">
      <c r="A32" s="2" t="s">
        <v>184</v>
      </c>
      <c r="B32" s="16" t="s">
        <v>194</v>
      </c>
      <c r="C32" s="191"/>
      <c r="D32" s="216" t="s">
        <v>386</v>
      </c>
      <c r="E32" s="60"/>
      <c r="F32" s="15">
        <f>IFERROR($C32*$H$20*'Premissas (BRA)'!$E$20*1000," ")</f>
        <v>0</v>
      </c>
      <c r="G32" s="49"/>
    </row>
    <row r="33" spans="1:8" x14ac:dyDescent="0.25">
      <c r="A33" s="2" t="s">
        <v>130</v>
      </c>
      <c r="B33" s="16" t="s">
        <v>196</v>
      </c>
      <c r="C33" s="191"/>
      <c r="D33" s="216" t="s">
        <v>386</v>
      </c>
      <c r="E33" s="60"/>
      <c r="F33" s="15">
        <f>IFERROR($C33*$H$20*'Premissas (BRA)'!$E$20*1000," ")</f>
        <v>0</v>
      </c>
      <c r="G33" s="49"/>
    </row>
    <row r="34" spans="1:8" x14ac:dyDescent="0.25">
      <c r="A34" s="2" t="s">
        <v>131</v>
      </c>
      <c r="B34" s="16" t="s">
        <v>195</v>
      </c>
      <c r="C34" s="191"/>
      <c r="D34" s="216" t="s">
        <v>386</v>
      </c>
      <c r="E34" s="60"/>
      <c r="F34" s="15">
        <f>IFERROR($C34*$H$20*'Premissas (BRA)'!$E$20*1000," ")</f>
        <v>0</v>
      </c>
      <c r="G34" s="49"/>
    </row>
    <row r="35" spans="1:8" x14ac:dyDescent="0.25">
      <c r="C35" s="61">
        <f>SUM(C25:C34)</f>
        <v>32651.689859702434</v>
      </c>
      <c r="D35" s="61"/>
      <c r="E35" s="60"/>
      <c r="F35" s="61">
        <f>SUM(F25:F34)</f>
        <v>444562400.62667334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2029</v>
      </c>
      <c r="F39" s="376">
        <v>2029</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(BRA)'!F3</f>
        <v>83.95934449000282</v>
      </c>
      <c r="F42" s="15">
        <f>IFERROR($C42*$H$20*'Premissas (BRA)'!$E$20*1000," ")</f>
        <v>1143131.2713643934</v>
      </c>
      <c r="G42" s="49"/>
    </row>
    <row r="43" spans="1:8" x14ac:dyDescent="0.25">
      <c r="A43" s="2" t="s">
        <v>38</v>
      </c>
      <c r="B43" s="16" t="s">
        <v>161</v>
      </c>
      <c r="C43" s="231">
        <f>'Demanda (BRA)'!F4</f>
        <v>1358.5951793648003</v>
      </c>
      <c r="D43" s="18"/>
      <c r="F43" s="15">
        <f>IFERROR($C43*$H$20*'Premissas (BRA)'!$E$20*1000," ")</f>
        <v>18497674.607759055</v>
      </c>
      <c r="G43" s="49"/>
    </row>
    <row r="44" spans="1:8" x14ac:dyDescent="0.25">
      <c r="A44" s="2" t="s">
        <v>39</v>
      </c>
      <c r="B44" s="16" t="s">
        <v>162</v>
      </c>
      <c r="C44" s="231">
        <f>'Demanda (BRA)'!F5</f>
        <v>1591.1855708262167</v>
      </c>
      <c r="D44" s="18"/>
      <c r="F44" s="15">
        <f>IFERROR($C44*$H$20*'Premissas (BRA)'!$E$20*1000," ")</f>
        <v>21664461.4795895</v>
      </c>
      <c r="G44" s="49"/>
    </row>
    <row r="45" spans="1:8" x14ac:dyDescent="0.25">
      <c r="A45" s="2" t="s">
        <v>40</v>
      </c>
      <c r="B45" s="16" t="s">
        <v>163</v>
      </c>
      <c r="C45" s="231">
        <f>'Demanda (BRA)'!F6</f>
        <v>257.90539079715882</v>
      </c>
      <c r="D45" s="18"/>
      <c r="F45" s="15">
        <f>IFERROR($C45*$H$20*'Premissas (BRA)'!$E$20*1000," ")</f>
        <v>3511458.0641919076</v>
      </c>
      <c r="G45" s="49"/>
    </row>
    <row r="46" spans="1:8" x14ac:dyDescent="0.25">
      <c r="A46" s="2" t="s">
        <v>41</v>
      </c>
      <c r="B46" s="16" t="s">
        <v>164</v>
      </c>
      <c r="C46" s="231">
        <f>'Demanda (BRA)'!F7</f>
        <v>4113.6189497552796</v>
      </c>
      <c r="D46" s="18"/>
      <c r="F46" s="15">
        <f>IFERROR($C46*$H$20*'Premissas (BRA)'!$E$20*1000," ")</f>
        <v>56008136.89657066</v>
      </c>
      <c r="G46" s="49"/>
    </row>
    <row r="47" spans="1:8" x14ac:dyDescent="0.25">
      <c r="A47" s="2" t="s">
        <v>42</v>
      </c>
      <c r="B47" s="16" t="s">
        <v>165</v>
      </c>
      <c r="C47" s="231">
        <f>'Demanda (BRA)'!F8</f>
        <v>1671.5160482445838</v>
      </c>
      <c r="D47" s="18"/>
      <c r="F47" s="15">
        <f>IFERROR($C47*$H$20*'Premissas (BRA)'!$E$20*1000," ")</f>
        <v>22758184.654042114</v>
      </c>
      <c r="G47" s="49"/>
    </row>
    <row r="48" spans="1:8" x14ac:dyDescent="0.25">
      <c r="A48" s="2" t="s">
        <v>43</v>
      </c>
      <c r="B48" s="16" t="s">
        <v>166</v>
      </c>
      <c r="C48" s="231">
        <f>'Demanda (BRA)'!F9</f>
        <v>1497.3761894156601</v>
      </c>
      <c r="D48" s="18"/>
      <c r="F48" s="15">
        <f>IFERROR($C48*$H$20*'Premissas (BRA)'!$E$20*1000," ")</f>
        <v>20387219.046491113</v>
      </c>
      <c r="G48" s="49"/>
    </row>
    <row r="49" spans="1:9" x14ac:dyDescent="0.25">
      <c r="A49" s="2" t="s">
        <v>44</v>
      </c>
      <c r="B49" s="16" t="s">
        <v>167</v>
      </c>
      <c r="C49" s="231">
        <f>'Demanda (BRA)'!F10</f>
        <v>275.11051045873194</v>
      </c>
      <c r="D49" s="18"/>
      <c r="F49" s="15">
        <f>IFERROR($C49*$H$20*'Premissas (BRA)'!$E$20*1000," ")</f>
        <v>3745710.8496582415</v>
      </c>
      <c r="G49" s="49"/>
    </row>
    <row r="50" spans="1:9" x14ac:dyDescent="0.25">
      <c r="A50" s="2" t="s">
        <v>45</v>
      </c>
      <c r="B50" s="16" t="s">
        <v>168</v>
      </c>
      <c r="C50" s="231">
        <f>'Demanda (BRA)'!F11</f>
        <v>695.99981184318472</v>
      </c>
      <c r="D50" s="18"/>
      <c r="F50" s="15">
        <f>IFERROR($C50*$H$20*'Premissas (BRA)'!$E$20*1000," ")</f>
        <v>9476242.9913493898</v>
      </c>
      <c r="G50" s="49"/>
    </row>
    <row r="51" spans="1:9" x14ac:dyDescent="0.25">
      <c r="A51" s="2" t="s">
        <v>46</v>
      </c>
      <c r="B51" s="16" t="s">
        <v>169</v>
      </c>
      <c r="C51" s="231">
        <f>'Demanda (BRA)'!F12</f>
        <v>994.60300359473592</v>
      </c>
      <c r="D51" s="18"/>
      <c r="F51" s="15">
        <f>IFERROR($C51*$H$20*'Premissas (BRA)'!$E$20*1000," ")</f>
        <v>13541813.635020396</v>
      </c>
      <c r="G51" s="49"/>
    </row>
    <row r="52" spans="1:9" x14ac:dyDescent="0.25">
      <c r="A52" s="2" t="s">
        <v>47</v>
      </c>
      <c r="B52" s="16" t="s">
        <v>170</v>
      </c>
      <c r="C52" s="231">
        <f>'Demanda (BRA)'!F13</f>
        <v>2460.3528578351988</v>
      </c>
      <c r="D52" s="18"/>
      <c r="F52" s="15">
        <f>IFERROR($C52*$H$20*'Premissas (BRA)'!$E$20*1000," ")</f>
        <v>33498430.787737504</v>
      </c>
      <c r="G52" s="49"/>
    </row>
    <row r="53" spans="1:9" x14ac:dyDescent="0.25">
      <c r="A53" s="2" t="s">
        <v>48</v>
      </c>
      <c r="B53" s="16" t="s">
        <v>171</v>
      </c>
      <c r="C53" s="231">
        <f>'Demanda (BRA)'!F14</f>
        <v>1008.3686134701056</v>
      </c>
      <c r="D53" s="18"/>
      <c r="F53" s="15">
        <f>IFERROR($C53*$H$20*'Premissas (BRA)'!$E$20*1000," ")</f>
        <v>13729236.478939947</v>
      </c>
      <c r="G53" s="49"/>
    </row>
    <row r="54" spans="1:9" x14ac:dyDescent="0.25">
      <c r="A54" s="2" t="s">
        <v>49</v>
      </c>
      <c r="B54" s="16" t="s">
        <v>172</v>
      </c>
      <c r="C54" s="231">
        <f>'Demanda (BRA)'!F15</f>
        <v>1318.069593111717</v>
      </c>
      <c r="D54" s="18"/>
      <c r="F54" s="15">
        <f>IFERROR($C54*$H$20*'Premissas (BRA)'!$E$20*1000," ")</f>
        <v>17945906.78229931</v>
      </c>
      <c r="G54" s="49"/>
    </row>
    <row r="55" spans="1:9" x14ac:dyDescent="0.25">
      <c r="A55" s="2" t="s">
        <v>50</v>
      </c>
      <c r="B55" s="16" t="s">
        <v>199</v>
      </c>
      <c r="C55" s="191"/>
      <c r="D55" s="216" t="s">
        <v>386</v>
      </c>
      <c r="F55" s="15">
        <f>IFERROR($C55*$H$20*'Premissas (BRA)'!$E$20*1000," ")</f>
        <v>0</v>
      </c>
      <c r="G55" s="49"/>
    </row>
    <row r="56" spans="1:9" x14ac:dyDescent="0.25">
      <c r="A56" s="2" t="s">
        <v>51</v>
      </c>
      <c r="B56" s="16" t="s">
        <v>198</v>
      </c>
      <c r="C56" s="191"/>
      <c r="D56" s="216" t="s">
        <v>386</v>
      </c>
      <c r="F56" s="15">
        <f>IFERROR($C56*$H$20*'Premissas (BRA)'!$E$20*1000," ")</f>
        <v>0</v>
      </c>
      <c r="G56" s="49"/>
    </row>
    <row r="57" spans="1:9" x14ac:dyDescent="0.25">
      <c r="A57" s="2" t="s">
        <v>52</v>
      </c>
      <c r="B57" s="16" t="s">
        <v>197</v>
      </c>
      <c r="C57" s="191"/>
      <c r="D57" s="216" t="s">
        <v>386</v>
      </c>
      <c r="F57" s="15">
        <f>IFERROR($C57*$H$20*'Premissas (BRA)'!$E$20*1000," ")</f>
        <v>0</v>
      </c>
      <c r="G57" s="49"/>
    </row>
    <row r="58" spans="1:9" x14ac:dyDescent="0.25">
      <c r="C58" s="61">
        <f>SUM(C42:C57)</f>
        <v>17326.661063207372</v>
      </c>
      <c r="D58" s="61"/>
      <c r="F58" s="61">
        <f>SUM(F42:F57)</f>
        <v>235907607.54501358</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0.34062154572287345</v>
      </c>
      <c r="C100" s="8"/>
      <c r="D100" t="s">
        <v>232</v>
      </c>
      <c r="E100" s="66">
        <f t="shared" ref="E100:E115" si="2">F42/$F$58</f>
        <v>4.845673623078358E-3</v>
      </c>
      <c r="G100" s="65" t="s">
        <v>140</v>
      </c>
      <c r="H100" s="67">
        <f>F25/$F$35</f>
        <v>0.34062154572287345</v>
      </c>
      <c r="I100" s="67">
        <f>F26/$F$35</f>
        <v>6.1252572488394537E-3</v>
      </c>
      <c r="J100" s="67">
        <f>$F27/$F$35</f>
        <v>0.41541494661629175</v>
      </c>
      <c r="K100" s="67">
        <f>$F28/$F$35</f>
        <v>0</v>
      </c>
      <c r="L100" s="67">
        <f>$F29/$F$35</f>
        <v>0</v>
      </c>
      <c r="M100" s="67">
        <f>$F30/$F$35</f>
        <v>0</v>
      </c>
      <c r="N100" s="67">
        <f>$F31/$F$35</f>
        <v>0.23783825041199533</v>
      </c>
      <c r="O100" s="67">
        <f>$F32/$F$35</f>
        <v>0</v>
      </c>
      <c r="P100" s="67">
        <f>$F33/$F$35</f>
        <v>0</v>
      </c>
      <c r="Q100" s="67">
        <f>$F34/$F$35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7.8410674417227127E-2</v>
      </c>
      <c r="W101" s="69"/>
    </row>
    <row r="102" spans="1:27" ht="18" x14ac:dyDescent="0.35">
      <c r="A102" t="s">
        <v>224</v>
      </c>
      <c r="B102" s="66">
        <f t="shared" si="1"/>
        <v>0.41541494661629175</v>
      </c>
      <c r="C102" s="4"/>
      <c r="D102" t="s">
        <v>234</v>
      </c>
      <c r="E102" s="66">
        <f t="shared" si="2"/>
        <v>9.1834518204147786E-2</v>
      </c>
      <c r="G102" s="66"/>
      <c r="H102" s="68"/>
      <c r="I102" s="68"/>
    </row>
    <row r="103" spans="1:27" ht="18" x14ac:dyDescent="0.35">
      <c r="A103" t="s">
        <v>225</v>
      </c>
      <c r="B103" s="66">
        <f t="shared" si="1"/>
        <v>0</v>
      </c>
      <c r="C103" s="4"/>
      <c r="D103" t="s">
        <v>235</v>
      </c>
      <c r="E103" s="66">
        <f t="shared" si="2"/>
        <v>1.4884886929820124E-2</v>
      </c>
      <c r="G103" s="66"/>
      <c r="H103" s="68"/>
      <c r="I103" s="68"/>
    </row>
    <row r="104" spans="1:27" ht="18" x14ac:dyDescent="0.35">
      <c r="A104" t="s">
        <v>226</v>
      </c>
      <c r="B104" s="66">
        <f t="shared" si="1"/>
        <v>0</v>
      </c>
      <c r="C104" s="4"/>
      <c r="D104" t="s">
        <v>236</v>
      </c>
      <c r="E104" s="66">
        <f t="shared" si="2"/>
        <v>0.2374155606062163</v>
      </c>
      <c r="G104" s="66"/>
      <c r="H104" s="68"/>
      <c r="I104" s="68"/>
    </row>
    <row r="105" spans="1:27" ht="18" x14ac:dyDescent="0.35">
      <c r="A105" t="s">
        <v>227</v>
      </c>
      <c r="B105" s="66">
        <f t="shared" si="1"/>
        <v>0</v>
      </c>
      <c r="C105" s="4"/>
      <c r="D105" t="s">
        <v>237</v>
      </c>
      <c r="E105" s="66">
        <f t="shared" si="2"/>
        <v>9.6470753490641964E-2</v>
      </c>
      <c r="G105" s="66"/>
      <c r="H105" s="68"/>
      <c r="I105" s="68"/>
    </row>
    <row r="106" spans="1:27" ht="18" x14ac:dyDescent="0.35">
      <c r="A106" t="s">
        <v>228</v>
      </c>
      <c r="B106" s="66">
        <f t="shared" si="1"/>
        <v>0.23783825041199533</v>
      </c>
      <c r="C106" s="4"/>
      <c r="D106" t="s">
        <v>238</v>
      </c>
      <c r="E106" s="66">
        <f t="shared" si="2"/>
        <v>8.642035438641385E-2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4.0169298014440788E-2</v>
      </c>
      <c r="G108" s="66"/>
      <c r="H108" s="68"/>
      <c r="I108" s="68"/>
    </row>
    <row r="109" spans="1:27" ht="18" x14ac:dyDescent="0.35">
      <c r="A109" t="s">
        <v>231</v>
      </c>
      <c r="B109" s="66">
        <f t="shared" si="1"/>
        <v>0</v>
      </c>
      <c r="D109" t="s">
        <v>241</v>
      </c>
      <c r="E109" s="66">
        <f t="shared" si="2"/>
        <v>5.7403039164120553E-2</v>
      </c>
      <c r="G109" s="66"/>
    </row>
    <row r="110" spans="1:27" ht="18" x14ac:dyDescent="0.35">
      <c r="B110" s="66">
        <f>SUM(B100:B109)</f>
        <v>1</v>
      </c>
      <c r="D110" t="s">
        <v>242</v>
      </c>
      <c r="E110" s="66">
        <f t="shared" si="2"/>
        <v>0.14199809466231675</v>
      </c>
      <c r="G110" s="66"/>
    </row>
    <row r="111" spans="1:27" ht="18" x14ac:dyDescent="0.35">
      <c r="B111" s="68"/>
      <c r="D111" t="s">
        <v>243</v>
      </c>
      <c r="E111" s="66">
        <f t="shared" si="2"/>
        <v>5.8197514789005984E-2</v>
      </c>
      <c r="G111" s="66"/>
    </row>
    <row r="112" spans="1:27" ht="18" x14ac:dyDescent="0.35">
      <c r="B112" s="68"/>
      <c r="D112" t="s">
        <v>244</v>
      </c>
      <c r="E112" s="66">
        <f t="shared" si="2"/>
        <v>7.6071759486921367E-2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348.00559018731281</v>
      </c>
      <c r="C131" s="70"/>
      <c r="D131" t="s">
        <v>253</v>
      </c>
      <c r="E131" s="4">
        <f ca="1">SUMPRODUCT($H$100:$Q$100,$C68:$L68)</f>
        <v>381.82480233545687</v>
      </c>
    </row>
    <row r="132" spans="1:5" ht="18" x14ac:dyDescent="0.35">
      <c r="A132" t="s">
        <v>254</v>
      </c>
      <c r="B132" s="66">
        <f ca="1">SUMPRODUCT($E$100:$E$115,D$68:D$83)</f>
        <v>238.07443165879414</v>
      </c>
      <c r="C132" s="70"/>
      <c r="D132" t="s">
        <v>255</v>
      </c>
      <c r="E132" s="4">
        <f t="shared" ref="E132:E146" ca="1" si="3">SUMPRODUCT($H$100:$Q$100,$C69:$L69)</f>
        <v>478.98880233545691</v>
      </c>
    </row>
    <row r="133" spans="1:5" ht="18" x14ac:dyDescent="0.35">
      <c r="A133" t="s">
        <v>256</v>
      </c>
      <c r="B133" s="66">
        <f ca="1">SUMPRODUCT($E$100:$E$115,E$68:E$83)</f>
        <v>274.56161386783606</v>
      </c>
      <c r="C133" s="70"/>
      <c r="D133" t="s">
        <v>257</v>
      </c>
      <c r="E133" s="4">
        <f t="shared" ca="1" si="3"/>
        <v>596.15400233545688</v>
      </c>
    </row>
    <row r="134" spans="1:5" ht="18" x14ac:dyDescent="0.35">
      <c r="A134" t="s">
        <v>258</v>
      </c>
      <c r="B134" s="66">
        <f ca="1">SUMPRODUCT($E$100:$E$115,F$68:F$83)</f>
        <v>459.39338604153431</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213.98004830229473</v>
      </c>
    </row>
    <row r="137" spans="1:5" ht="18" x14ac:dyDescent="0.35">
      <c r="A137" t="s">
        <v>264</v>
      </c>
      <c r="B137" s="66">
        <f ca="1">SUMPRODUCT($E$100:$E$115,I$68:I$83)</f>
        <v>385.09157515500448</v>
      </c>
      <c r="D137" t="s">
        <v>265</v>
      </c>
      <c r="E137" s="4">
        <f t="shared" ca="1" si="3"/>
        <v>229.34466796296684</v>
      </c>
    </row>
    <row r="138" spans="1:5" ht="18" x14ac:dyDescent="0.35">
      <c r="A138" t="s">
        <v>266</v>
      </c>
      <c r="B138" s="66">
        <f ca="1">SUMPRODUCT($E$100:$E$115,J$68:J$83)</f>
        <v>303.67115177082843</v>
      </c>
      <c r="D138" t="s">
        <v>267</v>
      </c>
      <c r="E138" s="4">
        <f t="shared" ca="1" si="3"/>
        <v>248.57032826686191</v>
      </c>
    </row>
    <row r="139" spans="1:5" ht="18" x14ac:dyDescent="0.35">
      <c r="A139" t="s">
        <v>268</v>
      </c>
      <c r="B139" s="66">
        <f ca="1">SUMPRODUCT($E$100:$E$115,K$68:K$83)</f>
        <v>459.39338604153431</v>
      </c>
      <c r="D139" t="s">
        <v>269</v>
      </c>
      <c r="E139" s="4">
        <f t="shared" ca="1" si="3"/>
        <v>223.14240453800076</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445.66464244190945</v>
      </c>
    </row>
    <row r="144" spans="1:5" ht="18" x14ac:dyDescent="0.35">
      <c r="B144" s="66"/>
      <c r="D144" t="s">
        <v>275</v>
      </c>
      <c r="E144" s="4">
        <f t="shared" si="3"/>
        <v>340.32764244190946</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0.36401277341349386</v>
      </c>
      <c r="C163" s="13"/>
      <c r="D163" t="s">
        <v>283</v>
      </c>
      <c r="E163" s="71">
        <f t="shared" ref="E163:E178" ca="1" si="5">($F42*$E131)/SUMPRODUCT($F$42:$F$57,$E$131:$E$146)</f>
        <v>5.6816775485780445E-3</v>
      </c>
    </row>
    <row r="164" spans="1:9" ht="18" x14ac:dyDescent="0.35">
      <c r="A164" t="s">
        <v>284</v>
      </c>
      <c r="B164" s="71">
        <f t="shared" ca="1" si="4"/>
        <v>4.4781163895208434E-3</v>
      </c>
      <c r="C164" s="4"/>
      <c r="D164" t="s">
        <v>285</v>
      </c>
      <c r="E164" s="71">
        <f t="shared" ca="1" si="5"/>
        <v>0.11533439394266103</v>
      </c>
    </row>
    <row r="165" spans="1:9" ht="18" x14ac:dyDescent="0.35">
      <c r="A165" t="s">
        <v>286</v>
      </c>
      <c r="B165" s="71">
        <f t="shared" ca="1" si="4"/>
        <v>0.35025167846591204</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2.7011397732216613E-2</v>
      </c>
    </row>
    <row r="167" spans="1:9" ht="18" x14ac:dyDescent="0.35">
      <c r="A167" t="s">
        <v>290</v>
      </c>
      <c r="B167" s="71">
        <f t="shared" ca="1" si="4"/>
        <v>0</v>
      </c>
      <c r="C167" s="4"/>
      <c r="D167" t="s">
        <v>291</v>
      </c>
      <c r="E167" s="71">
        <f t="shared" ca="1" si="5"/>
        <v>0.1583219009048818</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1.2119923438785544E-2</v>
      </c>
    </row>
    <row r="171" spans="1:9" ht="18" x14ac:dyDescent="0.35">
      <c r="A171" t="s">
        <v>298</v>
      </c>
      <c r="B171" s="71">
        <f t="shared" ca="1" si="4"/>
        <v>0</v>
      </c>
      <c r="D171" t="s">
        <v>299</v>
      </c>
      <c r="E171" s="71">
        <f t="shared" ca="1" si="5"/>
        <v>2.7525463368276427E-2</v>
      </c>
    </row>
    <row r="172" spans="1:9" ht="18" x14ac:dyDescent="0.35">
      <c r="A172" t="s">
        <v>300</v>
      </c>
      <c r="B172" s="71">
        <f t="shared" ca="1" si="4"/>
        <v>0</v>
      </c>
      <c r="D172" t="s">
        <v>301</v>
      </c>
      <c r="E172" s="71">
        <f t="shared" ca="1" si="5"/>
        <v>5.3526533245923026E-2</v>
      </c>
    </row>
    <row r="173" spans="1:9" ht="18" x14ac:dyDescent="0.35">
      <c r="B173" s="175">
        <f ca="1">SUM(B163:B172)</f>
        <v>1</v>
      </c>
      <c r="D173" t="s">
        <v>302</v>
      </c>
      <c r="E173" s="71">
        <f t="shared" ca="1" si="5"/>
        <v>0.13071969216727208</v>
      </c>
    </row>
    <row r="174" spans="1:9" ht="18" x14ac:dyDescent="0.35">
      <c r="B174" s="71"/>
      <c r="D174" t="s">
        <v>303</v>
      </c>
      <c r="E174" s="71">
        <f t="shared" ca="1" si="5"/>
        <v>7.3273039393892847E-2</v>
      </c>
    </row>
    <row r="175" spans="1:9" ht="18" x14ac:dyDescent="0.35">
      <c r="B175" s="71"/>
      <c r="D175" t="s">
        <v>304</v>
      </c>
      <c r="E175" s="71">
        <f t="shared" ca="1" si="5"/>
        <v>0.10410939653318835</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725.26307474311841</v>
      </c>
      <c r="C194" s="19"/>
      <c r="D194" t="s">
        <v>311</v>
      </c>
      <c r="E194" s="5">
        <f t="shared" ref="E194:E209" ca="1" si="7">$E163*$D$9</f>
        <v>4.8168297005332832</v>
      </c>
    </row>
    <row r="195" spans="1:5" ht="18" x14ac:dyDescent="0.35">
      <c r="A195" t="s">
        <v>312</v>
      </c>
      <c r="B195" s="6">
        <f t="shared" ca="1" si="6"/>
        <v>8.9222486103039671</v>
      </c>
      <c r="D195" t="s">
        <v>313</v>
      </c>
      <c r="E195" s="5">
        <f t="shared" ca="1" si="7"/>
        <v>97.778539786203169</v>
      </c>
    </row>
    <row r="196" spans="1:5" ht="18" x14ac:dyDescent="0.35">
      <c r="A196" t="s">
        <v>314</v>
      </c>
      <c r="B196" s="6">
        <f t="shared" ca="1" si="6"/>
        <v>697.84531700916625</v>
      </c>
      <c r="D196" t="s">
        <v>315</v>
      </c>
      <c r="E196" s="5">
        <f t="shared" ca="1" si="7"/>
        <v>142.53037019136866</v>
      </c>
    </row>
    <row r="197" spans="1:5" ht="18" x14ac:dyDescent="0.35">
      <c r="A197" t="s">
        <v>316</v>
      </c>
      <c r="B197" s="6">
        <f t="shared" ca="1" si="6"/>
        <v>0</v>
      </c>
      <c r="D197" t="s">
        <v>317</v>
      </c>
      <c r="E197" s="5">
        <f t="shared" ca="1" si="7"/>
        <v>22.89980410486703</v>
      </c>
    </row>
    <row r="198" spans="1:5" ht="18" x14ac:dyDescent="0.35">
      <c r="A198" t="s">
        <v>318</v>
      </c>
      <c r="B198" s="6">
        <f t="shared" ca="1" si="6"/>
        <v>0</v>
      </c>
      <c r="D198" t="s">
        <v>319</v>
      </c>
      <c r="E198" s="5">
        <f t="shared" ca="1" si="7"/>
        <v>134.22261788059066</v>
      </c>
    </row>
    <row r="199" spans="1:5" ht="18" x14ac:dyDescent="0.35">
      <c r="A199" t="s">
        <v>320</v>
      </c>
      <c r="B199" s="6">
        <f t="shared" ca="1" si="6"/>
        <v>0</v>
      </c>
      <c r="D199" t="s">
        <v>321</v>
      </c>
      <c r="E199" s="5">
        <f t="shared" ca="1" si="7"/>
        <v>53.741767917410463</v>
      </c>
    </row>
    <row r="200" spans="1:5" ht="18" x14ac:dyDescent="0.35">
      <c r="A200" t="s">
        <v>322</v>
      </c>
      <c r="B200" s="6">
        <f t="shared" ca="1" si="6"/>
        <v>560.3804169254164</v>
      </c>
      <c r="D200" t="s">
        <v>323</v>
      </c>
      <c r="E200" s="5">
        <f t="shared" ca="1" si="7"/>
        <v>51.599760736058506</v>
      </c>
    </row>
    <row r="201" spans="1:5" ht="18" x14ac:dyDescent="0.35">
      <c r="A201" t="s">
        <v>324</v>
      </c>
      <c r="B201" s="6">
        <f t="shared" ca="1" si="6"/>
        <v>0</v>
      </c>
      <c r="D201" t="s">
        <v>325</v>
      </c>
      <c r="E201" s="5">
        <f t="shared" ca="1" si="7"/>
        <v>10.275065187876136</v>
      </c>
    </row>
    <row r="202" spans="1:5" ht="18" x14ac:dyDescent="0.35">
      <c r="A202" t="s">
        <v>326</v>
      </c>
      <c r="B202" s="6">
        <f t="shared" ca="1" si="6"/>
        <v>0</v>
      </c>
      <c r="D202" t="s">
        <v>327</v>
      </c>
      <c r="E202" s="5">
        <f t="shared" ca="1" si="7"/>
        <v>23.335620217736047</v>
      </c>
    </row>
    <row r="203" spans="1:5" ht="18" x14ac:dyDescent="0.35">
      <c r="A203" t="s">
        <v>328</v>
      </c>
      <c r="B203" s="6">
        <f t="shared" ca="1" si="6"/>
        <v>0</v>
      </c>
      <c r="D203" t="s">
        <v>329</v>
      </c>
      <c r="E203" s="5">
        <f t="shared" ca="1" si="7"/>
        <v>45.378885531804073</v>
      </c>
    </row>
    <row r="204" spans="1:5" ht="18" x14ac:dyDescent="0.35">
      <c r="B204" s="6">
        <f ca="1">SUM(B194:B203)</f>
        <v>1992.4110572880049</v>
      </c>
      <c r="D204" t="s">
        <v>330</v>
      </c>
      <c r="E204" s="5">
        <f t="shared" ca="1" si="7"/>
        <v>110.82193424254919</v>
      </c>
    </row>
    <row r="205" spans="1:5" ht="18" x14ac:dyDescent="0.35">
      <c r="B205" s="6"/>
      <c r="D205" t="s">
        <v>331</v>
      </c>
      <c r="E205" s="5">
        <f t="shared" ca="1" si="7"/>
        <v>62.11963797367904</v>
      </c>
    </row>
    <row r="206" spans="1:5" ht="18" x14ac:dyDescent="0.35">
      <c r="B206" s="6"/>
      <c r="D206" t="s">
        <v>332</v>
      </c>
      <c r="E206" s="5">
        <f t="shared" ca="1" si="7"/>
        <v>88.262177682217001</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847.78301115289321</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4.789506008719556</v>
      </c>
      <c r="D227" s="77"/>
      <c r="E227" s="7"/>
      <c r="F227" s="7"/>
      <c r="G227" s="78"/>
      <c r="H227" s="20" t="s">
        <v>343</v>
      </c>
      <c r="I227" s="20" t="str">
        <f t="shared" ref="I227:I242" si="9">B42</f>
        <v>NTS MG 1</v>
      </c>
      <c r="J227" s="11">
        <f t="shared" ref="J227:J242" ca="1" si="10">IFERROR($E194/$F42*1000000," ")</f>
        <v>4.2137152759228762</v>
      </c>
      <c r="L227" s="12"/>
      <c r="M227" s="79"/>
      <c r="Q227" s="7"/>
      <c r="R227" s="80"/>
      <c r="S227" s="81"/>
      <c r="T227" s="81"/>
      <c r="U227" s="81"/>
    </row>
    <row r="228" spans="1:21" ht="18" x14ac:dyDescent="0.25">
      <c r="A228" s="20" t="s">
        <v>344</v>
      </c>
      <c r="B228" s="20" t="str">
        <f t="shared" ref="B228:B236" si="11">B26</f>
        <v>PR-GNLBGB</v>
      </c>
      <c r="C228" s="11">
        <f t="shared" ca="1" si="8"/>
        <v>3.2765534609330476</v>
      </c>
      <c r="D228" s="77"/>
      <c r="E228" s="7"/>
      <c r="F228" s="7"/>
      <c r="G228" s="78"/>
      <c r="H228" s="20" t="s">
        <v>345</v>
      </c>
      <c r="I228" s="20" t="str">
        <f t="shared" si="9"/>
        <v>NTS MG 2</v>
      </c>
      <c r="J228" s="11">
        <f t="shared" ca="1" si="10"/>
        <v>5.2859909074835212</v>
      </c>
      <c r="L228" s="12"/>
      <c r="M228" s="79"/>
      <c r="Q228" s="7"/>
      <c r="R228" s="80"/>
      <c r="S228" s="81"/>
      <c r="T228" s="81"/>
      <c r="U228" s="81"/>
    </row>
    <row r="229" spans="1:21" ht="18" x14ac:dyDescent="0.25">
      <c r="A229" s="20" t="s">
        <v>346</v>
      </c>
      <c r="B229" s="20" t="str">
        <f t="shared" si="11"/>
        <v>PR-ITABORAÍ</v>
      </c>
      <c r="C229" s="11">
        <f t="shared" ca="1" si="8"/>
        <v>3.7787165966958671</v>
      </c>
      <c r="D229" s="77"/>
      <c r="E229" s="7"/>
      <c r="F229" s="7"/>
      <c r="G229" s="78"/>
      <c r="H229" s="20" t="s">
        <v>347</v>
      </c>
      <c r="I229" s="20" t="str">
        <f t="shared" si="9"/>
        <v>NTS MG 3</v>
      </c>
      <c r="J229" s="11">
        <f t="shared" ca="1" si="10"/>
        <v>6.5789943740650667</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6.5214516836717413</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2.3964842488593656</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2.3614259544143965</v>
      </c>
      <c r="L232" s="12"/>
      <c r="M232" s="79"/>
      <c r="Q232" s="7"/>
      <c r="R232" s="80"/>
      <c r="S232" s="81"/>
      <c r="T232" s="81"/>
      <c r="U232" s="81"/>
    </row>
    <row r="233" spans="1:21" ht="18" x14ac:dyDescent="0.25">
      <c r="A233" s="20" t="s">
        <v>354</v>
      </c>
      <c r="B233" s="20" t="str">
        <f t="shared" si="11"/>
        <v>PR-TECAB</v>
      </c>
      <c r="C233" s="11">
        <f t="shared" ca="1" si="8"/>
        <v>5.2999103035081454</v>
      </c>
      <c r="D233" s="77"/>
      <c r="E233" s="7"/>
      <c r="F233" s="7"/>
      <c r="G233" s="78"/>
      <c r="H233" s="20" t="s">
        <v>355</v>
      </c>
      <c r="I233" s="20" t="str">
        <f t="shared" si="9"/>
        <v>NTS RJ 3</v>
      </c>
      <c r="J233" s="11">
        <f t="shared" ca="1" si="10"/>
        <v>2.5309857425080962</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2.7431549311430787</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2.4625392403971187</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3.351019793571079</v>
      </c>
      <c r="L236" s="12"/>
      <c r="Q236" s="7"/>
      <c r="R236" s="80"/>
      <c r="S236" s="81"/>
      <c r="T236" s="81"/>
      <c r="U236" s="81"/>
    </row>
    <row r="237" spans="1:21" ht="18" x14ac:dyDescent="0.25">
      <c r="D237" s="72"/>
      <c r="E237" s="7"/>
      <c r="F237" s="7"/>
      <c r="G237" s="72"/>
      <c r="H237" s="20" t="s">
        <v>362</v>
      </c>
      <c r="I237" s="20" t="str">
        <f t="shared" si="9"/>
        <v>NTS SP 2</v>
      </c>
      <c r="J237" s="11">
        <f t="shared" ca="1" si="10"/>
        <v>3.3082724066918643</v>
      </c>
      <c r="K237" s="72"/>
      <c r="L237" s="12"/>
      <c r="Q237" s="7"/>
      <c r="R237" s="80"/>
      <c r="S237" s="81"/>
      <c r="T237" s="81"/>
      <c r="U237" s="81"/>
    </row>
    <row r="238" spans="1:21" ht="18" x14ac:dyDescent="0.25">
      <c r="D238" s="72"/>
      <c r="E238" s="7"/>
      <c r="F238" s="7"/>
      <c r="G238" s="72"/>
      <c r="H238" s="20" t="s">
        <v>363</v>
      </c>
      <c r="I238" s="20" t="str">
        <f t="shared" si="9"/>
        <v>NTS SP 3</v>
      </c>
      <c r="J238" s="11">
        <f t="shared" ca="1" si="10"/>
        <v>4.5246243714257437</v>
      </c>
      <c r="L238" s="12"/>
      <c r="Q238" s="7"/>
      <c r="R238" s="80"/>
      <c r="S238" s="81"/>
      <c r="T238" s="81"/>
      <c r="U238" s="81"/>
    </row>
    <row r="239" spans="1:21" ht="18" x14ac:dyDescent="0.25">
      <c r="D239" s="72"/>
      <c r="E239" s="7"/>
      <c r="F239" s="7"/>
      <c r="G239" s="72"/>
      <c r="H239" s="20" t="s">
        <v>364</v>
      </c>
      <c r="I239" s="20" t="str">
        <f t="shared" si="9"/>
        <v>NTS SP 4</v>
      </c>
      <c r="J239" s="11">
        <f t="shared" ca="1" si="10"/>
        <v>4.9182344895089471</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4.4817354199982296</v>
      </c>
      <c r="E246" s="11">
        <f ca="1">IFERROR(C246+D246," ")</f>
        <v>4.4817354199982296</v>
      </c>
      <c r="F246" s="198">
        <f ca="1">E246*F25</f>
        <v>678658134.04878485</v>
      </c>
      <c r="G246" s="79"/>
      <c r="H246" s="20" t="s">
        <v>343</v>
      </c>
      <c r="I246" s="20" t="str">
        <f t="shared" ref="I246:I261" si="15">I227</f>
        <v>NTS MG 1</v>
      </c>
      <c r="J246" s="11">
        <f t="shared" ref="J246:J261" ca="1" si="16">IF(F42=0," ",J227*(1-$C$12))</f>
        <v>0</v>
      </c>
      <c r="K246" s="11">
        <f t="shared" ref="K246:K258" ca="1" si="17">$F$11*$C$12</f>
        <v>3.5937078077955902</v>
      </c>
      <c r="L246" s="11">
        <f ca="1">IFERROR(J246+K246," ")</f>
        <v>3.5937078077955902</v>
      </c>
      <c r="M246" s="198">
        <f t="shared" ref="M246:M258" ca="1" si="18">L246*F42</f>
        <v>4108079.7752375202</v>
      </c>
      <c r="N246" s="87"/>
    </row>
    <row r="247" spans="1:22" ht="18" x14ac:dyDescent="0.25">
      <c r="A247" s="20" t="s">
        <v>344</v>
      </c>
      <c r="B247" s="20" t="str">
        <f t="shared" si="12"/>
        <v>PR-GNLBGB</v>
      </c>
      <c r="C247" s="11">
        <f t="shared" ca="1" si="13"/>
        <v>0</v>
      </c>
      <c r="D247" s="11">
        <f t="shared" ca="1" si="14"/>
        <v>4.4817354199982296</v>
      </c>
      <c r="E247" s="11">
        <f t="shared" ref="E247:E252" ca="1" si="19">IFERROR(C247+D247," ")</f>
        <v>4.4817354199982296</v>
      </c>
      <c r="F247" s="198">
        <f ca="1">E247*F26</f>
        <v>12204030.271321233</v>
      </c>
      <c r="G247" s="79"/>
      <c r="H247" s="20" t="s">
        <v>345</v>
      </c>
      <c r="I247" s="20" t="str">
        <f t="shared" si="15"/>
        <v>NTS MG 2</v>
      </c>
      <c r="J247" s="11">
        <f t="shared" ca="1" si="16"/>
        <v>0</v>
      </c>
      <c r="K247" s="11">
        <f t="shared" ca="1" si="17"/>
        <v>3.5937078077955902</v>
      </c>
      <c r="L247" s="11">
        <f t="shared" ref="L247:L258" ca="1" si="20">IFERROR(J247+K247," ")</f>
        <v>3.5937078077955902</v>
      </c>
      <c r="M247" s="198">
        <f t="shared" ca="1" si="18"/>
        <v>66475237.663965948</v>
      </c>
    </row>
    <row r="248" spans="1:22" ht="18" x14ac:dyDescent="0.25">
      <c r="A248" s="20" t="s">
        <v>346</v>
      </c>
      <c r="B248" s="20" t="str">
        <f t="shared" si="12"/>
        <v>PR-ITABORAÍ</v>
      </c>
      <c r="C248" s="11">
        <f t="shared" ca="1" si="13"/>
        <v>0</v>
      </c>
      <c r="D248" s="11">
        <f t="shared" ca="1" si="14"/>
        <v>4.4817354199982296</v>
      </c>
      <c r="E248" s="11">
        <f t="shared" ca="1" si="19"/>
        <v>4.4817354199982296</v>
      </c>
      <c r="F248" s="198">
        <f ca="1">E248*F27</f>
        <v>827677333.00100601</v>
      </c>
      <c r="G248" s="79"/>
      <c r="H248" s="20" t="s">
        <v>347</v>
      </c>
      <c r="I248" s="20" t="str">
        <f t="shared" si="15"/>
        <v>NTS MG 3</v>
      </c>
      <c r="J248" s="11">
        <f t="shared" ca="1" si="16"/>
        <v>0</v>
      </c>
      <c r="K248" s="11">
        <f t="shared" ca="1" si="17"/>
        <v>3.5937078077955902</v>
      </c>
      <c r="L248" s="11">
        <f t="shared" ca="1" si="20"/>
        <v>3.5937078077955902</v>
      </c>
      <c r="M248" s="198">
        <f t="shared" ca="1" si="18"/>
        <v>77855744.370887592</v>
      </c>
    </row>
    <row r="249" spans="1:22" ht="18" x14ac:dyDescent="0.25">
      <c r="A249" s="20" t="s">
        <v>348</v>
      </c>
      <c r="B249" s="20" t="str">
        <f t="shared" si="12"/>
        <v>PR-GASPAJ (INTERCONEXÃO)</v>
      </c>
      <c r="C249" s="11" t="str">
        <f t="shared" si="13"/>
        <v xml:space="preserve"> </v>
      </c>
      <c r="D249" s="11">
        <f t="shared" ca="1" si="14"/>
        <v>4.4817354199982296</v>
      </c>
      <c r="E249" s="83">
        <f ca="1">E271</f>
        <v>0.40310490727232595</v>
      </c>
      <c r="F249" s="198">
        <f ca="1">E249*F28</f>
        <v>0</v>
      </c>
      <c r="G249" s="79"/>
      <c r="H249" s="20" t="s">
        <v>349</v>
      </c>
      <c r="I249" s="20" t="str">
        <f t="shared" si="15"/>
        <v>NTS MG 4</v>
      </c>
      <c r="J249" s="11">
        <f t="shared" ca="1" si="16"/>
        <v>0</v>
      </c>
      <c r="K249" s="11">
        <f t="shared" ca="1" si="17"/>
        <v>3.5937078077955902</v>
      </c>
      <c r="L249" s="11">
        <f t="shared" ca="1" si="20"/>
        <v>3.5937078077955902</v>
      </c>
      <c r="M249" s="198">
        <f t="shared" ca="1" si="18"/>
        <v>12619154.262033246</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3.5937078077955902</v>
      </c>
      <c r="L250" s="11">
        <f t="shared" ca="1" si="20"/>
        <v>3.5937078077955902</v>
      </c>
      <c r="M250" s="198">
        <f t="shared" ca="1" si="18"/>
        <v>201276878.86529025</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3.5937078077955902</v>
      </c>
      <c r="L251" s="11">
        <f t="shared" ca="1" si="20"/>
        <v>3.5937078077955902</v>
      </c>
      <c r="M251" s="198">
        <f t="shared" ca="1" si="18"/>
        <v>81786265.882484928</v>
      </c>
    </row>
    <row r="252" spans="1:22" ht="18" x14ac:dyDescent="0.25">
      <c r="A252" s="20" t="s">
        <v>354</v>
      </c>
      <c r="B252" s="20" t="str">
        <f t="shared" si="12"/>
        <v>PR-TECAB</v>
      </c>
      <c r="C252" s="11">
        <f t="shared" ca="1" si="13"/>
        <v>0</v>
      </c>
      <c r="D252" s="11">
        <f t="shared" ca="1" si="14"/>
        <v>4.4817354199982296</v>
      </c>
      <c r="E252" s="11">
        <f t="shared" ca="1" si="19"/>
        <v>4.4817354199982296</v>
      </c>
      <c r="F252" s="198">
        <f ca="1">E252*F31</f>
        <v>473871559.9668929</v>
      </c>
      <c r="G252" s="79"/>
      <c r="H252" s="20" t="s">
        <v>355</v>
      </c>
      <c r="I252" s="20" t="str">
        <f t="shared" si="15"/>
        <v>NTS RJ 3</v>
      </c>
      <c r="J252" s="11">
        <f t="shared" ca="1" si="16"/>
        <v>0</v>
      </c>
      <c r="K252" s="11">
        <f t="shared" ca="1" si="17"/>
        <v>3.5937078077955902</v>
      </c>
      <c r="L252" s="11">
        <f t="shared" ca="1" si="20"/>
        <v>3.5937078077955902</v>
      </c>
      <c r="M252" s="198">
        <f t="shared" ca="1" si="18"/>
        <v>73265708.266614079</v>
      </c>
    </row>
    <row r="253" spans="1:22" ht="18" x14ac:dyDescent="0.25">
      <c r="A253" s="20" t="s">
        <v>356</v>
      </c>
      <c r="B253" s="20" t="str">
        <f t="shared" si="12"/>
        <v>PR-GUARAREMA (INTERCONEXÃO)</v>
      </c>
      <c r="C253" s="11" t="str">
        <f t="shared" si="13"/>
        <v xml:space="preserve"> </v>
      </c>
      <c r="D253" s="11"/>
      <c r="E253" s="83">
        <f ca="1">E269</f>
        <v>0.40310490727232595</v>
      </c>
      <c r="F253" s="199"/>
      <c r="G253" s="79"/>
      <c r="H253" s="20" t="s">
        <v>357</v>
      </c>
      <c r="I253" s="20" t="str">
        <f t="shared" si="15"/>
        <v>NTS RJ 4</v>
      </c>
      <c r="J253" s="11">
        <f t="shared" ca="1" si="16"/>
        <v>0</v>
      </c>
      <c r="K253" s="11">
        <f t="shared" ca="1" si="17"/>
        <v>3.5937078077955902</v>
      </c>
      <c r="L253" s="11">
        <f t="shared" ca="1" si="20"/>
        <v>3.5937078077955902</v>
      </c>
      <c r="M253" s="198">
        <f t="shared" ca="1" si="18"/>
        <v>13460990.326161476</v>
      </c>
    </row>
    <row r="254" spans="1:22" ht="18" x14ac:dyDescent="0.25">
      <c r="A254" s="20" t="s">
        <v>358</v>
      </c>
      <c r="B254" s="20" t="str">
        <f t="shared" si="12"/>
        <v>PR-REPLAN (INTERCONEXÃO)</v>
      </c>
      <c r="C254" s="11" t="str">
        <f t="shared" si="13"/>
        <v xml:space="preserve"> </v>
      </c>
      <c r="D254" s="11"/>
      <c r="E254" s="83">
        <f ca="1">E268</f>
        <v>0.40310490727232595</v>
      </c>
      <c r="F254" s="200">
        <f ca="1">SUM(F246:F252)</f>
        <v>1992411057.2880051</v>
      </c>
      <c r="G254" s="79"/>
      <c r="H254" s="20" t="s">
        <v>359</v>
      </c>
      <c r="I254" s="20" t="str">
        <f t="shared" si="15"/>
        <v>NTS RJ 5</v>
      </c>
      <c r="J254" s="11">
        <f t="shared" ca="1" si="16"/>
        <v>0</v>
      </c>
      <c r="K254" s="11">
        <f t="shared" ca="1" si="17"/>
        <v>3.5937078077955902</v>
      </c>
      <c r="L254" s="11">
        <f t="shared" ca="1" si="20"/>
        <v>3.5937078077955902</v>
      </c>
      <c r="M254" s="198">
        <f t="shared" ca="1" si="18"/>
        <v>34054848.426580541</v>
      </c>
    </row>
    <row r="255" spans="1:22" ht="18" x14ac:dyDescent="0.25">
      <c r="A255" s="20" t="s">
        <v>360</v>
      </c>
      <c r="B255" s="20" t="str">
        <f t="shared" si="12"/>
        <v>PR-TECAB (INTERCONEXÃO)</v>
      </c>
      <c r="C255" s="11" t="str">
        <f t="shared" si="13"/>
        <v xml:space="preserve"> </v>
      </c>
      <c r="D255" s="11"/>
      <c r="E255" s="83">
        <f ca="1">E270</f>
        <v>0.40310490727232595</v>
      </c>
      <c r="G255" s="79"/>
      <c r="H255" s="20" t="s">
        <v>361</v>
      </c>
      <c r="I255" s="20" t="str">
        <f t="shared" si="15"/>
        <v>NTS SP 1</v>
      </c>
      <c r="J255" s="11">
        <f t="shared" ca="1" si="16"/>
        <v>0</v>
      </c>
      <c r="K255" s="11">
        <f t="shared" ca="1" si="17"/>
        <v>3.5937078077955902</v>
      </c>
      <c r="L255" s="11">
        <f t="shared" ca="1" si="20"/>
        <v>3.5937078077955902</v>
      </c>
      <c r="M255" s="198">
        <f t="shared" ca="1" si="18"/>
        <v>48665321.391885579</v>
      </c>
    </row>
    <row r="256" spans="1:22" ht="18" x14ac:dyDescent="0.25">
      <c r="F256" s="87"/>
      <c r="H256" s="20" t="s">
        <v>362</v>
      </c>
      <c r="I256" s="20" t="str">
        <f t="shared" si="15"/>
        <v>NTS SP 2</v>
      </c>
      <c r="J256" s="11">
        <f t="shared" ca="1" si="16"/>
        <v>0</v>
      </c>
      <c r="K256" s="11">
        <f t="shared" ca="1" si="17"/>
        <v>3.5937078077955902</v>
      </c>
      <c r="L256" s="11">
        <f t="shared" ca="1" si="20"/>
        <v>3.5937078077955902</v>
      </c>
      <c r="M256" s="198">
        <f t="shared" ca="1" si="18"/>
        <v>120383572.27079245</v>
      </c>
    </row>
    <row r="257" spans="1:13" ht="18" x14ac:dyDescent="0.25">
      <c r="H257" s="20" t="s">
        <v>363</v>
      </c>
      <c r="I257" s="20" t="str">
        <f t="shared" si="15"/>
        <v>NTS SP 3</v>
      </c>
      <c r="J257" s="11">
        <f t="shared" ca="1" si="16"/>
        <v>0</v>
      </c>
      <c r="K257" s="11">
        <f t="shared" ca="1" si="17"/>
        <v>3.5937078077955902</v>
      </c>
      <c r="L257" s="11">
        <f t="shared" ca="1" si="20"/>
        <v>3.5937078077955902</v>
      </c>
      <c r="M257" s="198">
        <f t="shared" ca="1" si="18"/>
        <v>49338864.329438522</v>
      </c>
    </row>
    <row r="258" spans="1:13" ht="18" x14ac:dyDescent="0.25">
      <c r="H258" s="20" t="s">
        <v>364</v>
      </c>
      <c r="I258" s="20" t="str">
        <f t="shared" si="15"/>
        <v>NTS SP 4</v>
      </c>
      <c r="J258" s="11">
        <f t="shared" ca="1" si="16"/>
        <v>0</v>
      </c>
      <c r="K258" s="11">
        <f t="shared" ca="1" si="17"/>
        <v>3.5937078077955902</v>
      </c>
      <c r="L258" s="11">
        <f t="shared" ca="1" si="20"/>
        <v>3.5937078077955902</v>
      </c>
      <c r="M258" s="198">
        <f t="shared" ca="1" si="18"/>
        <v>64492345.321520865</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0.29967165487261105</v>
      </c>
      <c r="M260" s="200">
        <f ca="1">SUM(M246:M258)</f>
        <v>847783011.15289307</v>
      </c>
    </row>
    <row r="261" spans="1:13" ht="18" x14ac:dyDescent="0.25">
      <c r="H261" s="20" t="s">
        <v>367</v>
      </c>
      <c r="I261" s="20" t="str">
        <f t="shared" si="15"/>
        <v>PE-TECAB (INTERCONEXÃO)</v>
      </c>
      <c r="J261" s="11" t="str">
        <f t="shared" si="16"/>
        <v xml:space="preserve"> </v>
      </c>
      <c r="K261" s="11"/>
      <c r="L261" s="83">
        <f ca="1">E273</f>
        <v>0.29967165487261105</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(BRA)'!F11</f>
        <v>200</v>
      </c>
      <c r="D268" s="207">
        <f ca="1">'CWD 2029 BRA (sem desc.)'!D267</f>
        <v>4.0310490727232606</v>
      </c>
      <c r="E268" s="210">
        <f ca="1">D268*(1-$C$263)</f>
        <v>0.40310490727232595</v>
      </c>
      <c r="F268" s="208">
        <f ca="1">C268*E268*'Premissas (BRA)'!$C$35*'Premissas (BRA)'!$F$20*1000</f>
        <v>1097678.4727001013</v>
      </c>
      <c r="L268" s="84"/>
    </row>
    <row r="269" spans="1:13" ht="18.75" x14ac:dyDescent="0.3">
      <c r="B269" s="189" t="s">
        <v>376</v>
      </c>
      <c r="C269" s="213">
        <f>'Oferta (BRA)'!F10</f>
        <v>3398.2010229822185</v>
      </c>
      <c r="D269" s="207">
        <f ca="1">'CWD 2029 BRA (sem desc.)'!D268</f>
        <v>4.0310490727232606</v>
      </c>
      <c r="E269" s="210">
        <f t="shared" ref="E269:E271" ca="1" si="21">D269*(1-$C$263)</f>
        <v>0.40310490727232595</v>
      </c>
      <c r="F269" s="208">
        <f ca="1">C269*E269*'Premissas (BRA)'!$C$35*'Premissas (BRA)'!$F$20*1000</f>
        <v>18650660.544175219</v>
      </c>
      <c r="G269" s="85"/>
      <c r="K269" s="85"/>
      <c r="L269" s="84"/>
    </row>
    <row r="270" spans="1:13" ht="18.75" x14ac:dyDescent="0.3">
      <c r="B270" s="190" t="s">
        <v>377</v>
      </c>
      <c r="C270" s="213">
        <f>'Oferta (BRA)'!F12</f>
        <v>200</v>
      </c>
      <c r="D270" s="207">
        <f ca="1">'CWD 2029 BRA (sem desc.)'!D269</f>
        <v>4.0310490727232606</v>
      </c>
      <c r="E270" s="210">
        <f t="shared" ca="1" si="21"/>
        <v>0.40310490727232595</v>
      </c>
      <c r="F270" s="208">
        <f ca="1">C270*E270*'Premissas (BRA)'!$C$35*'Premissas (BRA)'!$F$20*1000</f>
        <v>1097678.4727001013</v>
      </c>
      <c r="K270" s="85"/>
      <c r="L270" s="84"/>
    </row>
    <row r="271" spans="1:13" ht="18.75" x14ac:dyDescent="0.3">
      <c r="B271" s="190" t="s">
        <v>185</v>
      </c>
      <c r="C271" s="213">
        <f>'Oferta (BRA)'!F6</f>
        <v>258</v>
      </c>
      <c r="D271" s="207">
        <f ca="1">'CWD 2029 BRA (sem desc.)'!D270</f>
        <v>4.0310490727232606</v>
      </c>
      <c r="E271" s="210">
        <f t="shared" ca="1" si="21"/>
        <v>0.40310490727232595</v>
      </c>
      <c r="F271" s="208">
        <f ca="1">C271*E271*'Premissas (BRA)'!$C$35*'Premissas (BRA)'!$F$20*1000</f>
        <v>1416005.2297831308</v>
      </c>
      <c r="K271" s="85"/>
      <c r="L271" s="84"/>
    </row>
    <row r="272" spans="1:13" ht="18.75" x14ac:dyDescent="0.3">
      <c r="B272" s="188" t="s">
        <v>378</v>
      </c>
      <c r="C272" s="213">
        <f>'Demanda (BRA)'!F17</f>
        <v>3635.2588149970047</v>
      </c>
      <c r="D272" s="207">
        <f ca="1">'CWD 2029 BRA (sem desc.)'!D271</f>
        <v>2.9967165487261114</v>
      </c>
      <c r="E272" s="210">
        <f ca="1">D272*(1-$C$263)</f>
        <v>0.29967165487261105</v>
      </c>
      <c r="F272" s="208">
        <f ca="1">C272*E272*'Premissas (BRA)'!$C$35*'Premissas (BRA)'!$F$20*1000</f>
        <v>14832285.233339155</v>
      </c>
      <c r="K272" s="85"/>
      <c r="L272" s="84"/>
    </row>
    <row r="273" spans="2:13" ht="18.75" x14ac:dyDescent="0.3">
      <c r="B273" s="190" t="s">
        <v>379</v>
      </c>
      <c r="C273" s="213">
        <f>'Demanda (BRA)'!F18</f>
        <v>200</v>
      </c>
      <c r="D273" s="207">
        <f ca="1">'CWD 2029 BRA (sem desc.)'!D272</f>
        <v>2.9967165487261114</v>
      </c>
      <c r="E273" s="210">
        <f ca="1">D273*(1-$C$263)</f>
        <v>0.29967165487261105</v>
      </c>
      <c r="F273" s="208">
        <f ca="1">C273*E273*'Premissas (BRA)'!$C$35*'Premissas (BRA)'!$F$20*1000</f>
        <v>816023.61692375818</v>
      </c>
      <c r="K273" s="85"/>
      <c r="L273" s="84"/>
    </row>
    <row r="274" spans="2:13" ht="19.5" thickBot="1" x14ac:dyDescent="0.35">
      <c r="B274" s="190"/>
      <c r="C274" s="211"/>
      <c r="D274" s="211"/>
      <c r="E274" s="211"/>
      <c r="F274" s="209">
        <f ca="1">SUM(F268:F273)</f>
        <v>37910331.569621459</v>
      </c>
      <c r="K274" s="85"/>
      <c r="L274" s="84"/>
    </row>
    <row r="275" spans="2:13" ht="15.75" thickTop="1" x14ac:dyDescent="0.25">
      <c r="K275" s="85"/>
      <c r="L275" s="84"/>
    </row>
    <row r="276" spans="2:13" x14ac:dyDescent="0.25">
      <c r="E276" t="s">
        <v>102</v>
      </c>
      <c r="F276" s="177">
        <f ca="1">F254+M260+F274</f>
        <v>2878104400.0105195</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66003-2F45-4EF3-BA30-6777BD68BF65}">
  <sheetPr codeName="Planilha42">
    <tabColor theme="5"/>
  </sheetPr>
  <dimension ref="A1:V39"/>
  <sheetViews>
    <sheetView showGridLines="0" zoomScale="110" zoomScaleNormal="110" workbookViewId="0">
      <selection activeCell="E2" sqref="E2"/>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2029 BRA (com desc.)'!A246</f>
        <v>TEN1</v>
      </c>
      <c r="B2" s="261" t="str">
        <f>'CWD 2029 BRA (com desc.)'!B246</f>
        <v>PR-CARAGUATATUBA</v>
      </c>
      <c r="C2" s="262">
        <f>'CWD 2029 BRA (sem desc.)'!F24</f>
        <v>151427532.0717288</v>
      </c>
      <c r="D2" s="263">
        <f ca="1">'CWD 2029 BRA (com desc.)'!E246</f>
        <v>4.4817354199982296</v>
      </c>
      <c r="E2" s="264">
        <f t="shared" ref="E2:E11" ca="1" si="0">IFERROR(C2*D2," ")</f>
        <v>678658134.04878485</v>
      </c>
      <c r="F2" s="298"/>
      <c r="L2" s="39" t="s">
        <v>53</v>
      </c>
      <c r="M2" s="38">
        <f ca="1">IFERROR($D$2+$C34," ")</f>
        <v>8.0754432277938193</v>
      </c>
      <c r="N2" s="38">
        <f ca="1">IFERROR($D$3+$C34," ")</f>
        <v>8.0754432277938193</v>
      </c>
      <c r="O2" s="38">
        <f ca="1">IFERROR($D$4+$C34," ")</f>
        <v>8.0754432277938193</v>
      </c>
      <c r="P2" s="38">
        <f ca="1">IFERROR($D$5+$C34," ")</f>
        <v>3.9968127150679167</v>
      </c>
      <c r="Q2" s="38" t="str">
        <f ca="1">IFERROR($D$6+$C34," ")</f>
        <v xml:space="preserve"> </v>
      </c>
      <c r="R2" s="38" t="str">
        <f ca="1">IFERROR($D$7+$C34," ")</f>
        <v xml:space="preserve"> </v>
      </c>
      <c r="S2" s="38">
        <f ca="1">IFERROR($D$8+$C34," ")</f>
        <v>8.0754432277938193</v>
      </c>
      <c r="T2" s="38">
        <f ca="1">IFERROR($D$9+$C34," ")</f>
        <v>3.9968127150679167</v>
      </c>
      <c r="U2" s="38">
        <f ca="1">IFERROR($D$10+$C34," ")</f>
        <v>3.9968127150679167</v>
      </c>
      <c r="V2" s="38">
        <f ca="1">IFERROR($D$11+$C34," ")</f>
        <v>3.9968127150679167</v>
      </c>
    </row>
    <row r="3" spans="1:22" s="33" customFormat="1" x14ac:dyDescent="0.25">
      <c r="A3" s="233" t="str">
        <f>'CWD 2029 BRA (com desc.)'!A247</f>
        <v>TEN2</v>
      </c>
      <c r="B3" s="236" t="str">
        <f>'CWD 2029 BRA (com desc.)'!B247</f>
        <v>PR-GNLBGB</v>
      </c>
      <c r="C3" s="237">
        <f>'CWD 2029 BRA (sem desc.)'!F25</f>
        <v>2723059.0670000003</v>
      </c>
      <c r="D3" s="238">
        <f ca="1">'CWD 2029 BRA (com desc.)'!E247</f>
        <v>4.4817354199982296</v>
      </c>
      <c r="E3" s="239">
        <f t="shared" ca="1" si="0"/>
        <v>12204030.271321233</v>
      </c>
      <c r="F3" s="298"/>
      <c r="L3" s="39" t="s">
        <v>64</v>
      </c>
      <c r="M3" s="38">
        <f t="shared" ref="M3:M7" ca="1" si="1">IFERROR($D$2+$C35," ")</f>
        <v>8.0754432277938193</v>
      </c>
      <c r="N3" s="38">
        <f t="shared" ref="N3:N7" ca="1" si="2">IFERROR($D$3+$C35," ")</f>
        <v>8.0754432277938193</v>
      </c>
      <c r="O3" s="38">
        <f t="shared" ref="O3:O7" ca="1" si="3">IFERROR($D$4+$C35," ")</f>
        <v>8.0754432277938193</v>
      </c>
      <c r="P3" s="38">
        <f t="shared" ref="P3:P7" ca="1" si="4">IFERROR($D$5+$C35," ")</f>
        <v>3.9968127150679167</v>
      </c>
      <c r="Q3" s="38" t="str">
        <f t="shared" ref="Q3:Q7" ca="1" si="5">IFERROR($D$6+$C35," ")</f>
        <v xml:space="preserve"> </v>
      </c>
      <c r="R3" s="38" t="str">
        <f t="shared" ref="R3:R7" ca="1" si="6">IFERROR($D$7+$C35," ")</f>
        <v xml:space="preserve"> </v>
      </c>
      <c r="S3" s="38">
        <f t="shared" ref="S3:S7" ca="1" si="7">IFERROR($D$8+$C35," ")</f>
        <v>8.0754432277938193</v>
      </c>
      <c r="T3" s="38">
        <f t="shared" ref="T3:T7" ca="1" si="8">IFERROR($D$9+$C35," ")</f>
        <v>3.9968127150679167</v>
      </c>
      <c r="U3" s="38">
        <f t="shared" ref="U3:U7" ca="1" si="9">IFERROR($D$10+$C35," ")</f>
        <v>3.9968127150679167</v>
      </c>
      <c r="V3" s="38">
        <f t="shared" ref="V3:V7" ca="1" si="10">IFERROR($D$11+$C35," ")</f>
        <v>3.9968127150679167</v>
      </c>
    </row>
    <row r="4" spans="1:22" x14ac:dyDescent="0.25">
      <c r="A4" s="233" t="str">
        <f>'CWD 2029 BRA (com desc.)'!A248</f>
        <v>TEN3</v>
      </c>
      <c r="B4" s="236" t="str">
        <f>'CWD 2029 BRA (com desc.)'!B248</f>
        <v>PR-ITABORAÍ</v>
      </c>
      <c r="C4" s="237">
        <f>'CWD 2029 BRA (sem desc.)'!F26</f>
        <v>184677865.92394</v>
      </c>
      <c r="D4" s="238">
        <f ca="1">'CWD 2029 BRA (com desc.)'!E248</f>
        <v>4.4817354199982296</v>
      </c>
      <c r="E4" s="237">
        <f t="shared" ca="1" si="0"/>
        <v>827677333.00100601</v>
      </c>
      <c r="F4" s="298"/>
      <c r="L4" s="39" t="s">
        <v>193</v>
      </c>
      <c r="M4" s="38">
        <f t="shared" ca="1" si="1"/>
        <v>8.0754432277938193</v>
      </c>
      <c r="N4" s="38">
        <f t="shared" ca="1" si="2"/>
        <v>8.0754432277938193</v>
      </c>
      <c r="O4" s="38">
        <f t="shared" ca="1" si="3"/>
        <v>8.0754432277938193</v>
      </c>
      <c r="P4" s="38">
        <f t="shared" ca="1" si="4"/>
        <v>3.9968127150679167</v>
      </c>
      <c r="Q4" s="38" t="str">
        <f t="shared" ca="1" si="5"/>
        <v xml:space="preserve"> </v>
      </c>
      <c r="R4" s="38" t="str">
        <f t="shared" ca="1" si="6"/>
        <v xml:space="preserve"> </v>
      </c>
      <c r="S4" s="38">
        <f t="shared" ca="1" si="7"/>
        <v>8.0754432277938193</v>
      </c>
      <c r="T4" s="38">
        <f t="shared" ca="1" si="8"/>
        <v>3.9968127150679167</v>
      </c>
      <c r="U4" s="38">
        <f t="shared" ca="1" si="9"/>
        <v>3.9968127150679167</v>
      </c>
      <c r="V4" s="38">
        <f t="shared" ca="1" si="10"/>
        <v>3.9968127150679167</v>
      </c>
    </row>
    <row r="5" spans="1:22" ht="24" x14ac:dyDescent="0.25">
      <c r="A5" s="233" t="str">
        <f>'CWD 2029 BRA (com desc.)'!A249</f>
        <v>TEN4</v>
      </c>
      <c r="B5" s="236" t="str">
        <f>'CWD 2029 BRA (com desc.)'!B249</f>
        <v>PR-GASPAJ (INTERCONEXÃO)</v>
      </c>
      <c r="C5" s="237">
        <f>'CWD 2029 BRA (sem desc.)'!F27</f>
        <v>3512746.19643</v>
      </c>
      <c r="D5" s="238">
        <f ca="1">'CWD 2029 BRA (com desc.)'!E249</f>
        <v>0.40310490727232595</v>
      </c>
      <c r="E5" s="237">
        <f t="shared" ca="1" si="0"/>
        <v>1416005.2297831308</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2029 BRA (com desc.)'!A250</f>
        <v>TEN5</v>
      </c>
      <c r="B6" s="236" t="str">
        <f>'CWD 2029 BRA (com desc.)'!B250</f>
        <v>PR-REDUC</v>
      </c>
      <c r="C6" s="237">
        <f>'CWD 2029 BRA (sem desc.)'!F28</f>
        <v>0</v>
      </c>
      <c r="D6" s="238" t="str">
        <f>'CWD 2029 BRA (com desc.)'!E250</f>
        <v xml:space="preserve"> </v>
      </c>
      <c r="E6" s="237" t="str">
        <f t="shared" si="0"/>
        <v xml:space="preserve"> </v>
      </c>
      <c r="F6" s="298"/>
      <c r="L6" s="88" t="str">
        <f t="shared" ref="L6:L7" si="11">B29</f>
        <v>PE-REPLAN (INTERCONEXÃO)</v>
      </c>
      <c r="M6" s="38">
        <f t="shared" ca="1" si="1"/>
        <v>4.7814070748708408</v>
      </c>
      <c r="N6" s="38">
        <f t="shared" ca="1" si="2"/>
        <v>4.7814070748708408</v>
      </c>
      <c r="O6" s="38">
        <f t="shared" ca="1" si="3"/>
        <v>4.7814070748708408</v>
      </c>
      <c r="P6" s="38">
        <f t="shared" ca="1" si="4"/>
        <v>0.702776562144937</v>
      </c>
      <c r="Q6" s="38" t="str">
        <f t="shared" ca="1" si="5"/>
        <v xml:space="preserve"> </v>
      </c>
      <c r="R6" s="38" t="str">
        <f t="shared" ca="1" si="6"/>
        <v xml:space="preserve"> </v>
      </c>
      <c r="S6" s="38">
        <f t="shared" ca="1" si="7"/>
        <v>4.7814070748708408</v>
      </c>
      <c r="T6" s="38">
        <f t="shared" ca="1" si="8"/>
        <v>0.702776562144937</v>
      </c>
      <c r="U6" s="38">
        <f t="shared" ca="1" si="9"/>
        <v>0.702776562144937</v>
      </c>
      <c r="V6" s="38">
        <f t="shared" ca="1" si="10"/>
        <v>0.702776562144937</v>
      </c>
    </row>
    <row r="7" spans="1:22" x14ac:dyDescent="0.25">
      <c r="A7" s="233" t="str">
        <f>'CWD 2029 BRA (com desc.)'!A251</f>
        <v>TEN6</v>
      </c>
      <c r="B7" s="236" t="str">
        <f>'CWD 2029 BRA (com desc.)'!B251</f>
        <v>PR-RPBC</v>
      </c>
      <c r="C7" s="237">
        <f>'CWD 2029 BRA (sem desc.)'!F29</f>
        <v>0</v>
      </c>
      <c r="D7" s="238" t="str">
        <f>'CWD 2029 BRA (com desc.)'!E251</f>
        <v xml:space="preserve"> </v>
      </c>
      <c r="E7" s="237" t="str">
        <f t="shared" si="0"/>
        <v xml:space="preserve"> </v>
      </c>
      <c r="F7" s="298"/>
      <c r="L7" s="88" t="str">
        <f t="shared" si="11"/>
        <v>PE-TECAB (INTERCONEXÃO)</v>
      </c>
      <c r="M7" s="38">
        <f t="shared" ca="1" si="1"/>
        <v>4.7814070748708408</v>
      </c>
      <c r="N7" s="38">
        <f t="shared" ca="1" si="2"/>
        <v>4.7814070748708408</v>
      </c>
      <c r="O7" s="38">
        <f t="shared" ca="1" si="3"/>
        <v>4.7814070748708408</v>
      </c>
      <c r="P7" s="38">
        <f t="shared" ca="1" si="4"/>
        <v>0.702776562144937</v>
      </c>
      <c r="Q7" s="38" t="str">
        <f t="shared" ca="1" si="5"/>
        <v xml:space="preserve"> </v>
      </c>
      <c r="R7" s="38" t="str">
        <f t="shared" ca="1" si="6"/>
        <v xml:space="preserve"> </v>
      </c>
      <c r="S7" s="38">
        <f t="shared" ca="1" si="7"/>
        <v>4.7814070748708408</v>
      </c>
      <c r="T7" s="38">
        <f t="shared" ca="1" si="8"/>
        <v>0.702776562144937</v>
      </c>
      <c r="U7" s="38">
        <f t="shared" ca="1" si="9"/>
        <v>0.702776562144937</v>
      </c>
      <c r="V7" s="38">
        <f t="shared" ca="1" si="10"/>
        <v>0.702776562144937</v>
      </c>
    </row>
    <row r="8" spans="1:22" x14ac:dyDescent="0.25">
      <c r="A8" s="233" t="str">
        <f>'CWD 2029 BRA (com desc.)'!A252</f>
        <v>TEN7</v>
      </c>
      <c r="B8" s="236" t="str">
        <f>'CWD 2029 BRA (com desc.)'!B252</f>
        <v>PR-TECAB</v>
      </c>
      <c r="C8" s="237">
        <f>'CWD 2029 BRA (sem desc.)'!F30</f>
        <v>105733943.56400453</v>
      </c>
      <c r="D8" s="238">
        <f ca="1">'CWD 2029 BRA (com desc.)'!E252</f>
        <v>4.4817354199982296</v>
      </c>
      <c r="E8" s="237">
        <f t="shared" ca="1" si="0"/>
        <v>473871559.9668929</v>
      </c>
      <c r="F8" s="298"/>
      <c r="L8" s="32"/>
    </row>
    <row r="9" spans="1:22" x14ac:dyDescent="0.25">
      <c r="A9" s="233" t="str">
        <f>'CWD 2029 BRA (com desc.)'!A253</f>
        <v>TEN8</v>
      </c>
      <c r="B9" s="236" t="str">
        <f>'CWD 2029 BRA (com desc.)'!B253</f>
        <v>PR-GUARAREMA (INTERCONEXÃO)</v>
      </c>
      <c r="C9" s="237">
        <f>'CWD 2029 BRA (sem desc.)'!F31</f>
        <v>46267510.535602026</v>
      </c>
      <c r="D9" s="238">
        <f ca="1">'CWD 2029 BRA (com desc.)'!E253</f>
        <v>0.40310490727232595</v>
      </c>
      <c r="E9" s="237">
        <f t="shared" ca="1" si="0"/>
        <v>18650660.544175219</v>
      </c>
      <c r="F9" s="298"/>
      <c r="L9" s="32"/>
    </row>
    <row r="10" spans="1:22" x14ac:dyDescent="0.25">
      <c r="A10" s="233" t="str">
        <f>'CWD 2029 BRA (com desc.)'!A254</f>
        <v>TEN9</v>
      </c>
      <c r="B10" s="236" t="str">
        <f>'CWD 2029 BRA (com desc.)'!B254</f>
        <v>PR-REPLAN (INTERCONEXÃO)</v>
      </c>
      <c r="C10" s="237">
        <f>'CWD 2029 BRA (sem desc.)'!F32</f>
        <v>2723059.0670000003</v>
      </c>
      <c r="D10" s="238">
        <f ca="1">'CWD 2029 BRA (com desc.)'!E254</f>
        <v>0.40310490727232595</v>
      </c>
      <c r="E10" s="237">
        <f t="shared" ca="1" si="0"/>
        <v>1097678.4727001016</v>
      </c>
      <c r="F10" s="298"/>
      <c r="L10" s="32"/>
    </row>
    <row r="11" spans="1:22" x14ac:dyDescent="0.25">
      <c r="A11" s="233" t="str">
        <f>'CWD 2029 BRA (com desc.)'!A255</f>
        <v>TEN10</v>
      </c>
      <c r="B11" s="236" t="str">
        <f>'CWD 2029 BRA (com desc.)'!B255</f>
        <v>PR-TECAB (INTERCONEXÃO)</v>
      </c>
      <c r="C11" s="237">
        <f>'CWD 2029 BRA (sem desc.)'!F33</f>
        <v>2723059.0670000003</v>
      </c>
      <c r="D11" s="238">
        <f ca="1">'CWD 2029 BRA (com desc.)'!E255</f>
        <v>0.40310490727232595</v>
      </c>
      <c r="E11" s="237">
        <f t="shared" ca="1" si="0"/>
        <v>1097678.4727001016</v>
      </c>
      <c r="F11" s="298"/>
      <c r="L11" s="32"/>
    </row>
    <row r="12" spans="1:22" x14ac:dyDescent="0.25">
      <c r="E12" s="36">
        <f ca="1">SUM(E2:E11)</f>
        <v>2014673080.0073636</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2029 BRA (com desc.)'!H246</f>
        <v>TEX1</v>
      </c>
      <c r="B15" s="237" t="str">
        <f>'CWD 2029 BRA (com desc.)'!I246</f>
        <v>NTS MG 1</v>
      </c>
      <c r="C15" s="237">
        <f>'CWD 2029 BRA (sem desc.)'!F41</f>
        <v>1143131.2713643934</v>
      </c>
      <c r="D15" s="237"/>
      <c r="E15" s="240">
        <f ca="1">'CWD 2029 BRA (com desc.)'!L246</f>
        <v>3.5937078077955902</v>
      </c>
      <c r="F15" s="246">
        <f ca="1">IFERROR(C15*E15," ")</f>
        <v>4108079.7752375202</v>
      </c>
      <c r="G15" s="249"/>
      <c r="H15" s="255" t="str">
        <f>IFERROR(G15/D15," ")</f>
        <v xml:space="preserve"> </v>
      </c>
      <c r="I15" s="37"/>
      <c r="J15" s="37"/>
      <c r="L15" s="30"/>
    </row>
    <row r="16" spans="1:22" x14ac:dyDescent="0.25">
      <c r="A16" s="237" t="str">
        <f>'CWD 2029 BRA (com desc.)'!H247</f>
        <v>TEX2</v>
      </c>
      <c r="B16" s="237" t="str">
        <f>'CWD 2029 BRA (com desc.)'!I247</f>
        <v>NTS MG 2</v>
      </c>
      <c r="C16" s="237">
        <f>'CWD 2029 BRA (sem desc.)'!F42</f>
        <v>18497674.607759055</v>
      </c>
      <c r="D16" s="237"/>
      <c r="E16" s="240">
        <f ca="1">'CWD 2029 BRA (com desc.)'!L247</f>
        <v>3.5937078077955902</v>
      </c>
      <c r="F16" s="246">
        <f t="shared" ref="F16:F30" ca="1" si="12">IFERROR(C16*E16," ")</f>
        <v>66475237.663965948</v>
      </c>
      <c r="G16" s="258"/>
      <c r="H16" s="256" t="str">
        <f t="shared" ref="H16:H30" si="13">IFERROR(G16/D16," ")</f>
        <v xml:space="preserve"> </v>
      </c>
      <c r="I16" s="37"/>
      <c r="J16" s="37"/>
      <c r="L16" s="30"/>
    </row>
    <row r="17" spans="1:12" x14ac:dyDescent="0.25">
      <c r="A17" s="237" t="str">
        <f>'CWD 2029 BRA (com desc.)'!H248</f>
        <v>TEX3</v>
      </c>
      <c r="B17" s="237" t="str">
        <f>'CWD 2029 BRA (com desc.)'!I248</f>
        <v>NTS MG 3</v>
      </c>
      <c r="C17" s="237">
        <f>'CWD 2029 BRA (sem desc.)'!F43</f>
        <v>21664461.4795895</v>
      </c>
      <c r="D17" s="237"/>
      <c r="E17" s="240">
        <f ca="1">'CWD 2029 BRA (com desc.)'!L248</f>
        <v>3.5937078077955902</v>
      </c>
      <c r="F17" s="246">
        <f ca="1">IFERROR(C17*E17," ")</f>
        <v>77855744.370887592</v>
      </c>
      <c r="G17" s="251"/>
      <c r="H17" s="257" t="str">
        <f t="shared" si="13"/>
        <v xml:space="preserve"> </v>
      </c>
      <c r="I17" s="37"/>
      <c r="J17" s="37"/>
      <c r="L17" s="30"/>
    </row>
    <row r="18" spans="1:12" x14ac:dyDescent="0.25">
      <c r="A18" s="242" t="str">
        <f>'CWD 2029 BRA (com desc.)'!H249</f>
        <v>TEX4</v>
      </c>
      <c r="B18" s="242" t="str">
        <f>'CWD 2029 BRA (com desc.)'!I249</f>
        <v>NTS MG 4</v>
      </c>
      <c r="C18" s="242">
        <f>'CWD 2029 BRA (sem desc.)'!F44</f>
        <v>3511458.0641919076</v>
      </c>
      <c r="D18" s="242">
        <f>SUM(C15:C18)</f>
        <v>44816725.422904857</v>
      </c>
      <c r="E18" s="243">
        <f ca="1">'CWD 2029 BRA (com desc.)'!L249</f>
        <v>3.5937078077955902</v>
      </c>
      <c r="F18" s="242">
        <f ca="1">IFERROR(C18*E18," ")</f>
        <v>12619154.262033246</v>
      </c>
      <c r="G18" s="254">
        <f ca="1">SUM(F15:F18)</f>
        <v>161058216.07212433</v>
      </c>
      <c r="H18" s="252">
        <f t="shared" ca="1" si="13"/>
        <v>3.5937078077955906</v>
      </c>
      <c r="I18" s="272"/>
      <c r="J18"/>
      <c r="L18" s="30"/>
    </row>
    <row r="19" spans="1:12" x14ac:dyDescent="0.25">
      <c r="A19" s="237" t="str">
        <f>'CWD 2029 BRA (com desc.)'!H250</f>
        <v>TEX5</v>
      </c>
      <c r="B19" s="237" t="str">
        <f>'CWD 2029 BRA (com desc.)'!I250</f>
        <v>NTS RJ 1</v>
      </c>
      <c r="C19" s="237">
        <f>'CWD 2029 BRA (sem desc.)'!F45</f>
        <v>56008136.89657066</v>
      </c>
      <c r="D19" s="237"/>
      <c r="E19" s="240">
        <f ca="1">'CWD 2029 BRA (com desc.)'!L250</f>
        <v>3.5937078077955902</v>
      </c>
      <c r="F19" s="246">
        <f t="shared" ca="1" si="12"/>
        <v>201276878.86529025</v>
      </c>
      <c r="G19" s="249"/>
      <c r="H19" s="255" t="str">
        <f t="shared" si="13"/>
        <v xml:space="preserve"> </v>
      </c>
      <c r="I19"/>
      <c r="J19"/>
      <c r="L19" s="30"/>
    </row>
    <row r="20" spans="1:12" x14ac:dyDescent="0.25">
      <c r="A20" s="237" t="str">
        <f>'CWD 2029 BRA (com desc.)'!H251</f>
        <v>TEX6</v>
      </c>
      <c r="B20" s="237" t="str">
        <f>'CWD 2029 BRA (com desc.)'!I251</f>
        <v>NTS RJ 2</v>
      </c>
      <c r="C20" s="237">
        <f>'CWD 2029 BRA (sem desc.)'!F46</f>
        <v>22758184.654042114</v>
      </c>
      <c r="D20" s="237"/>
      <c r="E20" s="240">
        <f ca="1">'CWD 2029 BRA (com desc.)'!L251</f>
        <v>3.5937078077955902</v>
      </c>
      <c r="F20" s="246">
        <f t="shared" ca="1" si="12"/>
        <v>81786265.882484928</v>
      </c>
      <c r="G20" s="250"/>
      <c r="H20" s="256" t="str">
        <f t="shared" si="13"/>
        <v xml:space="preserve"> </v>
      </c>
      <c r="I20"/>
      <c r="J20"/>
      <c r="L20" s="30"/>
    </row>
    <row r="21" spans="1:12" x14ac:dyDescent="0.25">
      <c r="A21" s="237" t="str">
        <f>'CWD 2029 BRA (com desc.)'!H252</f>
        <v>TEX7</v>
      </c>
      <c r="B21" s="237" t="str">
        <f>'CWD 2029 BRA (com desc.)'!I252</f>
        <v>NTS RJ 3</v>
      </c>
      <c r="C21" s="237">
        <f>'CWD 2029 BRA (sem desc.)'!F47</f>
        <v>20387219.046491113</v>
      </c>
      <c r="D21" s="245"/>
      <c r="E21" s="240">
        <f ca="1">'CWD 2029 BRA (com desc.)'!L252</f>
        <v>3.5937078077955902</v>
      </c>
      <c r="F21" s="246">
        <f t="shared" ca="1" si="12"/>
        <v>73265708.266614079</v>
      </c>
      <c r="G21" s="253"/>
      <c r="H21" s="256" t="str">
        <f t="shared" si="13"/>
        <v xml:space="preserve"> </v>
      </c>
      <c r="I21"/>
      <c r="J21"/>
      <c r="L21" s="30"/>
    </row>
    <row r="22" spans="1:12" x14ac:dyDescent="0.25">
      <c r="A22" s="237" t="str">
        <f>'CWD 2029 BRA (com desc.)'!H253</f>
        <v>TEX8</v>
      </c>
      <c r="B22" s="237" t="str">
        <f>'CWD 2029 BRA (com desc.)'!I253</f>
        <v>NTS RJ 4</v>
      </c>
      <c r="C22" s="237">
        <f>'CWD 2029 BRA (sem desc.)'!F48</f>
        <v>3745710.8496582415</v>
      </c>
      <c r="D22" s="237"/>
      <c r="E22" s="240">
        <f ca="1">'CWD 2029 BRA (com desc.)'!L253</f>
        <v>3.5937078077955902</v>
      </c>
      <c r="F22" s="246">
        <f t="shared" ca="1" si="12"/>
        <v>13460990.326161476</v>
      </c>
      <c r="G22" s="251"/>
      <c r="H22" s="257" t="str">
        <f t="shared" si="13"/>
        <v xml:space="preserve"> </v>
      </c>
      <c r="I22"/>
      <c r="J22"/>
      <c r="L22" s="30"/>
    </row>
    <row r="23" spans="1:12" x14ac:dyDescent="0.25">
      <c r="A23" s="242" t="str">
        <f>'CWD 2029 BRA (com desc.)'!H254</f>
        <v>TEX9</v>
      </c>
      <c r="B23" s="242" t="str">
        <f>'CWD 2029 BRA (com desc.)'!I254</f>
        <v>NTS RJ 5</v>
      </c>
      <c r="C23" s="242">
        <f>'CWD 2029 BRA (sem desc.)'!F49</f>
        <v>9476242.9913493898</v>
      </c>
      <c r="D23" s="242">
        <f>SUM(C19:C23)</f>
        <v>112375494.43811151</v>
      </c>
      <c r="E23" s="243">
        <f ca="1">'CWD 2029 BRA (com desc.)'!L254</f>
        <v>3.5937078077955902</v>
      </c>
      <c r="F23" s="242">
        <f t="shared" ca="1" si="12"/>
        <v>34054848.426580541</v>
      </c>
      <c r="G23" s="254">
        <f ca="1">SUM(F19:F23)</f>
        <v>403844691.76713133</v>
      </c>
      <c r="H23" s="252">
        <f t="shared" ca="1" si="13"/>
        <v>3.5937078077955906</v>
      </c>
      <c r="I23" s="272"/>
      <c r="J23"/>
    </row>
    <row r="24" spans="1:12" x14ac:dyDescent="0.25">
      <c r="A24" s="237" t="str">
        <f>'CWD 2029 BRA (com desc.)'!H255</f>
        <v>TEX10</v>
      </c>
      <c r="B24" s="237" t="str">
        <f>'CWD 2029 BRA (com desc.)'!I255</f>
        <v>NTS SP 1</v>
      </c>
      <c r="C24" s="237">
        <f>'CWD 2029 BRA (sem desc.)'!F50</f>
        <v>13541813.635020396</v>
      </c>
      <c r="D24" s="237"/>
      <c r="E24" s="240">
        <f ca="1">'CWD 2029 BRA (com desc.)'!L255</f>
        <v>3.5937078077955902</v>
      </c>
      <c r="F24" s="246">
        <f t="shared" ca="1" si="12"/>
        <v>48665321.391885579</v>
      </c>
      <c r="G24" s="249"/>
      <c r="H24" s="255" t="str">
        <f t="shared" si="13"/>
        <v xml:space="preserve"> </v>
      </c>
      <c r="I24"/>
      <c r="J24"/>
    </row>
    <row r="25" spans="1:12" x14ac:dyDescent="0.25">
      <c r="A25" s="237" t="str">
        <f>'CWD 2029 BRA (com desc.)'!H256</f>
        <v>TEX11</v>
      </c>
      <c r="B25" s="237" t="str">
        <f>'CWD 2029 BRA (com desc.)'!I256</f>
        <v>NTS SP 2</v>
      </c>
      <c r="C25" s="237">
        <f>'CWD 2029 BRA (sem desc.)'!F51</f>
        <v>33498430.787737504</v>
      </c>
      <c r="D25" s="237"/>
      <c r="E25" s="240">
        <f ca="1">'CWD 2029 BRA (com desc.)'!L256</f>
        <v>3.5937078077955902</v>
      </c>
      <c r="F25" s="246">
        <f t="shared" ca="1" si="12"/>
        <v>120383572.27079245</v>
      </c>
      <c r="G25" s="250"/>
      <c r="H25" s="256" t="str">
        <f t="shared" si="13"/>
        <v xml:space="preserve"> </v>
      </c>
      <c r="I25"/>
      <c r="J25"/>
    </row>
    <row r="26" spans="1:12" x14ac:dyDescent="0.25">
      <c r="A26" s="237" t="str">
        <f>'CWD 2029 BRA (com desc.)'!H257</f>
        <v>TEX12</v>
      </c>
      <c r="B26" s="237" t="str">
        <f>'CWD 2029 BRA (com desc.)'!I257</f>
        <v>NTS SP 3</v>
      </c>
      <c r="C26" s="237">
        <f>'CWD 2029 BRA (sem desc.)'!F52</f>
        <v>13729236.478939947</v>
      </c>
      <c r="D26" s="245"/>
      <c r="E26" s="240">
        <f ca="1">'CWD 2029 BRA (com desc.)'!L257</f>
        <v>3.5937078077955902</v>
      </c>
      <c r="F26" s="246">
        <f t="shared" ca="1" si="12"/>
        <v>49338864.329438522</v>
      </c>
      <c r="G26" s="259"/>
      <c r="H26" s="257" t="str">
        <f t="shared" si="13"/>
        <v xml:space="preserve"> </v>
      </c>
      <c r="I26"/>
      <c r="J26"/>
    </row>
    <row r="27" spans="1:12" x14ac:dyDescent="0.25">
      <c r="A27" s="242" t="str">
        <f>'CWD 2029 BRA (com desc.)'!H258</f>
        <v>TEX13</v>
      </c>
      <c r="B27" s="242" t="str">
        <f>'CWD 2029 BRA (com desc.)'!I258</f>
        <v>NTS SP 4</v>
      </c>
      <c r="C27" s="242">
        <f>'CWD 2029 BRA (sem desc.)'!F53</f>
        <v>17945906.78229931</v>
      </c>
      <c r="D27" s="242">
        <f>SUM(C24:C27)</f>
        <v>78715387.683997154</v>
      </c>
      <c r="E27" s="243">
        <f ca="1">'CWD 2029 BRA (com desc.)'!L258</f>
        <v>3.5937078077955902</v>
      </c>
      <c r="F27" s="242">
        <f t="shared" ca="1" si="12"/>
        <v>64492345.321520865</v>
      </c>
      <c r="G27" s="247">
        <f ca="1">SUM(F24:F27)</f>
        <v>282880103.31363744</v>
      </c>
      <c r="H27" s="248">
        <f t="shared" ca="1" si="13"/>
        <v>3.5937078077955906</v>
      </c>
      <c r="I27" s="272"/>
      <c r="J27"/>
    </row>
    <row r="28" spans="1:12" x14ac:dyDescent="0.25">
      <c r="A28" s="237" t="str">
        <f>'CWD 2029 BRA (com desc.)'!H259</f>
        <v>TEX14</v>
      </c>
      <c r="B28" s="237" t="str">
        <f>'CWD 2029 BRA (com desc.)'!I259</f>
        <v>PE-GUARAREMA (INTERCONEXÃO)</v>
      </c>
      <c r="C28" s="237">
        <f>'CWD 2029 BRA (sem desc.)'!F54</f>
        <v>0</v>
      </c>
      <c r="D28" s="237">
        <f>C28</f>
        <v>0</v>
      </c>
      <c r="E28" s="240">
        <f>'CWD 2029 BRA (com desc.)'!L259</f>
        <v>0</v>
      </c>
      <c r="F28" s="237">
        <f t="shared" si="12"/>
        <v>0</v>
      </c>
      <c r="G28" s="237">
        <f>F28</f>
        <v>0</v>
      </c>
      <c r="H28" s="241" t="str">
        <f t="shared" si="13"/>
        <v xml:space="preserve"> </v>
      </c>
      <c r="I28"/>
      <c r="J28"/>
    </row>
    <row r="29" spans="1:12" x14ac:dyDescent="0.25">
      <c r="A29" s="242" t="str">
        <f>'CWD 2029 BRA (com desc.)'!H260</f>
        <v>TEX15</v>
      </c>
      <c r="B29" s="242" t="str">
        <f>'CWD 2029 BRA (com desc.)'!I260</f>
        <v>PE-REPLAN (INTERCONEXÃO)</v>
      </c>
      <c r="C29" s="242">
        <f>'CWD 2029 BRA (sem desc.)'!F55</f>
        <v>49495122.385346346</v>
      </c>
      <c r="D29" s="242">
        <f t="shared" ref="D29:D30" si="14">C29</f>
        <v>49495122.385346346</v>
      </c>
      <c r="E29" s="243">
        <f ca="1">'CWD 2029 BRA (com desc.)'!L260</f>
        <v>0.29967165487261105</v>
      </c>
      <c r="F29" s="242">
        <f t="shared" ca="1" si="12"/>
        <v>14832285.233339155</v>
      </c>
      <c r="G29" s="242">
        <f t="shared" ref="G29:G30" ca="1" si="15">F29</f>
        <v>14832285.233339155</v>
      </c>
      <c r="H29" s="244">
        <f t="shared" ca="1" si="13"/>
        <v>0.29967165487261105</v>
      </c>
      <c r="I29" s="272"/>
      <c r="J29"/>
    </row>
    <row r="30" spans="1:12" x14ac:dyDescent="0.25">
      <c r="A30" s="237" t="str">
        <f>'CWD 2029 BRA (com desc.)'!H261</f>
        <v>TEX16</v>
      </c>
      <c r="B30" s="237" t="str">
        <f>'CWD 2029 BRA (com desc.)'!I261</f>
        <v>PE-TECAB (INTERCONEXÃO)</v>
      </c>
      <c r="C30" s="237">
        <f>'CWD 2029 BRA (sem desc.)'!F56</f>
        <v>2723059.0670000003</v>
      </c>
      <c r="D30" s="237">
        <f t="shared" si="14"/>
        <v>2723059.0670000003</v>
      </c>
      <c r="E30" s="240">
        <f ca="1">'CWD 2029 BRA (com desc.)'!L261</f>
        <v>0.29967165487261105</v>
      </c>
      <c r="F30" s="237">
        <f t="shared" ca="1" si="12"/>
        <v>816023.61692375829</v>
      </c>
      <c r="G30" s="237">
        <f t="shared" ca="1" si="15"/>
        <v>816023.61692375829</v>
      </c>
      <c r="H30" s="241">
        <f t="shared" ca="1" si="13"/>
        <v>0.29967165487261105</v>
      </c>
      <c r="I30" s="272"/>
      <c r="J30" s="37"/>
    </row>
    <row r="31" spans="1:12" x14ac:dyDescent="0.25">
      <c r="C31" s="36">
        <f>SUM(C15:C30)</f>
        <v>288125788.99735987</v>
      </c>
      <c r="D31" s="36">
        <f>SUM(D15:D30)</f>
        <v>288125788.99735981</v>
      </c>
      <c r="F31" s="36">
        <f ca="1">SUM(F15:F30)</f>
        <v>863431320.00315607</v>
      </c>
      <c r="G31" s="36">
        <f ca="1">SUM(G15:G30)</f>
        <v>863431320.00315607</v>
      </c>
    </row>
    <row r="32" spans="1:12" x14ac:dyDescent="0.25">
      <c r="C32" s="36"/>
      <c r="D32" s="36"/>
      <c r="F32" s="36"/>
      <c r="G32" s="36"/>
    </row>
    <row r="33" spans="2:3" x14ac:dyDescent="0.25">
      <c r="C33" s="34" t="s">
        <v>192</v>
      </c>
    </row>
    <row r="34" spans="2:3" x14ac:dyDescent="0.25">
      <c r="B34" s="39" t="s">
        <v>53</v>
      </c>
      <c r="C34" s="37">
        <f ca="1">H18</f>
        <v>3.5937078077955906</v>
      </c>
    </row>
    <row r="35" spans="2:3" x14ac:dyDescent="0.25">
      <c r="B35" s="39" t="s">
        <v>64</v>
      </c>
      <c r="C35" s="37">
        <f ca="1">H23</f>
        <v>3.5937078077955906</v>
      </c>
    </row>
    <row r="36" spans="2:3" x14ac:dyDescent="0.25">
      <c r="B36" s="39" t="s">
        <v>193</v>
      </c>
      <c r="C36" s="37">
        <f ca="1">H27</f>
        <v>3.5937078077955906</v>
      </c>
    </row>
    <row r="37" spans="2:3" x14ac:dyDescent="0.25">
      <c r="B37" s="88" t="s">
        <v>199</v>
      </c>
      <c r="C37" s="37" t="str">
        <f>H28</f>
        <v xml:space="preserve"> </v>
      </c>
    </row>
    <row r="38" spans="2:3" x14ac:dyDescent="0.25">
      <c r="B38" s="88" t="s">
        <v>198</v>
      </c>
      <c r="C38" s="37">
        <f t="shared" ref="C38:C39" ca="1" si="16">H29</f>
        <v>0.29967165487261105</v>
      </c>
    </row>
    <row r="39" spans="2:3" x14ac:dyDescent="0.25">
      <c r="B39" s="88" t="s">
        <v>197</v>
      </c>
      <c r="C39" s="37">
        <f t="shared" ca="1" si="16"/>
        <v>0.29967165487261105</v>
      </c>
    </row>
  </sheetData>
  <pageMargins left="0.511811024" right="0.511811024" top="0.78740157499999996" bottom="0.78740157499999996" header="0.31496062000000002" footer="0.31496062000000002"/>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CEE68-43E8-4D75-9D06-49373E9556C8}">
  <sheetPr codeName="Planilha23">
    <tabColor theme="1" tint="0.499984740745262"/>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2029</v>
      </c>
    </row>
    <row r="4" spans="1:9" ht="18.75" thickBot="1" x14ac:dyDescent="0.3">
      <c r="A4" s="162"/>
      <c r="B4" s="163" t="s">
        <v>102</v>
      </c>
      <c r="C4" s="164" t="s">
        <v>200</v>
      </c>
      <c r="D4" s="165">
        <f>('Premissas (Legados)'!G37-'Premissas (Legados)'!G36)/1000</f>
        <v>5285.1061021214509</v>
      </c>
      <c r="E4" s="166" t="s">
        <v>103</v>
      </c>
      <c r="F4" s="162"/>
      <c r="G4" s="162"/>
      <c r="H4" s="177"/>
      <c r="I4" s="177"/>
    </row>
    <row r="5" spans="1:9" ht="18" x14ac:dyDescent="0.25">
      <c r="A5" s="148">
        <f>HLOOKUP($G$3,'Premissas (Legados)'!$B$5:$F$13,9,FALSE)</f>
        <v>0.7</v>
      </c>
      <c r="B5" s="149" t="s">
        <v>104</v>
      </c>
      <c r="C5" s="150" t="s">
        <v>201</v>
      </c>
      <c r="D5" s="151">
        <f>$A$5*$D$4</f>
        <v>3699.5742714850153</v>
      </c>
      <c r="E5" s="152" t="s">
        <v>105</v>
      </c>
      <c r="F5" s="153"/>
      <c r="G5" s="153"/>
      <c r="H5" s="177"/>
    </row>
    <row r="6" spans="1:9" ht="30" x14ac:dyDescent="0.25">
      <c r="A6" s="48"/>
      <c r="B6" s="154" t="s">
        <v>106</v>
      </c>
      <c r="C6" s="155" t="s">
        <v>202</v>
      </c>
      <c r="D6" s="156">
        <f>$C$34*'Premissas (Legados)'!$E$20</f>
        <v>29819405</v>
      </c>
      <c r="E6" s="154" t="s">
        <v>107</v>
      </c>
      <c r="F6" s="172">
        <f>F34</f>
        <v>1112328782.9834948</v>
      </c>
      <c r="G6" s="40" t="s">
        <v>108</v>
      </c>
    </row>
    <row r="7" spans="1:9" ht="18.75" thickBot="1" x14ac:dyDescent="0.3">
      <c r="A7" s="157"/>
      <c r="B7" s="158" t="s">
        <v>109</v>
      </c>
      <c r="C7" s="159" t="s">
        <v>203</v>
      </c>
      <c r="D7" s="160">
        <f>$D$5/$D$6*1000</f>
        <v>0.12406599901926331</v>
      </c>
      <c r="E7" s="161" t="s">
        <v>110</v>
      </c>
      <c r="F7" s="174">
        <f>$D$5/$F$6*1000000</f>
        <v>3.3259718961528582</v>
      </c>
      <c r="G7" s="170" t="s">
        <v>15</v>
      </c>
      <c r="I7" s="177"/>
    </row>
    <row r="8" spans="1:9" ht="18" x14ac:dyDescent="0.25">
      <c r="A8" s="148">
        <f>1-A5</f>
        <v>0.30000000000000004</v>
      </c>
      <c r="B8" s="149" t="s">
        <v>111</v>
      </c>
      <c r="C8" s="150" t="s">
        <v>204</v>
      </c>
      <c r="D8" s="151">
        <f>$A$8*$D$4</f>
        <v>1585.5318306364354</v>
      </c>
      <c r="E8" s="152" t="s">
        <v>105</v>
      </c>
      <c r="F8" s="173"/>
      <c r="G8" s="171"/>
    </row>
    <row r="9" spans="1:9" ht="30" x14ac:dyDescent="0.25">
      <c r="B9" s="154" t="s">
        <v>112</v>
      </c>
      <c r="C9" s="155" t="s">
        <v>205</v>
      </c>
      <c r="D9" s="156">
        <f>$C$57*'Premissas (Legados)'!$E$20</f>
        <v>24399520</v>
      </c>
      <c r="E9" s="154" t="s">
        <v>107</v>
      </c>
      <c r="F9" s="172">
        <f>F57</f>
        <v>910155262.55408001</v>
      </c>
      <c r="G9" s="40" t="s">
        <v>108</v>
      </c>
    </row>
    <row r="10" spans="1:9" ht="18.75" thickBot="1" x14ac:dyDescent="0.3">
      <c r="A10" s="167"/>
      <c r="B10" s="158" t="s">
        <v>113</v>
      </c>
      <c r="C10" s="159" t="s">
        <v>206</v>
      </c>
      <c r="D10" s="160">
        <f>$D$8/$D$9*1000</f>
        <v>6.4982091067219167E-2</v>
      </c>
      <c r="E10" s="161" t="s">
        <v>110</v>
      </c>
      <c r="F10" s="174">
        <f>$D$8/$F$9*1000000</f>
        <v>1.7420454463858308</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2029</v>
      </c>
      <c r="F21" s="376">
        <v>2029</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(Legados)'!F3</f>
        <v>14956</v>
      </c>
      <c r="E24" s="60"/>
      <c r="F24" s="15">
        <f>IFERROR($C24*$H$19*'Premissas (Legados)'!$E$20*1000," ")</f>
        <v>203630357.03025997</v>
      </c>
      <c r="G24" s="49"/>
    </row>
    <row r="25" spans="1:9" x14ac:dyDescent="0.25">
      <c r="A25" s="2" t="s">
        <v>125</v>
      </c>
      <c r="B25" s="16" t="s">
        <v>26</v>
      </c>
      <c r="C25" s="231">
        <f>'Oferta (Legados)'!F4</f>
        <v>20000</v>
      </c>
      <c r="E25" s="60"/>
      <c r="F25" s="15">
        <f>IFERROR($C25*$H$19*'Premissas (Legados)'!$E$20*1000," ")</f>
        <v>272305906.69999999</v>
      </c>
      <c r="G25" s="49"/>
    </row>
    <row r="26" spans="1:9" x14ac:dyDescent="0.25">
      <c r="A26" s="2" t="s">
        <v>126</v>
      </c>
      <c r="B26" s="16" t="s">
        <v>411</v>
      </c>
      <c r="C26" s="231">
        <f>'Oferta (Legados)'!F5</f>
        <v>13564</v>
      </c>
      <c r="D26" s="18"/>
      <c r="E26" s="60"/>
      <c r="F26" s="15">
        <f>IFERROR($C26*$H$19*'Premissas (Legados)'!$E$20*1000," ")</f>
        <v>184677865.92394</v>
      </c>
      <c r="G26" s="49"/>
    </row>
    <row r="27" spans="1:9" x14ac:dyDescent="0.25">
      <c r="A27" s="2" t="s">
        <v>127</v>
      </c>
      <c r="B27" s="16" t="s">
        <v>388</v>
      </c>
      <c r="C27" s="231">
        <f>'Oferta (Legados)'!F6</f>
        <v>383</v>
      </c>
      <c r="D27" s="18"/>
      <c r="E27" s="60"/>
      <c r="F27" s="15">
        <f>IFERROR($C27*$H$19*'Premissas (Legados)'!$E$20*1000," ")</f>
        <v>5214658.1133049997</v>
      </c>
      <c r="G27" s="49"/>
    </row>
    <row r="28" spans="1:9" x14ac:dyDescent="0.25">
      <c r="A28" s="2" t="s">
        <v>128</v>
      </c>
      <c r="B28" s="16" t="s">
        <v>27</v>
      </c>
      <c r="C28" s="231">
        <f>'Oferta (Legados)'!F7</f>
        <v>0</v>
      </c>
      <c r="D28" s="18"/>
      <c r="E28" s="60"/>
      <c r="F28" s="15">
        <f>IFERROR($C28*$H$19*'Premissas (Legados)'!$E$20*1000," ")</f>
        <v>0</v>
      </c>
      <c r="G28" s="49"/>
    </row>
    <row r="29" spans="1:9" x14ac:dyDescent="0.25">
      <c r="A29" s="2" t="s">
        <v>183</v>
      </c>
      <c r="B29" s="16" t="s">
        <v>29</v>
      </c>
      <c r="C29" s="231">
        <f>'Oferta (Legados)'!F8</f>
        <v>0</v>
      </c>
      <c r="D29" s="18"/>
      <c r="E29" s="60"/>
      <c r="F29" s="15">
        <f>IFERROR($C29*$H$19*'Premissas (Legados)'!$E$20*1000," ")</f>
        <v>0</v>
      </c>
      <c r="G29" s="49"/>
    </row>
    <row r="30" spans="1:9" x14ac:dyDescent="0.25">
      <c r="A30" s="2" t="s">
        <v>129</v>
      </c>
      <c r="B30" s="16" t="s">
        <v>24</v>
      </c>
      <c r="C30" s="231">
        <f>'Oferta (Legados)'!F9</f>
        <v>24869</v>
      </c>
      <c r="D30" s="18"/>
      <c r="E30" s="60"/>
      <c r="F30" s="15">
        <f>IFERROR($C30*$H$19*'Premissas (Legados)'!$E$20*1000," ")</f>
        <v>338598779.68611497</v>
      </c>
      <c r="G30" s="49"/>
    </row>
    <row r="31" spans="1:9" x14ac:dyDescent="0.25">
      <c r="A31" s="2" t="s">
        <v>184</v>
      </c>
      <c r="B31" s="16" t="s">
        <v>194</v>
      </c>
      <c r="C31" s="231">
        <f>'Oferta (Legados)'!F10</f>
        <v>7525</v>
      </c>
      <c r="D31" s="18"/>
      <c r="E31" s="60"/>
      <c r="F31" s="15">
        <f>IFERROR($C31*$H$19*'Premissas (Legados)'!$E$20*1000," ")</f>
        <v>102455097.39587498</v>
      </c>
      <c r="G31" s="49"/>
    </row>
    <row r="32" spans="1:9" x14ac:dyDescent="0.25">
      <c r="A32" s="2" t="s">
        <v>130</v>
      </c>
      <c r="B32" s="16" t="s">
        <v>196</v>
      </c>
      <c r="C32" s="231">
        <f>'Oferta (Legados)'!F11</f>
        <v>200</v>
      </c>
      <c r="D32" s="18"/>
      <c r="E32" s="60"/>
      <c r="F32" s="15">
        <f>IFERROR($C32*$H$19*'Premissas (Legados)'!$E$20*1000," ")</f>
        <v>2723059.0670000003</v>
      </c>
      <c r="G32" s="49"/>
    </row>
    <row r="33" spans="1:8" x14ac:dyDescent="0.25">
      <c r="A33" s="2" t="s">
        <v>131</v>
      </c>
      <c r="B33" s="16" t="s">
        <v>195</v>
      </c>
      <c r="C33" s="231">
        <f>'Oferta (Legados)'!F12</f>
        <v>200</v>
      </c>
      <c r="D33" s="18"/>
      <c r="E33" s="60"/>
      <c r="F33" s="15">
        <f>IFERROR($C33*$H$19*'Premissas (Legados)'!$E$20*1000,"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2029</v>
      </c>
      <c r="F38" s="376">
        <v>2029</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(Legados)'!F3</f>
        <v>668</v>
      </c>
      <c r="F41" s="15">
        <f>IFERROR($C41*$H$19*'Premissas (Legados)'!$E$20*1000," ")</f>
        <v>9095017.2837799974</v>
      </c>
      <c r="G41" s="49"/>
    </row>
    <row r="42" spans="1:8" x14ac:dyDescent="0.25">
      <c r="A42" s="2" t="s">
        <v>38</v>
      </c>
      <c r="B42" s="16" t="s">
        <v>161</v>
      </c>
      <c r="C42" s="231">
        <f>'Demanda (Legados)'!F4</f>
        <v>1824</v>
      </c>
      <c r="F42" s="15">
        <f>IFERROR($C42*$H$19*'Premissas (Legados)'!$E$20*1000," ")</f>
        <v>24834298.691039998</v>
      </c>
      <c r="G42" s="49"/>
    </row>
    <row r="43" spans="1:8" x14ac:dyDescent="0.25">
      <c r="A43" s="2" t="s">
        <v>39</v>
      </c>
      <c r="B43" s="16" t="s">
        <v>162</v>
      </c>
      <c r="C43" s="231">
        <f>'Demanda (Legados)'!F5</f>
        <v>3002</v>
      </c>
      <c r="D43" s="18"/>
      <c r="F43" s="15">
        <f>IFERROR($C43*$H$19*'Premissas (Legados)'!$E$20*1000," ")</f>
        <v>40873116.59567</v>
      </c>
      <c r="G43" s="49"/>
    </row>
    <row r="44" spans="1:8" x14ac:dyDescent="0.25">
      <c r="A44" s="2" t="s">
        <v>40</v>
      </c>
      <c r="B44" s="16" t="s">
        <v>163</v>
      </c>
      <c r="C44" s="231">
        <f>'Demanda (Legados)'!F6</f>
        <v>351</v>
      </c>
      <c r="D44" s="18"/>
      <c r="F44" s="15">
        <f>IFERROR($C44*$H$19*'Premissas (Legados)'!$E$20*1000," ")</f>
        <v>4778968.6625849996</v>
      </c>
      <c r="G44" s="49"/>
    </row>
    <row r="45" spans="1:8" x14ac:dyDescent="0.25">
      <c r="A45" s="2" t="s">
        <v>41</v>
      </c>
      <c r="B45" s="16" t="s">
        <v>164</v>
      </c>
      <c r="C45" s="231">
        <f>'Demanda (Legados)'!F7</f>
        <v>17575</v>
      </c>
      <c r="D45" s="18"/>
      <c r="F45" s="15">
        <f>IFERROR($C45*$H$19*'Premissas (Legados)'!$E$20*1000," ")</f>
        <v>239288815.51262498</v>
      </c>
      <c r="G45" s="49"/>
    </row>
    <row r="46" spans="1:8" x14ac:dyDescent="0.25">
      <c r="A46" s="2" t="s">
        <v>42</v>
      </c>
      <c r="B46" s="16" t="s">
        <v>165</v>
      </c>
      <c r="C46" s="231">
        <f>'Demanda (Legados)'!F8</f>
        <v>11227</v>
      </c>
      <c r="D46" s="18"/>
      <c r="F46" s="15">
        <f>IFERROR($C46*$H$19*'Premissas (Legados)'!$E$20*1000," ")</f>
        <v>152858920.72604498</v>
      </c>
      <c r="G46" s="49"/>
    </row>
    <row r="47" spans="1:8" x14ac:dyDescent="0.25">
      <c r="A47" s="2" t="s">
        <v>43</v>
      </c>
      <c r="B47" s="16" t="s">
        <v>166</v>
      </c>
      <c r="C47" s="231">
        <f>'Demanda (Legados)'!F9</f>
        <v>2083</v>
      </c>
      <c r="D47" s="18"/>
      <c r="F47" s="15">
        <f>IFERROR($C47*$H$19*'Premissas (Legados)'!$E$20*1000," ")</f>
        <v>28360660.182804998</v>
      </c>
      <c r="G47" s="49"/>
    </row>
    <row r="48" spans="1:8" x14ac:dyDescent="0.25">
      <c r="A48" s="2" t="s">
        <v>44</v>
      </c>
      <c r="B48" s="16" t="s">
        <v>167</v>
      </c>
      <c r="C48" s="231">
        <f>'Demanda (Legados)'!F10</f>
        <v>340</v>
      </c>
      <c r="D48" s="18"/>
      <c r="F48" s="15">
        <f>IFERROR($C48*$H$19*'Premissas (Legados)'!$E$20*1000," ")</f>
        <v>4629200.4139</v>
      </c>
      <c r="G48" s="49"/>
    </row>
    <row r="49" spans="1:9" x14ac:dyDescent="0.25">
      <c r="A49" s="2" t="s">
        <v>45</v>
      </c>
      <c r="B49" s="16" t="s">
        <v>168</v>
      </c>
      <c r="C49" s="231">
        <f>'Demanda (Legados)'!F11</f>
        <v>2249</v>
      </c>
      <c r="D49" s="18"/>
      <c r="F49" s="15">
        <f>IFERROR($C49*$H$19*'Premissas (Legados)'!$E$20*1000," ")</f>
        <v>30620799.208414994</v>
      </c>
      <c r="G49" s="49"/>
    </row>
    <row r="50" spans="1:9" x14ac:dyDescent="0.25">
      <c r="A50" s="2" t="s">
        <v>46</v>
      </c>
      <c r="B50" s="16" t="s">
        <v>169</v>
      </c>
      <c r="C50" s="231">
        <f>'Demanda (Legados)'!F12</f>
        <v>1161</v>
      </c>
      <c r="D50" s="18"/>
      <c r="F50" s="15">
        <f>IFERROR($C50*$H$19*'Premissas (Legados)'!$E$20*1000," ")</f>
        <v>15807357.883934999</v>
      </c>
      <c r="G50" s="49"/>
    </row>
    <row r="51" spans="1:9" x14ac:dyDescent="0.25">
      <c r="A51" s="2" t="s">
        <v>47</v>
      </c>
      <c r="B51" s="16" t="s">
        <v>170</v>
      </c>
      <c r="C51" s="231">
        <f>'Demanda (Legados)'!F13</f>
        <v>3064</v>
      </c>
      <c r="D51" s="18"/>
      <c r="F51" s="15">
        <f>IFERROR($C51*$H$19*'Premissas (Legados)'!$E$20*1000," ")</f>
        <v>41717264.906439997</v>
      </c>
      <c r="G51" s="49"/>
    </row>
    <row r="52" spans="1:9" x14ac:dyDescent="0.25">
      <c r="A52" s="2" t="s">
        <v>48</v>
      </c>
      <c r="B52" s="16" t="s">
        <v>171</v>
      </c>
      <c r="C52" s="231">
        <f>'Demanda (Legados)'!F14</f>
        <v>9481</v>
      </c>
      <c r="D52" s="18"/>
      <c r="F52" s="15">
        <f>IFERROR($C52*$H$19*'Premissas (Legados)'!$E$20*1000," ")</f>
        <v>129086615.071135</v>
      </c>
      <c r="G52" s="49"/>
    </row>
    <row r="53" spans="1:9" x14ac:dyDescent="0.25">
      <c r="A53" s="2" t="s">
        <v>49</v>
      </c>
      <c r="B53" s="16" t="s">
        <v>172</v>
      </c>
      <c r="C53" s="231">
        <f>'Demanda (Legados)'!F15</f>
        <v>3920</v>
      </c>
      <c r="D53" s="18"/>
      <c r="F53" s="15">
        <f>IFERROR($C53*$H$19*'Premissas (Legados)'!$E$20*1000," ")</f>
        <v>53371957.713199995</v>
      </c>
      <c r="G53" s="49"/>
    </row>
    <row r="54" spans="1:9" x14ac:dyDescent="0.25">
      <c r="A54" s="2" t="s">
        <v>50</v>
      </c>
      <c r="B54" s="16" t="s">
        <v>199</v>
      </c>
      <c r="C54" s="231">
        <f>'Demanda (Legados)'!F16</f>
        <v>0</v>
      </c>
      <c r="D54" s="18"/>
      <c r="F54" s="15">
        <f>IFERROR($C54*$H$19*'Premissas (Legados)'!$E$20*1000," ")</f>
        <v>0</v>
      </c>
      <c r="G54" s="49"/>
    </row>
    <row r="55" spans="1:9" x14ac:dyDescent="0.25">
      <c r="A55" s="2" t="s">
        <v>51</v>
      </c>
      <c r="B55" s="16" t="s">
        <v>198</v>
      </c>
      <c r="C55" s="231">
        <f>'Demanda (Legados)'!F17</f>
        <v>9703</v>
      </c>
      <c r="D55" s="18"/>
      <c r="F55" s="15">
        <f>IFERROR($C55*$H$19*'Premissas (Legados)'!$E$20*1000," ")</f>
        <v>132109210.63550498</v>
      </c>
      <c r="G55" s="49"/>
    </row>
    <row r="56" spans="1:9" x14ac:dyDescent="0.25">
      <c r="A56" s="2" t="s">
        <v>52</v>
      </c>
      <c r="B56" s="16" t="s">
        <v>197</v>
      </c>
      <c r="C56" s="231">
        <f>'Demanda (Legados)'!F18</f>
        <v>200</v>
      </c>
      <c r="D56" s="18"/>
      <c r="F56" s="15">
        <f>IFERROR($C56*$H$19*'Premissas (Legados)'!$E$20*1000,"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723.58803005018467</v>
      </c>
      <c r="C193" s="19"/>
      <c r="D193" t="s">
        <v>311</v>
      </c>
      <c r="E193" s="5">
        <f t="shared" ref="E193:E208" ca="1" si="7">$E162*$D$8</f>
        <v>18.069059262957595</v>
      </c>
    </row>
    <row r="194" spans="1:5" ht="18" x14ac:dyDescent="0.35">
      <c r="A194" t="s">
        <v>312</v>
      </c>
      <c r="B194" s="6">
        <f t="shared" ca="1" si="6"/>
        <v>698.64717587785708</v>
      </c>
      <c r="D194" t="s">
        <v>313</v>
      </c>
      <c r="E194" s="5">
        <f t="shared" ca="1" si="7"/>
        <v>62.359850477585908</v>
      </c>
    </row>
    <row r="195" spans="1:5" ht="18" x14ac:dyDescent="0.35">
      <c r="A195" t="s">
        <v>314</v>
      </c>
      <c r="B195" s="6">
        <f t="shared" ca="1" si="6"/>
        <v>545.80045079532533</v>
      </c>
      <c r="D195" t="s">
        <v>315</v>
      </c>
      <c r="E195" s="5">
        <f t="shared" ca="1" si="7"/>
        <v>128.4769141375437</v>
      </c>
    </row>
    <row r="196" spans="1:5" ht="18" x14ac:dyDescent="0.35">
      <c r="A196" t="s">
        <v>316</v>
      </c>
      <c r="B196" s="6">
        <f t="shared" ca="1" si="6"/>
        <v>21.5501771239575</v>
      </c>
      <c r="D196" t="s">
        <v>317</v>
      </c>
      <c r="E196" s="5">
        <f t="shared" ca="1" si="7"/>
        <v>15.40953267586595</v>
      </c>
    </row>
    <row r="197" spans="1:5" ht="18" x14ac:dyDescent="0.35">
      <c r="A197" t="s">
        <v>318</v>
      </c>
      <c r="B197" s="6">
        <f t="shared" ca="1" si="6"/>
        <v>0</v>
      </c>
      <c r="D197" t="s">
        <v>319</v>
      </c>
      <c r="E197" s="5">
        <f t="shared" ca="1" si="7"/>
        <v>248.57396960269432</v>
      </c>
    </row>
    <row r="198" spans="1:5" ht="18" x14ac:dyDescent="0.35">
      <c r="A198" t="s">
        <v>320</v>
      </c>
      <c r="B198" s="6">
        <f t="shared" ca="1" si="6"/>
        <v>0</v>
      </c>
      <c r="D198" t="s">
        <v>321</v>
      </c>
      <c r="E198" s="5">
        <f t="shared" ca="1" si="7"/>
        <v>159.86798257523807</v>
      </c>
    </row>
    <row r="199" spans="1:5" ht="18" x14ac:dyDescent="0.35">
      <c r="A199" t="s">
        <v>322</v>
      </c>
      <c r="B199" s="6">
        <f t="shared" ca="1" si="6"/>
        <v>1375.7122442361513</v>
      </c>
      <c r="D199" t="s">
        <v>323</v>
      </c>
      <c r="E199" s="5">
        <f t="shared" ca="1" si="7"/>
        <v>32.87326427382942</v>
      </c>
    </row>
    <row r="200" spans="1:5" ht="18" x14ac:dyDescent="0.35">
      <c r="A200" t="s">
        <v>324</v>
      </c>
      <c r="B200" s="6">
        <f t="shared" ca="1" si="6"/>
        <v>311.95916560800282</v>
      </c>
      <c r="D200" t="s">
        <v>325</v>
      </c>
      <c r="E200" s="5">
        <f t="shared" ca="1" si="7"/>
        <v>6.0219034404355485</v>
      </c>
    </row>
    <row r="201" spans="1:5" ht="18" x14ac:dyDescent="0.35">
      <c r="A201" t="s">
        <v>326</v>
      </c>
      <c r="B201" s="6">
        <f t="shared" ca="1" si="6"/>
        <v>11.253356200500004</v>
      </c>
      <c r="D201" t="s">
        <v>327</v>
      </c>
      <c r="E201" s="5">
        <f t="shared" ca="1" si="7"/>
        <v>32.935839862873422</v>
      </c>
    </row>
    <row r="202" spans="1:5" ht="18" x14ac:dyDescent="0.35">
      <c r="A202" t="s">
        <v>328</v>
      </c>
      <c r="B202" s="6">
        <f t="shared" ca="1" si="6"/>
        <v>11.063671593036725</v>
      </c>
      <c r="D202" t="s">
        <v>329</v>
      </c>
      <c r="E202" s="5">
        <f t="shared" ca="1" si="7"/>
        <v>27.553835306611617</v>
      </c>
    </row>
    <row r="203" spans="1:5" ht="18" x14ac:dyDescent="0.35">
      <c r="B203" s="6">
        <f ca="1">SUM(B193:B202)</f>
        <v>3699.5742714850157</v>
      </c>
      <c r="D203" t="s">
        <v>330</v>
      </c>
      <c r="E203" s="5">
        <f t="shared" ca="1" si="7"/>
        <v>70.301114886715808</v>
      </c>
    </row>
    <row r="204" spans="1:5" ht="18" x14ac:dyDescent="0.35">
      <c r="B204" s="6"/>
      <c r="D204" t="s">
        <v>331</v>
      </c>
      <c r="E204" s="5">
        <f t="shared" ca="1" si="7"/>
        <v>290.31492795932826</v>
      </c>
    </row>
    <row r="205" spans="1:5" ht="18" x14ac:dyDescent="0.35">
      <c r="B205" s="6"/>
      <c r="D205" t="s">
        <v>332</v>
      </c>
      <c r="E205" s="5">
        <f t="shared" ca="1" si="7"/>
        <v>130.25147485300673</v>
      </c>
    </row>
    <row r="206" spans="1:5" ht="18" x14ac:dyDescent="0.35">
      <c r="B206" s="6"/>
      <c r="D206" t="s">
        <v>333</v>
      </c>
      <c r="E206" s="5">
        <f t="shared" ca="1" si="7"/>
        <v>0</v>
      </c>
    </row>
    <row r="207" spans="1:5" ht="18" x14ac:dyDescent="0.35">
      <c r="B207" s="6"/>
      <c r="D207" t="s">
        <v>334</v>
      </c>
      <c r="E207" s="5">
        <f t="shared" ca="1" si="7"/>
        <v>359.1317289576362</v>
      </c>
    </row>
    <row r="208" spans="1:5" ht="18" x14ac:dyDescent="0.35">
      <c r="B208" s="6"/>
      <c r="D208" t="s">
        <v>335</v>
      </c>
      <c r="E208" s="5">
        <f t="shared" ca="1" si="7"/>
        <v>3.390432364112824</v>
      </c>
    </row>
    <row r="209" spans="1:5" x14ac:dyDescent="0.25">
      <c r="B209" s="6"/>
      <c r="E209" s="5">
        <f ca="1">SUM(E193:E208)</f>
        <v>1585.5318306364352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3.5534388909540522</v>
      </c>
      <c r="D226" s="77"/>
      <c r="E226" s="7"/>
      <c r="F226" s="7"/>
      <c r="G226" s="78"/>
      <c r="H226" s="20" t="s">
        <v>343</v>
      </c>
      <c r="I226" s="20" t="str">
        <f t="shared" ref="I226:I241" si="9">B41</f>
        <v>NTS MG 1</v>
      </c>
      <c r="J226" s="11">
        <f t="shared" ref="J226:J241" ca="1" si="10">IFERROR($E193/$F41*1000000," ")</f>
        <v>1.9866987273550158</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2.955418875265293</v>
      </c>
      <c r="D228" s="77"/>
      <c r="E228" s="7"/>
      <c r="F228" s="7"/>
      <c r="G228" s="78"/>
      <c r="H228" s="20" t="s">
        <v>347</v>
      </c>
      <c r="I228" s="20" t="str">
        <f t="shared" si="9"/>
        <v>NTS MG 3</v>
      </c>
      <c r="J228" s="11">
        <f t="shared" ca="1" si="10"/>
        <v>3.1433109299806672</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3.2244473156956746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1.0458531423347859</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1.1591149169990198</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1.3008517458768276</v>
      </c>
      <c r="L233" s="12"/>
      <c r="M233" s="79"/>
      <c r="Q233" s="7"/>
      <c r="R233" s="80"/>
      <c r="S233" s="81"/>
      <c r="T233" s="81"/>
      <c r="U233" s="81"/>
    </row>
    <row r="234" spans="1:22" ht="18" x14ac:dyDescent="0.25">
      <c r="A234" s="20" t="s">
        <v>358</v>
      </c>
      <c r="B234" s="20" t="str">
        <f t="shared" si="11"/>
        <v>PR-REPLAN (INTERCONEXÃO)</v>
      </c>
      <c r="C234" s="11">
        <f t="shared" ca="1" si="8"/>
        <v>4.1326155340794166</v>
      </c>
      <c r="D234" s="72"/>
      <c r="E234" s="7"/>
      <c r="F234" s="7"/>
      <c r="G234" s="72"/>
      <c r="H234" s="20" t="s">
        <v>359</v>
      </c>
      <c r="I234" s="20" t="str">
        <f t="shared" si="9"/>
        <v>NTS RJ 5</v>
      </c>
      <c r="J234" s="11">
        <f t="shared" ca="1" si="10"/>
        <v>1.0756035346661437</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1.7431018838774159</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1.6851803454608372</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2.2489932654857059</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2.7184458012431563</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1.2450821964167198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3.3259718961528582</v>
      </c>
      <c r="E245" s="11">
        <f ca="1">IFERROR(C245+D245," ")</f>
        <v>3.3259718961528582</v>
      </c>
      <c r="G245" s="79"/>
      <c r="H245" s="20" t="s">
        <v>343</v>
      </c>
      <c r="I245" s="20" t="str">
        <f t="shared" ref="I245:I260" si="15">I226</f>
        <v>NTS MG 1</v>
      </c>
      <c r="J245" s="11">
        <f t="shared" ref="J245:J260" ca="1" si="16">IF(F41=0," ",J226*(1-$C$11))</f>
        <v>0</v>
      </c>
      <c r="K245" s="11">
        <f t="shared" ref="K245:K260" si="17">$F$10*$C$11</f>
        <v>1.7420454463858308</v>
      </c>
      <c r="L245" s="11">
        <f ca="1">IFERROR(J245+K245," ")</f>
        <v>1.7420454463858308</v>
      </c>
    </row>
    <row r="246" spans="1:22" ht="18" x14ac:dyDescent="0.25">
      <c r="A246" s="20" t="s">
        <v>344</v>
      </c>
      <c r="B246" s="20" t="str">
        <f t="shared" si="12"/>
        <v>PR-GNLBGB</v>
      </c>
      <c r="C246" s="11">
        <f t="shared" ca="1" si="13"/>
        <v>0</v>
      </c>
      <c r="D246" s="11">
        <f t="shared" si="14"/>
        <v>3.3259718961528582</v>
      </c>
      <c r="E246" s="11">
        <f t="shared" ref="E246:E254" ca="1" si="18">IFERROR(C246+D246," ")</f>
        <v>3.3259718961528582</v>
      </c>
      <c r="G246" s="79"/>
      <c r="H246" s="20" t="s">
        <v>345</v>
      </c>
      <c r="I246" s="20" t="str">
        <f t="shared" si="15"/>
        <v>NTS MG 2</v>
      </c>
      <c r="J246" s="11">
        <f t="shared" ca="1" si="16"/>
        <v>0</v>
      </c>
      <c r="K246" s="11">
        <f t="shared" si="17"/>
        <v>1.7420454463858308</v>
      </c>
      <c r="L246" s="11">
        <f t="shared" ref="L246:L260" ca="1" si="19">IFERROR(J246+K246," ")</f>
        <v>1.7420454463858308</v>
      </c>
    </row>
    <row r="247" spans="1:22" ht="18" x14ac:dyDescent="0.25">
      <c r="A247" s="20" t="s">
        <v>346</v>
      </c>
      <c r="B247" s="20" t="str">
        <f t="shared" si="12"/>
        <v>PR-ITABORAÍ</v>
      </c>
      <c r="C247" s="11">
        <f t="shared" ca="1" si="13"/>
        <v>0</v>
      </c>
      <c r="D247" s="11">
        <f t="shared" si="14"/>
        <v>3.3259718961528582</v>
      </c>
      <c r="E247" s="11">
        <f t="shared" ca="1" si="18"/>
        <v>3.3259718961528582</v>
      </c>
      <c r="G247" s="79"/>
      <c r="H247" s="20" t="s">
        <v>347</v>
      </c>
      <c r="I247" s="20" t="str">
        <f t="shared" si="15"/>
        <v>NTS MG 3</v>
      </c>
      <c r="J247" s="11">
        <f t="shared" ca="1" si="16"/>
        <v>0</v>
      </c>
      <c r="K247" s="11">
        <f t="shared" si="17"/>
        <v>1.7420454463858308</v>
      </c>
      <c r="L247" s="11">
        <f t="shared" ca="1" si="19"/>
        <v>1.7420454463858308</v>
      </c>
    </row>
    <row r="248" spans="1:22" ht="18" x14ac:dyDescent="0.25">
      <c r="A248" s="20" t="s">
        <v>348</v>
      </c>
      <c r="B248" s="20" t="str">
        <f t="shared" si="12"/>
        <v>PR-GASPAJ (INTERCONEXÃO)</v>
      </c>
      <c r="C248" s="11">
        <f t="shared" ca="1" si="13"/>
        <v>0</v>
      </c>
      <c r="D248" s="11">
        <f t="shared" si="14"/>
        <v>3.3259718961528582</v>
      </c>
      <c r="E248" s="11">
        <f t="shared" ca="1" si="18"/>
        <v>3.3259718961528582</v>
      </c>
      <c r="G248" s="79"/>
      <c r="H248" s="20" t="s">
        <v>349</v>
      </c>
      <c r="I248" s="20" t="str">
        <f t="shared" si="15"/>
        <v>NTS MG 4</v>
      </c>
      <c r="J248" s="11">
        <f t="shared" ca="1" si="16"/>
        <v>0</v>
      </c>
      <c r="K248" s="11">
        <f t="shared" si="17"/>
        <v>1.7420454463858308</v>
      </c>
      <c r="L248" s="11">
        <f t="shared" ca="1" si="19"/>
        <v>1.7420454463858308</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1.7420454463858308</v>
      </c>
      <c r="L249" s="11">
        <f t="shared" ca="1" si="19"/>
        <v>1.7420454463858308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1.7420454463858308</v>
      </c>
      <c r="L250" s="11">
        <f t="shared" ca="1" si="19"/>
        <v>1.7420454463858308</v>
      </c>
    </row>
    <row r="251" spans="1:22" ht="18" x14ac:dyDescent="0.25">
      <c r="A251" s="20" t="s">
        <v>354</v>
      </c>
      <c r="B251" s="20" t="str">
        <f t="shared" si="12"/>
        <v>PR-TECAB</v>
      </c>
      <c r="C251" s="11">
        <f t="shared" ca="1" si="13"/>
        <v>0</v>
      </c>
      <c r="D251" s="11">
        <f t="shared" si="14"/>
        <v>3.3259718961528582</v>
      </c>
      <c r="E251" s="11">
        <f t="shared" ca="1" si="18"/>
        <v>3.3259718961528582</v>
      </c>
      <c r="G251" s="79"/>
      <c r="H251" s="20" t="s">
        <v>355</v>
      </c>
      <c r="I251" s="20" t="str">
        <f t="shared" si="15"/>
        <v>NTS RJ 3</v>
      </c>
      <c r="J251" s="11">
        <f t="shared" ca="1" si="16"/>
        <v>0</v>
      </c>
      <c r="K251" s="11">
        <f t="shared" si="17"/>
        <v>1.7420454463858308</v>
      </c>
      <c r="L251" s="11">
        <f t="shared" ca="1" si="19"/>
        <v>1.7420454463858308</v>
      </c>
    </row>
    <row r="252" spans="1:22" ht="18" x14ac:dyDescent="0.25">
      <c r="A252" s="20" t="s">
        <v>356</v>
      </c>
      <c r="B252" s="20" t="str">
        <f t="shared" si="12"/>
        <v>PR-GUARAREMA (INTERCONEXÃO)</v>
      </c>
      <c r="C252" s="11">
        <f t="shared" ca="1" si="13"/>
        <v>0</v>
      </c>
      <c r="D252" s="11">
        <f t="shared" si="14"/>
        <v>3.3259718961528582</v>
      </c>
      <c r="E252" s="11">
        <f t="shared" ca="1" si="18"/>
        <v>3.3259718961528582</v>
      </c>
      <c r="G252" s="79"/>
      <c r="H252" s="20" t="s">
        <v>357</v>
      </c>
      <c r="I252" s="20" t="str">
        <f t="shared" si="15"/>
        <v>NTS RJ 4</v>
      </c>
      <c r="J252" s="11">
        <f t="shared" ca="1" si="16"/>
        <v>0</v>
      </c>
      <c r="K252" s="11">
        <f t="shared" si="17"/>
        <v>1.7420454463858308</v>
      </c>
      <c r="L252" s="11">
        <f t="shared" ca="1" si="19"/>
        <v>1.7420454463858308</v>
      </c>
    </row>
    <row r="253" spans="1:22" ht="18" x14ac:dyDescent="0.25">
      <c r="A253" s="20" t="s">
        <v>358</v>
      </c>
      <c r="B253" s="20" t="str">
        <f t="shared" si="12"/>
        <v>PR-REPLAN (INTERCONEXÃO)</v>
      </c>
      <c r="C253" s="11">
        <f t="shared" ca="1" si="13"/>
        <v>0</v>
      </c>
      <c r="D253" s="11">
        <f t="shared" si="14"/>
        <v>3.3259718961528582</v>
      </c>
      <c r="E253" s="11">
        <f t="shared" ca="1" si="18"/>
        <v>3.3259718961528582</v>
      </c>
      <c r="G253" s="79"/>
      <c r="H253" s="20" t="s">
        <v>359</v>
      </c>
      <c r="I253" s="20" t="str">
        <f t="shared" si="15"/>
        <v>NTS RJ 5</v>
      </c>
      <c r="J253" s="11">
        <f t="shared" ca="1" si="16"/>
        <v>0</v>
      </c>
      <c r="K253" s="11">
        <f t="shared" si="17"/>
        <v>1.7420454463858308</v>
      </c>
      <c r="L253" s="11">
        <f t="shared" ca="1" si="19"/>
        <v>1.7420454463858308</v>
      </c>
    </row>
    <row r="254" spans="1:22" ht="18" x14ac:dyDescent="0.25">
      <c r="A254" s="20" t="s">
        <v>360</v>
      </c>
      <c r="B254" s="20" t="str">
        <f t="shared" si="12"/>
        <v>PR-TECAB (INTERCONEXÃO)</v>
      </c>
      <c r="C254" s="11">
        <f t="shared" ca="1" si="13"/>
        <v>0</v>
      </c>
      <c r="D254" s="11">
        <f t="shared" si="14"/>
        <v>3.3259718961528582</v>
      </c>
      <c r="E254" s="11">
        <f t="shared" ca="1" si="18"/>
        <v>3.3259718961528582</v>
      </c>
      <c r="G254" s="79"/>
      <c r="H254" s="20" t="s">
        <v>361</v>
      </c>
      <c r="I254" s="20" t="str">
        <f t="shared" si="15"/>
        <v>NTS SP 1</v>
      </c>
      <c r="J254" s="11">
        <f t="shared" ca="1" si="16"/>
        <v>0</v>
      </c>
      <c r="K254" s="11">
        <f t="shared" si="17"/>
        <v>1.7420454463858308</v>
      </c>
      <c r="L254" s="11">
        <f t="shared" ca="1" si="19"/>
        <v>1.7420454463858308</v>
      </c>
    </row>
    <row r="255" spans="1:22" ht="18" x14ac:dyDescent="0.25">
      <c r="H255" s="20" t="s">
        <v>362</v>
      </c>
      <c r="I255" s="20" t="str">
        <f t="shared" si="15"/>
        <v>NTS SP 2</v>
      </c>
      <c r="J255" s="11">
        <f t="shared" ca="1" si="16"/>
        <v>0</v>
      </c>
      <c r="K255" s="11">
        <f t="shared" si="17"/>
        <v>1.7420454463858308</v>
      </c>
      <c r="L255" s="11">
        <f t="shared" ca="1" si="19"/>
        <v>1.7420454463858308</v>
      </c>
    </row>
    <row r="256" spans="1:22" ht="18" x14ac:dyDescent="0.25">
      <c r="H256" s="20" t="s">
        <v>363</v>
      </c>
      <c r="I256" s="20" t="str">
        <f t="shared" si="15"/>
        <v>NTS SP 3</v>
      </c>
      <c r="J256" s="11">
        <f t="shared" ca="1" si="16"/>
        <v>0</v>
      </c>
      <c r="K256" s="11">
        <f t="shared" si="17"/>
        <v>1.7420454463858308</v>
      </c>
      <c r="L256" s="11">
        <f t="shared" ca="1" si="19"/>
        <v>1.7420454463858308</v>
      </c>
    </row>
    <row r="257" spans="1:13" ht="18" x14ac:dyDescent="0.25">
      <c r="H257" s="20" t="s">
        <v>364</v>
      </c>
      <c r="I257" s="20" t="str">
        <f t="shared" si="15"/>
        <v>NTS SP 4</v>
      </c>
      <c r="J257" s="11">
        <f t="shared" ca="1" si="16"/>
        <v>0</v>
      </c>
      <c r="K257" s="11">
        <f t="shared" si="17"/>
        <v>1.7420454463858308</v>
      </c>
      <c r="L257" s="11">
        <f t="shared" ca="1" si="19"/>
        <v>1.7420454463858308</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1.7420454463858308</v>
      </c>
      <c r="L259" s="11">
        <f t="shared" ca="1" si="19"/>
        <v>1.7420454463858308</v>
      </c>
    </row>
    <row r="260" spans="1:13" ht="18" x14ac:dyDescent="0.25">
      <c r="H260" s="20" t="s">
        <v>367</v>
      </c>
      <c r="I260" s="20" t="str">
        <f t="shared" si="15"/>
        <v>PE-TECAB (INTERCONEXÃO)</v>
      </c>
      <c r="J260" s="11">
        <f t="shared" ca="1" si="16"/>
        <v>0</v>
      </c>
      <c r="K260" s="11">
        <f t="shared" si="17"/>
        <v>1.7420454463858308</v>
      </c>
      <c r="L260" s="11">
        <f t="shared" ca="1" si="19"/>
        <v>1.7420454463858308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(Legados)'!F11</f>
        <v>200</v>
      </c>
      <c r="D267" s="207">
        <f ca="1">E253</f>
        <v>3.3259718961528582</v>
      </c>
      <c r="E267" s="210">
        <f ca="1">D267*(1-$C$262)</f>
        <v>0.33259718961528573</v>
      </c>
      <c r="F267" s="208">
        <f ca="1">C267*E267*'Premissas (Legados)'!$C$54*'Premissas (Legados)'!$F$20*1000</f>
        <v>905681.7928406219</v>
      </c>
      <c r="L267" s="84"/>
    </row>
    <row r="268" spans="1:13" ht="18.75" x14ac:dyDescent="0.3">
      <c r="B268" s="189" t="s">
        <v>376</v>
      </c>
      <c r="C268" s="213">
        <f>'Oferta (Legados)'!F10</f>
        <v>7525</v>
      </c>
      <c r="D268" s="207">
        <f ca="1">E252</f>
        <v>3.3259718961528582</v>
      </c>
      <c r="E268" s="210">
        <f t="shared" ref="E268:E270" ca="1" si="20">D268*(1-$C$262)</f>
        <v>0.33259718961528573</v>
      </c>
      <c r="F268" s="208">
        <f ca="1">C268*E268*'Premissas (Legados)'!$C$54*'Premissas (Legados)'!$F$20*1000</f>
        <v>34076277.455628395</v>
      </c>
      <c r="G268" s="85"/>
      <c r="K268" s="85"/>
      <c r="L268" s="84"/>
    </row>
    <row r="269" spans="1:13" ht="18.75" x14ac:dyDescent="0.3">
      <c r="B269" s="190" t="s">
        <v>377</v>
      </c>
      <c r="C269" s="213">
        <f>'Oferta (Legados)'!F12</f>
        <v>200</v>
      </c>
      <c r="D269" s="207">
        <f ca="1">E254</f>
        <v>3.3259718961528582</v>
      </c>
      <c r="E269" s="210">
        <f t="shared" ca="1" si="20"/>
        <v>0.33259718961528573</v>
      </c>
      <c r="F269" s="208">
        <f ca="1">C269*E269*'Premissas (Legados)'!$C$54*'Premissas (Legados)'!$F$20*1000</f>
        <v>905681.7928406219</v>
      </c>
      <c r="K269" s="85"/>
      <c r="L269" s="84"/>
    </row>
    <row r="270" spans="1:13" ht="18.75" x14ac:dyDescent="0.3">
      <c r="B270" s="190" t="s">
        <v>185</v>
      </c>
      <c r="C270" s="213">
        <f>'Oferta (Legados)'!F6</f>
        <v>383</v>
      </c>
      <c r="D270" s="207">
        <f ca="1">E248</f>
        <v>3.3259718961528582</v>
      </c>
      <c r="E270" s="210">
        <f t="shared" ca="1" si="20"/>
        <v>0.33259718961528573</v>
      </c>
      <c r="F270" s="208">
        <f ca="1">C270*E270*'Premissas (Legados)'!$C$54*'Premissas (Legados)'!$F$20*1000</f>
        <v>1734380.6332897912</v>
      </c>
      <c r="K270" s="85"/>
      <c r="L270" s="84"/>
    </row>
    <row r="271" spans="1:13" ht="18.75" x14ac:dyDescent="0.3">
      <c r="B271" s="188" t="s">
        <v>378</v>
      </c>
      <c r="C271" s="213">
        <f>'Demanda (Legados)'!F17</f>
        <v>9703</v>
      </c>
      <c r="D271" s="207">
        <f ca="1">L259</f>
        <v>1.7420454463858308</v>
      </c>
      <c r="E271" s="210">
        <f ca="1">D271*(1-$C$262)</f>
        <v>0.17420454463858304</v>
      </c>
      <c r="F271" s="208">
        <f ca="1">C271*E271*'Premissas (Legados)'!$C$54*'Premissas (Legados)'!$F$20*1000</f>
        <v>23014024.881320797</v>
      </c>
      <c r="K271" s="85"/>
      <c r="L271" s="84"/>
    </row>
    <row r="272" spans="1:13" ht="18.75" x14ac:dyDescent="0.3">
      <c r="B272" s="190" t="s">
        <v>379</v>
      </c>
      <c r="C272" s="213">
        <f>'Demanda (Legados)'!F18</f>
        <v>200</v>
      </c>
      <c r="D272" s="207">
        <f ca="1">L260</f>
        <v>1.7420454463858308</v>
      </c>
      <c r="E272" s="210">
        <f ca="1">D272*(1-$C$262)</f>
        <v>0.17420454463858304</v>
      </c>
      <c r="F272" s="208">
        <f ca="1">C272*E272*'Premissas (Legados)'!$C$54*'Premissas (Legados)'!$F$20*1000</f>
        <v>474369.26479069976</v>
      </c>
      <c r="K272" s="85"/>
      <c r="L272" s="84"/>
    </row>
    <row r="273" spans="2:13" ht="19.5" thickBot="1" x14ac:dyDescent="0.35">
      <c r="B273" s="190"/>
      <c r="C273" s="190"/>
      <c r="D273" s="190"/>
      <c r="E273" s="190"/>
      <c r="F273" s="209">
        <f ca="1">SUM(F267:F272)</f>
        <v>61110415.820710927</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07E3-D3A7-49E7-9325-4293D5253C41}">
  <sheetPr codeName="Planilha24">
    <tabColor theme="1" tint="0.499984740745262"/>
  </sheetPr>
  <dimension ref="A2:AA303"/>
  <sheetViews>
    <sheetView showGridLines="0" topLeftCell="A231" zoomScale="70" zoomScaleNormal="70" workbookViewId="0">
      <selection activeCell="G39" sqref="G39:G40"/>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2029</v>
      </c>
    </row>
    <row r="4" spans="1:9" ht="18.75" thickBot="1" x14ac:dyDescent="0.3">
      <c r="A4" s="162"/>
      <c r="B4" s="163" t="s">
        <v>102</v>
      </c>
      <c r="C4" s="164" t="s">
        <v>200</v>
      </c>
      <c r="D4" s="165">
        <f>('Premissas (Legados)'!G37-'Premissas (Legados)'!G36)/1000</f>
        <v>5285.1061021214509</v>
      </c>
      <c r="E4" s="166" t="s">
        <v>103</v>
      </c>
      <c r="F4" s="162"/>
      <c r="G4" s="162"/>
      <c r="H4" s="177"/>
      <c r="I4" s="177"/>
    </row>
    <row r="5" spans="1:9" ht="15.75" thickBot="1" x14ac:dyDescent="0.3">
      <c r="A5" s="153"/>
      <c r="B5" s="197" t="s">
        <v>385</v>
      </c>
      <c r="C5" s="150"/>
      <c r="D5" s="151">
        <f ca="1">D6+D9</f>
        <v>5223.9956863007392</v>
      </c>
      <c r="E5" s="166" t="s">
        <v>103</v>
      </c>
      <c r="F5" s="215" t="s">
        <v>390</v>
      </c>
      <c r="G5" s="153"/>
      <c r="H5" s="177"/>
      <c r="I5" s="177"/>
    </row>
    <row r="6" spans="1:9" ht="18" x14ac:dyDescent="0.25">
      <c r="A6" s="148">
        <f>HLOOKUP($G$3,'Premissas (Legados)'!$B$5:$F$13,9,FALSE)</f>
        <v>0.7</v>
      </c>
      <c r="B6" s="149" t="s">
        <v>104</v>
      </c>
      <c r="C6" s="150" t="s">
        <v>201</v>
      </c>
      <c r="D6" s="151">
        <f ca="1">($A$6*$D$4)-(SUM($F$268:$F$271)/10^6)</f>
        <v>3661.9522498104157</v>
      </c>
      <c r="E6" s="152" t="s">
        <v>105</v>
      </c>
      <c r="F6" s="215" t="s">
        <v>383</v>
      </c>
      <c r="G6" s="153"/>
      <c r="H6" s="177"/>
    </row>
    <row r="7" spans="1:9" ht="30" x14ac:dyDescent="0.25">
      <c r="A7" s="48"/>
      <c r="B7" s="154" t="s">
        <v>106</v>
      </c>
      <c r="C7" s="155" t="s">
        <v>202</v>
      </c>
      <c r="D7" s="156">
        <f>$C$35*'Premissas (Legados)'!$E$20</f>
        <v>26786985</v>
      </c>
      <c r="E7" s="154" t="s">
        <v>107</v>
      </c>
      <c r="F7" s="172">
        <f>G35</f>
        <v>999212909.34031487</v>
      </c>
      <c r="G7" s="40" t="s">
        <v>108</v>
      </c>
    </row>
    <row r="8" spans="1:9" ht="18.75" thickBot="1" x14ac:dyDescent="0.3">
      <c r="A8" s="157"/>
      <c r="B8" s="158" t="s">
        <v>109</v>
      </c>
      <c r="C8" s="159" t="s">
        <v>203</v>
      </c>
      <c r="D8" s="160">
        <f ca="1">$D$6/$D$7*1000</f>
        <v>0.13670639864137066</v>
      </c>
      <c r="E8" s="161" t="s">
        <v>110</v>
      </c>
      <c r="F8" s="174">
        <f ca="1">$D$6/$F$7*1000000</f>
        <v>3.66483680863176</v>
      </c>
      <c r="G8" s="170" t="s">
        <v>15</v>
      </c>
      <c r="I8" s="177"/>
    </row>
    <row r="9" spans="1:9" ht="18" x14ac:dyDescent="0.25">
      <c r="A9" s="148">
        <f>1-A6</f>
        <v>0.30000000000000004</v>
      </c>
      <c r="B9" s="149" t="s">
        <v>111</v>
      </c>
      <c r="C9" s="150" t="s">
        <v>204</v>
      </c>
      <c r="D9" s="151">
        <f ca="1">($A$9*$D$4)-(SUM($F$272:$F$273)/10^6)</f>
        <v>1562.043436490324</v>
      </c>
      <c r="E9" s="152" t="s">
        <v>105</v>
      </c>
      <c r="F9" s="215" t="s">
        <v>384</v>
      </c>
      <c r="G9" s="171"/>
    </row>
    <row r="10" spans="1:9" ht="30" x14ac:dyDescent="0.25">
      <c r="B10" s="154" t="s">
        <v>112</v>
      </c>
      <c r="C10" s="155" t="s">
        <v>205</v>
      </c>
      <c r="D10" s="156">
        <f>$C$58*'Premissas (Legados)'!$E$20</f>
        <v>20784925</v>
      </c>
      <c r="E10" s="154" t="s">
        <v>107</v>
      </c>
      <c r="F10" s="172">
        <f>G58</f>
        <v>775322992.85157502</v>
      </c>
      <c r="G10" s="40" t="s">
        <v>108</v>
      </c>
    </row>
    <row r="11" spans="1:9" ht="18.75" thickBot="1" x14ac:dyDescent="0.3">
      <c r="A11" s="167"/>
      <c r="B11" s="158" t="s">
        <v>113</v>
      </c>
      <c r="C11" s="159" t="s">
        <v>206</v>
      </c>
      <c r="D11" s="160">
        <f ca="1">$D$9/$D$10*1000</f>
        <v>7.5152709787998942E-2</v>
      </c>
      <c r="E11" s="161" t="s">
        <v>110</v>
      </c>
      <c r="F11" s="174">
        <f ca="1">$D$9/$F$10*1000000</f>
        <v>2.0147002615584184</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2029</v>
      </c>
      <c r="F22" s="376">
        <f>G3</f>
        <v>2029</v>
      </c>
      <c r="G22" s="376">
        <v>2029</v>
      </c>
      <c r="H22" s="49"/>
    </row>
    <row r="23" spans="1:9" ht="15.95" customHeight="1" x14ac:dyDescent="0.25">
      <c r="C23" s="376" t="s">
        <v>180</v>
      </c>
      <c r="F23" s="376" t="s">
        <v>181</v>
      </c>
      <c r="G23" s="376" t="s">
        <v>181</v>
      </c>
      <c r="H23" s="49"/>
    </row>
    <row r="24" spans="1:9" ht="34.5" x14ac:dyDescent="0.25">
      <c r="A24" s="56" t="s">
        <v>123</v>
      </c>
      <c r="B24" s="57" t="s">
        <v>124</v>
      </c>
      <c r="C24" s="59" t="s">
        <v>211</v>
      </c>
      <c r="F24" s="58" t="s">
        <v>212</v>
      </c>
      <c r="G24" s="59" t="s">
        <v>213</v>
      </c>
      <c r="H24" s="49"/>
    </row>
    <row r="25" spans="1:9" x14ac:dyDescent="0.25">
      <c r="A25" s="2" t="s">
        <v>182</v>
      </c>
      <c r="B25" s="16" t="s">
        <v>28</v>
      </c>
      <c r="C25" s="231">
        <f>'Oferta (Legados)'!F3</f>
        <v>14956</v>
      </c>
      <c r="E25" s="60"/>
      <c r="F25" s="15" t="str">
        <f>IFERROR(#REF!*$H$20*'Premissas (Legados)'!$F$20*1000," ")</f>
        <v xml:space="preserve"> </v>
      </c>
      <c r="G25" s="15">
        <f>IFERROR($C25*$H$20*'Premissas (Legados)'!$E$20*1000," ")</f>
        <v>203630357.03025997</v>
      </c>
      <c r="H25" s="49"/>
    </row>
    <row r="26" spans="1:9" x14ac:dyDescent="0.25">
      <c r="A26" s="2" t="s">
        <v>125</v>
      </c>
      <c r="B26" s="16" t="s">
        <v>26</v>
      </c>
      <c r="C26" s="231">
        <f>'Oferta (Legados)'!F4</f>
        <v>20000</v>
      </c>
      <c r="E26" s="60"/>
      <c r="F26" s="15" t="str">
        <f>IFERROR(#REF!*$H$20*'Premissas (Legados)'!$F$20*1000," ")</f>
        <v xml:space="preserve"> </v>
      </c>
      <c r="G26" s="15">
        <f>IFERROR($C26*$H$20*'Premissas (Legados)'!$E$20*1000," ")</f>
        <v>272305906.69999999</v>
      </c>
      <c r="H26" s="49"/>
    </row>
    <row r="27" spans="1:9" x14ac:dyDescent="0.25">
      <c r="A27" s="2" t="s">
        <v>126</v>
      </c>
      <c r="B27" s="16" t="s">
        <v>411</v>
      </c>
      <c r="C27" s="231">
        <f>'Oferta (Legados)'!F5</f>
        <v>13564</v>
      </c>
      <c r="D27" s="18"/>
      <c r="E27" s="60"/>
      <c r="F27" s="15" t="str">
        <f>IFERROR(#REF!*$H$20*'Premissas (Legados)'!$F$20*1000," ")</f>
        <v xml:space="preserve"> </v>
      </c>
      <c r="G27" s="15">
        <f>IFERROR($C27*$H$20*'Premissas (Legados)'!$E$20*1000," ")</f>
        <v>184677865.92394</v>
      </c>
      <c r="H27" s="49"/>
    </row>
    <row r="28" spans="1:9" x14ac:dyDescent="0.25">
      <c r="A28" s="2" t="s">
        <v>127</v>
      </c>
      <c r="B28" s="16" t="s">
        <v>388</v>
      </c>
      <c r="C28" s="234"/>
      <c r="D28" s="216" t="s">
        <v>386</v>
      </c>
      <c r="E28" s="60"/>
      <c r="F28" s="15" t="str">
        <f>IFERROR(#REF!*$H$20*'Premissas (Legados)'!$F$20*1000," ")</f>
        <v xml:space="preserve"> </v>
      </c>
      <c r="G28" s="15">
        <f>IFERROR($C28*$H$20*'Premissas (Legados)'!$E$20*1000," ")</f>
        <v>0</v>
      </c>
      <c r="H28" s="49"/>
    </row>
    <row r="29" spans="1:9" x14ac:dyDescent="0.25">
      <c r="A29" s="2" t="s">
        <v>128</v>
      </c>
      <c r="B29" s="16" t="s">
        <v>27</v>
      </c>
      <c r="C29" s="231">
        <f>'Oferta (Legados)'!F7</f>
        <v>0</v>
      </c>
      <c r="D29" s="18"/>
      <c r="E29" s="60"/>
      <c r="F29" s="15" t="str">
        <f>IFERROR(#REF!*$H$20*'Premissas (Legados)'!$F$20*1000," ")</f>
        <v xml:space="preserve"> </v>
      </c>
      <c r="G29" s="15">
        <f>IFERROR($C29*$H$20*'Premissas (Legados)'!$E$20*1000," ")</f>
        <v>0</v>
      </c>
      <c r="H29" s="49"/>
    </row>
    <row r="30" spans="1:9" x14ac:dyDescent="0.25">
      <c r="A30" s="2" t="s">
        <v>183</v>
      </c>
      <c r="B30" s="16" t="s">
        <v>29</v>
      </c>
      <c r="C30" s="231">
        <f>'Oferta (Legados)'!F8</f>
        <v>0</v>
      </c>
      <c r="D30" s="18"/>
      <c r="E30" s="60"/>
      <c r="F30" s="15" t="str">
        <f>IFERROR(#REF!*$H$20*'Premissas (Legados)'!$F$20*1000," ")</f>
        <v xml:space="preserve"> </v>
      </c>
      <c r="G30" s="15">
        <f>IFERROR($C30*$H$20*'Premissas (Legados)'!$E$20*1000," ")</f>
        <v>0</v>
      </c>
      <c r="H30" s="49"/>
    </row>
    <row r="31" spans="1:9" x14ac:dyDescent="0.25">
      <c r="A31" s="2" t="s">
        <v>129</v>
      </c>
      <c r="B31" s="16" t="s">
        <v>24</v>
      </c>
      <c r="C31" s="231">
        <f>'Oferta (Legados)'!F9</f>
        <v>24869</v>
      </c>
      <c r="D31" s="18"/>
      <c r="E31" s="60"/>
      <c r="F31" s="15" t="str">
        <f>IFERROR(#REF!*$H$20*'Premissas (Legados)'!$F$20*1000," ")</f>
        <v xml:space="preserve"> </v>
      </c>
      <c r="G31" s="15">
        <f>IFERROR($C31*$H$20*'Premissas (Legados)'!$E$20*1000," ")</f>
        <v>338598779.68611497</v>
      </c>
      <c r="H31" s="49"/>
    </row>
    <row r="32" spans="1:9" x14ac:dyDescent="0.25">
      <c r="A32" s="2" t="s">
        <v>184</v>
      </c>
      <c r="B32" s="16" t="s">
        <v>194</v>
      </c>
      <c r="C32" s="191"/>
      <c r="D32" s="216" t="s">
        <v>386</v>
      </c>
      <c r="E32" s="60"/>
      <c r="F32" s="15" t="str">
        <f>IFERROR(#REF!*$H$20*'Premissas (Legados)'!$F$20*1000," ")</f>
        <v xml:space="preserve"> </v>
      </c>
      <c r="G32" s="15">
        <f>IFERROR($C32*$H$20*'Premissas (Legados)'!$E$20*1000," ")</f>
        <v>0</v>
      </c>
      <c r="H32" s="49"/>
    </row>
    <row r="33" spans="1:9" x14ac:dyDescent="0.25">
      <c r="A33" s="2" t="s">
        <v>130</v>
      </c>
      <c r="B33" s="16" t="s">
        <v>196</v>
      </c>
      <c r="C33" s="191"/>
      <c r="D33" s="216" t="s">
        <v>386</v>
      </c>
      <c r="E33" s="60"/>
      <c r="F33" s="15" t="str">
        <f>IFERROR(#REF!*$H$20*'Premissas (Legados)'!$F$20*1000," ")</f>
        <v xml:space="preserve"> </v>
      </c>
      <c r="G33" s="15">
        <f>IFERROR($C33*$H$20*'Premissas (Legados)'!$E$20*1000," ")</f>
        <v>0</v>
      </c>
      <c r="H33" s="49"/>
    </row>
    <row r="34" spans="1:9" x14ac:dyDescent="0.25">
      <c r="A34" s="2" t="s">
        <v>131</v>
      </c>
      <c r="B34" s="16" t="s">
        <v>195</v>
      </c>
      <c r="C34" s="191"/>
      <c r="D34" s="216" t="s">
        <v>386</v>
      </c>
      <c r="E34" s="60"/>
      <c r="F34" s="15" t="str">
        <f>IFERROR(#REF!*$H$20*'Premissas (Legados)'!$F$20*1000," ")</f>
        <v xml:space="preserve"> </v>
      </c>
      <c r="G34" s="15">
        <f>IFERROR($C34*$H$20*'Premissas (Legados)'!$E$20*1000," ")</f>
        <v>0</v>
      </c>
      <c r="H34" s="49"/>
    </row>
    <row r="35" spans="1:9" x14ac:dyDescent="0.25">
      <c r="C35" s="61">
        <f>SUM(C25:C34)</f>
        <v>73389</v>
      </c>
      <c r="D35" s="61"/>
      <c r="E35" s="60"/>
      <c r="F35" s="61">
        <f>SUM(F25:F34)</f>
        <v>0</v>
      </c>
      <c r="G35" s="61">
        <f>SUM(G25:G34)</f>
        <v>999212909.34031487</v>
      </c>
      <c r="H35" s="49"/>
    </row>
    <row r="36" spans="1:9" x14ac:dyDescent="0.25">
      <c r="C36" s="60"/>
      <c r="D36" s="60"/>
      <c r="E36" s="60"/>
      <c r="F36" s="60"/>
      <c r="G36" s="60"/>
      <c r="H36" s="49"/>
    </row>
    <row r="37" spans="1:9" x14ac:dyDescent="0.25">
      <c r="C37" s="60"/>
      <c r="D37" s="60"/>
      <c r="E37" s="60"/>
      <c r="F37" s="60"/>
      <c r="G37" s="60"/>
      <c r="H37" s="49"/>
    </row>
    <row r="38" spans="1:9" x14ac:dyDescent="0.25">
      <c r="C38" s="60"/>
      <c r="E38" s="60"/>
      <c r="F38" s="60"/>
      <c r="G38" s="60"/>
      <c r="H38" s="49"/>
    </row>
    <row r="39" spans="1:9" x14ac:dyDescent="0.25">
      <c r="C39" s="376">
        <v>2029</v>
      </c>
      <c r="F39" s="376">
        <f>F22</f>
        <v>2029</v>
      </c>
      <c r="G39" s="376">
        <v>2029</v>
      </c>
      <c r="I39" s="49"/>
    </row>
    <row r="40" spans="1:9" ht="15.95" customHeight="1" x14ac:dyDescent="0.25">
      <c r="C40" s="376" t="s">
        <v>180</v>
      </c>
      <c r="F40" s="376" t="s">
        <v>181</v>
      </c>
      <c r="G40" s="376" t="s">
        <v>181</v>
      </c>
      <c r="H40" s="49"/>
    </row>
    <row r="41" spans="1:9" ht="34.5" x14ac:dyDescent="0.25">
      <c r="A41" s="56" t="s">
        <v>123</v>
      </c>
      <c r="B41" s="57" t="s">
        <v>132</v>
      </c>
      <c r="C41" s="59" t="s">
        <v>214</v>
      </c>
      <c r="F41" s="58" t="s">
        <v>215</v>
      </c>
      <c r="G41" s="59" t="s">
        <v>216</v>
      </c>
      <c r="H41" s="49"/>
    </row>
    <row r="42" spans="1:9" x14ac:dyDescent="0.25">
      <c r="A42" s="2" t="s">
        <v>37</v>
      </c>
      <c r="B42" s="16" t="s">
        <v>160</v>
      </c>
      <c r="C42" s="231">
        <f>'Demanda (Legados)'!F3</f>
        <v>668</v>
      </c>
      <c r="F42" s="15" t="str">
        <f>IFERROR(#REF!*$H$20*'Premissas (Legados)'!$F$20*1000," ")</f>
        <v xml:space="preserve"> </v>
      </c>
      <c r="G42" s="15">
        <f>IFERROR($C42*$H$20*'Premissas (Legados)'!$E$20*1000," ")</f>
        <v>9095017.2837799974</v>
      </c>
      <c r="H42" s="49"/>
    </row>
    <row r="43" spans="1:9" x14ac:dyDescent="0.25">
      <c r="A43" s="2" t="s">
        <v>38</v>
      </c>
      <c r="B43" s="16" t="s">
        <v>161</v>
      </c>
      <c r="C43" s="231">
        <f>'Demanda (Legados)'!F4</f>
        <v>1824</v>
      </c>
      <c r="D43" s="18"/>
      <c r="F43" s="15" t="str">
        <f>IFERROR(#REF!*$H$20*'Premissas (Legados)'!$F$20*1000," ")</f>
        <v xml:space="preserve"> </v>
      </c>
      <c r="G43" s="15">
        <f>IFERROR($C43*$H$20*'Premissas (Legados)'!$E$20*1000," ")</f>
        <v>24834298.691039998</v>
      </c>
      <c r="H43" s="49"/>
    </row>
    <row r="44" spans="1:9" x14ac:dyDescent="0.25">
      <c r="A44" s="2" t="s">
        <v>39</v>
      </c>
      <c r="B44" s="16" t="s">
        <v>162</v>
      </c>
      <c r="C44" s="231">
        <f>'Demanda (Legados)'!F5</f>
        <v>3002</v>
      </c>
      <c r="D44" s="18"/>
      <c r="F44" s="15" t="str">
        <f>IFERROR(#REF!*$H$20*'Premissas (Legados)'!$F$20*1000," ")</f>
        <v xml:space="preserve"> </v>
      </c>
      <c r="G44" s="15">
        <f>IFERROR($C44*$H$20*'Premissas (Legados)'!$E$20*1000," ")</f>
        <v>40873116.59567</v>
      </c>
      <c r="H44" s="49"/>
    </row>
    <row r="45" spans="1:9" x14ac:dyDescent="0.25">
      <c r="A45" s="2" t="s">
        <v>40</v>
      </c>
      <c r="B45" s="16" t="s">
        <v>163</v>
      </c>
      <c r="C45" s="231">
        <f>'Demanda (Legados)'!F6</f>
        <v>351</v>
      </c>
      <c r="D45" s="18"/>
      <c r="F45" s="15" t="str">
        <f>IFERROR(#REF!*$H$20*'Premissas (Legados)'!$F$20*1000," ")</f>
        <v xml:space="preserve"> </v>
      </c>
      <c r="G45" s="15">
        <f>IFERROR($C45*$H$20*'Premissas (Legados)'!$E$20*1000," ")</f>
        <v>4778968.6625849996</v>
      </c>
      <c r="H45" s="49"/>
    </row>
    <row r="46" spans="1:9" x14ac:dyDescent="0.25">
      <c r="A46" s="2" t="s">
        <v>41</v>
      </c>
      <c r="B46" s="16" t="s">
        <v>164</v>
      </c>
      <c r="C46" s="231">
        <f>'Demanda (Legados)'!F7</f>
        <v>17575</v>
      </c>
      <c r="D46" s="18"/>
      <c r="F46" s="15" t="str">
        <f>IFERROR(#REF!*$H$20*'Premissas (Legados)'!$F$20*1000," ")</f>
        <v xml:space="preserve"> </v>
      </c>
      <c r="G46" s="15">
        <f>IFERROR($C46*$H$20*'Premissas (Legados)'!$E$20*1000," ")</f>
        <v>239288815.51262498</v>
      </c>
      <c r="H46" s="49"/>
    </row>
    <row r="47" spans="1:9" x14ac:dyDescent="0.25">
      <c r="A47" s="2" t="s">
        <v>42</v>
      </c>
      <c r="B47" s="16" t="s">
        <v>165</v>
      </c>
      <c r="C47" s="231">
        <f>'Demanda (Legados)'!F8</f>
        <v>11227</v>
      </c>
      <c r="D47" s="18"/>
      <c r="F47" s="15" t="str">
        <f>IFERROR(#REF!*$H$20*'Premissas (Legados)'!$F$20*1000," ")</f>
        <v xml:space="preserve"> </v>
      </c>
      <c r="G47" s="15">
        <f>IFERROR($C47*$H$20*'Premissas (Legados)'!$E$20*1000," ")</f>
        <v>152858920.72604498</v>
      </c>
      <c r="H47" s="49"/>
    </row>
    <row r="48" spans="1:9" x14ac:dyDescent="0.25">
      <c r="A48" s="2" t="s">
        <v>43</v>
      </c>
      <c r="B48" s="16" t="s">
        <v>166</v>
      </c>
      <c r="C48" s="231">
        <f>'Demanda (Legados)'!F9</f>
        <v>2083</v>
      </c>
      <c r="D48" s="18"/>
      <c r="F48" s="15" t="str">
        <f>IFERROR(#REF!*$H$20*'Premissas (Legados)'!$F$20*1000," ")</f>
        <v xml:space="preserve"> </v>
      </c>
      <c r="G48" s="15">
        <f>IFERROR($C48*$H$20*'Premissas (Legados)'!$E$20*1000," ")</f>
        <v>28360660.182804998</v>
      </c>
      <c r="H48" s="49"/>
    </row>
    <row r="49" spans="1:9" x14ac:dyDescent="0.25">
      <c r="A49" s="2" t="s">
        <v>44</v>
      </c>
      <c r="B49" s="16" t="s">
        <v>167</v>
      </c>
      <c r="C49" s="231">
        <f>'Demanda (Legados)'!F10</f>
        <v>340</v>
      </c>
      <c r="D49" s="18"/>
      <c r="F49" s="15" t="str">
        <f>IFERROR(#REF!*$H$20*'Premissas (Legados)'!$F$20*1000," ")</f>
        <v xml:space="preserve"> </v>
      </c>
      <c r="G49" s="15">
        <f>IFERROR($C49*$H$20*'Premissas (Legados)'!$E$20*1000," ")</f>
        <v>4629200.4139</v>
      </c>
      <c r="H49" s="49"/>
    </row>
    <row r="50" spans="1:9" x14ac:dyDescent="0.25">
      <c r="A50" s="2" t="s">
        <v>45</v>
      </c>
      <c r="B50" s="16" t="s">
        <v>168</v>
      </c>
      <c r="C50" s="231">
        <f>'Demanda (Legados)'!F11</f>
        <v>2249</v>
      </c>
      <c r="D50" s="18"/>
      <c r="F50" s="15" t="str">
        <f>IFERROR(#REF!*$H$20*'Premissas (Legados)'!$F$20*1000," ")</f>
        <v xml:space="preserve"> </v>
      </c>
      <c r="G50" s="15">
        <f>IFERROR($C50*$H$20*'Premissas (Legados)'!$E$20*1000," ")</f>
        <v>30620799.208414994</v>
      </c>
      <c r="H50" s="49"/>
    </row>
    <row r="51" spans="1:9" x14ac:dyDescent="0.25">
      <c r="A51" s="2" t="s">
        <v>46</v>
      </c>
      <c r="B51" s="16" t="s">
        <v>169</v>
      </c>
      <c r="C51" s="231">
        <f>'Demanda (Legados)'!F12</f>
        <v>1161</v>
      </c>
      <c r="D51" s="18"/>
      <c r="F51" s="15" t="str">
        <f>IFERROR(#REF!*$H$20*'Premissas (Legados)'!$F$20*1000," ")</f>
        <v xml:space="preserve"> </v>
      </c>
      <c r="G51" s="15">
        <f>IFERROR($C51*$H$20*'Premissas (Legados)'!$E$20*1000," ")</f>
        <v>15807357.883934999</v>
      </c>
      <c r="H51" s="49"/>
    </row>
    <row r="52" spans="1:9" x14ac:dyDescent="0.25">
      <c r="A52" s="2" t="s">
        <v>47</v>
      </c>
      <c r="B52" s="16" t="s">
        <v>170</v>
      </c>
      <c r="C52" s="231">
        <f>'Demanda (Legados)'!F13</f>
        <v>3064</v>
      </c>
      <c r="D52" s="18"/>
      <c r="F52" s="15" t="str">
        <f>IFERROR(#REF!*$H$20*'Premissas (Legados)'!$F$20*1000," ")</f>
        <v xml:space="preserve"> </v>
      </c>
      <c r="G52" s="15">
        <f>IFERROR($C52*$H$20*'Premissas (Legados)'!$E$20*1000," ")</f>
        <v>41717264.906439997</v>
      </c>
      <c r="H52" s="49"/>
    </row>
    <row r="53" spans="1:9" x14ac:dyDescent="0.25">
      <c r="A53" s="2" t="s">
        <v>48</v>
      </c>
      <c r="B53" s="16" t="s">
        <v>171</v>
      </c>
      <c r="C53" s="231">
        <f>'Demanda (Legados)'!F14</f>
        <v>9481</v>
      </c>
      <c r="D53" s="18"/>
      <c r="F53" s="15" t="str">
        <f>IFERROR(#REF!*$H$20*'Premissas (Legados)'!$F$20*1000," ")</f>
        <v xml:space="preserve"> </v>
      </c>
      <c r="G53" s="15">
        <f>IFERROR($C53*$H$20*'Premissas (Legados)'!$E$20*1000," ")</f>
        <v>129086615.071135</v>
      </c>
      <c r="H53" s="49"/>
    </row>
    <row r="54" spans="1:9" x14ac:dyDescent="0.25">
      <c r="A54" s="2" t="s">
        <v>49</v>
      </c>
      <c r="B54" s="16" t="s">
        <v>172</v>
      </c>
      <c r="C54" s="231">
        <f>'Demanda (Legados)'!F15</f>
        <v>3920</v>
      </c>
      <c r="D54" s="18"/>
      <c r="F54" s="15" t="str">
        <f>IFERROR(#REF!*$H$20*'Premissas (Legados)'!$F$20*1000," ")</f>
        <v xml:space="preserve"> </v>
      </c>
      <c r="G54" s="15">
        <f>IFERROR($C54*$H$20*'Premissas (Legados)'!$E$20*1000," ")</f>
        <v>53371957.713199995</v>
      </c>
      <c r="H54" s="49"/>
    </row>
    <row r="55" spans="1:9" x14ac:dyDescent="0.25">
      <c r="A55" s="2" t="s">
        <v>50</v>
      </c>
      <c r="B55" s="16" t="s">
        <v>199</v>
      </c>
      <c r="C55" s="191"/>
      <c r="D55" s="216" t="s">
        <v>386</v>
      </c>
      <c r="F55" s="15" t="str">
        <f>IFERROR(#REF!*$H$20*'Premissas (Legados)'!$F$20*1000," ")</f>
        <v xml:space="preserve"> </v>
      </c>
      <c r="G55" s="15">
        <f>IFERROR($C55*$H$20*'Premissas (Legados)'!$E$20*1000," ")</f>
        <v>0</v>
      </c>
      <c r="H55" s="49"/>
    </row>
    <row r="56" spans="1:9" x14ac:dyDescent="0.25">
      <c r="A56" s="2" t="s">
        <v>51</v>
      </c>
      <c r="B56" s="16" t="s">
        <v>198</v>
      </c>
      <c r="C56" s="191"/>
      <c r="D56" s="216" t="s">
        <v>386</v>
      </c>
      <c r="F56" s="15" t="str">
        <f>IFERROR(#REF!*$H$20*'Premissas (Legados)'!$F$20*1000," ")</f>
        <v xml:space="preserve"> </v>
      </c>
      <c r="G56" s="15">
        <f>IFERROR($C56*$H$20*'Premissas (Legados)'!$E$20*1000," ")</f>
        <v>0</v>
      </c>
      <c r="H56" s="49"/>
    </row>
    <row r="57" spans="1:9" x14ac:dyDescent="0.25">
      <c r="A57" s="2" t="s">
        <v>52</v>
      </c>
      <c r="B57" s="16" t="s">
        <v>197</v>
      </c>
      <c r="C57" s="191"/>
      <c r="D57" s="216" t="s">
        <v>386</v>
      </c>
      <c r="F57" s="15" t="str">
        <f>IFERROR(#REF!*$H$20*'Premissas (Legados)'!$F$20*1000," ")</f>
        <v xml:space="preserve"> </v>
      </c>
      <c r="G57" s="15">
        <f>IFERROR($C57*$H$20*'Premissas (Legados)'!$E$20*1000," ")</f>
        <v>0</v>
      </c>
      <c r="H57" s="49"/>
    </row>
    <row r="58" spans="1:9" x14ac:dyDescent="0.25">
      <c r="C58" s="61">
        <f>SUM(C42:C57)</f>
        <v>56945</v>
      </c>
      <c r="D58" s="61"/>
      <c r="F58" s="61">
        <f>SUM(F42:F57)</f>
        <v>0</v>
      </c>
      <c r="G58" s="61">
        <f>SUM(G42:G57)</f>
        <v>775322992.85157502</v>
      </c>
      <c r="H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G25/$G$35</f>
        <v>0.20379075883306763</v>
      </c>
      <c r="C100" s="8"/>
      <c r="D100" t="s">
        <v>232</v>
      </c>
      <c r="E100" s="66">
        <f t="shared" ref="E100:E115" si="2">G42/$G$58</f>
        <v>1.1730617262270608E-2</v>
      </c>
      <c r="G100" s="65" t="s">
        <v>140</v>
      </c>
      <c r="H100" s="67">
        <f>G25/$G$35</f>
        <v>0.20379075883306763</v>
      </c>
      <c r="I100" s="67">
        <f>G26/$G$35</f>
        <v>0.27252040496532182</v>
      </c>
      <c r="J100" s="67">
        <f>$G27/$G$35</f>
        <v>0.18482333864748127</v>
      </c>
      <c r="K100" s="67">
        <f>$G28/$G$35</f>
        <v>0</v>
      </c>
      <c r="L100" s="67">
        <f>$G29/$G$35</f>
        <v>0</v>
      </c>
      <c r="M100" s="67">
        <f>$G30/$G$35</f>
        <v>0</v>
      </c>
      <c r="N100" s="67">
        <f>$G31/$G$35</f>
        <v>0.33886549755412937</v>
      </c>
      <c r="O100" s="67">
        <f>$G32/$G$35</f>
        <v>0</v>
      </c>
      <c r="P100" s="67">
        <f>$G33/$G$35</f>
        <v>0</v>
      </c>
      <c r="Q100" s="67">
        <f>$G34/$G$35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($G25*$B131)/SUMPRODUCT($G$25:$G$34,$B$131:$B$140)</f>
        <v>0.24704365159928515</v>
      </c>
      <c r="C163" s="13"/>
      <c r="D163" t="s">
        <v>283</v>
      </c>
      <c r="E163" s="71">
        <f t="shared" ref="E163:E178" ca="1" si="5">($G42*$E131)/SUMPRODUCT($G$42:$G$57,$E$131:$E$146)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904.66205577538278</v>
      </c>
      <c r="C194" s="19"/>
      <c r="D194" t="s">
        <v>311</v>
      </c>
      <c r="E194" s="5">
        <f t="shared" ref="E194:E209" ca="1" si="7">$E163*$D$9</f>
        <v>22.867906092649452</v>
      </c>
    </row>
    <row r="195" spans="1:5" ht="18" x14ac:dyDescent="0.35">
      <c r="A195" t="s">
        <v>312</v>
      </c>
      <c r="B195" s="6">
        <f t="shared" ca="1" si="6"/>
        <v>709.1475661884441</v>
      </c>
      <c r="D195" t="s">
        <v>313</v>
      </c>
      <c r="E195" s="5">
        <f t="shared" ca="1" si="7"/>
        <v>79.204441676716186</v>
      </c>
    </row>
    <row r="196" spans="1:5" ht="18" x14ac:dyDescent="0.35">
      <c r="A196" t="s">
        <v>314</v>
      </c>
      <c r="B196" s="6">
        <f t="shared" ca="1" si="6"/>
        <v>565.14925179123077</v>
      </c>
      <c r="D196" t="s">
        <v>315</v>
      </c>
      <c r="E196" s="5">
        <f t="shared" ca="1" si="7"/>
        <v>163.6251009835857</v>
      </c>
    </row>
    <row r="197" spans="1:5" ht="18" x14ac:dyDescent="0.35">
      <c r="A197" t="s">
        <v>316</v>
      </c>
      <c r="B197" s="6">
        <f t="shared" ca="1" si="6"/>
        <v>0</v>
      </c>
      <c r="D197" t="s">
        <v>317</v>
      </c>
      <c r="E197" s="5">
        <f t="shared" ca="1" si="7"/>
        <v>20.760403640851809</v>
      </c>
    </row>
    <row r="198" spans="1:5" ht="18" x14ac:dyDescent="0.35">
      <c r="A198" t="s">
        <v>318</v>
      </c>
      <c r="B198" s="6">
        <f t="shared" ca="1" si="6"/>
        <v>0</v>
      </c>
      <c r="D198" t="s">
        <v>319</v>
      </c>
      <c r="E198" s="5">
        <f t="shared" ca="1" si="7"/>
        <v>275.9604696475198</v>
      </c>
    </row>
    <row r="199" spans="1:5" ht="18" x14ac:dyDescent="0.35">
      <c r="A199" t="s">
        <v>320</v>
      </c>
      <c r="B199" s="6">
        <f t="shared" ca="1" si="6"/>
        <v>0</v>
      </c>
      <c r="D199" t="s">
        <v>321</v>
      </c>
      <c r="E199" s="5">
        <f t="shared" ca="1" si="7"/>
        <v>189.89976843927195</v>
      </c>
    </row>
    <row r="200" spans="1:5" ht="18" x14ac:dyDescent="0.35">
      <c r="A200" t="s">
        <v>322</v>
      </c>
      <c r="B200" s="6">
        <f t="shared" ca="1" si="6"/>
        <v>1482.9933760553579</v>
      </c>
      <c r="D200" t="s">
        <v>323</v>
      </c>
      <c r="E200" s="5">
        <f t="shared" ca="1" si="7"/>
        <v>40.735319419557854</v>
      </c>
    </row>
    <row r="201" spans="1:5" ht="18" x14ac:dyDescent="0.35">
      <c r="A201" t="s">
        <v>324</v>
      </c>
      <c r="B201" s="6">
        <f t="shared" ca="1" si="6"/>
        <v>0</v>
      </c>
      <c r="D201" t="s">
        <v>325</v>
      </c>
      <c r="E201" s="5">
        <f t="shared" ca="1" si="7"/>
        <v>7.8170705446729505</v>
      </c>
    </row>
    <row r="202" spans="1:5" ht="18" x14ac:dyDescent="0.35">
      <c r="A202" t="s">
        <v>326</v>
      </c>
      <c r="B202" s="6">
        <f t="shared" ca="1" si="6"/>
        <v>0</v>
      </c>
      <c r="D202" t="s">
        <v>327</v>
      </c>
      <c r="E202" s="5">
        <f t="shared" ca="1" si="7"/>
        <v>38.426135437607066</v>
      </c>
    </row>
    <row r="203" spans="1:5" ht="18" x14ac:dyDescent="0.35">
      <c r="A203" t="s">
        <v>328</v>
      </c>
      <c r="B203" s="6">
        <f t="shared" ca="1" si="6"/>
        <v>0</v>
      </c>
      <c r="D203" t="s">
        <v>329</v>
      </c>
      <c r="E203" s="5">
        <f t="shared" ca="1" si="7"/>
        <v>37.705365011502018</v>
      </c>
    </row>
    <row r="204" spans="1:5" ht="18" x14ac:dyDescent="0.35">
      <c r="B204" s="6">
        <f ca="1">SUM(B194:B203)</f>
        <v>3661.9522498104152</v>
      </c>
      <c r="D204" t="s">
        <v>330</v>
      </c>
      <c r="E204" s="5">
        <f t="shared" ca="1" si="7"/>
        <v>98.485690112566374</v>
      </c>
    </row>
    <row r="205" spans="1:5" ht="18" x14ac:dyDescent="0.35">
      <c r="B205" s="6"/>
      <c r="D205" t="s">
        <v>331</v>
      </c>
      <c r="E205" s="5">
        <f t="shared" ca="1" si="7"/>
        <v>405.65887104879437</v>
      </c>
    </row>
    <row r="206" spans="1:5" ht="18" x14ac:dyDescent="0.35">
      <c r="B206" s="6"/>
      <c r="D206" t="s">
        <v>332</v>
      </c>
      <c r="E206" s="5">
        <f t="shared" ca="1" si="7"/>
        <v>180.89689443502863</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1562.043436490324</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IFERROR($B194/$G25*1000000," ")</f>
        <v>4.4426679252001104</v>
      </c>
      <c r="D227" s="77"/>
      <c r="E227" s="7"/>
      <c r="F227" s="7"/>
      <c r="G227" s="78"/>
      <c r="H227" s="20" t="s">
        <v>343</v>
      </c>
      <c r="I227" s="20" t="str">
        <f t="shared" ref="I227:I242" si="9">B42</f>
        <v>NTS MG 1</v>
      </c>
      <c r="J227" s="11">
        <f t="shared" ref="J227:J242" ca="1" si="10">IFERROR($E194/$G42*1000000," ")</f>
        <v>2.5143334398530444</v>
      </c>
      <c r="L227" s="12"/>
      <c r="M227" s="79"/>
      <c r="Q227" s="7"/>
      <c r="R227" s="80"/>
      <c r="S227" s="81"/>
      <c r="T227" s="81"/>
      <c r="U227" s="81"/>
    </row>
    <row r="228" spans="1:21" ht="18" x14ac:dyDescent="0.25">
      <c r="A228" s="20" t="s">
        <v>344</v>
      </c>
      <c r="B228" s="20" t="str">
        <f t="shared" ref="B228:B236" si="11">B26</f>
        <v>PR-GNLBGB</v>
      </c>
      <c r="C228" s="11">
        <f t="shared" ca="1" si="8"/>
        <v>2.604231302884346</v>
      </c>
      <c r="D228" s="77"/>
      <c r="E228" s="7"/>
      <c r="F228" s="7"/>
      <c r="G228" s="78"/>
      <c r="H228" s="20" t="s">
        <v>345</v>
      </c>
      <c r="I228" s="20" t="str">
        <f t="shared" si="9"/>
        <v>NTS MG 2</v>
      </c>
      <c r="J228" s="11">
        <f t="shared" ca="1" si="10"/>
        <v>3.1893166246443054</v>
      </c>
      <c r="L228" s="12"/>
      <c r="M228" s="79"/>
      <c r="Q228" s="7"/>
      <c r="R228" s="80"/>
      <c r="S228" s="81"/>
      <c r="T228" s="81"/>
      <c r="U228" s="81"/>
    </row>
    <row r="229" spans="1:21" ht="18" x14ac:dyDescent="0.25">
      <c r="A229" s="20" t="s">
        <v>346</v>
      </c>
      <c r="B229" s="20" t="str">
        <f t="shared" si="11"/>
        <v>PR-ITABORAÍ</v>
      </c>
      <c r="C229" s="11">
        <f t="shared" ca="1" si="8"/>
        <v>3.0601894220717751</v>
      </c>
      <c r="D229" s="77"/>
      <c r="E229" s="7"/>
      <c r="F229" s="7"/>
      <c r="G229" s="78"/>
      <c r="H229" s="20" t="s">
        <v>347</v>
      </c>
      <c r="I229" s="20" t="str">
        <f t="shared" si="9"/>
        <v>NTS MG 3</v>
      </c>
      <c r="J229" s="11">
        <f t="shared" ca="1" si="10"/>
        <v>4.0032450327245108</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4.3441179690896456</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1.1532526877879088</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1.2423204843871158</v>
      </c>
      <c r="L232" s="12"/>
      <c r="M232" s="79"/>
      <c r="Q232" s="7"/>
      <c r="R232" s="80"/>
      <c r="S232" s="81"/>
      <c r="T232" s="81"/>
      <c r="U232" s="81"/>
    </row>
    <row r="233" spans="1:21" ht="18" x14ac:dyDescent="0.25">
      <c r="A233" s="20" t="s">
        <v>354</v>
      </c>
      <c r="B233" s="20" t="str">
        <f t="shared" si="11"/>
        <v>PR-TECAB</v>
      </c>
      <c r="C233" s="11">
        <f t="shared" ca="1" si="8"/>
        <v>4.3797953950989132</v>
      </c>
      <c r="D233" s="77"/>
      <c r="E233" s="7"/>
      <c r="F233" s="7"/>
      <c r="G233" s="78"/>
      <c r="H233" s="20" t="s">
        <v>355</v>
      </c>
      <c r="I233" s="20" t="str">
        <f t="shared" si="9"/>
        <v>NTS RJ 3</v>
      </c>
      <c r="J233" s="11">
        <f t="shared" ca="1" si="10"/>
        <v>1.4363318468959896</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1.6886437928245235</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1.2549030864957655</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2.385304697239881</v>
      </c>
      <c r="L236" s="12"/>
      <c r="Q236" s="7"/>
      <c r="R236" s="80"/>
      <c r="S236" s="81"/>
      <c r="T236" s="81"/>
      <c r="U236" s="81"/>
    </row>
    <row r="237" spans="1:21" ht="18" x14ac:dyDescent="0.25">
      <c r="D237" s="72"/>
      <c r="E237" s="7"/>
      <c r="F237" s="7"/>
      <c r="G237" s="72"/>
      <c r="H237" s="20" t="s">
        <v>362</v>
      </c>
      <c r="I237" s="20" t="str">
        <f t="shared" si="9"/>
        <v>NTS SP 2</v>
      </c>
      <c r="J237" s="11">
        <f t="shared" ca="1" si="10"/>
        <v>2.3607897193989555</v>
      </c>
      <c r="K237" s="72"/>
      <c r="L237" s="12"/>
      <c r="Q237" s="7"/>
      <c r="R237" s="80"/>
      <c r="S237" s="81"/>
      <c r="T237" s="81"/>
      <c r="U237" s="81"/>
    </row>
    <row r="238" spans="1:21" ht="18" x14ac:dyDescent="0.25">
      <c r="D238" s="72"/>
      <c r="E238" s="7"/>
      <c r="F238" s="7"/>
      <c r="G238" s="72"/>
      <c r="H238" s="20" t="s">
        <v>363</v>
      </c>
      <c r="I238" s="20" t="str">
        <f t="shared" si="9"/>
        <v>NTS SP 3</v>
      </c>
      <c r="J238" s="11">
        <f t="shared" ca="1" si="10"/>
        <v>3.1425324060534883</v>
      </c>
      <c r="L238" s="12"/>
      <c r="Q238" s="7"/>
      <c r="R238" s="80"/>
      <c r="S238" s="81"/>
      <c r="T238" s="81"/>
      <c r="U238" s="81"/>
    </row>
    <row r="239" spans="1:21" ht="18" x14ac:dyDescent="0.25">
      <c r="D239" s="72"/>
      <c r="E239" s="7"/>
      <c r="F239" s="7"/>
      <c r="G239" s="72"/>
      <c r="H239" s="20" t="s">
        <v>364</v>
      </c>
      <c r="I239" s="20" t="str">
        <f t="shared" si="9"/>
        <v>NTS SP 4</v>
      </c>
      <c r="J239" s="11">
        <f t="shared" ca="1" si="10"/>
        <v>3.3893621704322281</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IF(G25=0," ",C227*(1-$C$12))</f>
        <v>0</v>
      </c>
      <c r="D246" s="11">
        <f t="shared" ref="D246:D252" ca="1" si="14">$F$8*$C$12</f>
        <v>3.66483680863176</v>
      </c>
      <c r="E246" s="11">
        <f ca="1">IFERROR(C246+D246," ")</f>
        <v>3.66483680863176</v>
      </c>
      <c r="F246" s="198">
        <f ca="1">E246*G25</f>
        <v>746272027.7993238</v>
      </c>
      <c r="G246" s="79"/>
      <c r="H246" s="20" t="s">
        <v>343</v>
      </c>
      <c r="I246" s="20" t="str">
        <f t="shared" ref="I246:I261" si="15">I227</f>
        <v>NTS MG 1</v>
      </c>
      <c r="J246" s="11">
        <f t="shared" ref="J246:J261" ca="1" si="16">IF(G42=0," ",J227*(1-$C$12))</f>
        <v>0</v>
      </c>
      <c r="K246" s="11">
        <f t="shared" ref="K246:K258" ca="1" si="17">$F$11*$C$12</f>
        <v>2.0147002615584184</v>
      </c>
      <c r="L246" s="11">
        <f ca="1">IFERROR(J246+K246," ")</f>
        <v>2.0147002615584184</v>
      </c>
      <c r="M246" s="198">
        <f t="shared" ref="M246:M258" ca="1" si="18">L246*G42</f>
        <v>18323733.700509898</v>
      </c>
      <c r="N246" s="87"/>
    </row>
    <row r="247" spans="1:22" ht="18" x14ac:dyDescent="0.25">
      <c r="A247" s="20" t="s">
        <v>344</v>
      </c>
      <c r="B247" s="20" t="str">
        <f t="shared" si="12"/>
        <v>PR-GNLBGB</v>
      </c>
      <c r="C247" s="11">
        <f t="shared" ca="1" si="13"/>
        <v>0</v>
      </c>
      <c r="D247" s="11">
        <f t="shared" ca="1" si="14"/>
        <v>3.66483680863176</v>
      </c>
      <c r="E247" s="11">
        <f t="shared" ref="E247:E252" ca="1" si="19">IFERROR(C247+D247," ")</f>
        <v>3.66483680863176</v>
      </c>
      <c r="F247" s="198">
        <f ca="1">E247*G26</f>
        <v>997956710.08200574</v>
      </c>
      <c r="G247" s="79"/>
      <c r="H247" s="20" t="s">
        <v>345</v>
      </c>
      <c r="I247" s="20" t="str">
        <f t="shared" si="15"/>
        <v>NTS MG 2</v>
      </c>
      <c r="J247" s="11">
        <f t="shared" ca="1" si="16"/>
        <v>0</v>
      </c>
      <c r="K247" s="11">
        <f t="shared" ca="1" si="17"/>
        <v>2.0147002615584184</v>
      </c>
      <c r="L247" s="11">
        <f t="shared" ref="L247:L258" ca="1" si="20">IFERROR(J247+K247," ")</f>
        <v>2.0147002615584184</v>
      </c>
      <c r="M247" s="198">
        <f t="shared" ca="1" si="18"/>
        <v>50033668.06845817</v>
      </c>
    </row>
    <row r="248" spans="1:22" ht="18" x14ac:dyDescent="0.25">
      <c r="A248" s="20" t="s">
        <v>346</v>
      </c>
      <c r="B248" s="20" t="str">
        <f t="shared" si="12"/>
        <v>PR-ITABORAÍ</v>
      </c>
      <c r="C248" s="11">
        <f t="shared" ca="1" si="13"/>
        <v>0</v>
      </c>
      <c r="D248" s="11">
        <f t="shared" ca="1" si="14"/>
        <v>3.66483680863176</v>
      </c>
      <c r="E248" s="11">
        <f t="shared" ca="1" si="19"/>
        <v>3.66483680863176</v>
      </c>
      <c r="F248" s="198">
        <f ca="1">E248*G27</f>
        <v>676814240.77761638</v>
      </c>
      <c r="G248" s="79"/>
      <c r="H248" s="20" t="s">
        <v>347</v>
      </c>
      <c r="I248" s="20" t="str">
        <f t="shared" si="15"/>
        <v>NTS MG 3</v>
      </c>
      <c r="J248" s="11">
        <f t="shared" ca="1" si="16"/>
        <v>0</v>
      </c>
      <c r="K248" s="11">
        <f t="shared" ca="1" si="17"/>
        <v>2.0147002615584184</v>
      </c>
      <c r="L248" s="11">
        <f t="shared" ca="1" si="20"/>
        <v>2.0147002615584184</v>
      </c>
      <c r="M248" s="198">
        <f t="shared" ca="1" si="18"/>
        <v>82347078.696004078</v>
      </c>
    </row>
    <row r="249" spans="1:22" ht="18" x14ac:dyDescent="0.25">
      <c r="A249" s="20" t="s">
        <v>348</v>
      </c>
      <c r="B249" s="20" t="str">
        <f t="shared" si="12"/>
        <v>PR-GASPAJ (INTERCONEXÃO)</v>
      </c>
      <c r="C249" s="11" t="str">
        <f t="shared" si="13"/>
        <v xml:space="preserve"> </v>
      </c>
      <c r="D249" s="11">
        <f t="shared" ca="1" si="14"/>
        <v>3.66483680863176</v>
      </c>
      <c r="E249" s="83">
        <f ca="1">E271</f>
        <v>0.33259718961528573</v>
      </c>
      <c r="F249" s="198">
        <f ca="1">E249*G28</f>
        <v>0</v>
      </c>
      <c r="G249" s="79"/>
      <c r="H249" s="20" t="s">
        <v>349</v>
      </c>
      <c r="I249" s="20" t="str">
        <f t="shared" si="15"/>
        <v>NTS MG 4</v>
      </c>
      <c r="J249" s="11">
        <f t="shared" ca="1" si="16"/>
        <v>0</v>
      </c>
      <c r="K249" s="11">
        <f t="shared" ca="1" si="17"/>
        <v>2.0147002615584184</v>
      </c>
      <c r="L249" s="11">
        <f t="shared" ca="1" si="20"/>
        <v>2.0147002615584184</v>
      </c>
      <c r="M249" s="198">
        <f t="shared" ca="1" si="18"/>
        <v>9628189.4144894835</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2.0147002615584184</v>
      </c>
      <c r="L250" s="11">
        <f t="shared" ca="1" si="20"/>
        <v>2.0147002615584184</v>
      </c>
      <c r="M250" s="198">
        <f t="shared" ca="1" si="18"/>
        <v>482095239.20128965</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2.0147002615584184</v>
      </c>
      <c r="L251" s="11">
        <f t="shared" ca="1" si="20"/>
        <v>2.0147002615584184</v>
      </c>
      <c r="M251" s="198">
        <f t="shared" ca="1" si="18"/>
        <v>307964907.56830037</v>
      </c>
    </row>
    <row r="252" spans="1:22" ht="18" x14ac:dyDescent="0.25">
      <c r="A252" s="20" t="s">
        <v>354</v>
      </c>
      <c r="B252" s="20" t="str">
        <f t="shared" si="12"/>
        <v>PR-TECAB</v>
      </c>
      <c r="C252" s="11">
        <f t="shared" ca="1" si="13"/>
        <v>0</v>
      </c>
      <c r="D252" s="11">
        <f t="shared" ca="1" si="14"/>
        <v>3.66483680863176</v>
      </c>
      <c r="E252" s="11">
        <f t="shared" ca="1" si="19"/>
        <v>3.66483680863176</v>
      </c>
      <c r="F252" s="198">
        <f ca="1">E252*G31</f>
        <v>1240909271.1514699</v>
      </c>
      <c r="G252" s="79"/>
      <c r="H252" s="20" t="s">
        <v>355</v>
      </c>
      <c r="I252" s="20" t="str">
        <f t="shared" si="15"/>
        <v>NTS RJ 3</v>
      </c>
      <c r="J252" s="11">
        <f t="shared" ca="1" si="16"/>
        <v>0</v>
      </c>
      <c r="K252" s="11">
        <f t="shared" ca="1" si="17"/>
        <v>2.0147002615584184</v>
      </c>
      <c r="L252" s="11">
        <f t="shared" ca="1" si="20"/>
        <v>2.0147002615584184</v>
      </c>
      <c r="M252" s="198">
        <f t="shared" ca="1" si="18"/>
        <v>57138229.488266654</v>
      </c>
    </row>
    <row r="253" spans="1:22" ht="18" x14ac:dyDescent="0.25">
      <c r="A253" s="20" t="s">
        <v>356</v>
      </c>
      <c r="B253" s="20" t="str">
        <f t="shared" si="12"/>
        <v>PR-GUARAREMA (INTERCONEXÃO)</v>
      </c>
      <c r="C253" s="11" t="str">
        <f t="shared" si="13"/>
        <v xml:space="preserve"> </v>
      </c>
      <c r="D253" s="11"/>
      <c r="E253" s="83">
        <f ca="1">E269</f>
        <v>0.33259718961528573</v>
      </c>
      <c r="F253" s="199"/>
      <c r="G253" s="79"/>
      <c r="H253" s="20" t="s">
        <v>357</v>
      </c>
      <c r="I253" s="20" t="str">
        <f t="shared" si="15"/>
        <v>NTS RJ 4</v>
      </c>
      <c r="J253" s="11">
        <f t="shared" ca="1" si="16"/>
        <v>0</v>
      </c>
      <c r="K253" s="11">
        <f t="shared" ca="1" si="17"/>
        <v>2.0147002615584184</v>
      </c>
      <c r="L253" s="11">
        <f t="shared" ca="1" si="20"/>
        <v>2.0147002615584184</v>
      </c>
      <c r="M253" s="198">
        <f t="shared" ca="1" si="18"/>
        <v>9326451.2846906688</v>
      </c>
    </row>
    <row r="254" spans="1:22" ht="18" x14ac:dyDescent="0.25">
      <c r="A254" s="20" t="s">
        <v>358</v>
      </c>
      <c r="B254" s="20" t="str">
        <f t="shared" si="12"/>
        <v>PR-REPLAN (INTERCONEXÃO)</v>
      </c>
      <c r="C254" s="11" t="str">
        <f t="shared" si="13"/>
        <v xml:space="preserve"> </v>
      </c>
      <c r="D254" s="11"/>
      <c r="E254" s="83">
        <f ca="1">E268</f>
        <v>0.33259718961528573</v>
      </c>
      <c r="F254" s="200">
        <f ca="1">SUM(F246:F252)</f>
        <v>3661952249.8104162</v>
      </c>
      <c r="G254" s="79"/>
      <c r="H254" s="20" t="s">
        <v>359</v>
      </c>
      <c r="I254" s="20" t="str">
        <f t="shared" si="15"/>
        <v>NTS RJ 5</v>
      </c>
      <c r="J254" s="11">
        <f t="shared" ca="1" si="16"/>
        <v>0</v>
      </c>
      <c r="K254" s="11">
        <f t="shared" ca="1" si="17"/>
        <v>2.0147002615584184</v>
      </c>
      <c r="L254" s="11">
        <f t="shared" ca="1" si="20"/>
        <v>2.0147002615584184</v>
      </c>
      <c r="M254" s="198">
        <f t="shared" ca="1" si="18"/>
        <v>61691732.174321502</v>
      </c>
    </row>
    <row r="255" spans="1:22" ht="18" x14ac:dyDescent="0.25">
      <c r="A255" s="20" t="s">
        <v>360</v>
      </c>
      <c r="B255" s="20" t="str">
        <f t="shared" si="12"/>
        <v>PR-TECAB (INTERCONEXÃO)</v>
      </c>
      <c r="C255" s="11" t="str">
        <f t="shared" si="13"/>
        <v xml:space="preserve"> </v>
      </c>
      <c r="D255" s="11"/>
      <c r="E255" s="83">
        <f ca="1">E270</f>
        <v>0.33259718961528573</v>
      </c>
      <c r="G255" s="79"/>
      <c r="H255" s="20" t="s">
        <v>361</v>
      </c>
      <c r="I255" s="20" t="str">
        <f t="shared" si="15"/>
        <v>NTS SP 1</v>
      </c>
      <c r="J255" s="11">
        <f t="shared" ca="1" si="16"/>
        <v>0</v>
      </c>
      <c r="K255" s="11">
        <f t="shared" ca="1" si="17"/>
        <v>2.0147002615584184</v>
      </c>
      <c r="L255" s="11">
        <f t="shared" ca="1" si="20"/>
        <v>2.0147002615584184</v>
      </c>
      <c r="M255" s="198">
        <f t="shared" ca="1" si="18"/>
        <v>31847088.063311368</v>
      </c>
    </row>
    <row r="256" spans="1:22" ht="18" x14ac:dyDescent="0.25">
      <c r="F256" s="87"/>
      <c r="H256" s="20" t="s">
        <v>362</v>
      </c>
      <c r="I256" s="20" t="str">
        <f t="shared" si="15"/>
        <v>NTS SP 2</v>
      </c>
      <c r="J256" s="11">
        <f t="shared" ca="1" si="16"/>
        <v>0</v>
      </c>
      <c r="K256" s="11">
        <f t="shared" ca="1" si="17"/>
        <v>2.0147002615584184</v>
      </c>
      <c r="L256" s="11">
        <f t="shared" ca="1" si="20"/>
        <v>2.0147002615584184</v>
      </c>
      <c r="M256" s="198">
        <f t="shared" ca="1" si="18"/>
        <v>84047784.518506497</v>
      </c>
    </row>
    <row r="257" spans="1:13" ht="18" x14ac:dyDescent="0.25">
      <c r="H257" s="20" t="s">
        <v>363</v>
      </c>
      <c r="I257" s="20" t="str">
        <f t="shared" si="15"/>
        <v>NTS SP 3</v>
      </c>
      <c r="J257" s="11">
        <f t="shared" ca="1" si="16"/>
        <v>0</v>
      </c>
      <c r="K257" s="11">
        <f t="shared" ca="1" si="17"/>
        <v>2.0147002615584184</v>
      </c>
      <c r="L257" s="11">
        <f t="shared" ca="1" si="20"/>
        <v>2.0147002615584184</v>
      </c>
      <c r="M257" s="198">
        <f t="shared" ca="1" si="18"/>
        <v>260070837.14750656</v>
      </c>
    </row>
    <row r="258" spans="1:13" ht="18" x14ac:dyDescent="0.25">
      <c r="H258" s="20" t="s">
        <v>364</v>
      </c>
      <c r="I258" s="20" t="str">
        <f t="shared" si="15"/>
        <v>NTS SP 4</v>
      </c>
      <c r="J258" s="11">
        <f t="shared" ca="1" si="16"/>
        <v>0</v>
      </c>
      <c r="K258" s="11">
        <f t="shared" ca="1" si="17"/>
        <v>2.0147002615584184</v>
      </c>
      <c r="L258" s="11">
        <f t="shared" ca="1" si="20"/>
        <v>2.0147002615584184</v>
      </c>
      <c r="M258" s="198">
        <f t="shared" ca="1" si="18"/>
        <v>107528497.16466887</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0.17420454463858304</v>
      </c>
      <c r="M260" s="200">
        <f ca="1">SUM(M246:M258)</f>
        <v>1562043436.4903235</v>
      </c>
    </row>
    <row r="261" spans="1:13" ht="18" x14ac:dyDescent="0.25">
      <c r="H261" s="20" t="s">
        <v>367</v>
      </c>
      <c r="I261" s="20" t="str">
        <f t="shared" si="15"/>
        <v>PE-TECAB (INTERCONEXÃO)</v>
      </c>
      <c r="J261" s="11" t="str">
        <f t="shared" si="16"/>
        <v xml:space="preserve"> </v>
      </c>
      <c r="K261" s="11"/>
      <c r="L261" s="83">
        <f ca="1">E273</f>
        <v>0.17420454463858304</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(Legados)'!F11</f>
        <v>200</v>
      </c>
      <c r="D268" s="207">
        <f ca="1">'CWD 2029 Legados (sem desc.)'!D267</f>
        <v>3.3259718961528582</v>
      </c>
      <c r="E268" s="210">
        <f ca="1">D268*(1-$C$263)</f>
        <v>0.33259718961528573</v>
      </c>
      <c r="F268" s="208">
        <f ca="1">C268*E268*'Premissas (Legados)'!$C$54*'Premissas (Legados)'!$F$20*1000</f>
        <v>905681.7928406219</v>
      </c>
      <c r="L268" s="84"/>
    </row>
    <row r="269" spans="1:13" ht="18.75" x14ac:dyDescent="0.3">
      <c r="B269" s="189" t="s">
        <v>376</v>
      </c>
      <c r="C269" s="213">
        <f>'Oferta (Legados)'!F10</f>
        <v>7525</v>
      </c>
      <c r="D269" s="207">
        <f ca="1">'CWD 2029 Legados (sem desc.)'!D268</f>
        <v>3.3259718961528582</v>
      </c>
      <c r="E269" s="210">
        <f t="shared" ref="E269:E271" ca="1" si="21">D269*(1-$C$263)</f>
        <v>0.33259718961528573</v>
      </c>
      <c r="F269" s="208">
        <f ca="1">C269*E269*'Premissas (Legados)'!$C$54*'Premissas (Legados)'!$F$20*1000</f>
        <v>34076277.455628395</v>
      </c>
      <c r="G269" s="85"/>
      <c r="K269" s="85"/>
      <c r="L269" s="84"/>
    </row>
    <row r="270" spans="1:13" ht="18.75" x14ac:dyDescent="0.3">
      <c r="B270" s="190" t="s">
        <v>377</v>
      </c>
      <c r="C270" s="213">
        <f>'Oferta (Legados)'!F12</f>
        <v>200</v>
      </c>
      <c r="D270" s="207">
        <f ca="1">'CWD 2029 Legados (sem desc.)'!D269</f>
        <v>3.3259718961528582</v>
      </c>
      <c r="E270" s="210">
        <f t="shared" ca="1" si="21"/>
        <v>0.33259718961528573</v>
      </c>
      <c r="F270" s="208">
        <f ca="1">C270*E270*'Premissas (Legados)'!$C$54*'Premissas (Legados)'!$F$20*1000</f>
        <v>905681.7928406219</v>
      </c>
      <c r="K270" s="85"/>
      <c r="L270" s="84"/>
    </row>
    <row r="271" spans="1:13" ht="18.75" x14ac:dyDescent="0.3">
      <c r="B271" s="190" t="s">
        <v>185</v>
      </c>
      <c r="C271" s="213">
        <f>'Oferta (Legados)'!F6</f>
        <v>383</v>
      </c>
      <c r="D271" s="207">
        <f ca="1">'CWD 2029 Legados (sem desc.)'!D270</f>
        <v>3.3259718961528582</v>
      </c>
      <c r="E271" s="210">
        <f t="shared" ca="1" si="21"/>
        <v>0.33259718961528573</v>
      </c>
      <c r="F271" s="208">
        <f ca="1">C271*E271*'Premissas (Legados)'!$C$54*'Premissas (Legados)'!$F$20*1000</f>
        <v>1734380.6332897912</v>
      </c>
      <c r="K271" s="85"/>
      <c r="L271" s="84"/>
    </row>
    <row r="272" spans="1:13" ht="18.75" x14ac:dyDescent="0.3">
      <c r="B272" s="188" t="s">
        <v>378</v>
      </c>
      <c r="C272" s="213">
        <f>'Demanda (Legados)'!F17</f>
        <v>9703</v>
      </c>
      <c r="D272" s="207">
        <f ca="1">'CWD 2029 Legados (sem desc.)'!D271</f>
        <v>1.7420454463858308</v>
      </c>
      <c r="E272" s="210">
        <f ca="1">D272*(1-$C$263)</f>
        <v>0.17420454463858304</v>
      </c>
      <c r="F272" s="208">
        <f ca="1">C272*E272*'Premissas (Legados)'!$C$54*'Premissas (Legados)'!$F$20*1000</f>
        <v>23014024.881320797</v>
      </c>
      <c r="K272" s="85"/>
      <c r="L272" s="84"/>
    </row>
    <row r="273" spans="2:13" ht="18.75" x14ac:dyDescent="0.3">
      <c r="B273" s="190" t="s">
        <v>379</v>
      </c>
      <c r="C273" s="213">
        <f>'Demanda (Legados)'!F18</f>
        <v>200</v>
      </c>
      <c r="D273" s="207">
        <f ca="1">'CWD 2029 Legados (sem desc.)'!D272</f>
        <v>1.7420454463858308</v>
      </c>
      <c r="E273" s="210">
        <f ca="1">D273*(1-$C$263)</f>
        <v>0.17420454463858304</v>
      </c>
      <c r="F273" s="208">
        <f ca="1">C273*E273*'Premissas (Legados)'!$C$54*'Premissas (Legados)'!$F$20*1000</f>
        <v>474369.26479069976</v>
      </c>
      <c r="K273" s="85"/>
      <c r="L273" s="84"/>
    </row>
    <row r="274" spans="2:13" ht="19.5" thickBot="1" x14ac:dyDescent="0.35">
      <c r="B274" s="190"/>
      <c r="C274" s="211"/>
      <c r="D274" s="211"/>
      <c r="E274" s="211"/>
      <c r="F274" s="209">
        <f ca="1">SUM(F268:F273)</f>
        <v>61110415.820710927</v>
      </c>
      <c r="K274" s="85"/>
      <c r="L274" s="84"/>
    </row>
    <row r="275" spans="2:13" ht="15.75" thickTop="1" x14ac:dyDescent="0.25">
      <c r="K275" s="85"/>
      <c r="L275" s="84"/>
    </row>
    <row r="276" spans="2:13" x14ac:dyDescent="0.25">
      <c r="E276" t="s">
        <v>102</v>
      </c>
      <c r="F276" s="177">
        <f ca="1">F254+M260+F274</f>
        <v>5285106102.1214504</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0FED-6B0B-4331-998E-48B25DDA82D3}">
  <sheetPr codeName="Planilha25">
    <tabColor theme="1" tint="0.499984740745262"/>
  </sheetPr>
  <dimension ref="A1:V39"/>
  <sheetViews>
    <sheetView showGridLines="0" zoomScale="110" zoomScaleNormal="110" workbookViewId="0">
      <selection activeCell="C24" sqref="C24"/>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2029 Legados (com desc.)'!A246</f>
        <v>TEN1</v>
      </c>
      <c r="B2" s="261" t="str">
        <f>'CWD 2029 Legados (com desc.)'!B246</f>
        <v>PR-CARAGUATATUBA</v>
      </c>
      <c r="C2" s="262">
        <f>'CWD 2029 Legados (sem desc.)'!F24</f>
        <v>203630357.03025997</v>
      </c>
      <c r="D2" s="263">
        <f ca="1">'CWD 2029 Legados (com desc.)'!E246</f>
        <v>3.66483680863176</v>
      </c>
      <c r="E2" s="264">
        <f t="shared" ref="E2:E11" ca="1" si="0">IFERROR(C2*D2," ")</f>
        <v>746272027.7993238</v>
      </c>
      <c r="F2" s="298"/>
      <c r="L2" s="39" t="s">
        <v>53</v>
      </c>
      <c r="M2" s="38">
        <f ca="1">IFERROR($D$2+$C34," ")</f>
        <v>5.6795370701901779</v>
      </c>
      <c r="N2" s="38">
        <f ca="1">IFERROR($D$3+$C34," ")</f>
        <v>5.6795370701901779</v>
      </c>
      <c r="O2" s="38">
        <f ca="1">IFERROR($D$4+$C34," ")</f>
        <v>5.6795370701901779</v>
      </c>
      <c r="P2" s="38">
        <f ca="1">IFERROR($D$5+$C34," ")</f>
        <v>2.3472974511737039</v>
      </c>
      <c r="Q2" s="38" t="str">
        <f ca="1">IFERROR($D$6+$C34," ")</f>
        <v xml:space="preserve"> </v>
      </c>
      <c r="R2" s="38" t="str">
        <f ca="1">IFERROR($D$7+$C34," ")</f>
        <v xml:space="preserve"> </v>
      </c>
      <c r="S2" s="38">
        <f ca="1">IFERROR($D$8+$C34," ")</f>
        <v>5.6795370701901779</v>
      </c>
      <c r="T2" s="38">
        <f ca="1">IFERROR($D$9+$C34," ")</f>
        <v>2.3472974511737039</v>
      </c>
      <c r="U2" s="38">
        <f ca="1">IFERROR($D$10+$C34," ")</f>
        <v>2.3472974511737039</v>
      </c>
      <c r="V2" s="38">
        <f ca="1">IFERROR($D$11+$C34," ")</f>
        <v>2.3472974511737039</v>
      </c>
    </row>
    <row r="3" spans="1:22" s="33" customFormat="1" x14ac:dyDescent="0.25">
      <c r="A3" s="233" t="str">
        <f>'CWD 2029 Legados (com desc.)'!A247</f>
        <v>TEN2</v>
      </c>
      <c r="B3" s="236" t="str">
        <f>'CWD 2029 Legados (com desc.)'!B247</f>
        <v>PR-GNLBGB</v>
      </c>
      <c r="C3" s="237">
        <f>'CWD 2029 Legados (sem desc.)'!F25</f>
        <v>272305906.69999999</v>
      </c>
      <c r="D3" s="238">
        <f ca="1">'CWD 2029 Legados (com desc.)'!E247</f>
        <v>3.66483680863176</v>
      </c>
      <c r="E3" s="239">
        <f t="shared" ca="1" si="0"/>
        <v>997956710.08200574</v>
      </c>
      <c r="F3" s="298"/>
      <c r="L3" s="39" t="s">
        <v>64</v>
      </c>
      <c r="M3" s="38">
        <f t="shared" ref="M3:M7" ca="1" si="1">IFERROR($D$2+$C35," ")</f>
        <v>5.6795370701901788</v>
      </c>
      <c r="N3" s="38">
        <f t="shared" ref="N3:N7" ca="1" si="2">IFERROR($D$3+$C35," ")</f>
        <v>5.6795370701901788</v>
      </c>
      <c r="O3" s="38">
        <f t="shared" ref="O3:O7" ca="1" si="3">IFERROR($D$4+$C35," ")</f>
        <v>5.6795370701901788</v>
      </c>
      <c r="P3" s="38">
        <f t="shared" ref="P3:P7" ca="1" si="4">IFERROR($D$5+$C35," ")</f>
        <v>2.3472974511737039</v>
      </c>
      <c r="Q3" s="38" t="str">
        <f t="shared" ref="Q3:Q7" ca="1" si="5">IFERROR($D$6+$C35," ")</f>
        <v xml:space="preserve"> </v>
      </c>
      <c r="R3" s="38" t="str">
        <f t="shared" ref="R3:R7" ca="1" si="6">IFERROR($D$7+$C35," ")</f>
        <v xml:space="preserve"> </v>
      </c>
      <c r="S3" s="38">
        <f t="shared" ref="S3:S7" ca="1" si="7">IFERROR($D$8+$C35," ")</f>
        <v>5.6795370701901788</v>
      </c>
      <c r="T3" s="38">
        <f t="shared" ref="T3:T7" ca="1" si="8">IFERROR($D$9+$C35," ")</f>
        <v>2.3472974511737039</v>
      </c>
      <c r="U3" s="38">
        <f t="shared" ref="U3:U7" ca="1" si="9">IFERROR($D$10+$C35," ")</f>
        <v>2.3472974511737039</v>
      </c>
      <c r="V3" s="38">
        <f t="shared" ref="V3:V7" ca="1" si="10">IFERROR($D$11+$C35," ")</f>
        <v>2.3472974511737039</v>
      </c>
    </row>
    <row r="4" spans="1:22" x14ac:dyDescent="0.25">
      <c r="A4" s="233" t="str">
        <f>'CWD 2029 Legados (com desc.)'!A248</f>
        <v>TEN3</v>
      </c>
      <c r="B4" s="236" t="str">
        <f>'CWD 2029 Legados (com desc.)'!B248</f>
        <v>PR-ITABORAÍ</v>
      </c>
      <c r="C4" s="237">
        <f>'CWD 2029 Legados (sem desc.)'!F26</f>
        <v>184677865.92394</v>
      </c>
      <c r="D4" s="238">
        <f ca="1">'CWD 2029 Legados (com desc.)'!E248</f>
        <v>3.66483680863176</v>
      </c>
      <c r="E4" s="237">
        <f t="shared" ca="1" si="0"/>
        <v>676814240.77761638</v>
      </c>
      <c r="F4" s="298"/>
      <c r="L4" s="39" t="s">
        <v>193</v>
      </c>
      <c r="M4" s="38">
        <f t="shared" ca="1" si="1"/>
        <v>5.6795370701901788</v>
      </c>
      <c r="N4" s="38">
        <f t="shared" ca="1" si="2"/>
        <v>5.6795370701901788</v>
      </c>
      <c r="O4" s="38">
        <f t="shared" ca="1" si="3"/>
        <v>5.6795370701901788</v>
      </c>
      <c r="P4" s="38">
        <f t="shared" ca="1" si="4"/>
        <v>2.3472974511737039</v>
      </c>
      <c r="Q4" s="38" t="str">
        <f t="shared" ca="1" si="5"/>
        <v xml:space="preserve"> </v>
      </c>
      <c r="R4" s="38" t="str">
        <f t="shared" ca="1" si="6"/>
        <v xml:space="preserve"> </v>
      </c>
      <c r="S4" s="38">
        <f t="shared" ca="1" si="7"/>
        <v>5.6795370701901788</v>
      </c>
      <c r="T4" s="38">
        <f t="shared" ca="1" si="8"/>
        <v>2.3472974511737039</v>
      </c>
      <c r="U4" s="38">
        <f t="shared" ca="1" si="9"/>
        <v>2.3472974511737039</v>
      </c>
      <c r="V4" s="38">
        <f t="shared" ca="1" si="10"/>
        <v>2.3472974511737039</v>
      </c>
    </row>
    <row r="5" spans="1:22" ht="24" x14ac:dyDescent="0.25">
      <c r="A5" s="233" t="str">
        <f>'CWD 2029 Legados (com desc.)'!A249</f>
        <v>TEN4</v>
      </c>
      <c r="B5" s="236" t="str">
        <f>'CWD 2029 Legados (com desc.)'!B249</f>
        <v>PR-GASPAJ (INTERCONEXÃO)</v>
      </c>
      <c r="C5" s="237">
        <f>'CWD 2029 Legados (sem desc.)'!F27</f>
        <v>5214658.1133049997</v>
      </c>
      <c r="D5" s="238">
        <f ca="1">'CWD 2029 Legados (com desc.)'!E249</f>
        <v>0.33259718961528573</v>
      </c>
      <c r="E5" s="237">
        <f t="shared" ca="1" si="0"/>
        <v>1734380.6332897912</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2029 Legados (com desc.)'!A250</f>
        <v>TEN5</v>
      </c>
      <c r="B6" s="236" t="str">
        <f>'CWD 2029 Legados (com desc.)'!B250</f>
        <v>PR-REDUC</v>
      </c>
      <c r="C6" s="237">
        <f>'CWD 2029 Legados (sem desc.)'!F28</f>
        <v>0</v>
      </c>
      <c r="D6" s="238" t="str">
        <f>'CWD 2029 Legados (com desc.)'!E250</f>
        <v xml:space="preserve"> </v>
      </c>
      <c r="E6" s="237" t="str">
        <f t="shared" si="0"/>
        <v xml:space="preserve"> </v>
      </c>
      <c r="F6" s="298"/>
      <c r="L6" s="88" t="str">
        <f t="shared" ref="L6:L7" si="11">B29</f>
        <v>PE-REPLAN (INTERCONEXÃO)</v>
      </c>
      <c r="M6" s="38">
        <f t="shared" ca="1" si="1"/>
        <v>3.8390413532703431</v>
      </c>
      <c r="N6" s="38">
        <f t="shared" ca="1" si="2"/>
        <v>3.8390413532703431</v>
      </c>
      <c r="O6" s="38">
        <f t="shared" ca="1" si="3"/>
        <v>3.8390413532703431</v>
      </c>
      <c r="P6" s="38">
        <f t="shared" ca="1" si="4"/>
        <v>0.50680173425386876</v>
      </c>
      <c r="Q6" s="38" t="str">
        <f t="shared" ca="1" si="5"/>
        <v xml:space="preserve"> </v>
      </c>
      <c r="R6" s="38" t="str">
        <f t="shared" ca="1" si="6"/>
        <v xml:space="preserve"> </v>
      </c>
      <c r="S6" s="38">
        <f t="shared" ca="1" si="7"/>
        <v>3.8390413532703431</v>
      </c>
      <c r="T6" s="38">
        <f t="shared" ca="1" si="8"/>
        <v>0.50680173425386876</v>
      </c>
      <c r="U6" s="38">
        <f t="shared" ca="1" si="9"/>
        <v>0.50680173425386876</v>
      </c>
      <c r="V6" s="38">
        <f t="shared" ca="1" si="10"/>
        <v>0.50680173425386876</v>
      </c>
    </row>
    <row r="7" spans="1:22" x14ac:dyDescent="0.25">
      <c r="A7" s="233" t="str">
        <f>'CWD 2029 Legados (com desc.)'!A251</f>
        <v>TEN6</v>
      </c>
      <c r="B7" s="236" t="str">
        <f>'CWD 2029 Legados (com desc.)'!B251</f>
        <v>PR-RPBC</v>
      </c>
      <c r="C7" s="237">
        <f>'CWD 2029 Legados (sem desc.)'!F29</f>
        <v>0</v>
      </c>
      <c r="D7" s="238" t="str">
        <f>'CWD 2029 Legados (com desc.)'!E251</f>
        <v xml:space="preserve"> </v>
      </c>
      <c r="E7" s="237" t="str">
        <f t="shared" si="0"/>
        <v xml:space="preserve"> </v>
      </c>
      <c r="F7" s="298"/>
      <c r="L7" s="88" t="str">
        <f t="shared" si="11"/>
        <v>PE-TECAB (INTERCONEXÃO)</v>
      </c>
      <c r="M7" s="38">
        <f t="shared" ca="1" si="1"/>
        <v>3.8390413532703431</v>
      </c>
      <c r="N7" s="38">
        <f t="shared" ca="1" si="2"/>
        <v>3.8390413532703431</v>
      </c>
      <c r="O7" s="38">
        <f t="shared" ca="1" si="3"/>
        <v>3.8390413532703431</v>
      </c>
      <c r="P7" s="38">
        <f t="shared" ca="1" si="4"/>
        <v>0.50680173425386876</v>
      </c>
      <c r="Q7" s="38" t="str">
        <f t="shared" ca="1" si="5"/>
        <v xml:space="preserve"> </v>
      </c>
      <c r="R7" s="38" t="str">
        <f t="shared" ca="1" si="6"/>
        <v xml:space="preserve"> </v>
      </c>
      <c r="S7" s="38">
        <f t="shared" ca="1" si="7"/>
        <v>3.8390413532703431</v>
      </c>
      <c r="T7" s="38">
        <f t="shared" ca="1" si="8"/>
        <v>0.50680173425386876</v>
      </c>
      <c r="U7" s="38">
        <f t="shared" ca="1" si="9"/>
        <v>0.50680173425386876</v>
      </c>
      <c r="V7" s="38">
        <f t="shared" ca="1" si="10"/>
        <v>0.50680173425386876</v>
      </c>
    </row>
    <row r="8" spans="1:22" x14ac:dyDescent="0.25">
      <c r="A8" s="233" t="str">
        <f>'CWD 2029 Legados (com desc.)'!A252</f>
        <v>TEN7</v>
      </c>
      <c r="B8" s="236" t="str">
        <f>'CWD 2029 Legados (com desc.)'!B252</f>
        <v>PR-TECAB</v>
      </c>
      <c r="C8" s="237">
        <f>'CWD 2029 Legados (sem desc.)'!F30</f>
        <v>338598779.68611497</v>
      </c>
      <c r="D8" s="238">
        <f ca="1">'CWD 2029 Legados (com desc.)'!E252</f>
        <v>3.66483680863176</v>
      </c>
      <c r="E8" s="237">
        <f t="shared" ca="1" si="0"/>
        <v>1240909271.1514699</v>
      </c>
      <c r="F8" s="298"/>
      <c r="L8" s="32"/>
    </row>
    <row r="9" spans="1:22" x14ac:dyDescent="0.25">
      <c r="A9" s="233" t="str">
        <f>'CWD 2029 Legados (com desc.)'!A253</f>
        <v>TEN8</v>
      </c>
      <c r="B9" s="236" t="str">
        <f>'CWD 2029 Legados (com desc.)'!B253</f>
        <v>PR-GUARAREMA (INTERCONEXÃO)</v>
      </c>
      <c r="C9" s="237">
        <f>'CWD 2029 Legados (sem desc.)'!F31</f>
        <v>102455097.39587498</v>
      </c>
      <c r="D9" s="238">
        <f ca="1">'CWD 2029 Legados (com desc.)'!E253</f>
        <v>0.33259718961528573</v>
      </c>
      <c r="E9" s="237">
        <f t="shared" ca="1" si="0"/>
        <v>34076277.455628395</v>
      </c>
      <c r="F9" s="298"/>
      <c r="L9" s="32"/>
    </row>
    <row r="10" spans="1:22" x14ac:dyDescent="0.25">
      <c r="A10" s="233" t="str">
        <f>'CWD 2029 Legados (com desc.)'!A254</f>
        <v>TEN9</v>
      </c>
      <c r="B10" s="236" t="str">
        <f>'CWD 2029 Legados (com desc.)'!B254</f>
        <v>PR-REPLAN (INTERCONEXÃO)</v>
      </c>
      <c r="C10" s="237">
        <f>'CWD 2029 Legados (sem desc.)'!F32</f>
        <v>2723059.0670000003</v>
      </c>
      <c r="D10" s="238">
        <f ca="1">'CWD 2029 Legados (com desc.)'!E254</f>
        <v>0.33259718961528573</v>
      </c>
      <c r="E10" s="237">
        <f t="shared" ca="1" si="0"/>
        <v>905681.79284062213</v>
      </c>
      <c r="F10" s="298"/>
      <c r="L10" s="32"/>
    </row>
    <row r="11" spans="1:22" x14ac:dyDescent="0.25">
      <c r="A11" s="233" t="str">
        <f>'CWD 2029 Legados (com desc.)'!A255</f>
        <v>TEN10</v>
      </c>
      <c r="B11" s="236" t="str">
        <f>'CWD 2029 Legados (com desc.)'!B255</f>
        <v>PR-TECAB (INTERCONEXÃO)</v>
      </c>
      <c r="C11" s="237">
        <f>'CWD 2029 Legados (sem desc.)'!F33</f>
        <v>2723059.0670000003</v>
      </c>
      <c r="D11" s="238">
        <f ca="1">'CWD 2029 Legados (com desc.)'!E255</f>
        <v>0.33259718961528573</v>
      </c>
      <c r="E11" s="237">
        <f t="shared" ca="1" si="0"/>
        <v>905681.79284062213</v>
      </c>
      <c r="F11" s="298"/>
      <c r="L11" s="32"/>
    </row>
    <row r="12" spans="1:22" x14ac:dyDescent="0.25">
      <c r="E12" s="36">
        <f ca="1">SUM(E2:E11)</f>
        <v>3699574271.4850149</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2029 Legados (com desc.)'!H246</f>
        <v>TEX1</v>
      </c>
      <c r="B15" s="237" t="str">
        <f>'CWD 2029 Legados (com desc.)'!I246</f>
        <v>NTS MG 1</v>
      </c>
      <c r="C15" s="237">
        <f>'CWD 2029 Legados (sem desc.)'!F41</f>
        <v>9095017.2837799974</v>
      </c>
      <c r="D15" s="237"/>
      <c r="E15" s="240">
        <f ca="1">'CWD 2029 Legados (com desc.)'!L246</f>
        <v>2.0147002615584184</v>
      </c>
      <c r="F15" s="246">
        <f ca="1">IFERROR(C15*E15," ")</f>
        <v>18323733.700509898</v>
      </c>
      <c r="G15" s="249"/>
      <c r="H15" s="255" t="str">
        <f>IFERROR(G15/D15," ")</f>
        <v xml:space="preserve"> </v>
      </c>
      <c r="I15" s="37"/>
      <c r="J15" s="37"/>
      <c r="L15" s="30"/>
    </row>
    <row r="16" spans="1:22" x14ac:dyDescent="0.25">
      <c r="A16" s="237" t="str">
        <f>'CWD 2029 Legados (com desc.)'!H247</f>
        <v>TEX2</v>
      </c>
      <c r="B16" s="237" t="str">
        <f>'CWD 2029 Legados (com desc.)'!I247</f>
        <v>NTS MG 2</v>
      </c>
      <c r="C16" s="237">
        <f>'CWD 2029 Legados (sem desc.)'!F42</f>
        <v>24834298.691039998</v>
      </c>
      <c r="D16" s="237"/>
      <c r="E16" s="240">
        <f ca="1">'CWD 2029 Legados (com desc.)'!L247</f>
        <v>2.0147002615584184</v>
      </c>
      <c r="F16" s="246">
        <f t="shared" ref="F16:F30" ca="1" si="12">IFERROR(C16*E16," ")</f>
        <v>50033668.06845817</v>
      </c>
      <c r="G16" s="258"/>
      <c r="H16" s="256" t="str">
        <f t="shared" ref="H16:H30" si="13">IFERROR(G16/D16," ")</f>
        <v xml:space="preserve"> </v>
      </c>
      <c r="I16" s="37"/>
      <c r="J16" s="37"/>
      <c r="L16" s="30"/>
    </row>
    <row r="17" spans="1:12" x14ac:dyDescent="0.25">
      <c r="A17" s="237" t="str">
        <f>'CWD 2029 Legados (com desc.)'!H248</f>
        <v>TEX3</v>
      </c>
      <c r="B17" s="237" t="str">
        <f>'CWD 2029 Legados (com desc.)'!I248</f>
        <v>NTS MG 3</v>
      </c>
      <c r="C17" s="237">
        <f>'CWD 2029 Legados (sem desc.)'!F43</f>
        <v>40873116.59567</v>
      </c>
      <c r="D17" s="237"/>
      <c r="E17" s="240">
        <f ca="1">'CWD 2029 Legados (com desc.)'!L248</f>
        <v>2.0147002615584184</v>
      </c>
      <c r="F17" s="246">
        <f ca="1">IFERROR(C17*E17," ")</f>
        <v>82347078.696004078</v>
      </c>
      <c r="G17" s="251"/>
      <c r="H17" s="257" t="str">
        <f t="shared" si="13"/>
        <v xml:space="preserve"> </v>
      </c>
      <c r="I17" s="37"/>
      <c r="J17" s="37"/>
      <c r="L17" s="30"/>
    </row>
    <row r="18" spans="1:12" x14ac:dyDescent="0.25">
      <c r="A18" s="242" t="str">
        <f>'CWD 2029 Legados (com desc.)'!H249</f>
        <v>TEX4</v>
      </c>
      <c r="B18" s="242" t="str">
        <f>'CWD 2029 Legados (com desc.)'!I249</f>
        <v>NTS MG 4</v>
      </c>
      <c r="C18" s="242">
        <f>'CWD 2029 Legados (sem desc.)'!F44</f>
        <v>4778968.6625849996</v>
      </c>
      <c r="D18" s="242">
        <f>SUM(C15:C18)</f>
        <v>79581401.233075008</v>
      </c>
      <c r="E18" s="243">
        <f ca="1">'CWD 2029 Legados (com desc.)'!L249</f>
        <v>2.0147002615584184</v>
      </c>
      <c r="F18" s="242">
        <f ca="1">IFERROR(C18*E18," ")</f>
        <v>9628189.4144894835</v>
      </c>
      <c r="G18" s="254">
        <f ca="1">SUM(F15:F18)</f>
        <v>160332669.87946162</v>
      </c>
      <c r="H18" s="252">
        <f t="shared" ca="1" si="13"/>
        <v>2.014700261558418</v>
      </c>
      <c r="I18" s="272"/>
      <c r="J18"/>
      <c r="L18" s="30"/>
    </row>
    <row r="19" spans="1:12" x14ac:dyDescent="0.25">
      <c r="A19" s="237" t="str">
        <f>'CWD 2029 Legados (com desc.)'!H250</f>
        <v>TEX5</v>
      </c>
      <c r="B19" s="237" t="str">
        <f>'CWD 2029 Legados (com desc.)'!I250</f>
        <v>NTS RJ 1</v>
      </c>
      <c r="C19" s="237">
        <f>'CWD 2029 Legados (sem desc.)'!F45</f>
        <v>239288815.51262498</v>
      </c>
      <c r="D19" s="237"/>
      <c r="E19" s="240">
        <f ca="1">'CWD 2029 Legados (com desc.)'!L250</f>
        <v>2.0147002615584184</v>
      </c>
      <c r="F19" s="246">
        <f t="shared" ca="1" si="12"/>
        <v>482095239.20128965</v>
      </c>
      <c r="G19" s="249"/>
      <c r="H19" s="255" t="str">
        <f t="shared" si="13"/>
        <v xml:space="preserve"> </v>
      </c>
      <c r="I19"/>
      <c r="J19"/>
      <c r="L19" s="30"/>
    </row>
    <row r="20" spans="1:12" x14ac:dyDescent="0.25">
      <c r="A20" s="237" t="str">
        <f>'CWD 2029 Legados (com desc.)'!H251</f>
        <v>TEX6</v>
      </c>
      <c r="B20" s="237" t="str">
        <f>'CWD 2029 Legados (com desc.)'!I251</f>
        <v>NTS RJ 2</v>
      </c>
      <c r="C20" s="237">
        <f>'CWD 2029 Legados (sem desc.)'!F46</f>
        <v>152858920.72604498</v>
      </c>
      <c r="D20" s="237"/>
      <c r="E20" s="240">
        <f ca="1">'CWD 2029 Legados (com desc.)'!L251</f>
        <v>2.0147002615584184</v>
      </c>
      <c r="F20" s="246">
        <f t="shared" ca="1" si="12"/>
        <v>307964907.56830037</v>
      </c>
      <c r="G20" s="250"/>
      <c r="H20" s="256" t="str">
        <f t="shared" si="13"/>
        <v xml:space="preserve"> </v>
      </c>
      <c r="I20"/>
      <c r="J20"/>
      <c r="L20" s="30"/>
    </row>
    <row r="21" spans="1:12" x14ac:dyDescent="0.25">
      <c r="A21" s="237" t="str">
        <f>'CWD 2029 Legados (com desc.)'!H252</f>
        <v>TEX7</v>
      </c>
      <c r="B21" s="237" t="str">
        <f>'CWD 2029 Legados (com desc.)'!I252</f>
        <v>NTS RJ 3</v>
      </c>
      <c r="C21" s="237">
        <f>'CWD 2029 Legados (sem desc.)'!F47</f>
        <v>28360660.182804998</v>
      </c>
      <c r="D21" s="245"/>
      <c r="E21" s="240">
        <f ca="1">'CWD 2029 Legados (com desc.)'!L252</f>
        <v>2.0147002615584184</v>
      </c>
      <c r="F21" s="246">
        <f t="shared" ca="1" si="12"/>
        <v>57138229.488266654</v>
      </c>
      <c r="G21" s="253"/>
      <c r="H21" s="256" t="str">
        <f t="shared" si="13"/>
        <v xml:space="preserve"> </v>
      </c>
      <c r="I21"/>
      <c r="J21"/>
      <c r="L21" s="30"/>
    </row>
    <row r="22" spans="1:12" x14ac:dyDescent="0.25">
      <c r="A22" s="237" t="str">
        <f>'CWD 2029 Legados (com desc.)'!H253</f>
        <v>TEX8</v>
      </c>
      <c r="B22" s="237" t="str">
        <f>'CWD 2029 Legados (com desc.)'!I253</f>
        <v>NTS RJ 4</v>
      </c>
      <c r="C22" s="237">
        <f>'CWD 2029 Legados (sem desc.)'!F48</f>
        <v>4629200.4139</v>
      </c>
      <c r="D22" s="237"/>
      <c r="E22" s="240">
        <f ca="1">'CWD 2029 Legados (com desc.)'!L253</f>
        <v>2.0147002615584184</v>
      </c>
      <c r="F22" s="246">
        <f t="shared" ca="1" si="12"/>
        <v>9326451.2846906688</v>
      </c>
      <c r="G22" s="251"/>
      <c r="H22" s="257" t="str">
        <f t="shared" si="13"/>
        <v xml:space="preserve"> </v>
      </c>
      <c r="I22"/>
      <c r="J22"/>
      <c r="L22" s="30"/>
    </row>
    <row r="23" spans="1:12" x14ac:dyDescent="0.25">
      <c r="A23" s="242" t="str">
        <f>'CWD 2029 Legados (com desc.)'!H254</f>
        <v>TEX9</v>
      </c>
      <c r="B23" s="242" t="str">
        <f>'CWD 2029 Legados (com desc.)'!I254</f>
        <v>NTS RJ 5</v>
      </c>
      <c r="C23" s="242">
        <f>'CWD 2029 Legados (sem desc.)'!F49</f>
        <v>30620799.208414994</v>
      </c>
      <c r="D23" s="242">
        <f>SUM(C19:C23)</f>
        <v>455758396.04378998</v>
      </c>
      <c r="E23" s="243">
        <f ca="1">'CWD 2029 Legados (com desc.)'!L254</f>
        <v>2.0147002615584184</v>
      </c>
      <c r="F23" s="242">
        <f t="shared" ca="1" si="12"/>
        <v>61691732.174321502</v>
      </c>
      <c r="G23" s="254">
        <f ca="1">SUM(F19:F23)</f>
        <v>918216559.71686888</v>
      </c>
      <c r="H23" s="252">
        <f t="shared" ca="1" si="13"/>
        <v>2.0147002615584184</v>
      </c>
      <c r="I23" s="272"/>
      <c r="J23"/>
    </row>
    <row r="24" spans="1:12" x14ac:dyDescent="0.25">
      <c r="A24" s="237" t="str">
        <f>'CWD 2029 Legados (com desc.)'!H255</f>
        <v>TEX10</v>
      </c>
      <c r="B24" s="237" t="str">
        <f>'CWD 2029 Legados (com desc.)'!I255</f>
        <v>NTS SP 1</v>
      </c>
      <c r="C24" s="237">
        <f>'CWD 2029 Legados (sem desc.)'!F50</f>
        <v>15807357.883934999</v>
      </c>
      <c r="D24" s="237"/>
      <c r="E24" s="240">
        <f ca="1">'CWD 2029 Legados (com desc.)'!L255</f>
        <v>2.0147002615584184</v>
      </c>
      <c r="F24" s="246">
        <f t="shared" ca="1" si="12"/>
        <v>31847088.063311368</v>
      </c>
      <c r="G24" s="249"/>
      <c r="H24" s="255" t="str">
        <f t="shared" si="13"/>
        <v xml:space="preserve"> </v>
      </c>
      <c r="I24"/>
      <c r="J24"/>
    </row>
    <row r="25" spans="1:12" x14ac:dyDescent="0.25">
      <c r="A25" s="237" t="str">
        <f>'CWD 2029 Legados (com desc.)'!H256</f>
        <v>TEX11</v>
      </c>
      <c r="B25" s="237" t="str">
        <f>'CWD 2029 Legados (com desc.)'!I256</f>
        <v>NTS SP 2</v>
      </c>
      <c r="C25" s="237">
        <f>'CWD 2029 Legados (sem desc.)'!F51</f>
        <v>41717264.906439997</v>
      </c>
      <c r="D25" s="237"/>
      <c r="E25" s="240">
        <f ca="1">'CWD 2029 Legados (com desc.)'!L256</f>
        <v>2.0147002615584184</v>
      </c>
      <c r="F25" s="246">
        <f t="shared" ca="1" si="12"/>
        <v>84047784.518506497</v>
      </c>
      <c r="G25" s="250"/>
      <c r="H25" s="256" t="str">
        <f t="shared" si="13"/>
        <v xml:space="preserve"> </v>
      </c>
      <c r="I25"/>
      <c r="J25"/>
    </row>
    <row r="26" spans="1:12" x14ac:dyDescent="0.25">
      <c r="A26" s="237" t="str">
        <f>'CWD 2029 Legados (com desc.)'!H257</f>
        <v>TEX12</v>
      </c>
      <c r="B26" s="237" t="str">
        <f>'CWD 2029 Legados (com desc.)'!I257</f>
        <v>NTS SP 3</v>
      </c>
      <c r="C26" s="237">
        <f>'CWD 2029 Legados (sem desc.)'!F52</f>
        <v>129086615.071135</v>
      </c>
      <c r="D26" s="245"/>
      <c r="E26" s="240">
        <f ca="1">'CWD 2029 Legados (com desc.)'!L257</f>
        <v>2.0147002615584184</v>
      </c>
      <c r="F26" s="246">
        <f t="shared" ca="1" si="12"/>
        <v>260070837.14750656</v>
      </c>
      <c r="G26" s="259"/>
      <c r="H26" s="257" t="str">
        <f t="shared" si="13"/>
        <v xml:space="preserve"> </v>
      </c>
      <c r="I26"/>
      <c r="J26"/>
    </row>
    <row r="27" spans="1:12" x14ac:dyDescent="0.25">
      <c r="A27" s="242" t="str">
        <f>'CWD 2029 Legados (com desc.)'!H258</f>
        <v>TEX13</v>
      </c>
      <c r="B27" s="242" t="str">
        <f>'CWD 2029 Legados (com desc.)'!I258</f>
        <v>NTS SP 4</v>
      </c>
      <c r="C27" s="242">
        <f>'CWD 2029 Legados (sem desc.)'!F53</f>
        <v>53371957.713199995</v>
      </c>
      <c r="D27" s="242">
        <f>SUM(C24:C27)</f>
        <v>239983195.57470998</v>
      </c>
      <c r="E27" s="243">
        <f ca="1">'CWD 2029 Legados (com desc.)'!L258</f>
        <v>2.0147002615584184</v>
      </c>
      <c r="F27" s="242">
        <f t="shared" ca="1" si="12"/>
        <v>107528497.16466887</v>
      </c>
      <c r="G27" s="247">
        <f ca="1">SUM(F24:F27)</f>
        <v>483494206.89399332</v>
      </c>
      <c r="H27" s="248">
        <f t="shared" ca="1" si="13"/>
        <v>2.0147002615584184</v>
      </c>
      <c r="I27" s="272"/>
      <c r="J27"/>
    </row>
    <row r="28" spans="1:12" x14ac:dyDescent="0.25">
      <c r="A28" s="237" t="str">
        <f>'CWD 2029 Legados (com desc.)'!H259</f>
        <v>TEX14</v>
      </c>
      <c r="B28" s="237" t="str">
        <f>'CWD 2029 Legados (com desc.)'!I259</f>
        <v>PE-GUARAREMA (INTERCONEXÃO)</v>
      </c>
      <c r="C28" s="237">
        <f>'CWD 2029 Legados (sem desc.)'!F54</f>
        <v>0</v>
      </c>
      <c r="D28" s="237">
        <f>C28</f>
        <v>0</v>
      </c>
      <c r="E28" s="240">
        <f>'CWD 2029 Legados (com desc.)'!L259</f>
        <v>0</v>
      </c>
      <c r="F28" s="237">
        <f t="shared" si="12"/>
        <v>0</v>
      </c>
      <c r="G28" s="237">
        <f>F28</f>
        <v>0</v>
      </c>
      <c r="H28" s="241" t="str">
        <f t="shared" si="13"/>
        <v xml:space="preserve"> </v>
      </c>
      <c r="I28"/>
      <c r="J28"/>
    </row>
    <row r="29" spans="1:12" x14ac:dyDescent="0.25">
      <c r="A29" s="242" t="str">
        <f>'CWD 2029 Legados (com desc.)'!H260</f>
        <v>TEX15</v>
      </c>
      <c r="B29" s="242" t="str">
        <f>'CWD 2029 Legados (com desc.)'!I260</f>
        <v>PE-REPLAN (INTERCONEXÃO)</v>
      </c>
      <c r="C29" s="242">
        <f>'CWD 2029 Legados (sem desc.)'!F55</f>
        <v>132109210.63550498</v>
      </c>
      <c r="D29" s="242">
        <f t="shared" ref="D29:D30" si="14">C29</f>
        <v>132109210.63550498</v>
      </c>
      <c r="E29" s="243">
        <f ca="1">'CWD 2029 Legados (com desc.)'!L260</f>
        <v>0.17420454463858304</v>
      </c>
      <c r="F29" s="242">
        <f t="shared" ca="1" si="12"/>
        <v>23014024.881320797</v>
      </c>
      <c r="G29" s="242">
        <f t="shared" ref="G29:G30" ca="1" si="15">F29</f>
        <v>23014024.881320797</v>
      </c>
      <c r="H29" s="244">
        <f t="shared" ca="1" si="13"/>
        <v>0.17420454463858304</v>
      </c>
      <c r="I29" s="272"/>
      <c r="J29"/>
    </row>
    <row r="30" spans="1:12" x14ac:dyDescent="0.25">
      <c r="A30" s="237" t="str">
        <f>'CWD 2029 Legados (com desc.)'!H261</f>
        <v>TEX16</v>
      </c>
      <c r="B30" s="237" t="str">
        <f>'CWD 2029 Legados (com desc.)'!I261</f>
        <v>PE-TECAB (INTERCONEXÃO)</v>
      </c>
      <c r="C30" s="237">
        <f>'CWD 2029 Legados (sem desc.)'!F56</f>
        <v>2723059.0670000003</v>
      </c>
      <c r="D30" s="237">
        <f t="shared" si="14"/>
        <v>2723059.0670000003</v>
      </c>
      <c r="E30" s="240">
        <f ca="1">'CWD 2029 Legados (com desc.)'!L261</f>
        <v>0.17420454463858304</v>
      </c>
      <c r="F30" s="237">
        <f t="shared" ca="1" si="12"/>
        <v>474369.26479069982</v>
      </c>
      <c r="G30" s="237">
        <f t="shared" ca="1" si="15"/>
        <v>474369.26479069982</v>
      </c>
      <c r="H30" s="241">
        <f t="shared" ca="1" si="13"/>
        <v>0.17420454463858304</v>
      </c>
      <c r="I30" s="272"/>
      <c r="J30" s="37"/>
    </row>
    <row r="31" spans="1:12" x14ac:dyDescent="0.25">
      <c r="C31" s="36">
        <f>SUM(C15:C30)</f>
        <v>910155262.55408001</v>
      </c>
      <c r="D31" s="36">
        <f>SUM(D15:D30)</f>
        <v>910155262.55408001</v>
      </c>
      <c r="F31" s="36">
        <f ca="1">SUM(F15:F30)</f>
        <v>1585531830.636435</v>
      </c>
      <c r="G31" s="36">
        <f ca="1">SUM(G15:G30)</f>
        <v>1585531830.6364353</v>
      </c>
    </row>
    <row r="32" spans="1:12" x14ac:dyDescent="0.25">
      <c r="C32" s="36"/>
      <c r="D32" s="36"/>
      <c r="F32" s="36"/>
      <c r="G32" s="36"/>
    </row>
    <row r="33" spans="2:3" x14ac:dyDescent="0.25">
      <c r="C33" s="34" t="s">
        <v>192</v>
      </c>
    </row>
    <row r="34" spans="2:3" x14ac:dyDescent="0.25">
      <c r="B34" s="39" t="s">
        <v>53</v>
      </c>
      <c r="C34" s="37">
        <f ca="1">H18</f>
        <v>2.014700261558418</v>
      </c>
    </row>
    <row r="35" spans="2:3" x14ac:dyDescent="0.25">
      <c r="B35" s="39" t="s">
        <v>64</v>
      </c>
      <c r="C35" s="37">
        <f ca="1">H23</f>
        <v>2.0147002615584184</v>
      </c>
    </row>
    <row r="36" spans="2:3" x14ac:dyDescent="0.25">
      <c r="B36" s="39" t="s">
        <v>193</v>
      </c>
      <c r="C36" s="37">
        <f ca="1">H27</f>
        <v>2.0147002615584184</v>
      </c>
    </row>
    <row r="37" spans="2:3" x14ac:dyDescent="0.25">
      <c r="B37" s="88" t="s">
        <v>199</v>
      </c>
      <c r="C37" s="37" t="str">
        <f>H28</f>
        <v xml:space="preserve"> </v>
      </c>
    </row>
    <row r="38" spans="2:3" x14ac:dyDescent="0.25">
      <c r="B38" s="88" t="s">
        <v>198</v>
      </c>
      <c r="C38" s="37">
        <f t="shared" ref="C38:C39" ca="1" si="16">H29</f>
        <v>0.17420454463858304</v>
      </c>
    </row>
    <row r="39" spans="2:3" x14ac:dyDescent="0.25">
      <c r="B39" s="88" t="s">
        <v>197</v>
      </c>
      <c r="C39" s="37">
        <f t="shared" ca="1" si="16"/>
        <v>0.17420454463858304</v>
      </c>
    </row>
  </sheetData>
  <pageMargins left="0.511811024" right="0.511811024" top="0.78740157499999996" bottom="0.78740157499999996" header="0.31496062000000002" footer="0.31496062000000002"/>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2956F-049D-4C7D-89D7-4CE697058B52}">
  <sheetPr codeName="Planilha43">
    <tabColor theme="5"/>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2030</v>
      </c>
    </row>
    <row r="4" spans="1:9" ht="18.75" thickBot="1" x14ac:dyDescent="0.3">
      <c r="A4" s="162"/>
      <c r="B4" s="163" t="s">
        <v>102</v>
      </c>
      <c r="C4" s="164" t="s">
        <v>200</v>
      </c>
      <c r="D4" s="306">
        <f>('Premissas (BRA)'!F33)/1000</f>
        <v>3581.0419174948461</v>
      </c>
      <c r="E4" s="166" t="s">
        <v>103</v>
      </c>
      <c r="F4" s="162"/>
      <c r="G4" s="162"/>
      <c r="H4" s="177"/>
      <c r="I4" s="177"/>
    </row>
    <row r="5" spans="1:9" ht="18" x14ac:dyDescent="0.25">
      <c r="A5" s="148">
        <f>HLOOKUP($G$3,'Premissas (BRA)'!$B$5:$F$13,9,FALSE)</f>
        <v>0.7</v>
      </c>
      <c r="B5" s="149" t="s">
        <v>104</v>
      </c>
      <c r="C5" s="150" t="s">
        <v>201</v>
      </c>
      <c r="D5" s="307">
        <f>$A$5*$D$4</f>
        <v>2506.7293422463922</v>
      </c>
      <c r="E5" s="152" t="s">
        <v>105</v>
      </c>
      <c r="F5" s="153"/>
      <c r="G5" s="153"/>
      <c r="H5" s="177"/>
    </row>
    <row r="6" spans="1:9" ht="30" x14ac:dyDescent="0.25">
      <c r="A6" s="48"/>
      <c r="B6" s="154" t="s">
        <v>106</v>
      </c>
      <c r="C6" s="155" t="s">
        <v>202</v>
      </c>
      <c r="D6" s="308">
        <f>$C$34*'Premissas (BRA)'!$F$20</f>
        <v>13398380.172179898</v>
      </c>
      <c r="E6" s="154" t="s">
        <v>107</v>
      </c>
      <c r="F6" s="172">
        <f>F34</f>
        <v>499788775.49270535</v>
      </c>
      <c r="G6" s="40" t="s">
        <v>108</v>
      </c>
    </row>
    <row r="7" spans="1:9" ht="18.75" thickBot="1" x14ac:dyDescent="0.3">
      <c r="A7" s="157"/>
      <c r="B7" s="158" t="s">
        <v>109</v>
      </c>
      <c r="C7" s="159" t="s">
        <v>203</v>
      </c>
      <c r="D7" s="160">
        <f>$D$5/$D$6*1000</f>
        <v>0.1870919700764507</v>
      </c>
      <c r="E7" s="161" t="s">
        <v>110</v>
      </c>
      <c r="F7" s="309">
        <f>$D$5/$F$6*1000000</f>
        <v>5.0155775102695941</v>
      </c>
      <c r="G7" s="170" t="s">
        <v>15</v>
      </c>
      <c r="I7" s="177"/>
    </row>
    <row r="8" spans="1:9" ht="18" x14ac:dyDescent="0.25">
      <c r="A8" s="148">
        <f>1-A5</f>
        <v>0.30000000000000004</v>
      </c>
      <c r="B8" s="149" t="s">
        <v>111</v>
      </c>
      <c r="C8" s="150" t="s">
        <v>204</v>
      </c>
      <c r="D8" s="307">
        <f>$A$8*$D$4</f>
        <v>1074.3125752484539</v>
      </c>
      <c r="E8" s="152" t="s">
        <v>105</v>
      </c>
      <c r="F8" s="173"/>
      <c r="G8" s="171"/>
    </row>
    <row r="9" spans="1:9" ht="30" x14ac:dyDescent="0.25">
      <c r="B9" s="154" t="s">
        <v>112</v>
      </c>
      <c r="C9" s="155" t="s">
        <v>205</v>
      </c>
      <c r="D9" s="308">
        <f>$C$57*'Premissas (BRA)'!$F$20</f>
        <v>7724100.7555445973</v>
      </c>
      <c r="E9" s="154" t="s">
        <v>107</v>
      </c>
      <c r="F9" s="172">
        <f>F57</f>
        <v>288125788.99735987</v>
      </c>
      <c r="G9" s="40" t="s">
        <v>108</v>
      </c>
    </row>
    <row r="10" spans="1:9" ht="18.75" thickBot="1" x14ac:dyDescent="0.3">
      <c r="A10" s="167"/>
      <c r="B10" s="158" t="s">
        <v>113</v>
      </c>
      <c r="C10" s="159" t="s">
        <v>206</v>
      </c>
      <c r="D10" s="160">
        <f>$D$8/$D$9*1000</f>
        <v>0.1390857795941203</v>
      </c>
      <c r="E10" s="161" t="s">
        <v>110</v>
      </c>
      <c r="F10" s="309">
        <f>$D$8/$F$9*1000000</f>
        <v>3.7286234563970182</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2030</v>
      </c>
      <c r="F21" s="376">
        <v>2030</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(BRA)'!G3</f>
        <v>11121.869070475715</v>
      </c>
      <c r="E24" s="60"/>
      <c r="F24" s="15">
        <f>IFERROR($C24*$H$19*'Premissas (BRA)'!$F$20*1000," ")</f>
        <v>151427532.0717288</v>
      </c>
      <c r="G24" s="49"/>
    </row>
    <row r="25" spans="1:9" x14ac:dyDescent="0.25">
      <c r="A25" s="2" t="s">
        <v>125</v>
      </c>
      <c r="B25" s="16" t="s">
        <v>26</v>
      </c>
      <c r="C25" s="231">
        <f>'Oferta (BRA)'!G4</f>
        <v>200</v>
      </c>
      <c r="E25" s="60"/>
      <c r="F25" s="15">
        <f>IFERROR($C25*$H$19*'Premissas (BRA)'!$F$20*1000," ")</f>
        <v>2723059.0670000003</v>
      </c>
      <c r="G25" s="49"/>
    </row>
    <row r="26" spans="1:9" x14ac:dyDescent="0.25">
      <c r="A26" s="2" t="s">
        <v>126</v>
      </c>
      <c r="B26" s="16" t="s">
        <v>411</v>
      </c>
      <c r="C26" s="231">
        <f>'Oferta (BRA)'!G5</f>
        <v>13564</v>
      </c>
      <c r="D26" s="18"/>
      <c r="E26" s="60"/>
      <c r="F26" s="15">
        <f>IFERROR($C26*$H$19*'Premissas (BRA)'!$F$20*1000," ")</f>
        <v>184677865.92394</v>
      </c>
      <c r="G26" s="49"/>
    </row>
    <row r="27" spans="1:9" x14ac:dyDescent="0.25">
      <c r="A27" s="2" t="s">
        <v>127</v>
      </c>
      <c r="B27" s="16" t="s">
        <v>388</v>
      </c>
      <c r="C27" s="231">
        <f>'Oferta (BRA)'!G6</f>
        <v>258</v>
      </c>
      <c r="D27" s="18"/>
      <c r="E27" s="60"/>
      <c r="F27" s="15">
        <f>IFERROR($C27*$H$19*'Premissas (BRA)'!$F$20*1000," ")</f>
        <v>3512746.19643</v>
      </c>
      <c r="G27" s="49"/>
    </row>
    <row r="28" spans="1:9" x14ac:dyDescent="0.25">
      <c r="A28" s="2" t="s">
        <v>128</v>
      </c>
      <c r="B28" s="16" t="s">
        <v>27</v>
      </c>
      <c r="C28" s="231">
        <f>'Oferta (BRA)'!G7</f>
        <v>0</v>
      </c>
      <c r="D28" s="18"/>
      <c r="E28" s="60"/>
      <c r="F28" s="15">
        <f>IFERROR($C28*$H$19*'Premissas (BRA)'!$F$20*1000," ")</f>
        <v>0</v>
      </c>
      <c r="G28" s="49"/>
    </row>
    <row r="29" spans="1:9" x14ac:dyDescent="0.25">
      <c r="A29" s="2" t="s">
        <v>183</v>
      </c>
      <c r="B29" s="16" t="s">
        <v>29</v>
      </c>
      <c r="C29" s="231">
        <f>'Oferta (BRA)'!G8</f>
        <v>0</v>
      </c>
      <c r="D29" s="18"/>
      <c r="E29" s="60"/>
      <c r="F29" s="15">
        <f>IFERROR($C29*$H$19*'Premissas (BRA)'!$F$20*1000," ")</f>
        <v>0</v>
      </c>
      <c r="G29" s="49"/>
    </row>
    <row r="30" spans="1:9" x14ac:dyDescent="0.25">
      <c r="A30" s="2" t="s">
        <v>129</v>
      </c>
      <c r="B30" s="16" t="s">
        <v>24</v>
      </c>
      <c r="C30" s="231">
        <f>'Oferta (BRA)'!G9</f>
        <v>7765.8207892267164</v>
      </c>
      <c r="D30" s="18"/>
      <c r="E30" s="60"/>
      <c r="F30" s="15">
        <f>IFERROR($C30*$H$19*'Premissas (BRA)'!$F$20*1000," ")</f>
        <v>105733943.56400453</v>
      </c>
      <c r="G30" s="49"/>
    </row>
    <row r="31" spans="1:9" x14ac:dyDescent="0.25">
      <c r="A31" s="2" t="s">
        <v>184</v>
      </c>
      <c r="B31" s="16" t="s">
        <v>194</v>
      </c>
      <c r="C31" s="231">
        <f>'Oferta (BRA)'!G10</f>
        <v>3398.2010229822185</v>
      </c>
      <c r="D31" s="18"/>
      <c r="E31" s="60"/>
      <c r="F31" s="15">
        <f>IFERROR($C31*$H$19*'Premissas (BRA)'!$F$20*1000," ")</f>
        <v>46267510.535602026</v>
      </c>
      <c r="G31" s="49"/>
    </row>
    <row r="32" spans="1:9" x14ac:dyDescent="0.25">
      <c r="A32" s="2" t="s">
        <v>130</v>
      </c>
      <c r="B32" s="16" t="s">
        <v>196</v>
      </c>
      <c r="C32" s="231">
        <f>'Oferta (BRA)'!G11</f>
        <v>200</v>
      </c>
      <c r="D32" s="18"/>
      <c r="E32" s="60"/>
      <c r="F32" s="15">
        <f>IFERROR($C32*$H$19*'Premissas (BRA)'!$F$20*1000," ")</f>
        <v>2723059.0670000003</v>
      </c>
      <c r="G32" s="49"/>
    </row>
    <row r="33" spans="1:8" x14ac:dyDescent="0.25">
      <c r="A33" s="2" t="s">
        <v>131</v>
      </c>
      <c r="B33" s="16" t="s">
        <v>195</v>
      </c>
      <c r="C33" s="231">
        <f>'Oferta (BRA)'!G12</f>
        <v>200</v>
      </c>
      <c r="D33" s="18"/>
      <c r="E33" s="60"/>
      <c r="F33" s="15">
        <f>IFERROR($C33*$H$19*'Premissas (BRA)'!$F$20*1000," ")</f>
        <v>2723059.0670000003</v>
      </c>
      <c r="G33" s="49"/>
    </row>
    <row r="34" spans="1:8" x14ac:dyDescent="0.25">
      <c r="C34" s="61">
        <f>SUM(C24:C33)</f>
        <v>36707.890882684653</v>
      </c>
      <c r="D34" s="61"/>
      <c r="E34" s="60"/>
      <c r="F34" s="61">
        <f>SUM(F24:F33)</f>
        <v>499788775.49270535</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2030</v>
      </c>
      <c r="F38" s="376">
        <v>2030</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(BRA)'!G3</f>
        <v>83.95934449000282</v>
      </c>
      <c r="F41" s="15">
        <f>IFERROR($C41*$H$19*'Premissas (BRA)'!$F$20*1000," ")</f>
        <v>1143131.2713643934</v>
      </c>
      <c r="G41" s="49"/>
    </row>
    <row r="42" spans="1:8" x14ac:dyDescent="0.25">
      <c r="A42" s="2" t="s">
        <v>38</v>
      </c>
      <c r="B42" s="16" t="s">
        <v>161</v>
      </c>
      <c r="C42" s="231">
        <f>'Demanda (BRA)'!G4</f>
        <v>1358.5951793648003</v>
      </c>
      <c r="F42" s="15">
        <f>IFERROR($C42*$H$19*'Premissas (BRA)'!$F$20*1000," ")</f>
        <v>18497674.607759055</v>
      </c>
      <c r="G42" s="49"/>
    </row>
    <row r="43" spans="1:8" x14ac:dyDescent="0.25">
      <c r="A43" s="2" t="s">
        <v>39</v>
      </c>
      <c r="B43" s="16" t="s">
        <v>162</v>
      </c>
      <c r="C43" s="231">
        <f>'Demanda (BRA)'!G5</f>
        <v>1591.1855708262167</v>
      </c>
      <c r="D43" s="18"/>
      <c r="F43" s="15">
        <f>IFERROR($C43*$H$19*'Premissas (BRA)'!$F$20*1000," ")</f>
        <v>21664461.4795895</v>
      </c>
      <c r="G43" s="49"/>
    </row>
    <row r="44" spans="1:8" x14ac:dyDescent="0.25">
      <c r="A44" s="2" t="s">
        <v>40</v>
      </c>
      <c r="B44" s="16" t="s">
        <v>163</v>
      </c>
      <c r="C44" s="231">
        <f>'Demanda (BRA)'!G6</f>
        <v>257.90539079715882</v>
      </c>
      <c r="D44" s="18"/>
      <c r="F44" s="15">
        <f>IFERROR($C44*$H$19*'Premissas (BRA)'!$F$20*1000," ")</f>
        <v>3511458.0641919076</v>
      </c>
      <c r="G44" s="49"/>
    </row>
    <row r="45" spans="1:8" x14ac:dyDescent="0.25">
      <c r="A45" s="2" t="s">
        <v>41</v>
      </c>
      <c r="B45" s="16" t="s">
        <v>164</v>
      </c>
      <c r="C45" s="231">
        <f>'Demanda (BRA)'!G7</f>
        <v>4113.6189497552796</v>
      </c>
      <c r="D45" s="18"/>
      <c r="F45" s="15">
        <f>IFERROR($C45*$H$19*'Premissas (BRA)'!$F$20*1000," ")</f>
        <v>56008136.89657066</v>
      </c>
      <c r="G45" s="49"/>
    </row>
    <row r="46" spans="1:8" x14ac:dyDescent="0.25">
      <c r="A46" s="2" t="s">
        <v>42</v>
      </c>
      <c r="B46" s="16" t="s">
        <v>165</v>
      </c>
      <c r="C46" s="231">
        <f>'Demanda (BRA)'!G8</f>
        <v>1671.5160482445838</v>
      </c>
      <c r="D46" s="18"/>
      <c r="F46" s="15">
        <f>IFERROR($C46*$H$19*'Premissas (BRA)'!$F$20*1000," ")</f>
        <v>22758184.654042114</v>
      </c>
      <c r="G46" s="49"/>
    </row>
    <row r="47" spans="1:8" x14ac:dyDescent="0.25">
      <c r="A47" s="2" t="s">
        <v>43</v>
      </c>
      <c r="B47" s="16" t="s">
        <v>166</v>
      </c>
      <c r="C47" s="231">
        <f>'Demanda (BRA)'!G9</f>
        <v>1497.3761894156601</v>
      </c>
      <c r="D47" s="18"/>
      <c r="F47" s="15">
        <f>IFERROR($C47*$H$19*'Premissas (BRA)'!$F$20*1000," ")</f>
        <v>20387219.046491113</v>
      </c>
      <c r="G47" s="49"/>
    </row>
    <row r="48" spans="1:8" x14ac:dyDescent="0.25">
      <c r="A48" s="2" t="s">
        <v>44</v>
      </c>
      <c r="B48" s="16" t="s">
        <v>167</v>
      </c>
      <c r="C48" s="231">
        <f>'Demanda (BRA)'!G10</f>
        <v>275.11051045873194</v>
      </c>
      <c r="D48" s="18"/>
      <c r="F48" s="15">
        <f>IFERROR($C48*$H$19*'Premissas (BRA)'!$F$20*1000," ")</f>
        <v>3745710.8496582415</v>
      </c>
      <c r="G48" s="49"/>
    </row>
    <row r="49" spans="1:9" x14ac:dyDescent="0.25">
      <c r="A49" s="2" t="s">
        <v>45</v>
      </c>
      <c r="B49" s="16" t="s">
        <v>168</v>
      </c>
      <c r="C49" s="231">
        <f>'Demanda (BRA)'!G11</f>
        <v>695.99981184318472</v>
      </c>
      <c r="D49" s="18"/>
      <c r="F49" s="15">
        <f>IFERROR($C49*$H$19*'Premissas (BRA)'!$F$20*1000," ")</f>
        <v>9476242.9913493898</v>
      </c>
      <c r="G49" s="49"/>
    </row>
    <row r="50" spans="1:9" x14ac:dyDescent="0.25">
      <c r="A50" s="2" t="s">
        <v>46</v>
      </c>
      <c r="B50" s="16" t="s">
        <v>169</v>
      </c>
      <c r="C50" s="231">
        <f>'Demanda (BRA)'!G12</f>
        <v>994.60300359473592</v>
      </c>
      <c r="D50" s="18"/>
      <c r="F50" s="15">
        <f>IFERROR($C50*$H$19*'Premissas (BRA)'!$F$20*1000," ")</f>
        <v>13541813.635020396</v>
      </c>
      <c r="G50" s="49"/>
    </row>
    <row r="51" spans="1:9" x14ac:dyDescent="0.25">
      <c r="A51" s="2" t="s">
        <v>47</v>
      </c>
      <c r="B51" s="16" t="s">
        <v>170</v>
      </c>
      <c r="C51" s="231">
        <f>'Demanda (BRA)'!G13</f>
        <v>2460.3528578351988</v>
      </c>
      <c r="D51" s="18"/>
      <c r="F51" s="15">
        <f>IFERROR($C51*$H$19*'Premissas (BRA)'!$F$20*1000," ")</f>
        <v>33498430.787737504</v>
      </c>
      <c r="G51" s="49"/>
    </row>
    <row r="52" spans="1:9" x14ac:dyDescent="0.25">
      <c r="A52" s="2" t="s">
        <v>48</v>
      </c>
      <c r="B52" s="16" t="s">
        <v>171</v>
      </c>
      <c r="C52" s="231">
        <f>'Demanda (BRA)'!G14</f>
        <v>1008.3686134701056</v>
      </c>
      <c r="D52" s="18"/>
      <c r="F52" s="15">
        <f>IFERROR($C52*$H$19*'Premissas (BRA)'!$F$20*1000," ")</f>
        <v>13729236.478939947</v>
      </c>
      <c r="G52" s="49"/>
    </row>
    <row r="53" spans="1:9" x14ac:dyDescent="0.25">
      <c r="A53" s="2" t="s">
        <v>49</v>
      </c>
      <c r="B53" s="16" t="s">
        <v>172</v>
      </c>
      <c r="C53" s="231">
        <f>'Demanda (BRA)'!G15</f>
        <v>1318.069593111717</v>
      </c>
      <c r="D53" s="18"/>
      <c r="F53" s="15">
        <f>IFERROR($C53*$H$19*'Premissas (BRA)'!$F$20*1000," ")</f>
        <v>17945906.78229931</v>
      </c>
      <c r="G53" s="49"/>
    </row>
    <row r="54" spans="1:9" x14ac:dyDescent="0.25">
      <c r="A54" s="2" t="s">
        <v>50</v>
      </c>
      <c r="B54" s="16" t="s">
        <v>199</v>
      </c>
      <c r="C54" s="231">
        <f>'Demanda (BRA)'!G16</f>
        <v>0</v>
      </c>
      <c r="D54" s="18"/>
      <c r="F54" s="15">
        <f>IFERROR($C54*$H$19*'Premissas (BRA)'!$F$20*1000," ")</f>
        <v>0</v>
      </c>
      <c r="G54" s="49"/>
    </row>
    <row r="55" spans="1:9" x14ac:dyDescent="0.25">
      <c r="A55" s="2" t="s">
        <v>51</v>
      </c>
      <c r="B55" s="16" t="s">
        <v>198</v>
      </c>
      <c r="C55" s="231">
        <f>'Demanda (BRA)'!G17</f>
        <v>3635.2588149970047</v>
      </c>
      <c r="D55" s="18"/>
      <c r="F55" s="15">
        <f>IFERROR($C55*$H$19*'Premissas (BRA)'!$F$20*1000," ")</f>
        <v>49495122.385346346</v>
      </c>
      <c r="G55" s="49"/>
    </row>
    <row r="56" spans="1:9" x14ac:dyDescent="0.25">
      <c r="A56" s="2" t="s">
        <v>52</v>
      </c>
      <c r="B56" s="16" t="s">
        <v>197</v>
      </c>
      <c r="C56" s="231">
        <f>'Demanda (BRA)'!G18</f>
        <v>200</v>
      </c>
      <c r="D56" s="18"/>
      <c r="F56" s="15">
        <f>IFERROR($C56*$H$19*'Premissas (BRA)'!$F$20*1000," ")</f>
        <v>2723059.0670000003</v>
      </c>
      <c r="G56" s="49"/>
    </row>
    <row r="57" spans="1:9" x14ac:dyDescent="0.25">
      <c r="C57" s="61">
        <f>SUM(C41:C56)</f>
        <v>21161.919878204375</v>
      </c>
      <c r="D57" s="61"/>
      <c r="F57" s="61">
        <f>SUM(F41:F56)</f>
        <v>288125788.99735987</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0.30298305903818551</v>
      </c>
      <c r="C99" s="8"/>
      <c r="D99" t="s">
        <v>232</v>
      </c>
      <c r="E99" s="66">
        <f t="shared" ref="E99:E114" si="2">F41/$F$57</f>
        <v>3.9674729406983696E-3</v>
      </c>
      <c r="G99" s="65" t="s">
        <v>140</v>
      </c>
      <c r="H99" s="67">
        <f>F24/$F$34</f>
        <v>0.30298305903818551</v>
      </c>
      <c r="I99" s="67">
        <f>F25/$F$34</f>
        <v>5.4484198135813173E-3</v>
      </c>
      <c r="J99" s="67">
        <f>$F26/$F$34</f>
        <v>0.36951183175708485</v>
      </c>
      <c r="K99" s="67">
        <f>$F27/$F$34</f>
        <v>7.028461559519898E-3</v>
      </c>
      <c r="L99" s="67">
        <f>$F28/$F$34</f>
        <v>0</v>
      </c>
      <c r="M99" s="67">
        <f>$F29/$F$34</f>
        <v>0</v>
      </c>
      <c r="N99" s="67">
        <f>$F30/$F$34</f>
        <v>0.21155725928372268</v>
      </c>
      <c r="O99" s="67">
        <f>$F31/$F$34</f>
        <v>9.2574128920743085E-2</v>
      </c>
      <c r="P99" s="67">
        <f>$F32/$F$34</f>
        <v>5.4484198135813173E-3</v>
      </c>
      <c r="Q99" s="67">
        <f>$F33/$F$34</f>
        <v>5.4484198135813173E-3</v>
      </c>
      <c r="R99" s="67">
        <f>SUM(H99:Q99)</f>
        <v>1</v>
      </c>
      <c r="S99" s="66"/>
      <c r="T99" s="66"/>
      <c r="U99" s="66"/>
      <c r="V99" s="66"/>
      <c r="W99" s="66"/>
    </row>
    <row r="100" spans="1:27" ht="18" x14ac:dyDescent="0.35">
      <c r="A100" t="s">
        <v>223</v>
      </c>
      <c r="B100" s="68">
        <f t="shared" si="1"/>
        <v>5.4484198135813173E-3</v>
      </c>
      <c r="C100" s="4"/>
      <c r="D100" t="s">
        <v>233</v>
      </c>
      <c r="E100" s="66">
        <f t="shared" si="2"/>
        <v>6.4199996370087345E-2</v>
      </c>
    </row>
    <row r="101" spans="1:27" ht="18" x14ac:dyDescent="0.35">
      <c r="A101" t="s">
        <v>224</v>
      </c>
      <c r="B101" s="68">
        <f t="shared" si="1"/>
        <v>0.36951183175708485</v>
      </c>
      <c r="C101" s="4"/>
      <c r="D101" t="s">
        <v>234</v>
      </c>
      <c r="E101" s="66">
        <f t="shared" si="2"/>
        <v>7.5190983615104345E-2</v>
      </c>
      <c r="G101" s="66"/>
    </row>
    <row r="102" spans="1:27" ht="18" x14ac:dyDescent="0.35">
      <c r="A102" t="s">
        <v>225</v>
      </c>
      <c r="B102" s="68">
        <f t="shared" si="1"/>
        <v>7.028461559519898E-3</v>
      </c>
      <c r="C102" s="4"/>
      <c r="D102" t="s">
        <v>235</v>
      </c>
      <c r="E102" s="66">
        <f t="shared" si="2"/>
        <v>1.218723973446224E-2</v>
      </c>
      <c r="G102" s="66"/>
      <c r="H102" s="68"/>
      <c r="I102" s="68"/>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7.8986975561047917E-2</v>
      </c>
      <c r="G104" s="66"/>
      <c r="H104" s="68"/>
      <c r="I104" s="68"/>
    </row>
    <row r="105" spans="1:27" ht="18" x14ac:dyDescent="0.35">
      <c r="A105" t="s">
        <v>228</v>
      </c>
      <c r="B105" s="68">
        <f t="shared" si="1"/>
        <v>0.21155725928372268</v>
      </c>
      <c r="C105" s="4"/>
      <c r="D105" t="s">
        <v>238</v>
      </c>
      <c r="E105" s="66">
        <f t="shared" si="2"/>
        <v>7.0758050216316884E-2</v>
      </c>
      <c r="G105" s="66"/>
      <c r="H105" s="68"/>
      <c r="I105" s="68"/>
    </row>
    <row r="106" spans="1:27" ht="18" x14ac:dyDescent="0.35">
      <c r="A106" t="s">
        <v>229</v>
      </c>
      <c r="B106" s="68">
        <f t="shared" si="1"/>
        <v>9.2574128920743085E-2</v>
      </c>
      <c r="C106" s="4"/>
      <c r="D106" t="s">
        <v>239</v>
      </c>
      <c r="E106" s="66">
        <f t="shared" si="2"/>
        <v>1.3000262360036657E-2</v>
      </c>
      <c r="G106" s="66"/>
      <c r="H106" s="68"/>
      <c r="I106" s="68"/>
    </row>
    <row r="107" spans="1:27" ht="18" x14ac:dyDescent="0.35">
      <c r="A107" t="s">
        <v>230</v>
      </c>
      <c r="B107" s="68">
        <f t="shared" si="1"/>
        <v>5.4484198135813173E-3</v>
      </c>
      <c r="C107" s="4"/>
      <c r="D107" t="s">
        <v>240</v>
      </c>
      <c r="E107" s="66">
        <f t="shared" si="2"/>
        <v>3.2889256544252697E-2</v>
      </c>
      <c r="G107" s="66"/>
      <c r="H107" s="68"/>
      <c r="I107" s="68"/>
    </row>
    <row r="108" spans="1:27" ht="18" x14ac:dyDescent="0.35">
      <c r="A108" t="s">
        <v>231</v>
      </c>
      <c r="B108" s="68">
        <f t="shared" si="1"/>
        <v>5.4484198135813173E-3</v>
      </c>
      <c r="D108" t="s">
        <v>241</v>
      </c>
      <c r="E108" s="66">
        <f t="shared" si="2"/>
        <v>4.6999658316404576E-2</v>
      </c>
      <c r="G108" s="66"/>
    </row>
    <row r="109" spans="1:27" ht="18" x14ac:dyDescent="0.35">
      <c r="B109" s="68">
        <f>SUM(B99:B108)</f>
        <v>1</v>
      </c>
      <c r="D109" t="s">
        <v>242</v>
      </c>
      <c r="E109" s="66">
        <f t="shared" si="2"/>
        <v>0.11626321581385571</v>
      </c>
      <c r="G109" s="66"/>
    </row>
    <row r="110" spans="1:27" ht="18" x14ac:dyDescent="0.35">
      <c r="B110" s="68"/>
      <c r="D110" t="s">
        <v>243</v>
      </c>
      <c r="E110" s="66">
        <f t="shared" si="2"/>
        <v>4.7650147967371811E-2</v>
      </c>
      <c r="G110" s="66"/>
    </row>
    <row r="111" spans="1:27" ht="18" x14ac:dyDescent="0.35">
      <c r="B111" s="68"/>
      <c r="D111" t="s">
        <v>244</v>
      </c>
      <c r="E111" s="66">
        <f t="shared" si="2"/>
        <v>6.228497228501733E-2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9.4509383435474152E-3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387.07954179170122</v>
      </c>
    </row>
    <row r="131" spans="1:5" ht="18" x14ac:dyDescent="0.35">
      <c r="A131" t="s">
        <v>254</v>
      </c>
      <c r="B131" s="66">
        <f ca="1">SUMPRODUCT($E$99:$E$114,D$67:D$82)</f>
        <v>282.93744338444242</v>
      </c>
      <c r="C131" s="70"/>
      <c r="D131" t="s">
        <v>255</v>
      </c>
      <c r="E131" s="4">
        <f t="shared" ref="E131:E145" ca="1" si="3">SUMPRODUCT($H$99:$Q$99,$C68:$L68)</f>
        <v>484.24354179170115</v>
      </c>
    </row>
    <row r="132" spans="1:5" ht="18" x14ac:dyDescent="0.35">
      <c r="A132" t="s">
        <v>256</v>
      </c>
      <c r="B132" s="66">
        <f ca="1">SUMPRODUCT($E$99:$E$114,E$67:E$82)</f>
        <v>321.04260610518725</v>
      </c>
      <c r="C132" s="70"/>
      <c r="D132" t="s">
        <v>257</v>
      </c>
      <c r="E132" s="4">
        <f t="shared" ca="1" si="3"/>
        <v>601.40874179170112</v>
      </c>
    </row>
    <row r="133" spans="1:5" ht="18" x14ac:dyDescent="0.35">
      <c r="A133" t="s">
        <v>258</v>
      </c>
      <c r="B133" s="66">
        <f ca="1">SUMPRODUCT($E$99:$E$114,F$67:F$82)</f>
        <v>382.5879665558885</v>
      </c>
      <c r="C133" s="70"/>
      <c r="D133" t="s">
        <v>259</v>
      </c>
      <c r="E133" s="4">
        <f t="shared" ca="1" si="3"/>
        <v>564.41001328397806</v>
      </c>
    </row>
    <row r="134" spans="1:5" ht="18" x14ac:dyDescent="0.35">
      <c r="A134" t="s">
        <v>260</v>
      </c>
      <c r="B134" s="66">
        <f ca="1">SUMPRODUCT($E$99:$E$114,G$67:G$82)</f>
        <v>263.66286997668777</v>
      </c>
      <c r="C134" s="70"/>
      <c r="D134" t="s">
        <v>261</v>
      </c>
      <c r="E134" s="4">
        <f t="shared" ca="1" si="3"/>
        <v>240.10077571158112</v>
      </c>
    </row>
    <row r="135" spans="1:5" ht="18" x14ac:dyDescent="0.35">
      <c r="A135" t="s">
        <v>262</v>
      </c>
      <c r="B135" s="66">
        <f ca="1">SUMPRODUCT($E$99:$E$114,H$67:H$82)</f>
        <v>386.36871750115944</v>
      </c>
      <c r="C135" s="70"/>
      <c r="D135" t="s">
        <v>263</v>
      </c>
      <c r="E135" s="4">
        <f t="shared" ca="1" si="3"/>
        <v>226.75833749415148</v>
      </c>
    </row>
    <row r="136" spans="1:5" ht="18" x14ac:dyDescent="0.35">
      <c r="A136" t="s">
        <v>264</v>
      </c>
      <c r="B136" s="66">
        <f ca="1">SUMPRODUCT($E$99:$E$114,I$67:I$82)</f>
        <v>432.57823816543032</v>
      </c>
      <c r="D136" t="s">
        <v>265</v>
      </c>
      <c r="E136" s="4">
        <f t="shared" ca="1" si="3"/>
        <v>236.40511083257584</v>
      </c>
    </row>
    <row r="137" spans="1:5" ht="18" x14ac:dyDescent="0.35">
      <c r="A137" t="s">
        <v>266</v>
      </c>
      <c r="B137" s="66">
        <f ca="1">SUMPRODUCT($E$99:$E$114,J$67:J$82)</f>
        <v>299.60156188365494</v>
      </c>
      <c r="D137" t="s">
        <v>267</v>
      </c>
      <c r="E137" s="4">
        <f t="shared" ca="1" si="3"/>
        <v>246.76082506191898</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276.35074371959456</v>
      </c>
    </row>
    <row r="141" spans="1:5" ht="18" x14ac:dyDescent="0.35">
      <c r="B141" s="66"/>
      <c r="D141" t="s">
        <v>273</v>
      </c>
      <c r="E141" s="4">
        <f t="shared" ca="1" si="3"/>
        <v>378.76044577280231</v>
      </c>
    </row>
    <row r="142" spans="1:5" ht="18" x14ac:dyDescent="0.35">
      <c r="B142" s="66"/>
      <c r="D142" t="s">
        <v>274</v>
      </c>
      <c r="E142" s="4">
        <f t="shared" ca="1" si="3"/>
        <v>414.35744691016907</v>
      </c>
    </row>
    <row r="143" spans="1:5" ht="18" x14ac:dyDescent="0.35">
      <c r="B143" s="66"/>
      <c r="D143" t="s">
        <v>275</v>
      </c>
      <c r="E143" s="4">
        <f t="shared" si="3"/>
        <v>309.02044691016908</v>
      </c>
    </row>
    <row r="144" spans="1:5" ht="18" x14ac:dyDescent="0.35">
      <c r="B144" s="66"/>
      <c r="D144" t="s">
        <v>276</v>
      </c>
      <c r="E144" s="4">
        <f t="shared" si="3"/>
        <v>470.6440132839781</v>
      </c>
    </row>
    <row r="145" spans="1:5" ht="18" x14ac:dyDescent="0.35">
      <c r="B145" s="66"/>
      <c r="D145" t="s">
        <v>277</v>
      </c>
      <c r="E145" s="4">
        <f t="shared" si="3"/>
        <v>292.07370007863966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0.29597092688082333</v>
      </c>
      <c r="C162" s="13"/>
      <c r="D162" t="s">
        <v>283</v>
      </c>
      <c r="E162" s="71">
        <f t="shared" ref="E162:E177" ca="1" si="5">($F41*$E130)/SUMPRODUCT($F$41:$F$56,$E$130:$E$145)</f>
        <v>4.3852799120701544E-3</v>
      </c>
    </row>
    <row r="163" spans="1:9" ht="18" x14ac:dyDescent="0.35">
      <c r="A163" t="s">
        <v>284</v>
      </c>
      <c r="B163" s="71">
        <f t="shared" ca="1" si="4"/>
        <v>4.4019399770937034E-3</v>
      </c>
      <c r="C163" s="4"/>
      <c r="D163" t="s">
        <v>285</v>
      </c>
      <c r="E163" s="71">
        <f t="shared" ca="1" si="5"/>
        <v>8.8773219136179443E-2</v>
      </c>
    </row>
    <row r="164" spans="1:9" ht="18" x14ac:dyDescent="0.35">
      <c r="A164" t="s">
        <v>286</v>
      </c>
      <c r="B164" s="71">
        <f t="shared" ca="1" si="4"/>
        <v>0.33874597928767747</v>
      </c>
      <c r="C164" s="4"/>
      <c r="D164" t="s">
        <v>287</v>
      </c>
      <c r="E164" s="71">
        <f t="shared" ca="1" si="5"/>
        <v>0.12912746658844282</v>
      </c>
      <c r="H164" s="72"/>
      <c r="I164" s="72"/>
    </row>
    <row r="165" spans="1:9" ht="18" x14ac:dyDescent="0.35">
      <c r="A165" t="s">
        <v>288</v>
      </c>
      <c r="B165" s="71">
        <f t="shared" ca="1" si="4"/>
        <v>7.6784702848935304E-3</v>
      </c>
      <c r="C165" s="4"/>
      <c r="D165" t="s">
        <v>289</v>
      </c>
      <c r="E165" s="71">
        <f t="shared" ca="1" si="5"/>
        <v>1.9641886271158159E-2</v>
      </c>
    </row>
    <row r="166" spans="1:9" ht="18" x14ac:dyDescent="0.35">
      <c r="A166" t="s">
        <v>290</v>
      </c>
      <c r="B166" s="71">
        <f t="shared" ca="1" si="4"/>
        <v>0</v>
      </c>
      <c r="C166" s="4"/>
      <c r="D166" t="s">
        <v>291</v>
      </c>
      <c r="E166" s="71">
        <f t="shared" ca="1" si="5"/>
        <v>0.13327407753006018</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7.9198477926975666E-2</v>
      </c>
      <c r="C169" s="4"/>
      <c r="D169" t="s">
        <v>297</v>
      </c>
      <c r="E169" s="71">
        <f t="shared" ca="1" si="5"/>
        <v>9.1603371528331742E-3</v>
      </c>
    </row>
    <row r="170" spans="1:9" ht="18" x14ac:dyDescent="0.35">
      <c r="A170" t="s">
        <v>298</v>
      </c>
      <c r="B170" s="71">
        <f t="shared" ca="1" si="4"/>
        <v>5.9523025464290943E-3</v>
      </c>
      <c r="D170" t="s">
        <v>299</v>
      </c>
      <c r="E170" s="71">
        <f t="shared" ca="1" si="5"/>
        <v>2.2447266066533016E-2</v>
      </c>
    </row>
    <row r="171" spans="1:9" ht="18" x14ac:dyDescent="0.35">
      <c r="A171" t="s">
        <v>300</v>
      </c>
      <c r="B171" s="71">
        <f t="shared" ca="1" si="4"/>
        <v>6.7300510565999972E-3</v>
      </c>
      <c r="D171" t="s">
        <v>301</v>
      </c>
      <c r="E171" s="71">
        <f t="shared" ca="1" si="5"/>
        <v>3.8556314841768372E-2</v>
      </c>
    </row>
    <row r="172" spans="1:9" ht="18" x14ac:dyDescent="0.35">
      <c r="B172" s="175">
        <f ca="1">SUM(B162:B171)</f>
        <v>1.0000000000000002</v>
      </c>
      <c r="D172" t="s">
        <v>302</v>
      </c>
      <c r="E172" s="71">
        <f t="shared" ca="1" si="5"/>
        <v>9.1745779905480565E-2</v>
      </c>
    </row>
    <row r="173" spans="1:9" ht="18" x14ac:dyDescent="0.35">
      <c r="B173" s="71"/>
      <c r="D173" t="s">
        <v>303</v>
      </c>
      <c r="E173" s="71">
        <f t="shared" ca="1" si="5"/>
        <v>5.1536153433999747E-2</v>
      </c>
    </row>
    <row r="174" spans="1:9" ht="18" x14ac:dyDescent="0.35">
      <c r="B174" s="71"/>
      <c r="D174" t="s">
        <v>304</v>
      </c>
      <c r="E174" s="71">
        <f t="shared" ca="1" si="5"/>
        <v>7.3695598781305993E-2</v>
      </c>
    </row>
    <row r="175" spans="1:9" ht="18" x14ac:dyDescent="0.35">
      <c r="B175" s="71"/>
      <c r="D175" t="s">
        <v>305</v>
      </c>
      <c r="E175" s="71">
        <f t="shared" ca="1" si="5"/>
        <v>0</v>
      </c>
    </row>
    <row r="176" spans="1:9" ht="18" x14ac:dyDescent="0.35">
      <c r="B176" s="71"/>
      <c r="D176" t="s">
        <v>306</v>
      </c>
      <c r="E176" s="71">
        <f t="shared" ca="1" si="5"/>
        <v>0.23086385167581194</v>
      </c>
    </row>
    <row r="177" spans="1:5" ht="18" x14ac:dyDescent="0.35">
      <c r="B177" s="71"/>
      <c r="D177" t="s">
        <v>307</v>
      </c>
      <c r="E177" s="71">
        <f t="shared" ca="1" si="5"/>
        <v>7.882255536523752E-3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741.9190068640213</v>
      </c>
      <c r="C193" s="19"/>
      <c r="D193" t="s">
        <v>311</v>
      </c>
      <c r="E193" s="5">
        <f t="shared" ref="E193:E208" ca="1" si="7">$E162*$D$8</f>
        <v>4.7111613555214005</v>
      </c>
    </row>
    <row r="194" spans="1:5" ht="18" x14ac:dyDescent="0.35">
      <c r="A194" t="s">
        <v>312</v>
      </c>
      <c r="B194" s="6">
        <f t="shared" ca="1" si="6"/>
        <v>11.034472103388199</v>
      </c>
      <c r="D194" t="s">
        <v>313</v>
      </c>
      <c r="E194" s="5">
        <f t="shared" ca="1" si="7"/>
        <v>95.370185663284261</v>
      </c>
    </row>
    <row r="195" spans="1:5" ht="18" x14ac:dyDescent="0.35">
      <c r="A195" t="s">
        <v>314</v>
      </c>
      <c r="B195" s="6">
        <f t="shared" ca="1" si="6"/>
        <v>849.14448584840977</v>
      </c>
      <c r="D195" t="s">
        <v>315</v>
      </c>
      <c r="E195" s="5">
        <f t="shared" ca="1" si="7"/>
        <v>138.72326116593868</v>
      </c>
    </row>
    <row r="196" spans="1:5" ht="18" x14ac:dyDescent="0.35">
      <c r="A196" t="s">
        <v>316</v>
      </c>
      <c r="B196" s="6">
        <f t="shared" ca="1" si="6"/>
        <v>19.247846766709628</v>
      </c>
      <c r="D196" t="s">
        <v>317</v>
      </c>
      <c r="E196" s="5">
        <f t="shared" ca="1" si="7"/>
        <v>21.101525422705173</v>
      </c>
    </row>
    <row r="197" spans="1:5" ht="18" x14ac:dyDescent="0.35">
      <c r="A197" t="s">
        <v>318</v>
      </c>
      <c r="B197" s="6">
        <f t="shared" ca="1" si="6"/>
        <v>0</v>
      </c>
      <c r="D197" t="s">
        <v>319</v>
      </c>
      <c r="E197" s="5">
        <f t="shared" ca="1" si="7"/>
        <v>143.17801744518104</v>
      </c>
    </row>
    <row r="198" spans="1:5" ht="18" x14ac:dyDescent="0.35">
      <c r="A198" t="s">
        <v>320</v>
      </c>
      <c r="B198" s="6">
        <f t="shared" ca="1" si="6"/>
        <v>0</v>
      </c>
      <c r="D198" t="s">
        <v>321</v>
      </c>
      <c r="E198" s="5">
        <f t="shared" ca="1" si="7"/>
        <v>54.945551433229184</v>
      </c>
    </row>
    <row r="199" spans="1:5" ht="18" x14ac:dyDescent="0.35">
      <c r="A199" t="s">
        <v>322</v>
      </c>
      <c r="B199" s="6">
        <f t="shared" ca="1" si="6"/>
        <v>655.06315427760342</v>
      </c>
      <c r="D199" t="s">
        <v>323</v>
      </c>
      <c r="E199" s="5">
        <f t="shared" ca="1" si="7"/>
        <v>51.315256687251377</v>
      </c>
    </row>
    <row r="200" spans="1:5" ht="18" x14ac:dyDescent="0.35">
      <c r="A200" t="s">
        <v>324</v>
      </c>
      <c r="B200" s="6">
        <f t="shared" ca="1" si="6"/>
        <v>198.52914848080312</v>
      </c>
      <c r="D200" t="s">
        <v>325</v>
      </c>
      <c r="E200" s="5">
        <f t="shared" ca="1" si="7"/>
        <v>9.8410653968042965</v>
      </c>
    </row>
    <row r="201" spans="1:5" ht="18" x14ac:dyDescent="0.35">
      <c r="A201" t="s">
        <v>326</v>
      </c>
      <c r="B201" s="6">
        <f t="shared" ca="1" si="6"/>
        <v>14.920811447061729</v>
      </c>
      <c r="D201" t="s">
        <v>327</v>
      </c>
      <c r="E201" s="5">
        <f t="shared" ca="1" si="7"/>
        <v>24.115380215224317</v>
      </c>
    </row>
    <row r="202" spans="1:5" ht="18" x14ac:dyDescent="0.35">
      <c r="A202" t="s">
        <v>328</v>
      </c>
      <c r="B202" s="6">
        <f t="shared" ca="1" si="6"/>
        <v>16.870416458395546</v>
      </c>
      <c r="D202" t="s">
        <v>329</v>
      </c>
      <c r="E202" s="5">
        <f t="shared" ca="1" si="7"/>
        <v>41.421533889750364</v>
      </c>
    </row>
    <row r="203" spans="1:5" ht="18" x14ac:dyDescent="0.35">
      <c r="B203" s="6">
        <f ca="1">SUM(B193:B202)</f>
        <v>2506.7293422463927</v>
      </c>
      <c r="D203" t="s">
        <v>330</v>
      </c>
      <c r="E203" s="5">
        <f t="shared" ca="1" si="7"/>
        <v>98.563645078434675</v>
      </c>
    </row>
    <row r="204" spans="1:5" ht="18" x14ac:dyDescent="0.35">
      <c r="B204" s="6"/>
      <c r="D204" t="s">
        <v>331</v>
      </c>
      <c r="E204" s="5">
        <f t="shared" ca="1" si="7"/>
        <v>55.36593771407972</v>
      </c>
    </row>
    <row r="205" spans="1:5" ht="18" x14ac:dyDescent="0.35">
      <c r="B205" s="6"/>
      <c r="D205" t="s">
        <v>332</v>
      </c>
      <c r="E205" s="5">
        <f t="shared" ca="1" si="7"/>
        <v>79.172108511221666</v>
      </c>
    </row>
    <row r="206" spans="1:5" ht="18" x14ac:dyDescent="0.35">
      <c r="B206" s="6"/>
      <c r="D206" t="s">
        <v>333</v>
      </c>
      <c r="E206" s="5">
        <f t="shared" ca="1" si="7"/>
        <v>0</v>
      </c>
    </row>
    <row r="207" spans="1:5" ht="18" x14ac:dyDescent="0.35">
      <c r="B207" s="6"/>
      <c r="D207" t="s">
        <v>334</v>
      </c>
      <c r="E207" s="5">
        <f t="shared" ca="1" si="7"/>
        <v>248.01993902561861</v>
      </c>
    </row>
    <row r="208" spans="1:5" ht="18" x14ac:dyDescent="0.35">
      <c r="B208" s="6"/>
      <c r="D208" t="s">
        <v>335</v>
      </c>
      <c r="E208" s="5">
        <f t="shared" ca="1" si="7"/>
        <v>8.4680062442092154</v>
      </c>
    </row>
    <row r="209" spans="1:5" x14ac:dyDescent="0.25">
      <c r="B209" s="6"/>
      <c r="E209" s="5">
        <f ca="1">SUM(E193:E208)</f>
        <v>1074.3125752484539</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4.8994987682463593</v>
      </c>
      <c r="D226" s="77"/>
      <c r="E226" s="7"/>
      <c r="F226" s="7"/>
      <c r="G226" s="78"/>
      <c r="H226" s="20" t="s">
        <v>343</v>
      </c>
      <c r="I226" s="20" t="str">
        <f t="shared" ref="I226:I241" si="9">B41</f>
        <v>NTS MG 1</v>
      </c>
      <c r="J226" s="11">
        <f t="shared" ref="J226:J241" ca="1" si="10">IFERROR($E193/$F41*1000000," ")</f>
        <v>4.1212776463532101</v>
      </c>
      <c r="L226" s="12"/>
      <c r="M226" s="79"/>
      <c r="Q226" s="7"/>
      <c r="R226" s="80"/>
      <c r="S226" s="81"/>
      <c r="T226" s="81"/>
      <c r="U226" s="81"/>
    </row>
    <row r="227" spans="1:22" ht="18" x14ac:dyDescent="0.25">
      <c r="A227" s="20" t="s">
        <v>344</v>
      </c>
      <c r="B227" s="20" t="str">
        <f t="shared" ref="B227:B235" si="11">B25</f>
        <v>PR-GNLBGB</v>
      </c>
      <c r="C227" s="11">
        <f t="shared" ca="1" si="8"/>
        <v>4.0522338413851964</v>
      </c>
      <c r="D227" s="77"/>
      <c r="E227" s="7"/>
      <c r="F227" s="7"/>
      <c r="G227" s="78"/>
      <c r="H227" s="20" t="s">
        <v>345</v>
      </c>
      <c r="I227" s="20" t="str">
        <f t="shared" si="9"/>
        <v>NTS MG 2</v>
      </c>
      <c r="J227" s="11">
        <f t="shared" ca="1" si="10"/>
        <v>5.1557932381014089</v>
      </c>
      <c r="L227" s="12"/>
      <c r="M227" s="79"/>
      <c r="Q227" s="7"/>
      <c r="R227" s="80"/>
      <c r="S227" s="81"/>
      <c r="T227" s="81"/>
      <c r="U227" s="81"/>
    </row>
    <row r="228" spans="1:22" ht="18" x14ac:dyDescent="0.25">
      <c r="A228" s="20" t="s">
        <v>346</v>
      </c>
      <c r="B228" s="20" t="str">
        <f t="shared" si="11"/>
        <v>PR-ITABORAÍ</v>
      </c>
      <c r="C228" s="11">
        <f t="shared" ca="1" si="8"/>
        <v>4.5979764905780955</v>
      </c>
      <c r="D228" s="77"/>
      <c r="E228" s="7"/>
      <c r="F228" s="7"/>
      <c r="G228" s="78"/>
      <c r="H228" s="20" t="s">
        <v>347</v>
      </c>
      <c r="I228" s="20" t="str">
        <f t="shared" si="9"/>
        <v>NTS MG 3</v>
      </c>
      <c r="J228" s="11">
        <f t="shared" ca="1" si="10"/>
        <v>6.4032637643281607</v>
      </c>
      <c r="L228" s="12"/>
      <c r="M228" s="79"/>
      <c r="Q228" s="7"/>
      <c r="R228" s="80"/>
      <c r="S228" s="81"/>
      <c r="T228" s="81"/>
      <c r="U228" s="81"/>
    </row>
    <row r="229" spans="1:22" ht="18" x14ac:dyDescent="0.25">
      <c r="A229" s="20" t="s">
        <v>348</v>
      </c>
      <c r="B229" s="20" t="str">
        <f t="shared" si="11"/>
        <v>PR-GASPAJ (INTERCONEXÃO)</v>
      </c>
      <c r="C229" s="11">
        <f t="shared" ca="1" si="8"/>
        <v>5.4794299645875908</v>
      </c>
      <c r="D229" s="77"/>
      <c r="E229" s="7"/>
      <c r="F229" s="7"/>
      <c r="G229" s="78"/>
      <c r="H229" s="20" t="s">
        <v>349</v>
      </c>
      <c r="I229" s="20" t="str">
        <f t="shared" si="9"/>
        <v>NTS MG 4</v>
      </c>
      <c r="J229" s="11">
        <f t="shared" ca="1" si="10"/>
        <v>6.0093343098378336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2.5563788652635533</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2.414320485947469</v>
      </c>
      <c r="L231" s="12"/>
      <c r="M231" s="79"/>
      <c r="Q231" s="7"/>
      <c r="R231" s="80"/>
      <c r="S231" s="81"/>
      <c r="T231" s="81"/>
      <c r="U231" s="81"/>
    </row>
    <row r="232" spans="1:22" ht="18" x14ac:dyDescent="0.25">
      <c r="A232" s="20" t="s">
        <v>354</v>
      </c>
      <c r="B232" s="20" t="str">
        <f t="shared" si="11"/>
        <v>PR-TECAB</v>
      </c>
      <c r="C232" s="11">
        <f t="shared" ca="1" si="8"/>
        <v>6.1953913019528146</v>
      </c>
      <c r="D232" s="77"/>
      <c r="E232" s="7"/>
      <c r="F232" s="7"/>
      <c r="G232" s="78"/>
      <c r="H232" s="20" t="s">
        <v>355</v>
      </c>
      <c r="I232" s="20" t="str">
        <f t="shared" si="9"/>
        <v>NTS RJ 3</v>
      </c>
      <c r="J232" s="11">
        <f t="shared" ca="1" si="10"/>
        <v>2.5170307225439537</v>
      </c>
      <c r="L232" s="12"/>
      <c r="M232" s="79"/>
      <c r="Q232" s="7"/>
      <c r="R232" s="80"/>
      <c r="S232" s="81"/>
      <c r="T232" s="81"/>
      <c r="U232" s="81"/>
    </row>
    <row r="233" spans="1:22" ht="18" x14ac:dyDescent="0.25">
      <c r="A233" s="20" t="s">
        <v>356</v>
      </c>
      <c r="B233" s="20" t="str">
        <f t="shared" si="11"/>
        <v>PR-GUARAREMA (INTERCONEXÃO)</v>
      </c>
      <c r="C233" s="11">
        <f t="shared" ca="1" si="8"/>
        <v>4.2908975689979787</v>
      </c>
      <c r="D233" s="77"/>
      <c r="E233" s="7"/>
      <c r="F233" s="7"/>
      <c r="G233" s="78"/>
      <c r="H233" s="20" t="s">
        <v>357</v>
      </c>
      <c r="I233" s="20" t="str">
        <f t="shared" si="9"/>
        <v>NTS RJ 4</v>
      </c>
      <c r="J233" s="11">
        <f t="shared" ca="1" si="10"/>
        <v>2.6272891292989673</v>
      </c>
      <c r="L233" s="12"/>
      <c r="M233" s="79"/>
      <c r="Q233" s="7"/>
      <c r="R233" s="80"/>
      <c r="S233" s="81"/>
      <c r="T233" s="81"/>
      <c r="U233" s="81"/>
    </row>
    <row r="234" spans="1:22" ht="18" x14ac:dyDescent="0.25">
      <c r="A234" s="20" t="s">
        <v>358</v>
      </c>
      <c r="B234" s="20" t="str">
        <f t="shared" si="11"/>
        <v>PR-REPLAN (INTERCONEXÃO)</v>
      </c>
      <c r="C234" s="11">
        <f t="shared" ca="1" si="8"/>
        <v>5.4794299645875908</v>
      </c>
      <c r="D234" s="72"/>
      <c r="E234" s="7"/>
      <c r="F234" s="7"/>
      <c r="G234" s="72"/>
      <c r="H234" s="20" t="s">
        <v>359</v>
      </c>
      <c r="I234" s="20" t="str">
        <f t="shared" si="9"/>
        <v>NTS RJ 5</v>
      </c>
      <c r="J234" s="11">
        <f t="shared" ca="1" si="10"/>
        <v>2.5448250152764764</v>
      </c>
      <c r="L234" s="12"/>
      <c r="Q234" s="7"/>
      <c r="R234" s="80"/>
      <c r="S234" s="81"/>
      <c r="T234" s="81"/>
      <c r="U234" s="81"/>
    </row>
    <row r="235" spans="1:22" ht="18" x14ac:dyDescent="0.25">
      <c r="A235" s="20" t="s">
        <v>360</v>
      </c>
      <c r="B235" s="20" t="str">
        <f t="shared" si="11"/>
        <v>PR-TECAB (INTERCONEXÃO)</v>
      </c>
      <c r="C235" s="11">
        <f t="shared" ca="1" si="8"/>
        <v>6.1953913019528137</v>
      </c>
      <c r="D235" s="72"/>
      <c r="E235" s="7"/>
      <c r="F235" s="7"/>
      <c r="G235" s="72"/>
      <c r="H235" s="20" t="s">
        <v>361</v>
      </c>
      <c r="I235" s="20" t="str">
        <f t="shared" si="9"/>
        <v>NTS SP 1</v>
      </c>
      <c r="J235" s="11">
        <f t="shared" ca="1" si="10"/>
        <v>3.0587877669967636</v>
      </c>
      <c r="L235" s="12"/>
      <c r="Q235" s="7"/>
      <c r="R235" s="80"/>
      <c r="S235" s="81"/>
      <c r="T235" s="81"/>
      <c r="U235" s="81"/>
    </row>
    <row r="236" spans="1:22" ht="18" x14ac:dyDescent="0.25">
      <c r="D236" s="72"/>
      <c r="E236" s="7"/>
      <c r="F236" s="7"/>
      <c r="G236" s="72"/>
      <c r="H236" s="20" t="s">
        <v>362</v>
      </c>
      <c r="I236" s="20" t="str">
        <f t="shared" si="9"/>
        <v>NTS SP 2</v>
      </c>
      <c r="J236" s="11">
        <f t="shared" ca="1" si="10"/>
        <v>2.9423361859241197</v>
      </c>
      <c r="K236" s="72"/>
      <c r="L236" s="12"/>
      <c r="Q236" s="7"/>
      <c r="R236" s="80"/>
      <c r="S236" s="81"/>
      <c r="T236" s="81"/>
      <c r="U236" s="81"/>
    </row>
    <row r="237" spans="1:22" ht="18" x14ac:dyDescent="0.25">
      <c r="D237" s="72"/>
      <c r="E237" s="7"/>
      <c r="F237" s="7"/>
      <c r="G237" s="72"/>
      <c r="H237" s="20" t="s">
        <v>363</v>
      </c>
      <c r="I237" s="20" t="str">
        <f t="shared" si="9"/>
        <v>NTS SP 3</v>
      </c>
      <c r="J237" s="11">
        <f t="shared" ca="1" si="10"/>
        <v>4.0327033334307165</v>
      </c>
      <c r="L237" s="12"/>
      <c r="Q237" s="7"/>
      <c r="R237" s="80"/>
      <c r="S237" s="81"/>
      <c r="T237" s="81"/>
      <c r="U237" s="81"/>
    </row>
    <row r="238" spans="1:22" ht="18" x14ac:dyDescent="0.25">
      <c r="D238" s="72"/>
      <c r="E238" s="7"/>
      <c r="F238" s="7"/>
      <c r="G238" s="72"/>
      <c r="H238" s="20" t="s">
        <v>364</v>
      </c>
      <c r="I238" s="20" t="str">
        <f t="shared" si="9"/>
        <v>NTS SP 4</v>
      </c>
      <c r="J238" s="11">
        <f t="shared" ca="1" si="10"/>
        <v>4.4117084453660462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5.0109975907251831</v>
      </c>
      <c r="L240" s="12"/>
      <c r="Q240" s="7"/>
      <c r="R240" s="82"/>
      <c r="S240" s="9"/>
      <c r="T240" s="9"/>
      <c r="U240" s="9"/>
      <c r="V240" s="72"/>
    </row>
    <row r="241" spans="1:22" ht="18" x14ac:dyDescent="0.25">
      <c r="E241" s="7"/>
      <c r="F241" s="7"/>
      <c r="G241" s="72"/>
      <c r="H241" s="20" t="s">
        <v>367</v>
      </c>
      <c r="I241" s="20" t="str">
        <f t="shared" si="9"/>
        <v>PE-TECAB (INTERCONEXÃO)</v>
      </c>
      <c r="J241" s="11">
        <f t="shared" ca="1" si="10"/>
        <v>3.1097401987458304</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5.0155775102695941</v>
      </c>
      <c r="E245" s="11">
        <f ca="1">IFERROR(C245+D245," ")</f>
        <v>5.0155775102695941</v>
      </c>
      <c r="G245" s="79"/>
      <c r="H245" s="20" t="s">
        <v>343</v>
      </c>
      <c r="I245" s="20" t="str">
        <f t="shared" ref="I245:I260" si="15">I226</f>
        <v>NTS MG 1</v>
      </c>
      <c r="J245" s="11">
        <f t="shared" ref="J245:J260" ca="1" si="16">IF(F41=0," ",J226*(1-$C$11))</f>
        <v>0</v>
      </c>
      <c r="K245" s="11">
        <f t="shared" ref="K245:K260" si="17">$F$10*$C$11</f>
        <v>3.7286234563970182</v>
      </c>
      <c r="L245" s="11">
        <f ca="1">IFERROR(J245+K245," ")</f>
        <v>3.7286234563970182</v>
      </c>
    </row>
    <row r="246" spans="1:22" ht="18" x14ac:dyDescent="0.25">
      <c r="A246" s="20" t="s">
        <v>344</v>
      </c>
      <c r="B246" s="20" t="str">
        <f t="shared" si="12"/>
        <v>PR-GNLBGB</v>
      </c>
      <c r="C246" s="11">
        <f t="shared" ca="1" si="13"/>
        <v>0</v>
      </c>
      <c r="D246" s="11">
        <f t="shared" si="14"/>
        <v>5.0155775102695941</v>
      </c>
      <c r="E246" s="11">
        <f t="shared" ref="E246:E254" ca="1" si="18">IFERROR(C246+D246," ")</f>
        <v>5.0155775102695941</v>
      </c>
      <c r="G246" s="79"/>
      <c r="H246" s="20" t="s">
        <v>345</v>
      </c>
      <c r="I246" s="20" t="str">
        <f t="shared" si="15"/>
        <v>NTS MG 2</v>
      </c>
      <c r="J246" s="11">
        <f t="shared" ca="1" si="16"/>
        <v>0</v>
      </c>
      <c r="K246" s="11">
        <f t="shared" si="17"/>
        <v>3.7286234563970182</v>
      </c>
      <c r="L246" s="11">
        <f t="shared" ref="L246:L260" ca="1" si="19">IFERROR(J246+K246," ")</f>
        <v>3.7286234563970182</v>
      </c>
    </row>
    <row r="247" spans="1:22" ht="18" x14ac:dyDescent="0.25">
      <c r="A247" s="20" t="s">
        <v>346</v>
      </c>
      <c r="B247" s="20" t="str">
        <f t="shared" si="12"/>
        <v>PR-ITABORAÍ</v>
      </c>
      <c r="C247" s="11">
        <f t="shared" ca="1" si="13"/>
        <v>0</v>
      </c>
      <c r="D247" s="11">
        <f t="shared" si="14"/>
        <v>5.0155775102695941</v>
      </c>
      <c r="E247" s="11">
        <f t="shared" ca="1" si="18"/>
        <v>5.0155775102695941</v>
      </c>
      <c r="G247" s="79"/>
      <c r="H247" s="20" t="s">
        <v>347</v>
      </c>
      <c r="I247" s="20" t="str">
        <f t="shared" si="15"/>
        <v>NTS MG 3</v>
      </c>
      <c r="J247" s="11">
        <f t="shared" ca="1" si="16"/>
        <v>0</v>
      </c>
      <c r="K247" s="11">
        <f t="shared" si="17"/>
        <v>3.7286234563970182</v>
      </c>
      <c r="L247" s="11">
        <f t="shared" ca="1" si="19"/>
        <v>3.7286234563970182</v>
      </c>
    </row>
    <row r="248" spans="1:22" ht="18" x14ac:dyDescent="0.25">
      <c r="A248" s="20" t="s">
        <v>348</v>
      </c>
      <c r="B248" s="20" t="str">
        <f t="shared" si="12"/>
        <v>PR-GASPAJ (INTERCONEXÃO)</v>
      </c>
      <c r="C248" s="11">
        <f t="shared" ca="1" si="13"/>
        <v>0</v>
      </c>
      <c r="D248" s="11">
        <f t="shared" si="14"/>
        <v>5.0155775102695941</v>
      </c>
      <c r="E248" s="11">
        <f t="shared" ca="1" si="18"/>
        <v>5.0155775102695941</v>
      </c>
      <c r="G248" s="79"/>
      <c r="H248" s="20" t="s">
        <v>349</v>
      </c>
      <c r="I248" s="20" t="str">
        <f t="shared" si="15"/>
        <v>NTS MG 4</v>
      </c>
      <c r="J248" s="11">
        <f t="shared" ca="1" si="16"/>
        <v>0</v>
      </c>
      <c r="K248" s="11">
        <f t="shared" si="17"/>
        <v>3.7286234563970182</v>
      </c>
      <c r="L248" s="11">
        <f t="shared" ca="1" si="19"/>
        <v>3.7286234563970182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3.7286234563970182</v>
      </c>
      <c r="L249" s="11">
        <f t="shared" ca="1" si="19"/>
        <v>3.7286234563970182</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3.7286234563970182</v>
      </c>
      <c r="L250" s="11">
        <f t="shared" ca="1" si="19"/>
        <v>3.7286234563970182</v>
      </c>
    </row>
    <row r="251" spans="1:22" ht="18" x14ac:dyDescent="0.25">
      <c r="A251" s="20" t="s">
        <v>354</v>
      </c>
      <c r="B251" s="20" t="str">
        <f t="shared" si="12"/>
        <v>PR-TECAB</v>
      </c>
      <c r="C251" s="11">
        <f t="shared" ca="1" si="13"/>
        <v>0</v>
      </c>
      <c r="D251" s="11">
        <f t="shared" si="14"/>
        <v>5.0155775102695941</v>
      </c>
      <c r="E251" s="11">
        <f t="shared" ca="1" si="18"/>
        <v>5.0155775102695941</v>
      </c>
      <c r="G251" s="79"/>
      <c r="H251" s="20" t="s">
        <v>355</v>
      </c>
      <c r="I251" s="20" t="str">
        <f t="shared" si="15"/>
        <v>NTS RJ 3</v>
      </c>
      <c r="J251" s="11">
        <f t="shared" ca="1" si="16"/>
        <v>0</v>
      </c>
      <c r="K251" s="11">
        <f t="shared" si="17"/>
        <v>3.7286234563970182</v>
      </c>
      <c r="L251" s="11">
        <f t="shared" ca="1" si="19"/>
        <v>3.7286234563970182</v>
      </c>
    </row>
    <row r="252" spans="1:22" ht="18" x14ac:dyDescent="0.25">
      <c r="A252" s="20" t="s">
        <v>356</v>
      </c>
      <c r="B252" s="20" t="str">
        <f t="shared" si="12"/>
        <v>PR-GUARAREMA (INTERCONEXÃO)</v>
      </c>
      <c r="C252" s="11">
        <f t="shared" ca="1" si="13"/>
        <v>0</v>
      </c>
      <c r="D252" s="11">
        <f t="shared" si="14"/>
        <v>5.0155775102695941</v>
      </c>
      <c r="E252" s="11">
        <f t="shared" ca="1" si="18"/>
        <v>5.0155775102695941</v>
      </c>
      <c r="G252" s="79"/>
      <c r="H252" s="20" t="s">
        <v>357</v>
      </c>
      <c r="I252" s="20" t="str">
        <f t="shared" si="15"/>
        <v>NTS RJ 4</v>
      </c>
      <c r="J252" s="11">
        <f t="shared" ca="1" si="16"/>
        <v>0</v>
      </c>
      <c r="K252" s="11">
        <f t="shared" si="17"/>
        <v>3.7286234563970182</v>
      </c>
      <c r="L252" s="11">
        <f t="shared" ca="1" si="19"/>
        <v>3.7286234563970182</v>
      </c>
    </row>
    <row r="253" spans="1:22" ht="18" x14ac:dyDescent="0.25">
      <c r="A253" s="20" t="s">
        <v>358</v>
      </c>
      <c r="B253" s="20" t="str">
        <f t="shared" si="12"/>
        <v>PR-REPLAN (INTERCONEXÃO)</v>
      </c>
      <c r="C253" s="11">
        <f t="shared" ca="1" si="13"/>
        <v>0</v>
      </c>
      <c r="D253" s="11">
        <f t="shared" si="14"/>
        <v>5.0155775102695941</v>
      </c>
      <c r="E253" s="11">
        <f t="shared" ca="1" si="18"/>
        <v>5.0155775102695941</v>
      </c>
      <c r="G253" s="79"/>
      <c r="H253" s="20" t="s">
        <v>359</v>
      </c>
      <c r="I253" s="20" t="str">
        <f t="shared" si="15"/>
        <v>NTS RJ 5</v>
      </c>
      <c r="J253" s="11">
        <f t="shared" ca="1" si="16"/>
        <v>0</v>
      </c>
      <c r="K253" s="11">
        <f t="shared" si="17"/>
        <v>3.7286234563970182</v>
      </c>
      <c r="L253" s="11">
        <f t="shared" ca="1" si="19"/>
        <v>3.7286234563970182</v>
      </c>
    </row>
    <row r="254" spans="1:22" ht="18" x14ac:dyDescent="0.25">
      <c r="A254" s="20" t="s">
        <v>360</v>
      </c>
      <c r="B254" s="20" t="str">
        <f t="shared" si="12"/>
        <v>PR-TECAB (INTERCONEXÃO)</v>
      </c>
      <c r="C254" s="11">
        <f t="shared" ca="1" si="13"/>
        <v>0</v>
      </c>
      <c r="D254" s="11">
        <f t="shared" si="14"/>
        <v>5.0155775102695941</v>
      </c>
      <c r="E254" s="11">
        <f t="shared" ca="1" si="18"/>
        <v>5.0155775102695941</v>
      </c>
      <c r="G254" s="79"/>
      <c r="H254" s="20" t="s">
        <v>361</v>
      </c>
      <c r="I254" s="20" t="str">
        <f t="shared" si="15"/>
        <v>NTS SP 1</v>
      </c>
      <c r="J254" s="11">
        <f t="shared" ca="1" si="16"/>
        <v>0</v>
      </c>
      <c r="K254" s="11">
        <f t="shared" si="17"/>
        <v>3.7286234563970182</v>
      </c>
      <c r="L254" s="11">
        <f t="shared" ca="1" si="19"/>
        <v>3.7286234563970182</v>
      </c>
    </row>
    <row r="255" spans="1:22" ht="18" x14ac:dyDescent="0.25">
      <c r="H255" s="20" t="s">
        <v>362</v>
      </c>
      <c r="I255" s="20" t="str">
        <f t="shared" si="15"/>
        <v>NTS SP 2</v>
      </c>
      <c r="J255" s="11">
        <f t="shared" ca="1" si="16"/>
        <v>0</v>
      </c>
      <c r="K255" s="11">
        <f t="shared" si="17"/>
        <v>3.7286234563970182</v>
      </c>
      <c r="L255" s="11">
        <f t="shared" ca="1" si="19"/>
        <v>3.7286234563970182</v>
      </c>
    </row>
    <row r="256" spans="1:22" ht="18" x14ac:dyDescent="0.25">
      <c r="H256" s="20" t="s">
        <v>363</v>
      </c>
      <c r="I256" s="20" t="str">
        <f t="shared" si="15"/>
        <v>NTS SP 3</v>
      </c>
      <c r="J256" s="11">
        <f t="shared" ca="1" si="16"/>
        <v>0</v>
      </c>
      <c r="K256" s="11">
        <f t="shared" si="17"/>
        <v>3.7286234563970182</v>
      </c>
      <c r="L256" s="11">
        <f t="shared" ca="1" si="19"/>
        <v>3.7286234563970182</v>
      </c>
    </row>
    <row r="257" spans="1:13" ht="18" x14ac:dyDescent="0.25">
      <c r="H257" s="20" t="s">
        <v>364</v>
      </c>
      <c r="I257" s="20" t="str">
        <f t="shared" si="15"/>
        <v>NTS SP 4</v>
      </c>
      <c r="J257" s="11">
        <f t="shared" ca="1" si="16"/>
        <v>0</v>
      </c>
      <c r="K257" s="11">
        <f t="shared" si="17"/>
        <v>3.7286234563970182</v>
      </c>
      <c r="L257" s="11">
        <f t="shared" ca="1" si="19"/>
        <v>3.7286234563970182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3.7286234563970182</v>
      </c>
      <c r="L259" s="11">
        <f t="shared" ca="1" si="19"/>
        <v>3.7286234563970182</v>
      </c>
    </row>
    <row r="260" spans="1:13" ht="18" x14ac:dyDescent="0.25">
      <c r="H260" s="20" t="s">
        <v>367</v>
      </c>
      <c r="I260" s="20" t="str">
        <f t="shared" si="15"/>
        <v>PE-TECAB (INTERCONEXÃO)</v>
      </c>
      <c r="J260" s="11">
        <f t="shared" ca="1" si="16"/>
        <v>0</v>
      </c>
      <c r="K260" s="11">
        <f t="shared" si="17"/>
        <v>3.7286234563970182</v>
      </c>
      <c r="L260" s="11">
        <f t="shared" ca="1" si="19"/>
        <v>3.7286234563970182</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(BRA)'!G11</f>
        <v>200</v>
      </c>
      <c r="D267" s="207">
        <f ca="1">E253</f>
        <v>5.0155775102695941</v>
      </c>
      <c r="E267" s="210">
        <f ca="1">D267*(1-$C$262)</f>
        <v>0.50155775102695932</v>
      </c>
      <c r="F267" s="208">
        <f ca="1">C267*E267*'Premissas (BRA)'!$C$35*'Premissas (BRA)'!$F$20*1000</f>
        <v>1365771.38155809</v>
      </c>
      <c r="L267" s="84"/>
    </row>
    <row r="268" spans="1:13" ht="18.75" x14ac:dyDescent="0.3">
      <c r="B268" s="189" t="s">
        <v>376</v>
      </c>
      <c r="C268" s="213">
        <f>'Oferta (BRA)'!G10</f>
        <v>3398.2010229822185</v>
      </c>
      <c r="D268" s="207">
        <f ca="1">E252</f>
        <v>5.0155775102695941</v>
      </c>
      <c r="E268" s="210">
        <f t="shared" ref="E268:E270" ca="1" si="20">D268*(1-$C$262)</f>
        <v>0.50155775102695932</v>
      </c>
      <c r="F268" s="208">
        <f ca="1">C268*E268*'Premissas (BRA)'!$C$35*'Premissas (BRA)'!$F$20*1000</f>
        <v>23205828.529852696</v>
      </c>
      <c r="G268" s="85"/>
      <c r="K268" s="85"/>
      <c r="L268" s="84"/>
    </row>
    <row r="269" spans="1:13" ht="18.75" x14ac:dyDescent="0.3">
      <c r="B269" s="190" t="s">
        <v>377</v>
      </c>
      <c r="C269" s="213">
        <f>'Oferta (BRA)'!G12</f>
        <v>200</v>
      </c>
      <c r="D269" s="207">
        <f ca="1">E254</f>
        <v>5.0155775102695941</v>
      </c>
      <c r="E269" s="210">
        <f t="shared" ca="1" si="20"/>
        <v>0.50155775102695932</v>
      </c>
      <c r="F269" s="208">
        <f ca="1">C269*E269*'Premissas (BRA)'!$C$35*'Premissas (BRA)'!$F$20*1000</f>
        <v>1365771.38155809</v>
      </c>
      <c r="K269" s="85"/>
      <c r="L269" s="84"/>
    </row>
    <row r="270" spans="1:13" ht="18.75" x14ac:dyDescent="0.3">
      <c r="B270" s="190" t="s">
        <v>185</v>
      </c>
      <c r="C270" s="213">
        <f>'Oferta (BRA)'!G6</f>
        <v>258</v>
      </c>
      <c r="D270" s="207">
        <f ca="1">E248</f>
        <v>5.0155775102695941</v>
      </c>
      <c r="E270" s="210">
        <f t="shared" ca="1" si="20"/>
        <v>0.50155775102695932</v>
      </c>
      <c r="F270" s="208">
        <f ca="1">C270*E270*'Premissas (BRA)'!$C$35*'Premissas (BRA)'!$F$20*1000</f>
        <v>1761845.0822099361</v>
      </c>
      <c r="K270" s="85"/>
      <c r="L270" s="84"/>
    </row>
    <row r="271" spans="1:13" ht="18.75" x14ac:dyDescent="0.3">
      <c r="B271" s="188" t="s">
        <v>378</v>
      </c>
      <c r="C271" s="213">
        <f>'Demanda (BRA)'!G17</f>
        <v>3635.2588149970047</v>
      </c>
      <c r="D271" s="207">
        <f ca="1">L259</f>
        <v>3.7286234563970182</v>
      </c>
      <c r="E271" s="210">
        <f ca="1">D271*(1-$C$262)</f>
        <v>0.37286234563970172</v>
      </c>
      <c r="F271" s="208">
        <f ca="1">C271*E271*'Premissas (BRA)'!$C$35*'Premissas (BRA)'!$F$20*1000</f>
        <v>18454867.430324346</v>
      </c>
      <c r="K271" s="85"/>
      <c r="L271" s="84"/>
    </row>
    <row r="272" spans="1:13" ht="18.75" x14ac:dyDescent="0.3">
      <c r="B272" s="190" t="s">
        <v>379</v>
      </c>
      <c r="C272" s="213">
        <f>'Demanda (BRA)'!G18</f>
        <v>200</v>
      </c>
      <c r="D272" s="207">
        <f ca="1">L260</f>
        <v>3.7286234563970182</v>
      </c>
      <c r="E272" s="210">
        <f ca="1">D272*(1-$C$262)</f>
        <v>0.37286234563970172</v>
      </c>
      <c r="F272" s="208">
        <f ca="1">C272*E272*'Premissas (BRA)'!$C$35*'Premissas (BRA)'!$F$20*1000</f>
        <v>1015326.1910370775</v>
      </c>
      <c r="K272" s="85"/>
      <c r="L272" s="84"/>
    </row>
    <row r="273" spans="2:13" ht="19.5" thickBot="1" x14ac:dyDescent="0.35">
      <c r="B273" s="190"/>
      <c r="C273" s="190"/>
      <c r="D273" s="190"/>
      <c r="E273" s="190"/>
      <c r="F273" s="209">
        <f ca="1">SUM(F267:F272)</f>
        <v>47169409.996540233</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A0F0-6727-412C-89E1-5E3155D8F59C}">
  <sheetPr codeName="Planilha44">
    <tabColor theme="5"/>
  </sheetPr>
  <dimension ref="A2:AA303"/>
  <sheetViews>
    <sheetView showGridLines="0" topLeftCell="A257"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2030</v>
      </c>
    </row>
    <row r="4" spans="1:9" ht="18.75" thickBot="1" x14ac:dyDescent="0.3">
      <c r="A4" s="162"/>
      <c r="B4" s="163" t="s">
        <v>102</v>
      </c>
      <c r="C4" s="164" t="s">
        <v>200</v>
      </c>
      <c r="D4" s="306">
        <f>('Premissas (BRA)'!F33)/1000</f>
        <v>3581.0419174948461</v>
      </c>
      <c r="E4" s="166" t="s">
        <v>103</v>
      </c>
      <c r="F4" s="162"/>
      <c r="G4" s="162"/>
      <c r="H4" s="177"/>
      <c r="I4" s="177"/>
    </row>
    <row r="5" spans="1:9" ht="15.75" thickBot="1" x14ac:dyDescent="0.3">
      <c r="A5" s="153"/>
      <c r="B5" s="197" t="s">
        <v>385</v>
      </c>
      <c r="C5" s="150"/>
      <c r="D5" s="307">
        <f ca="1">D6+D9</f>
        <v>3533.8725074983058</v>
      </c>
      <c r="E5" s="166" t="s">
        <v>103</v>
      </c>
      <c r="F5" s="215" t="s">
        <v>390</v>
      </c>
      <c r="G5" s="153"/>
      <c r="H5" s="177"/>
      <c r="I5" s="177"/>
    </row>
    <row r="6" spans="1:9" ht="18" x14ac:dyDescent="0.25">
      <c r="A6" s="148">
        <f>HLOOKUP($G$3,'Premissas (BRA)'!$B$5:$F$13,9,FALSE)</f>
        <v>0.7</v>
      </c>
      <c r="B6" s="149" t="s">
        <v>104</v>
      </c>
      <c r="C6" s="150" t="s">
        <v>201</v>
      </c>
      <c r="D6" s="307">
        <f ca="1">($A$6*$D$4)-(SUM($F$268:$F$271)/10^6)</f>
        <v>2479.0301258712134</v>
      </c>
      <c r="E6" s="152" t="s">
        <v>105</v>
      </c>
      <c r="F6" s="215" t="s">
        <v>383</v>
      </c>
      <c r="G6" s="153"/>
      <c r="H6" s="177"/>
    </row>
    <row r="7" spans="1:9" ht="30" x14ac:dyDescent="0.25">
      <c r="A7" s="48"/>
      <c r="B7" s="154" t="s">
        <v>106</v>
      </c>
      <c r="C7" s="155" t="s">
        <v>202</v>
      </c>
      <c r="D7" s="308">
        <f>$C$35*'Premissas (BRA)'!$F$20</f>
        <v>11917866.798791388</v>
      </c>
      <c r="E7" s="154" t="s">
        <v>107</v>
      </c>
      <c r="F7" s="172">
        <f>F35</f>
        <v>444562400.62667334</v>
      </c>
      <c r="G7" s="40" t="s">
        <v>108</v>
      </c>
    </row>
    <row r="8" spans="1:9" ht="18.75" thickBot="1" x14ac:dyDescent="0.3">
      <c r="A8" s="157"/>
      <c r="B8" s="158" t="s">
        <v>109</v>
      </c>
      <c r="C8" s="159" t="s">
        <v>203</v>
      </c>
      <c r="D8" s="160">
        <f ca="1">$D$6/$D$7*1000</f>
        <v>0.2080095513504662</v>
      </c>
      <c r="E8" s="161" t="s">
        <v>110</v>
      </c>
      <c r="F8" s="309">
        <f ca="1">$D$6/$F$7*1000000</f>
        <v>5.5763378152913319</v>
      </c>
      <c r="G8" s="170" t="s">
        <v>15</v>
      </c>
      <c r="I8" s="177"/>
    </row>
    <row r="9" spans="1:9" ht="18" x14ac:dyDescent="0.25">
      <c r="A9" s="148">
        <f>1-A6</f>
        <v>0.30000000000000004</v>
      </c>
      <c r="B9" s="149" t="s">
        <v>111</v>
      </c>
      <c r="C9" s="150" t="s">
        <v>204</v>
      </c>
      <c r="D9" s="307">
        <f ca="1">($A$9*$D$4)-(SUM($F$272:$F$273)/10^6)</f>
        <v>1054.8423816270924</v>
      </c>
      <c r="E9" s="152" t="s">
        <v>105</v>
      </c>
      <c r="F9" s="215" t="s">
        <v>384</v>
      </c>
      <c r="G9" s="171"/>
    </row>
    <row r="10" spans="1:9" ht="30" x14ac:dyDescent="0.25">
      <c r="B10" s="154" t="s">
        <v>112</v>
      </c>
      <c r="C10" s="155" t="s">
        <v>205</v>
      </c>
      <c r="D10" s="308">
        <f>$C$58*'Premissas (BRA)'!$F$20</f>
        <v>6324231.2880706908</v>
      </c>
      <c r="E10" s="154" t="s">
        <v>107</v>
      </c>
      <c r="F10" s="172">
        <f>F58</f>
        <v>235907607.54501358</v>
      </c>
      <c r="G10" s="40" t="s">
        <v>108</v>
      </c>
    </row>
    <row r="11" spans="1:9" ht="18.75" thickBot="1" x14ac:dyDescent="0.3">
      <c r="A11" s="167"/>
      <c r="B11" s="158" t="s">
        <v>113</v>
      </c>
      <c r="C11" s="159" t="s">
        <v>206</v>
      </c>
      <c r="D11" s="160">
        <f ca="1">$D$9/$D$10*1000</f>
        <v>0.16679377043291047</v>
      </c>
      <c r="E11" s="161" t="s">
        <v>110</v>
      </c>
      <c r="F11" s="309">
        <f ca="1">$D$9/$F$10*1000000</f>
        <v>4.4714216408888712</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2030</v>
      </c>
      <c r="F22" s="376">
        <v>2030</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(BRA)'!G3</f>
        <v>11121.869070475715</v>
      </c>
      <c r="E25" s="60"/>
      <c r="F25" s="15">
        <f>IFERROR($C25*$H$20*'Premissas (BRA)'!$F$20*1000," ")</f>
        <v>151427532.0717288</v>
      </c>
      <c r="G25" s="49"/>
    </row>
    <row r="26" spans="1:9" x14ac:dyDescent="0.25">
      <c r="A26" s="2" t="s">
        <v>125</v>
      </c>
      <c r="B26" s="16" t="s">
        <v>26</v>
      </c>
      <c r="C26" s="231">
        <f>'Oferta (BRA)'!G4</f>
        <v>200</v>
      </c>
      <c r="E26" s="60"/>
      <c r="F26" s="15">
        <f>IFERROR($C26*$H$20*'Premissas (BRA)'!$F$20*1000," ")</f>
        <v>2723059.0670000003</v>
      </c>
      <c r="G26" s="49"/>
    </row>
    <row r="27" spans="1:9" x14ac:dyDescent="0.25">
      <c r="A27" s="2" t="s">
        <v>126</v>
      </c>
      <c r="B27" s="16" t="s">
        <v>411</v>
      </c>
      <c r="C27" s="231">
        <f>'Oferta (BRA)'!G5</f>
        <v>13564</v>
      </c>
      <c r="D27" s="18"/>
      <c r="E27" s="60"/>
      <c r="F27" s="15">
        <f>IFERROR($C27*$H$20*'Premissas (BRA)'!$F$20*1000," ")</f>
        <v>184677865.92394</v>
      </c>
      <c r="G27" s="49"/>
    </row>
    <row r="28" spans="1:9" x14ac:dyDescent="0.25">
      <c r="A28" s="2" t="s">
        <v>127</v>
      </c>
      <c r="B28" s="16" t="s">
        <v>388</v>
      </c>
      <c r="C28" s="234"/>
      <c r="D28" s="216" t="s">
        <v>386</v>
      </c>
      <c r="E28" s="60"/>
      <c r="F28" s="15">
        <f>IFERROR($C28*$H$20*'Premissas (BRA)'!$F$20*1000," ")</f>
        <v>0</v>
      </c>
      <c r="G28" s="49"/>
    </row>
    <row r="29" spans="1:9" x14ac:dyDescent="0.25">
      <c r="A29" s="2" t="s">
        <v>128</v>
      </c>
      <c r="B29" s="16" t="s">
        <v>27</v>
      </c>
      <c r="C29" s="231">
        <f>'Oferta (BRA)'!G7</f>
        <v>0</v>
      </c>
      <c r="D29" s="18"/>
      <c r="E29" s="60"/>
      <c r="F29" s="15">
        <f>IFERROR($C29*$H$20*'Premissas (BRA)'!$F$20*1000," ")</f>
        <v>0</v>
      </c>
      <c r="G29" s="49"/>
    </row>
    <row r="30" spans="1:9" x14ac:dyDescent="0.25">
      <c r="A30" s="2" t="s">
        <v>183</v>
      </c>
      <c r="B30" s="16" t="s">
        <v>29</v>
      </c>
      <c r="C30" s="231">
        <f>'Oferta (BRA)'!G8</f>
        <v>0</v>
      </c>
      <c r="D30" s="18"/>
      <c r="E30" s="60"/>
      <c r="F30" s="15">
        <f>IFERROR($C30*$H$20*'Premissas (BRA)'!$F$20*1000," ")</f>
        <v>0</v>
      </c>
      <c r="G30" s="49"/>
    </row>
    <row r="31" spans="1:9" x14ac:dyDescent="0.25">
      <c r="A31" s="2" t="s">
        <v>129</v>
      </c>
      <c r="B31" s="16" t="s">
        <v>24</v>
      </c>
      <c r="C31" s="231">
        <f>'Oferta (BRA)'!G9</f>
        <v>7765.8207892267164</v>
      </c>
      <c r="D31" s="18"/>
      <c r="E31" s="60"/>
      <c r="F31" s="15">
        <f>IFERROR($C31*$H$20*'Premissas (BRA)'!$F$20*1000," ")</f>
        <v>105733943.56400453</v>
      </c>
      <c r="G31" s="49"/>
    </row>
    <row r="32" spans="1:9" x14ac:dyDescent="0.25">
      <c r="A32" s="2" t="s">
        <v>184</v>
      </c>
      <c r="B32" s="16" t="s">
        <v>194</v>
      </c>
      <c r="C32" s="191"/>
      <c r="D32" s="216" t="s">
        <v>386</v>
      </c>
      <c r="E32" s="60"/>
      <c r="F32" s="15">
        <f>IFERROR($C32*$H$20*'Premissas (BRA)'!$F$20*1000," ")</f>
        <v>0</v>
      </c>
      <c r="G32" s="49"/>
    </row>
    <row r="33" spans="1:8" x14ac:dyDescent="0.25">
      <c r="A33" s="2" t="s">
        <v>130</v>
      </c>
      <c r="B33" s="16" t="s">
        <v>196</v>
      </c>
      <c r="C33" s="191"/>
      <c r="D33" s="216" t="s">
        <v>386</v>
      </c>
      <c r="E33" s="60"/>
      <c r="F33" s="15">
        <f>IFERROR($C33*$H$20*'Premissas (BRA)'!$F$20*1000," ")</f>
        <v>0</v>
      </c>
      <c r="G33" s="49"/>
    </row>
    <row r="34" spans="1:8" x14ac:dyDescent="0.25">
      <c r="A34" s="2" t="s">
        <v>131</v>
      </c>
      <c r="B34" s="16" t="s">
        <v>195</v>
      </c>
      <c r="C34" s="191"/>
      <c r="D34" s="216" t="s">
        <v>386</v>
      </c>
      <c r="E34" s="60"/>
      <c r="F34" s="15">
        <f>IFERROR($C34*$H$20*'Premissas (BRA)'!$F$20*1000," ")</f>
        <v>0</v>
      </c>
      <c r="G34" s="49"/>
    </row>
    <row r="35" spans="1:8" x14ac:dyDescent="0.25">
      <c r="C35" s="61">
        <f>SUM(C25:C34)</f>
        <v>32651.689859702434</v>
      </c>
      <c r="D35" s="61"/>
      <c r="E35" s="60"/>
      <c r="F35" s="61">
        <f>SUM(F25:F34)</f>
        <v>444562400.62667334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2030</v>
      </c>
      <c r="F39" s="376">
        <v>2030</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(BRA)'!G3</f>
        <v>83.95934449000282</v>
      </c>
      <c r="F42" s="15">
        <f>IFERROR($C42*$H$20*'Premissas (BRA)'!$F$20*1000," ")</f>
        <v>1143131.2713643934</v>
      </c>
      <c r="G42" s="49"/>
    </row>
    <row r="43" spans="1:8" x14ac:dyDescent="0.25">
      <c r="A43" s="2" t="s">
        <v>38</v>
      </c>
      <c r="B43" s="16" t="s">
        <v>161</v>
      </c>
      <c r="C43" s="231">
        <f>'Demanda (BRA)'!G4</f>
        <v>1358.5951793648003</v>
      </c>
      <c r="D43" s="18"/>
      <c r="F43" s="15">
        <f>IFERROR($C43*$H$20*'Premissas (BRA)'!$F$20*1000," ")</f>
        <v>18497674.607759055</v>
      </c>
      <c r="G43" s="49"/>
    </row>
    <row r="44" spans="1:8" x14ac:dyDescent="0.25">
      <c r="A44" s="2" t="s">
        <v>39</v>
      </c>
      <c r="B44" s="16" t="s">
        <v>162</v>
      </c>
      <c r="C44" s="231">
        <f>'Demanda (BRA)'!G5</f>
        <v>1591.1855708262167</v>
      </c>
      <c r="D44" s="18"/>
      <c r="F44" s="15">
        <f>IFERROR($C44*$H$20*'Premissas (BRA)'!$F$20*1000," ")</f>
        <v>21664461.4795895</v>
      </c>
      <c r="G44" s="49"/>
    </row>
    <row r="45" spans="1:8" x14ac:dyDescent="0.25">
      <c r="A45" s="2" t="s">
        <v>40</v>
      </c>
      <c r="B45" s="16" t="s">
        <v>163</v>
      </c>
      <c r="C45" s="231">
        <f>'Demanda (BRA)'!G6</f>
        <v>257.90539079715882</v>
      </c>
      <c r="D45" s="18"/>
      <c r="F45" s="15">
        <f>IFERROR($C45*$H$20*'Premissas (BRA)'!$F$20*1000," ")</f>
        <v>3511458.0641919076</v>
      </c>
      <c r="G45" s="49"/>
    </row>
    <row r="46" spans="1:8" x14ac:dyDescent="0.25">
      <c r="A46" s="2" t="s">
        <v>41</v>
      </c>
      <c r="B46" s="16" t="s">
        <v>164</v>
      </c>
      <c r="C46" s="231">
        <f>'Demanda (BRA)'!G7</f>
        <v>4113.6189497552796</v>
      </c>
      <c r="D46" s="18"/>
      <c r="F46" s="15">
        <f>IFERROR($C46*$H$20*'Premissas (BRA)'!$F$20*1000," ")</f>
        <v>56008136.89657066</v>
      </c>
      <c r="G46" s="49"/>
    </row>
    <row r="47" spans="1:8" x14ac:dyDescent="0.25">
      <c r="A47" s="2" t="s">
        <v>42</v>
      </c>
      <c r="B47" s="16" t="s">
        <v>165</v>
      </c>
      <c r="C47" s="231">
        <f>'Demanda (BRA)'!G8</f>
        <v>1671.5160482445838</v>
      </c>
      <c r="D47" s="18"/>
      <c r="F47" s="15">
        <f>IFERROR($C47*$H$20*'Premissas (BRA)'!$F$20*1000," ")</f>
        <v>22758184.654042114</v>
      </c>
      <c r="G47" s="49"/>
    </row>
    <row r="48" spans="1:8" x14ac:dyDescent="0.25">
      <c r="A48" s="2" t="s">
        <v>43</v>
      </c>
      <c r="B48" s="16" t="s">
        <v>166</v>
      </c>
      <c r="C48" s="231">
        <f>'Demanda (BRA)'!G9</f>
        <v>1497.3761894156601</v>
      </c>
      <c r="D48" s="18"/>
      <c r="F48" s="15">
        <f>IFERROR($C48*$H$20*'Premissas (BRA)'!$F$20*1000," ")</f>
        <v>20387219.046491113</v>
      </c>
      <c r="G48" s="49"/>
    </row>
    <row r="49" spans="1:9" x14ac:dyDescent="0.25">
      <c r="A49" s="2" t="s">
        <v>44</v>
      </c>
      <c r="B49" s="16" t="s">
        <v>167</v>
      </c>
      <c r="C49" s="231">
        <f>'Demanda (BRA)'!G10</f>
        <v>275.11051045873194</v>
      </c>
      <c r="D49" s="18"/>
      <c r="F49" s="15">
        <f>IFERROR($C49*$H$20*'Premissas (BRA)'!$F$20*1000," ")</f>
        <v>3745710.8496582415</v>
      </c>
      <c r="G49" s="49"/>
    </row>
    <row r="50" spans="1:9" x14ac:dyDescent="0.25">
      <c r="A50" s="2" t="s">
        <v>45</v>
      </c>
      <c r="B50" s="16" t="s">
        <v>168</v>
      </c>
      <c r="C50" s="231">
        <f>'Demanda (BRA)'!G11</f>
        <v>695.99981184318472</v>
      </c>
      <c r="D50" s="18"/>
      <c r="F50" s="15">
        <f>IFERROR($C50*$H$20*'Premissas (BRA)'!$F$20*1000," ")</f>
        <v>9476242.9913493898</v>
      </c>
      <c r="G50" s="49"/>
    </row>
    <row r="51" spans="1:9" x14ac:dyDescent="0.25">
      <c r="A51" s="2" t="s">
        <v>46</v>
      </c>
      <c r="B51" s="16" t="s">
        <v>169</v>
      </c>
      <c r="C51" s="231">
        <f>'Demanda (BRA)'!G12</f>
        <v>994.60300359473592</v>
      </c>
      <c r="D51" s="18"/>
      <c r="F51" s="15">
        <f>IFERROR($C51*$H$20*'Premissas (BRA)'!$F$20*1000," ")</f>
        <v>13541813.635020396</v>
      </c>
      <c r="G51" s="49"/>
    </row>
    <row r="52" spans="1:9" x14ac:dyDescent="0.25">
      <c r="A52" s="2" t="s">
        <v>47</v>
      </c>
      <c r="B52" s="16" t="s">
        <v>170</v>
      </c>
      <c r="C52" s="231">
        <f>'Demanda (BRA)'!G13</f>
        <v>2460.3528578351988</v>
      </c>
      <c r="D52" s="18"/>
      <c r="F52" s="15">
        <f>IFERROR($C52*$H$20*'Premissas (BRA)'!$F$20*1000," ")</f>
        <v>33498430.787737504</v>
      </c>
      <c r="G52" s="49"/>
    </row>
    <row r="53" spans="1:9" x14ac:dyDescent="0.25">
      <c r="A53" s="2" t="s">
        <v>48</v>
      </c>
      <c r="B53" s="16" t="s">
        <v>171</v>
      </c>
      <c r="C53" s="231">
        <f>'Demanda (BRA)'!G14</f>
        <v>1008.3686134701056</v>
      </c>
      <c r="D53" s="18"/>
      <c r="F53" s="15">
        <f>IFERROR($C53*$H$20*'Premissas (BRA)'!$F$20*1000," ")</f>
        <v>13729236.478939947</v>
      </c>
      <c r="G53" s="49"/>
    </row>
    <row r="54" spans="1:9" x14ac:dyDescent="0.25">
      <c r="A54" s="2" t="s">
        <v>49</v>
      </c>
      <c r="B54" s="16" t="s">
        <v>172</v>
      </c>
      <c r="C54" s="231">
        <f>'Demanda (BRA)'!G15</f>
        <v>1318.069593111717</v>
      </c>
      <c r="D54" s="18"/>
      <c r="F54" s="15">
        <f>IFERROR($C54*$H$20*'Premissas (BRA)'!$F$20*1000," ")</f>
        <v>17945906.78229931</v>
      </c>
      <c r="G54" s="49"/>
    </row>
    <row r="55" spans="1:9" x14ac:dyDescent="0.25">
      <c r="A55" s="2" t="s">
        <v>50</v>
      </c>
      <c r="B55" s="16" t="s">
        <v>199</v>
      </c>
      <c r="C55" s="191"/>
      <c r="D55" s="216" t="s">
        <v>386</v>
      </c>
      <c r="F55" s="15">
        <f>IFERROR($C55*$H$20*'Premissas (BRA)'!$F$20*1000," ")</f>
        <v>0</v>
      </c>
      <c r="G55" s="49"/>
    </row>
    <row r="56" spans="1:9" x14ac:dyDescent="0.25">
      <c r="A56" s="2" t="s">
        <v>51</v>
      </c>
      <c r="B56" s="16" t="s">
        <v>198</v>
      </c>
      <c r="C56" s="191"/>
      <c r="D56" s="216" t="s">
        <v>386</v>
      </c>
      <c r="F56" s="15">
        <f>IFERROR($C56*$H$20*'Premissas (BRA)'!$F$20*1000," ")</f>
        <v>0</v>
      </c>
      <c r="G56" s="49"/>
    </row>
    <row r="57" spans="1:9" x14ac:dyDescent="0.25">
      <c r="A57" s="2" t="s">
        <v>52</v>
      </c>
      <c r="B57" s="16" t="s">
        <v>197</v>
      </c>
      <c r="C57" s="191"/>
      <c r="D57" s="216" t="s">
        <v>386</v>
      </c>
      <c r="F57" s="15">
        <f>IFERROR($C57*$H$20*'Premissas (BRA)'!$F$20*1000," ")</f>
        <v>0</v>
      </c>
      <c r="G57" s="49"/>
    </row>
    <row r="58" spans="1:9" x14ac:dyDescent="0.25">
      <c r="C58" s="61">
        <f>SUM(C42:C57)</f>
        <v>17326.661063207372</v>
      </c>
      <c r="D58" s="61"/>
      <c r="F58" s="61">
        <f>SUM(F42:F57)</f>
        <v>235907607.54501358</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0.34062154572287345</v>
      </c>
      <c r="C100" s="8"/>
      <c r="D100" t="s">
        <v>232</v>
      </c>
      <c r="E100" s="66">
        <f t="shared" ref="E100:E115" si="2">F42/$F$58</f>
        <v>4.845673623078358E-3</v>
      </c>
      <c r="G100" s="65" t="s">
        <v>140</v>
      </c>
      <c r="H100" s="67">
        <f>F25/$F$35</f>
        <v>0.34062154572287345</v>
      </c>
      <c r="I100" s="67">
        <f>F26/$F$35</f>
        <v>6.1252572488394537E-3</v>
      </c>
      <c r="J100" s="67">
        <f>$F27/$F$35</f>
        <v>0.41541494661629175</v>
      </c>
      <c r="K100" s="67">
        <f>$F28/$F$35</f>
        <v>0</v>
      </c>
      <c r="L100" s="67">
        <f>$F29/$F$35</f>
        <v>0</v>
      </c>
      <c r="M100" s="67">
        <f>$F30/$F$35</f>
        <v>0</v>
      </c>
      <c r="N100" s="67">
        <f>$F31/$F$35</f>
        <v>0.23783825041199533</v>
      </c>
      <c r="O100" s="67">
        <f>$F32/$F$35</f>
        <v>0</v>
      </c>
      <c r="P100" s="67">
        <f>$F33/$F$35</f>
        <v>0</v>
      </c>
      <c r="Q100" s="67">
        <f>$F34/$F$35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7.8410674417227127E-2</v>
      </c>
      <c r="W101" s="69"/>
    </row>
    <row r="102" spans="1:27" ht="18" x14ac:dyDescent="0.35">
      <c r="A102" t="s">
        <v>224</v>
      </c>
      <c r="B102" s="66">
        <f t="shared" si="1"/>
        <v>0.41541494661629175</v>
      </c>
      <c r="C102" s="4"/>
      <c r="D102" t="s">
        <v>234</v>
      </c>
      <c r="E102" s="66">
        <f t="shared" si="2"/>
        <v>9.1834518204147786E-2</v>
      </c>
      <c r="G102" s="66"/>
      <c r="H102" s="68"/>
      <c r="I102" s="68"/>
    </row>
    <row r="103" spans="1:27" ht="18" x14ac:dyDescent="0.35">
      <c r="A103" t="s">
        <v>225</v>
      </c>
      <c r="B103" s="66">
        <f t="shared" si="1"/>
        <v>0</v>
      </c>
      <c r="C103" s="4"/>
      <c r="D103" t="s">
        <v>235</v>
      </c>
      <c r="E103" s="66">
        <f t="shared" si="2"/>
        <v>1.4884886929820124E-2</v>
      </c>
      <c r="G103" s="66"/>
      <c r="H103" s="68"/>
      <c r="I103" s="68"/>
    </row>
    <row r="104" spans="1:27" ht="18" x14ac:dyDescent="0.35">
      <c r="A104" t="s">
        <v>226</v>
      </c>
      <c r="B104" s="66">
        <f t="shared" si="1"/>
        <v>0</v>
      </c>
      <c r="C104" s="4"/>
      <c r="D104" t="s">
        <v>236</v>
      </c>
      <c r="E104" s="66">
        <f t="shared" si="2"/>
        <v>0.2374155606062163</v>
      </c>
      <c r="G104" s="66"/>
      <c r="H104" s="68"/>
      <c r="I104" s="68"/>
    </row>
    <row r="105" spans="1:27" ht="18" x14ac:dyDescent="0.35">
      <c r="A105" t="s">
        <v>227</v>
      </c>
      <c r="B105" s="66">
        <f t="shared" si="1"/>
        <v>0</v>
      </c>
      <c r="C105" s="4"/>
      <c r="D105" t="s">
        <v>237</v>
      </c>
      <c r="E105" s="66">
        <f t="shared" si="2"/>
        <v>9.6470753490641964E-2</v>
      </c>
      <c r="G105" s="66"/>
      <c r="H105" s="68"/>
      <c r="I105" s="68"/>
    </row>
    <row r="106" spans="1:27" ht="18" x14ac:dyDescent="0.35">
      <c r="A106" t="s">
        <v>228</v>
      </c>
      <c r="B106" s="66">
        <f t="shared" si="1"/>
        <v>0.23783825041199533</v>
      </c>
      <c r="C106" s="4"/>
      <c r="D106" t="s">
        <v>238</v>
      </c>
      <c r="E106" s="66">
        <f t="shared" si="2"/>
        <v>8.642035438641385E-2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4.0169298014440788E-2</v>
      </c>
      <c r="G108" s="66"/>
      <c r="H108" s="68"/>
      <c r="I108" s="68"/>
    </row>
    <row r="109" spans="1:27" ht="18" x14ac:dyDescent="0.35">
      <c r="A109" t="s">
        <v>231</v>
      </c>
      <c r="B109" s="66">
        <f t="shared" si="1"/>
        <v>0</v>
      </c>
      <c r="D109" t="s">
        <v>241</v>
      </c>
      <c r="E109" s="66">
        <f t="shared" si="2"/>
        <v>5.7403039164120553E-2</v>
      </c>
      <c r="G109" s="66"/>
    </row>
    <row r="110" spans="1:27" ht="18" x14ac:dyDescent="0.35">
      <c r="B110" s="66">
        <f>SUM(B100:B109)</f>
        <v>1</v>
      </c>
      <c r="D110" t="s">
        <v>242</v>
      </c>
      <c r="E110" s="66">
        <f t="shared" si="2"/>
        <v>0.14199809466231675</v>
      </c>
      <c r="G110" s="66"/>
    </row>
    <row r="111" spans="1:27" ht="18" x14ac:dyDescent="0.35">
      <c r="B111" s="68"/>
      <c r="D111" t="s">
        <v>243</v>
      </c>
      <c r="E111" s="66">
        <f t="shared" si="2"/>
        <v>5.8197514789005984E-2</v>
      </c>
      <c r="G111" s="66"/>
    </row>
    <row r="112" spans="1:27" ht="18" x14ac:dyDescent="0.35">
      <c r="B112" s="68"/>
      <c r="D112" t="s">
        <v>244</v>
      </c>
      <c r="E112" s="66">
        <f t="shared" si="2"/>
        <v>7.6071759486921367E-2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348.00559018731281</v>
      </c>
      <c r="C131" s="70"/>
      <c r="D131" t="s">
        <v>253</v>
      </c>
      <c r="E131" s="4">
        <f ca="1">SUMPRODUCT($H$100:$Q$100,$C68:$L68)</f>
        <v>381.82480233545687</v>
      </c>
    </row>
    <row r="132" spans="1:5" ht="18" x14ac:dyDescent="0.35">
      <c r="A132" t="s">
        <v>254</v>
      </c>
      <c r="B132" s="66">
        <f ca="1">SUMPRODUCT($E$100:$E$115,D$68:D$83)</f>
        <v>238.07443165879414</v>
      </c>
      <c r="C132" s="70"/>
      <c r="D132" t="s">
        <v>255</v>
      </c>
      <c r="E132" s="4">
        <f t="shared" ref="E132:E146" ca="1" si="3">SUMPRODUCT($H$100:$Q$100,$C69:$L69)</f>
        <v>478.98880233545691</v>
      </c>
    </row>
    <row r="133" spans="1:5" ht="18" x14ac:dyDescent="0.35">
      <c r="A133" t="s">
        <v>256</v>
      </c>
      <c r="B133" s="66">
        <f ca="1">SUMPRODUCT($E$100:$E$115,E$68:E$83)</f>
        <v>274.56161386783606</v>
      </c>
      <c r="C133" s="70"/>
      <c r="D133" t="s">
        <v>257</v>
      </c>
      <c r="E133" s="4">
        <f t="shared" ca="1" si="3"/>
        <v>596.15400233545688</v>
      </c>
    </row>
    <row r="134" spans="1:5" ht="18" x14ac:dyDescent="0.35">
      <c r="A134" t="s">
        <v>258</v>
      </c>
      <c r="B134" s="66">
        <f ca="1">SUMPRODUCT($E$100:$E$115,F$68:F$83)</f>
        <v>459.39338604153431</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213.98004830229473</v>
      </c>
    </row>
    <row r="137" spans="1:5" ht="18" x14ac:dyDescent="0.35">
      <c r="A137" t="s">
        <v>264</v>
      </c>
      <c r="B137" s="66">
        <f ca="1">SUMPRODUCT($E$100:$E$115,I$68:I$83)</f>
        <v>385.09157515500448</v>
      </c>
      <c r="D137" t="s">
        <v>265</v>
      </c>
      <c r="E137" s="4">
        <f t="shared" ca="1" si="3"/>
        <v>229.34466796296684</v>
      </c>
    </row>
    <row r="138" spans="1:5" ht="18" x14ac:dyDescent="0.35">
      <c r="A138" t="s">
        <v>266</v>
      </c>
      <c r="B138" s="66">
        <f ca="1">SUMPRODUCT($E$100:$E$115,J$68:J$83)</f>
        <v>303.67115177082843</v>
      </c>
      <c r="D138" t="s">
        <v>267</v>
      </c>
      <c r="E138" s="4">
        <f t="shared" ca="1" si="3"/>
        <v>248.57032826686191</v>
      </c>
    </row>
    <row r="139" spans="1:5" ht="18" x14ac:dyDescent="0.35">
      <c r="A139" t="s">
        <v>268</v>
      </c>
      <c r="B139" s="66">
        <f ca="1">SUMPRODUCT($E$100:$E$115,K$68:K$83)</f>
        <v>459.39338604153431</v>
      </c>
      <c r="D139" t="s">
        <v>269</v>
      </c>
      <c r="E139" s="4">
        <f t="shared" ca="1" si="3"/>
        <v>223.14240453800076</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445.66464244190945</v>
      </c>
    </row>
    <row r="144" spans="1:5" ht="18" x14ac:dyDescent="0.35">
      <c r="B144" s="66"/>
      <c r="D144" t="s">
        <v>275</v>
      </c>
      <c r="E144" s="4">
        <f t="shared" si="3"/>
        <v>340.32764244190946</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0.36401277341349386</v>
      </c>
      <c r="C163" s="13"/>
      <c r="D163" t="s">
        <v>283</v>
      </c>
      <c r="E163" s="71">
        <f t="shared" ref="E163:E178" ca="1" si="5">($F42*$E131)/SUMPRODUCT($F$42:$F$57,$E$131:$E$146)</f>
        <v>5.6816775485780445E-3</v>
      </c>
    </row>
    <row r="164" spans="1:9" ht="18" x14ac:dyDescent="0.35">
      <c r="A164" t="s">
        <v>284</v>
      </c>
      <c r="B164" s="71">
        <f t="shared" ca="1" si="4"/>
        <v>4.4781163895208434E-3</v>
      </c>
      <c r="C164" s="4"/>
      <c r="D164" t="s">
        <v>285</v>
      </c>
      <c r="E164" s="71">
        <f t="shared" ca="1" si="5"/>
        <v>0.11533439394266103</v>
      </c>
    </row>
    <row r="165" spans="1:9" ht="18" x14ac:dyDescent="0.35">
      <c r="A165" t="s">
        <v>286</v>
      </c>
      <c r="B165" s="71">
        <f t="shared" ca="1" si="4"/>
        <v>0.35025167846591204</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2.7011397732216613E-2</v>
      </c>
    </row>
    <row r="167" spans="1:9" ht="18" x14ac:dyDescent="0.35">
      <c r="A167" t="s">
        <v>290</v>
      </c>
      <c r="B167" s="71">
        <f t="shared" ca="1" si="4"/>
        <v>0</v>
      </c>
      <c r="C167" s="4"/>
      <c r="D167" t="s">
        <v>291</v>
      </c>
      <c r="E167" s="71">
        <f t="shared" ca="1" si="5"/>
        <v>0.1583219009048818</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1.2119923438785544E-2</v>
      </c>
    </row>
    <row r="171" spans="1:9" ht="18" x14ac:dyDescent="0.35">
      <c r="A171" t="s">
        <v>298</v>
      </c>
      <c r="B171" s="71">
        <f t="shared" ca="1" si="4"/>
        <v>0</v>
      </c>
      <c r="D171" t="s">
        <v>299</v>
      </c>
      <c r="E171" s="71">
        <f t="shared" ca="1" si="5"/>
        <v>2.7525463368276427E-2</v>
      </c>
    </row>
    <row r="172" spans="1:9" ht="18" x14ac:dyDescent="0.35">
      <c r="A172" t="s">
        <v>300</v>
      </c>
      <c r="B172" s="71">
        <f t="shared" ca="1" si="4"/>
        <v>0</v>
      </c>
      <c r="D172" t="s">
        <v>301</v>
      </c>
      <c r="E172" s="71">
        <f t="shared" ca="1" si="5"/>
        <v>5.3526533245923026E-2</v>
      </c>
    </row>
    <row r="173" spans="1:9" ht="18" x14ac:dyDescent="0.35">
      <c r="B173" s="175">
        <f ca="1">SUM(B163:B172)</f>
        <v>1</v>
      </c>
      <c r="D173" t="s">
        <v>302</v>
      </c>
      <c r="E173" s="71">
        <f t="shared" ca="1" si="5"/>
        <v>0.13071969216727208</v>
      </c>
    </row>
    <row r="174" spans="1:9" ht="18" x14ac:dyDescent="0.35">
      <c r="B174" s="71"/>
      <c r="D174" t="s">
        <v>303</v>
      </c>
      <c r="E174" s="71">
        <f t="shared" ca="1" si="5"/>
        <v>7.3273039393892847E-2</v>
      </c>
    </row>
    <row r="175" spans="1:9" ht="18" x14ac:dyDescent="0.35">
      <c r="B175" s="71"/>
      <c r="D175" t="s">
        <v>304</v>
      </c>
      <c r="E175" s="71">
        <f t="shared" ca="1" si="5"/>
        <v>0.10410939653318835</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902.3986314939832</v>
      </c>
      <c r="C194" s="19"/>
      <c r="D194" t="s">
        <v>311</v>
      </c>
      <c r="E194" s="5">
        <f t="shared" ref="E194:E209" ca="1" si="7">$E163*$D$9</f>
        <v>5.9932742769792444</v>
      </c>
    </row>
    <row r="195" spans="1:5" ht="18" x14ac:dyDescent="0.35">
      <c r="A195" t="s">
        <v>312</v>
      </c>
      <c r="B195" s="6">
        <f t="shared" ca="1" si="6"/>
        <v>11.1013854367798</v>
      </c>
      <c r="D195" t="s">
        <v>313</v>
      </c>
      <c r="E195" s="5">
        <f t="shared" ca="1" si="7"/>
        <v>121.65960678999386</v>
      </c>
    </row>
    <row r="196" spans="1:5" ht="18" x14ac:dyDescent="0.35">
      <c r="A196" t="s">
        <v>314</v>
      </c>
      <c r="B196" s="6">
        <f t="shared" ca="1" si="6"/>
        <v>868.28446255395374</v>
      </c>
      <c r="D196" t="s">
        <v>315</v>
      </c>
      <c r="E196" s="5">
        <f t="shared" ca="1" si="7"/>
        <v>177.34145786007048</v>
      </c>
    </row>
    <row r="197" spans="1:5" ht="18" x14ac:dyDescent="0.35">
      <c r="A197" t="s">
        <v>316</v>
      </c>
      <c r="B197" s="6">
        <f t="shared" ca="1" si="6"/>
        <v>0</v>
      </c>
      <c r="D197" t="s">
        <v>317</v>
      </c>
      <c r="E197" s="5">
        <f t="shared" ca="1" si="7"/>
        <v>28.492767114928014</v>
      </c>
    </row>
    <row r="198" spans="1:5" ht="18" x14ac:dyDescent="0.35">
      <c r="A198" t="s">
        <v>318</v>
      </c>
      <c r="B198" s="6">
        <f t="shared" ca="1" si="6"/>
        <v>0</v>
      </c>
      <c r="D198" t="s">
        <v>319</v>
      </c>
      <c r="E198" s="5">
        <f t="shared" ca="1" si="7"/>
        <v>167.00465101423404</v>
      </c>
    </row>
    <row r="199" spans="1:5" ht="18" x14ac:dyDescent="0.35">
      <c r="A199" t="s">
        <v>320</v>
      </c>
      <c r="B199" s="6">
        <f t="shared" ca="1" si="6"/>
        <v>0</v>
      </c>
      <c r="D199" t="s">
        <v>321</v>
      </c>
      <c r="E199" s="5">
        <f t="shared" ca="1" si="7"/>
        <v>66.867457494531152</v>
      </c>
    </row>
    <row r="200" spans="1:5" ht="18" x14ac:dyDescent="0.35">
      <c r="A200" t="s">
        <v>322</v>
      </c>
      <c r="B200" s="6">
        <f t="shared" ca="1" si="6"/>
        <v>697.24564638649645</v>
      </c>
      <c r="D200" t="s">
        <v>323</v>
      </c>
      <c r="E200" s="5">
        <f t="shared" ca="1" si="7"/>
        <v>64.202294443472866</v>
      </c>
    </row>
    <row r="201" spans="1:5" ht="18" x14ac:dyDescent="0.35">
      <c r="A201" t="s">
        <v>324</v>
      </c>
      <c r="B201" s="6">
        <f t="shared" ca="1" si="6"/>
        <v>0</v>
      </c>
      <c r="D201" t="s">
        <v>325</v>
      </c>
      <c r="E201" s="5">
        <f t="shared" ca="1" si="7"/>
        <v>12.784608905306563</v>
      </c>
    </row>
    <row r="202" spans="1:5" ht="18" x14ac:dyDescent="0.35">
      <c r="A202" t="s">
        <v>326</v>
      </c>
      <c r="B202" s="6">
        <f t="shared" ca="1" si="6"/>
        <v>0</v>
      </c>
      <c r="D202" t="s">
        <v>327</v>
      </c>
      <c r="E202" s="5">
        <f t="shared" ca="1" si="7"/>
        <v>29.035025334781995</v>
      </c>
    </row>
    <row r="203" spans="1:5" ht="18" x14ac:dyDescent="0.35">
      <c r="A203" t="s">
        <v>328</v>
      </c>
      <c r="B203" s="6">
        <f t="shared" ca="1" si="6"/>
        <v>0</v>
      </c>
      <c r="D203" t="s">
        <v>329</v>
      </c>
      <c r="E203" s="5">
        <f t="shared" ca="1" si="7"/>
        <v>56.462055809371186</v>
      </c>
    </row>
    <row r="204" spans="1:5" ht="18" x14ac:dyDescent="0.35">
      <c r="B204" s="6">
        <f ca="1">SUM(B194:B203)</f>
        <v>2479.0301258712134</v>
      </c>
      <c r="D204" t="s">
        <v>330</v>
      </c>
      <c r="E204" s="5">
        <f t="shared" ca="1" si="7"/>
        <v>137.88867141128566</v>
      </c>
    </row>
    <row r="205" spans="1:5" ht="18" x14ac:dyDescent="0.35">
      <c r="B205" s="6"/>
      <c r="D205" t="s">
        <v>331</v>
      </c>
      <c r="E205" s="5">
        <f t="shared" ca="1" si="7"/>
        <v>77.291507383309693</v>
      </c>
    </row>
    <row r="206" spans="1:5" ht="18" x14ac:dyDescent="0.35">
      <c r="B206" s="6"/>
      <c r="D206" t="s">
        <v>332</v>
      </c>
      <c r="E206" s="5">
        <f t="shared" ca="1" si="7"/>
        <v>109.81900378882776</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1054.8423816270924</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5.959277148270048</v>
      </c>
      <c r="D227" s="77"/>
      <c r="E227" s="7"/>
      <c r="F227" s="7"/>
      <c r="G227" s="78"/>
      <c r="H227" s="20" t="s">
        <v>343</v>
      </c>
      <c r="I227" s="20" t="str">
        <f t="shared" ref="I227:I242" si="9">B42</f>
        <v>NTS MG 1</v>
      </c>
      <c r="J227" s="11">
        <f t="shared" ref="J227:J242" ca="1" si="10">IFERROR($E194/$F42*1000000," ")</f>
        <v>5.2428574277614892</v>
      </c>
      <c r="L227" s="12"/>
      <c r="M227" s="79"/>
      <c r="Q227" s="7"/>
      <c r="R227" s="80"/>
      <c r="S227" s="81"/>
      <c r="T227" s="81"/>
      <c r="U227" s="81"/>
    </row>
    <row r="228" spans="1:21" ht="18" x14ac:dyDescent="0.25">
      <c r="A228" s="20" t="s">
        <v>344</v>
      </c>
      <c r="B228" s="20" t="str">
        <f t="shared" ref="B228:B236" si="11">B26</f>
        <v>PR-GNLBGB</v>
      </c>
      <c r="C228" s="11">
        <f t="shared" ca="1" si="8"/>
        <v>4.0768066955705882</v>
      </c>
      <c r="D228" s="77"/>
      <c r="E228" s="7"/>
      <c r="F228" s="7"/>
      <c r="G228" s="78"/>
      <c r="H228" s="20" t="s">
        <v>345</v>
      </c>
      <c r="I228" s="20" t="str">
        <f t="shared" si="9"/>
        <v>NTS MG 2</v>
      </c>
      <c r="J228" s="11">
        <f t="shared" ca="1" si="10"/>
        <v>6.5770216727113571</v>
      </c>
      <c r="L228" s="12"/>
      <c r="M228" s="79"/>
      <c r="Q228" s="7"/>
      <c r="R228" s="80"/>
      <c r="S228" s="81"/>
      <c r="T228" s="81"/>
      <c r="U228" s="81"/>
    </row>
    <row r="229" spans="1:21" ht="18" x14ac:dyDescent="0.25">
      <c r="A229" s="20" t="s">
        <v>346</v>
      </c>
      <c r="B229" s="20" t="str">
        <f t="shared" si="11"/>
        <v>PR-ITABORAÍ</v>
      </c>
      <c r="C229" s="11">
        <f t="shared" ca="1" si="8"/>
        <v>4.7016162885029145</v>
      </c>
      <c r="D229" s="77"/>
      <c r="E229" s="7"/>
      <c r="F229" s="7"/>
      <c r="G229" s="78"/>
      <c r="H229" s="20" t="s">
        <v>347</v>
      </c>
      <c r="I229" s="20" t="str">
        <f t="shared" si="9"/>
        <v>NTS MG 3</v>
      </c>
      <c r="J229" s="11">
        <f t="shared" ca="1" si="10"/>
        <v>8.1858234984122387</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8.1142267952686069</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2.9817926513541932</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2.9381718494253768</v>
      </c>
      <c r="L232" s="12"/>
      <c r="M232" s="79"/>
      <c r="Q232" s="7"/>
      <c r="R232" s="80"/>
      <c r="S232" s="81"/>
      <c r="T232" s="81"/>
      <c r="U232" s="81"/>
    </row>
    <row r="233" spans="1:21" ht="18" x14ac:dyDescent="0.25">
      <c r="A233" s="20" t="s">
        <v>354</v>
      </c>
      <c r="B233" s="20" t="str">
        <f t="shared" si="11"/>
        <v>PR-TECAB</v>
      </c>
      <c r="C233" s="11">
        <f t="shared" ca="1" si="8"/>
        <v>6.5943406902668755</v>
      </c>
      <c r="D233" s="77"/>
      <c r="E233" s="7"/>
      <c r="F233" s="7"/>
      <c r="G233" s="78"/>
      <c r="H233" s="20" t="s">
        <v>355</v>
      </c>
      <c r="I233" s="20" t="str">
        <f t="shared" si="9"/>
        <v>NTS RJ 3</v>
      </c>
      <c r="J233" s="11">
        <f t="shared" ca="1" si="10"/>
        <v>3.1491442897172801</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3.4131328921112609</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3.0639806684238993</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4.1694604084164197</v>
      </c>
      <c r="L236" s="12"/>
      <c r="Q236" s="7"/>
      <c r="R236" s="80"/>
      <c r="S236" s="81"/>
      <c r="T236" s="81"/>
      <c r="U236" s="81"/>
    </row>
    <row r="237" spans="1:21" ht="18" x14ac:dyDescent="0.25">
      <c r="D237" s="72"/>
      <c r="E237" s="7"/>
      <c r="F237" s="7"/>
      <c r="G237" s="72"/>
      <c r="H237" s="20" t="s">
        <v>362</v>
      </c>
      <c r="I237" s="20" t="str">
        <f t="shared" si="9"/>
        <v>NTS SP 2</v>
      </c>
      <c r="J237" s="11">
        <f t="shared" ca="1" si="10"/>
        <v>4.1162725587062852</v>
      </c>
      <c r="K237" s="72"/>
      <c r="L237" s="12"/>
      <c r="Q237" s="7"/>
      <c r="R237" s="80"/>
      <c r="S237" s="81"/>
      <c r="T237" s="81"/>
      <c r="U237" s="81"/>
    </row>
    <row r="238" spans="1:21" ht="18" x14ac:dyDescent="0.25">
      <c r="D238" s="72"/>
      <c r="E238" s="7"/>
      <c r="F238" s="7"/>
      <c r="G238" s="72"/>
      <c r="H238" s="20" t="s">
        <v>363</v>
      </c>
      <c r="I238" s="20" t="str">
        <f t="shared" si="9"/>
        <v>NTS SP 3</v>
      </c>
      <c r="J238" s="11">
        <f t="shared" ca="1" si="10"/>
        <v>5.6297018047486844</v>
      </c>
      <c r="L238" s="12"/>
      <c r="Q238" s="7"/>
      <c r="R238" s="80"/>
      <c r="S238" s="81"/>
      <c r="T238" s="81"/>
      <c r="U238" s="81"/>
    </row>
    <row r="239" spans="1:21" ht="18" x14ac:dyDescent="0.25">
      <c r="D239" s="72"/>
      <c r="E239" s="7"/>
      <c r="F239" s="7"/>
      <c r="G239" s="72"/>
      <c r="H239" s="20" t="s">
        <v>364</v>
      </c>
      <c r="I239" s="20" t="str">
        <f t="shared" si="9"/>
        <v>NTS SP 4</v>
      </c>
      <c r="J239" s="11">
        <f t="shared" ca="1" si="10"/>
        <v>6.1194457945778566</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5.5763378152913319</v>
      </c>
      <c r="E246" s="11">
        <f ca="1">IFERROR(C246+D246," ")</f>
        <v>5.5763378152913319</v>
      </c>
      <c r="F246" s="198">
        <f ca="1">E246*F25</f>
        <v>844411073.36782229</v>
      </c>
      <c r="G246" s="79"/>
      <c r="H246" s="20" t="s">
        <v>343</v>
      </c>
      <c r="I246" s="20" t="str">
        <f t="shared" ref="I246:I261" si="15">I227</f>
        <v>NTS MG 1</v>
      </c>
      <c r="J246" s="11">
        <f t="shared" ref="J246:J261" ca="1" si="16">IF(F42=0," ",J227*(1-$C$12))</f>
        <v>0</v>
      </c>
      <c r="K246" s="11">
        <f t="shared" ref="K246:K258" ca="1" si="17">$F$11*$C$12</f>
        <v>4.4714216408888712</v>
      </c>
      <c r="L246" s="11">
        <f ca="1">IFERROR(J246+K246," ")</f>
        <v>4.4714216408888712</v>
      </c>
      <c r="M246" s="198">
        <f t="shared" ref="M246:M258" ca="1" si="18">L246*F42</f>
        <v>5111421.9051555572</v>
      </c>
      <c r="N246" s="87"/>
    </row>
    <row r="247" spans="1:22" ht="18" x14ac:dyDescent="0.25">
      <c r="A247" s="20" t="s">
        <v>344</v>
      </c>
      <c r="B247" s="20" t="str">
        <f t="shared" si="12"/>
        <v>PR-GNLBGB</v>
      </c>
      <c r="C247" s="11">
        <f t="shared" ca="1" si="13"/>
        <v>0</v>
      </c>
      <c r="D247" s="11">
        <f t="shared" ca="1" si="14"/>
        <v>5.5763378152913319</v>
      </c>
      <c r="E247" s="11">
        <f t="shared" ref="E247:E252" ca="1" si="19">IFERROR(C247+D247," ")</f>
        <v>5.5763378152913319</v>
      </c>
      <c r="F247" s="198">
        <f ca="1">E247*F26</f>
        <v>15184697.248584034</v>
      </c>
      <c r="G247" s="79"/>
      <c r="H247" s="20" t="s">
        <v>345</v>
      </c>
      <c r="I247" s="20" t="str">
        <f t="shared" si="15"/>
        <v>NTS MG 2</v>
      </c>
      <c r="J247" s="11">
        <f t="shared" ca="1" si="16"/>
        <v>0</v>
      </c>
      <c r="K247" s="11">
        <f t="shared" ca="1" si="17"/>
        <v>4.4714216408888712</v>
      </c>
      <c r="L247" s="11">
        <f t="shared" ref="L247:L258" ca="1" si="20">IFERROR(J247+K247," ")</f>
        <v>4.4714216408888712</v>
      </c>
      <c r="M247" s="198">
        <f t="shared" ca="1" si="18"/>
        <v>82710902.547254398</v>
      </c>
    </row>
    <row r="248" spans="1:22" ht="18" x14ac:dyDescent="0.25">
      <c r="A248" s="20" t="s">
        <v>346</v>
      </c>
      <c r="B248" s="20" t="str">
        <f t="shared" si="12"/>
        <v>PR-ITABORAÍ</v>
      </c>
      <c r="C248" s="11">
        <f t="shared" ca="1" si="13"/>
        <v>0</v>
      </c>
      <c r="D248" s="11">
        <f t="shared" ca="1" si="14"/>
        <v>5.5763378152913319</v>
      </c>
      <c r="E248" s="11">
        <f t="shared" ca="1" si="19"/>
        <v>5.5763378152913319</v>
      </c>
      <c r="F248" s="198">
        <f ca="1">E248*F27</f>
        <v>1029826167.3989691</v>
      </c>
      <c r="G248" s="79"/>
      <c r="H248" s="20" t="s">
        <v>347</v>
      </c>
      <c r="I248" s="20" t="str">
        <f t="shared" si="15"/>
        <v>NTS MG 3</v>
      </c>
      <c r="J248" s="11">
        <f t="shared" ca="1" si="16"/>
        <v>0</v>
      </c>
      <c r="K248" s="11">
        <f t="shared" ca="1" si="17"/>
        <v>4.4714216408888712</v>
      </c>
      <c r="L248" s="11">
        <f t="shared" ca="1" si="20"/>
        <v>4.4714216408888712</v>
      </c>
      <c r="M248" s="198">
        <f t="shared" ca="1" si="18"/>
        <v>96870941.898039818</v>
      </c>
    </row>
    <row r="249" spans="1:22" ht="18" x14ac:dyDescent="0.25">
      <c r="A249" s="20" t="s">
        <v>348</v>
      </c>
      <c r="B249" s="20" t="str">
        <f t="shared" si="12"/>
        <v>PR-GASPAJ (INTERCONEXÃO)</v>
      </c>
      <c r="C249" s="11" t="str">
        <f t="shared" si="13"/>
        <v xml:space="preserve"> </v>
      </c>
      <c r="D249" s="11">
        <f t="shared" ca="1" si="14"/>
        <v>5.5763378152913319</v>
      </c>
      <c r="E249" s="83">
        <f ca="1">E271</f>
        <v>0.50155775102695932</v>
      </c>
      <c r="F249" s="198">
        <f ca="1">E249*F28</f>
        <v>0</v>
      </c>
      <c r="G249" s="79"/>
      <c r="H249" s="20" t="s">
        <v>349</v>
      </c>
      <c r="I249" s="20" t="str">
        <f t="shared" si="15"/>
        <v>NTS MG 4</v>
      </c>
      <c r="J249" s="11">
        <f t="shared" ca="1" si="16"/>
        <v>0</v>
      </c>
      <c r="K249" s="11">
        <f t="shared" ca="1" si="17"/>
        <v>4.4714216408888712</v>
      </c>
      <c r="L249" s="11">
        <f t="shared" ca="1" si="20"/>
        <v>4.4714216408888712</v>
      </c>
      <c r="M249" s="198">
        <f t="shared" ca="1" si="18"/>
        <v>15701209.579301439</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4.4714216408888712</v>
      </c>
      <c r="L250" s="11">
        <f t="shared" ca="1" si="20"/>
        <v>4.4714216408888712</v>
      </c>
      <c r="M250" s="198">
        <f t="shared" ca="1" si="18"/>
        <v>250435995.38519251</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4.4714216408888712</v>
      </c>
      <c r="L251" s="11">
        <f t="shared" ca="1" si="20"/>
        <v>4.4714216408888712</v>
      </c>
      <c r="M251" s="198">
        <f t="shared" ca="1" si="18"/>
        <v>101761439.36942892</v>
      </c>
    </row>
    <row r="252" spans="1:22" ht="18" x14ac:dyDescent="0.25">
      <c r="A252" s="20" t="s">
        <v>354</v>
      </c>
      <c r="B252" s="20" t="str">
        <f t="shared" si="12"/>
        <v>PR-TECAB</v>
      </c>
      <c r="C252" s="11">
        <f t="shared" ca="1" si="13"/>
        <v>0</v>
      </c>
      <c r="D252" s="11">
        <f t="shared" ca="1" si="14"/>
        <v>5.5763378152913319</v>
      </c>
      <c r="E252" s="11">
        <f t="shared" ca="1" si="19"/>
        <v>5.5763378152913319</v>
      </c>
      <c r="F252" s="198">
        <f ca="1">E252*F31</f>
        <v>589608187.85583794</v>
      </c>
      <c r="G252" s="79"/>
      <c r="H252" s="20" t="s">
        <v>355</v>
      </c>
      <c r="I252" s="20" t="str">
        <f t="shared" si="15"/>
        <v>NTS RJ 3</v>
      </c>
      <c r="J252" s="11">
        <f t="shared" ca="1" si="16"/>
        <v>0</v>
      </c>
      <c r="K252" s="11">
        <f t="shared" ca="1" si="17"/>
        <v>4.4714216408888712</v>
      </c>
      <c r="L252" s="11">
        <f t="shared" ca="1" si="20"/>
        <v>4.4714216408888712</v>
      </c>
      <c r="M252" s="198">
        <f t="shared" ca="1" si="18"/>
        <v>91159852.442022145</v>
      </c>
    </row>
    <row r="253" spans="1:22" ht="18" x14ac:dyDescent="0.25">
      <c r="A253" s="20" t="s">
        <v>356</v>
      </c>
      <c r="B253" s="20" t="str">
        <f t="shared" si="12"/>
        <v>PR-GUARAREMA (INTERCONEXÃO)</v>
      </c>
      <c r="C253" s="11" t="str">
        <f t="shared" si="13"/>
        <v xml:space="preserve"> </v>
      </c>
      <c r="D253" s="11"/>
      <c r="E253" s="83">
        <f ca="1">E269</f>
        <v>0.50155775102695932</v>
      </c>
      <c r="F253" s="199"/>
      <c r="G253" s="79"/>
      <c r="H253" s="20" t="s">
        <v>357</v>
      </c>
      <c r="I253" s="20" t="str">
        <f t="shared" si="15"/>
        <v>NTS RJ 4</v>
      </c>
      <c r="J253" s="11">
        <f t="shared" ca="1" si="16"/>
        <v>0</v>
      </c>
      <c r="K253" s="11">
        <f t="shared" ca="1" si="17"/>
        <v>4.4714216408888712</v>
      </c>
      <c r="L253" s="11">
        <f t="shared" ca="1" si="20"/>
        <v>4.4714216408888712</v>
      </c>
      <c r="M253" s="198">
        <f t="shared" ca="1" si="18"/>
        <v>16748652.553674102</v>
      </c>
    </row>
    <row r="254" spans="1:22" ht="18" x14ac:dyDescent="0.25">
      <c r="A254" s="20" t="s">
        <v>358</v>
      </c>
      <c r="B254" s="20" t="str">
        <f t="shared" si="12"/>
        <v>PR-REPLAN (INTERCONEXÃO)</v>
      </c>
      <c r="C254" s="11" t="str">
        <f t="shared" si="13"/>
        <v xml:space="preserve"> </v>
      </c>
      <c r="D254" s="11"/>
      <c r="E254" s="83">
        <f ca="1">E268</f>
        <v>0.50155775102695932</v>
      </c>
      <c r="F254" s="200">
        <f ca="1">SUM(F246:F252)</f>
        <v>2479030125.8712134</v>
      </c>
      <c r="G254" s="79"/>
      <c r="H254" s="20" t="s">
        <v>359</v>
      </c>
      <c r="I254" s="20" t="str">
        <f t="shared" si="15"/>
        <v>NTS RJ 5</v>
      </c>
      <c r="J254" s="11">
        <f t="shared" ca="1" si="16"/>
        <v>0</v>
      </c>
      <c r="K254" s="11">
        <f t="shared" ca="1" si="17"/>
        <v>4.4714216408888712</v>
      </c>
      <c r="L254" s="11">
        <f t="shared" ca="1" si="20"/>
        <v>4.4714216408888712</v>
      </c>
      <c r="M254" s="198">
        <f t="shared" ca="1" si="18"/>
        <v>42372277.985841155</v>
      </c>
    </row>
    <row r="255" spans="1:22" ht="18" x14ac:dyDescent="0.25">
      <c r="A255" s="20" t="s">
        <v>360</v>
      </c>
      <c r="B255" s="20" t="str">
        <f t="shared" si="12"/>
        <v>PR-TECAB (INTERCONEXÃO)</v>
      </c>
      <c r="C255" s="11" t="str">
        <f t="shared" si="13"/>
        <v xml:space="preserve"> </v>
      </c>
      <c r="D255" s="11"/>
      <c r="E255" s="83">
        <f ca="1">E270</f>
        <v>0.50155775102695932</v>
      </c>
      <c r="G255" s="79"/>
      <c r="H255" s="20" t="s">
        <v>361</v>
      </c>
      <c r="I255" s="20" t="str">
        <f t="shared" si="15"/>
        <v>NTS SP 1</v>
      </c>
      <c r="J255" s="11">
        <f t="shared" ca="1" si="16"/>
        <v>0</v>
      </c>
      <c r="K255" s="11">
        <f t="shared" ca="1" si="17"/>
        <v>4.4714216408888712</v>
      </c>
      <c r="L255" s="11">
        <f t="shared" ca="1" si="20"/>
        <v>4.4714216408888712</v>
      </c>
      <c r="M255" s="198">
        <f t="shared" ca="1" si="18"/>
        <v>60551158.544514187</v>
      </c>
    </row>
    <row r="256" spans="1:22" ht="18" x14ac:dyDescent="0.25">
      <c r="F256" s="87"/>
      <c r="H256" s="20" t="s">
        <v>362</v>
      </c>
      <c r="I256" s="20" t="str">
        <f t="shared" si="15"/>
        <v>NTS SP 2</v>
      </c>
      <c r="J256" s="11">
        <f t="shared" ca="1" si="16"/>
        <v>0</v>
      </c>
      <c r="K256" s="11">
        <f t="shared" ca="1" si="17"/>
        <v>4.4714216408888712</v>
      </c>
      <c r="L256" s="11">
        <f t="shared" ca="1" si="20"/>
        <v>4.4714216408888712</v>
      </c>
      <c r="M256" s="198">
        <f t="shared" ca="1" si="18"/>
        <v>149785608.36010751</v>
      </c>
    </row>
    <row r="257" spans="1:13" ht="18" x14ac:dyDescent="0.25">
      <c r="H257" s="20" t="s">
        <v>363</v>
      </c>
      <c r="I257" s="20" t="str">
        <f t="shared" si="15"/>
        <v>NTS SP 3</v>
      </c>
      <c r="J257" s="11">
        <f t="shared" ca="1" si="16"/>
        <v>0</v>
      </c>
      <c r="K257" s="11">
        <f t="shared" ca="1" si="17"/>
        <v>4.4714216408888712</v>
      </c>
      <c r="L257" s="11">
        <f t="shared" ca="1" si="20"/>
        <v>4.4714216408888712</v>
      </c>
      <c r="M257" s="198">
        <f t="shared" ca="1" si="18"/>
        <v>61389205.104813002</v>
      </c>
    </row>
    <row r="258" spans="1:13" ht="18" x14ac:dyDescent="0.25">
      <c r="H258" s="20" t="s">
        <v>364</v>
      </c>
      <c r="I258" s="20" t="str">
        <f t="shared" si="15"/>
        <v>NTS SP 4</v>
      </c>
      <c r="J258" s="11">
        <f t="shared" ca="1" si="16"/>
        <v>0</v>
      </c>
      <c r="K258" s="11">
        <f t="shared" ca="1" si="17"/>
        <v>4.4714216408888712</v>
      </c>
      <c r="L258" s="11">
        <f t="shared" ca="1" si="20"/>
        <v>4.4714216408888712</v>
      </c>
      <c r="M258" s="198">
        <f t="shared" ca="1" si="18"/>
        <v>80243715.951747507</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0.37286234563970172</v>
      </c>
      <c r="M260" s="200">
        <f ca="1">SUM(M246:M258)</f>
        <v>1054842381.6270922</v>
      </c>
    </row>
    <row r="261" spans="1:13" ht="18" x14ac:dyDescent="0.25">
      <c r="H261" s="20" t="s">
        <v>367</v>
      </c>
      <c r="I261" s="20" t="str">
        <f t="shared" si="15"/>
        <v>PE-TECAB (INTERCONEXÃO)</v>
      </c>
      <c r="J261" s="11" t="str">
        <f t="shared" si="16"/>
        <v xml:space="preserve"> </v>
      </c>
      <c r="K261" s="11"/>
      <c r="L261" s="83">
        <f ca="1">E273</f>
        <v>0.37286234563970172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(BRA)'!G11</f>
        <v>200</v>
      </c>
      <c r="D268" s="207">
        <f ca="1">'CWD 2030 BRA (sem desc.)'!D267</f>
        <v>5.0155775102695941</v>
      </c>
      <c r="E268" s="210">
        <f ca="1">D268*(1-$C$263)</f>
        <v>0.50155775102695932</v>
      </c>
      <c r="F268" s="208">
        <f ca="1">C268*E268*'Premissas (BRA)'!$C$35*'Premissas (BRA)'!$F$20*1000</f>
        <v>1365771.38155809</v>
      </c>
      <c r="L268" s="84"/>
    </row>
    <row r="269" spans="1:13" ht="18.75" x14ac:dyDescent="0.3">
      <c r="B269" s="189" t="s">
        <v>376</v>
      </c>
      <c r="C269" s="213">
        <f>'Oferta (BRA)'!G10</f>
        <v>3398.2010229822185</v>
      </c>
      <c r="D269" s="207">
        <f ca="1">'CWD 2030 BRA (sem desc.)'!D268</f>
        <v>5.0155775102695941</v>
      </c>
      <c r="E269" s="210">
        <f t="shared" ref="E269:E271" ca="1" si="21">D269*(1-$C$263)</f>
        <v>0.50155775102695932</v>
      </c>
      <c r="F269" s="208">
        <f ca="1">C269*E269*'Premissas (BRA)'!$C$35*'Premissas (BRA)'!$F$20*1000</f>
        <v>23205828.529852696</v>
      </c>
      <c r="G269" s="85"/>
      <c r="K269" s="85"/>
      <c r="L269" s="84"/>
    </row>
    <row r="270" spans="1:13" ht="18.75" x14ac:dyDescent="0.3">
      <c r="B270" s="190" t="s">
        <v>377</v>
      </c>
      <c r="C270" s="213">
        <f>'Oferta (BRA)'!G12</f>
        <v>200</v>
      </c>
      <c r="D270" s="207">
        <f ca="1">'CWD 2030 BRA (sem desc.)'!D269</f>
        <v>5.0155775102695941</v>
      </c>
      <c r="E270" s="210">
        <f t="shared" ca="1" si="21"/>
        <v>0.50155775102695932</v>
      </c>
      <c r="F270" s="208">
        <f ca="1">C270*E270*'Premissas (BRA)'!$C$35*'Premissas (BRA)'!$F$20*1000</f>
        <v>1365771.38155809</v>
      </c>
      <c r="K270" s="85"/>
      <c r="L270" s="84"/>
    </row>
    <row r="271" spans="1:13" ht="18.75" x14ac:dyDescent="0.3">
      <c r="B271" s="190" t="s">
        <v>185</v>
      </c>
      <c r="C271" s="213">
        <f>'Oferta (BRA)'!G6</f>
        <v>258</v>
      </c>
      <c r="D271" s="207">
        <f ca="1">'CWD 2030 BRA (sem desc.)'!D270</f>
        <v>5.0155775102695941</v>
      </c>
      <c r="E271" s="210">
        <f t="shared" ca="1" si="21"/>
        <v>0.50155775102695932</v>
      </c>
      <c r="F271" s="208">
        <f ca="1">C271*E271*'Premissas (BRA)'!$C$35*'Premissas (BRA)'!$F$20*1000</f>
        <v>1761845.0822099361</v>
      </c>
      <c r="K271" s="85"/>
      <c r="L271" s="84"/>
    </row>
    <row r="272" spans="1:13" ht="18.75" x14ac:dyDescent="0.3">
      <c r="B272" s="188" t="s">
        <v>378</v>
      </c>
      <c r="C272" s="213">
        <f>'Demanda (BRA)'!G17</f>
        <v>3635.2588149970047</v>
      </c>
      <c r="D272" s="207">
        <f ca="1">'CWD 2030 BRA (sem desc.)'!D271</f>
        <v>3.7286234563970182</v>
      </c>
      <c r="E272" s="210">
        <f ca="1">D272*(1-$C$263)</f>
        <v>0.37286234563970172</v>
      </c>
      <c r="F272" s="208">
        <f ca="1">C272*E272*'Premissas (BRA)'!$C$35*'Premissas (BRA)'!$F$20*1000</f>
        <v>18454867.430324346</v>
      </c>
      <c r="K272" s="85"/>
      <c r="L272" s="84"/>
    </row>
    <row r="273" spans="2:13" ht="18.75" x14ac:dyDescent="0.3">
      <c r="B273" s="190" t="s">
        <v>379</v>
      </c>
      <c r="C273" s="213">
        <f>'Demanda (BRA)'!G18</f>
        <v>200</v>
      </c>
      <c r="D273" s="207">
        <f ca="1">'CWD 2030 BRA (sem desc.)'!D272</f>
        <v>3.7286234563970182</v>
      </c>
      <c r="E273" s="210">
        <f ca="1">D273*(1-$C$263)</f>
        <v>0.37286234563970172</v>
      </c>
      <c r="F273" s="208">
        <f ca="1">C273*E273*'Premissas (BRA)'!$C$35*'Premissas (BRA)'!$F$20*1000</f>
        <v>1015326.1910370775</v>
      </c>
      <c r="K273" s="85"/>
      <c r="L273" s="84"/>
    </row>
    <row r="274" spans="2:13" ht="19.5" thickBot="1" x14ac:dyDescent="0.35">
      <c r="B274" s="190"/>
      <c r="C274" s="211"/>
      <c r="D274" s="211"/>
      <c r="E274" s="211"/>
      <c r="F274" s="209">
        <f ca="1">SUM(F268:F273)</f>
        <v>47169409.996540233</v>
      </c>
      <c r="K274" s="85"/>
      <c r="L274" s="84"/>
    </row>
    <row r="275" spans="2:13" ht="15.75" thickTop="1" x14ac:dyDescent="0.25">
      <c r="K275" s="85"/>
      <c r="L275" s="84"/>
    </row>
    <row r="276" spans="2:13" x14ac:dyDescent="0.25">
      <c r="E276" t="s">
        <v>102</v>
      </c>
      <c r="F276" s="177">
        <f ca="1">F254+M260+F274</f>
        <v>3581041917.4948459</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ED7D-F8F6-4175-8114-904D908EC944}">
  <sheetPr codeName="Planilha45">
    <tabColor theme="5"/>
  </sheetPr>
  <dimension ref="A1:V39"/>
  <sheetViews>
    <sheetView showGridLines="0" zoomScale="110" zoomScaleNormal="110" workbookViewId="0">
      <selection activeCell="D38" sqref="D3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2030 BRA (com desc.)'!A246</f>
        <v>TEN1</v>
      </c>
      <c r="B2" s="261" t="str">
        <f>'CWD 2030 BRA (com desc.)'!B246</f>
        <v>PR-CARAGUATATUBA</v>
      </c>
      <c r="C2" s="262">
        <f>'CWD 2030 BRA (sem desc.)'!F24</f>
        <v>151427532.0717288</v>
      </c>
      <c r="D2" s="263">
        <f ca="1">'CWD 2030 BRA (com desc.)'!E246</f>
        <v>5.5763378152913319</v>
      </c>
      <c r="E2" s="264">
        <f t="shared" ref="E2:E11" ca="1" si="0">IFERROR(C2*D2," ")</f>
        <v>844411073.36782229</v>
      </c>
      <c r="F2" s="298"/>
      <c r="L2" s="39" t="s">
        <v>53</v>
      </c>
      <c r="M2" s="38">
        <f ca="1">IFERROR($D$2+$C34," ")</f>
        <v>10.047759456180202</v>
      </c>
      <c r="N2" s="38">
        <f ca="1">IFERROR($D$3+$C34," ")</f>
        <v>10.047759456180202</v>
      </c>
      <c r="O2" s="38">
        <f ca="1">IFERROR($D$4+$C34," ")</f>
        <v>10.047759456180202</v>
      </c>
      <c r="P2" s="38">
        <f ca="1">IFERROR($D$5+$C34," ")</f>
        <v>4.97297939191583</v>
      </c>
      <c r="Q2" s="38" t="str">
        <f ca="1">IFERROR($D$6+$C34," ")</f>
        <v xml:space="preserve"> </v>
      </c>
      <c r="R2" s="38" t="str">
        <f ca="1">IFERROR($D$7+$C34," ")</f>
        <v xml:space="preserve"> </v>
      </c>
      <c r="S2" s="38">
        <f ca="1">IFERROR($D$8+$C34," ")</f>
        <v>10.047759456180202</v>
      </c>
      <c r="T2" s="38">
        <f ca="1">IFERROR($D$9+$C34," ")</f>
        <v>4.97297939191583</v>
      </c>
      <c r="U2" s="38">
        <f ca="1">IFERROR($D$10+$C34," ")</f>
        <v>4.97297939191583</v>
      </c>
      <c r="V2" s="38">
        <f ca="1">IFERROR($D$11+$C34," ")</f>
        <v>4.97297939191583</v>
      </c>
    </row>
    <row r="3" spans="1:22" s="33" customFormat="1" x14ac:dyDescent="0.25">
      <c r="A3" s="233" t="str">
        <f>'CWD 2030 BRA (com desc.)'!A247</f>
        <v>TEN2</v>
      </c>
      <c r="B3" s="236" t="str">
        <f>'CWD 2030 BRA (com desc.)'!B247</f>
        <v>PR-GNLBGB</v>
      </c>
      <c r="C3" s="237">
        <f>'CWD 2030 BRA (sem desc.)'!F25</f>
        <v>2723059.0670000003</v>
      </c>
      <c r="D3" s="238">
        <f ca="1">'CWD 2030 BRA (com desc.)'!E247</f>
        <v>5.5763378152913319</v>
      </c>
      <c r="E3" s="239">
        <f t="shared" ca="1" si="0"/>
        <v>15184697.248584034</v>
      </c>
      <c r="F3" s="298"/>
      <c r="L3" s="39" t="s">
        <v>64</v>
      </c>
      <c r="M3" s="38">
        <f t="shared" ref="M3:M7" ca="1" si="1">IFERROR($D$2+$C35," ")</f>
        <v>10.047759456180202</v>
      </c>
      <c r="N3" s="38">
        <f t="shared" ref="N3:N7" ca="1" si="2">IFERROR($D$3+$C35," ")</f>
        <v>10.047759456180202</v>
      </c>
      <c r="O3" s="38">
        <f t="shared" ref="O3:O7" ca="1" si="3">IFERROR($D$4+$C35," ")</f>
        <v>10.047759456180202</v>
      </c>
      <c r="P3" s="38">
        <f t="shared" ref="P3:P7" ca="1" si="4">IFERROR($D$5+$C35," ")</f>
        <v>4.97297939191583</v>
      </c>
      <c r="Q3" s="38" t="str">
        <f t="shared" ref="Q3:Q7" ca="1" si="5">IFERROR($D$6+$C35," ")</f>
        <v xml:space="preserve"> </v>
      </c>
      <c r="R3" s="38" t="str">
        <f t="shared" ref="R3:R7" ca="1" si="6">IFERROR($D$7+$C35," ")</f>
        <v xml:space="preserve"> </v>
      </c>
      <c r="S3" s="38">
        <f t="shared" ref="S3:S7" ca="1" si="7">IFERROR($D$8+$C35," ")</f>
        <v>10.047759456180202</v>
      </c>
      <c r="T3" s="38">
        <f t="shared" ref="T3:T7" ca="1" si="8">IFERROR($D$9+$C35," ")</f>
        <v>4.97297939191583</v>
      </c>
      <c r="U3" s="38">
        <f t="shared" ref="U3:U7" ca="1" si="9">IFERROR($D$10+$C35," ")</f>
        <v>4.97297939191583</v>
      </c>
      <c r="V3" s="38">
        <f t="shared" ref="V3:V7" ca="1" si="10">IFERROR($D$11+$C35," ")</f>
        <v>4.97297939191583</v>
      </c>
    </row>
    <row r="4" spans="1:22" x14ac:dyDescent="0.25">
      <c r="A4" s="233" t="str">
        <f>'CWD 2030 BRA (com desc.)'!A248</f>
        <v>TEN3</v>
      </c>
      <c r="B4" s="236" t="str">
        <f>'CWD 2030 BRA (com desc.)'!B248</f>
        <v>PR-ITABORAÍ</v>
      </c>
      <c r="C4" s="237">
        <f>'CWD 2030 BRA (sem desc.)'!F26</f>
        <v>184677865.92394</v>
      </c>
      <c r="D4" s="238">
        <f ca="1">'CWD 2030 BRA (com desc.)'!E248</f>
        <v>5.5763378152913319</v>
      </c>
      <c r="E4" s="237">
        <f t="shared" ca="1" si="0"/>
        <v>1029826167.3989691</v>
      </c>
      <c r="F4" s="298"/>
      <c r="L4" s="39" t="s">
        <v>193</v>
      </c>
      <c r="M4" s="38">
        <f t="shared" ca="1" si="1"/>
        <v>10.047759456180204</v>
      </c>
      <c r="N4" s="38">
        <f t="shared" ca="1" si="2"/>
        <v>10.047759456180204</v>
      </c>
      <c r="O4" s="38">
        <f t="shared" ca="1" si="3"/>
        <v>10.047759456180204</v>
      </c>
      <c r="P4" s="38">
        <f t="shared" ca="1" si="4"/>
        <v>4.9729793919158318</v>
      </c>
      <c r="Q4" s="38" t="str">
        <f t="shared" ca="1" si="5"/>
        <v xml:space="preserve"> </v>
      </c>
      <c r="R4" s="38" t="str">
        <f t="shared" ca="1" si="6"/>
        <v xml:space="preserve"> </v>
      </c>
      <c r="S4" s="38">
        <f t="shared" ca="1" si="7"/>
        <v>10.047759456180204</v>
      </c>
      <c r="T4" s="38">
        <f t="shared" ca="1" si="8"/>
        <v>4.9729793919158318</v>
      </c>
      <c r="U4" s="38">
        <f t="shared" ca="1" si="9"/>
        <v>4.9729793919158318</v>
      </c>
      <c r="V4" s="38">
        <f t="shared" ca="1" si="10"/>
        <v>4.9729793919158318</v>
      </c>
    </row>
    <row r="5" spans="1:22" ht="24" x14ac:dyDescent="0.25">
      <c r="A5" s="233" t="str">
        <f>'CWD 2030 BRA (com desc.)'!A249</f>
        <v>TEN4</v>
      </c>
      <c r="B5" s="236" t="str">
        <f>'CWD 2030 BRA (com desc.)'!B249</f>
        <v>PR-GASPAJ (INTERCONEXÃO)</v>
      </c>
      <c r="C5" s="237">
        <f>'CWD 2030 BRA (sem desc.)'!F27</f>
        <v>3512746.19643</v>
      </c>
      <c r="D5" s="238">
        <f ca="1">'CWD 2030 BRA (com desc.)'!E249</f>
        <v>0.50155775102695932</v>
      </c>
      <c r="E5" s="237">
        <f t="shared" ca="1" si="0"/>
        <v>1761845.0822099363</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2030 BRA (com desc.)'!A250</f>
        <v>TEN5</v>
      </c>
      <c r="B6" s="236" t="str">
        <f>'CWD 2030 BRA (com desc.)'!B250</f>
        <v>PR-REDUC</v>
      </c>
      <c r="C6" s="237">
        <f>'CWD 2030 BRA (sem desc.)'!F28</f>
        <v>0</v>
      </c>
      <c r="D6" s="238" t="str">
        <f>'CWD 2030 BRA (com desc.)'!E250</f>
        <v xml:space="preserve"> </v>
      </c>
      <c r="E6" s="237" t="str">
        <f t="shared" si="0"/>
        <v xml:space="preserve"> </v>
      </c>
      <c r="F6" s="298"/>
      <c r="L6" s="88" t="str">
        <f t="shared" ref="L6:L7" si="11">B29</f>
        <v>PE-REPLAN (INTERCONEXÃO)</v>
      </c>
      <c r="M6" s="38">
        <f t="shared" ca="1" si="1"/>
        <v>5.9492001609310332</v>
      </c>
      <c r="N6" s="38">
        <f t="shared" ca="1" si="2"/>
        <v>5.9492001609310332</v>
      </c>
      <c r="O6" s="38">
        <f t="shared" ca="1" si="3"/>
        <v>5.9492001609310332</v>
      </c>
      <c r="P6" s="38">
        <f t="shared" ca="1" si="4"/>
        <v>0.8744200966666611</v>
      </c>
      <c r="Q6" s="38" t="str">
        <f t="shared" ca="1" si="5"/>
        <v xml:space="preserve"> </v>
      </c>
      <c r="R6" s="38" t="str">
        <f t="shared" ca="1" si="6"/>
        <v xml:space="preserve"> </v>
      </c>
      <c r="S6" s="38">
        <f t="shared" ca="1" si="7"/>
        <v>5.9492001609310332</v>
      </c>
      <c r="T6" s="38">
        <f t="shared" ca="1" si="8"/>
        <v>0.8744200966666611</v>
      </c>
      <c r="U6" s="38">
        <f t="shared" ca="1" si="9"/>
        <v>0.8744200966666611</v>
      </c>
      <c r="V6" s="38">
        <f t="shared" ca="1" si="10"/>
        <v>0.8744200966666611</v>
      </c>
    </row>
    <row r="7" spans="1:22" x14ac:dyDescent="0.25">
      <c r="A7" s="233" t="str">
        <f>'CWD 2030 BRA (com desc.)'!A251</f>
        <v>TEN6</v>
      </c>
      <c r="B7" s="236" t="str">
        <f>'CWD 2030 BRA (com desc.)'!B251</f>
        <v>PR-RPBC</v>
      </c>
      <c r="C7" s="237">
        <f>'CWD 2030 BRA (sem desc.)'!F29</f>
        <v>0</v>
      </c>
      <c r="D7" s="238" t="str">
        <f>'CWD 2030 BRA (com desc.)'!E251</f>
        <v xml:space="preserve"> </v>
      </c>
      <c r="E7" s="237" t="str">
        <f t="shared" si="0"/>
        <v xml:space="preserve"> </v>
      </c>
      <c r="F7" s="298"/>
      <c r="L7" s="88" t="str">
        <f t="shared" si="11"/>
        <v>PE-TECAB (INTERCONEXÃO)</v>
      </c>
      <c r="M7" s="38">
        <f t="shared" ca="1" si="1"/>
        <v>5.9492001609310332</v>
      </c>
      <c r="N7" s="38">
        <f t="shared" ca="1" si="2"/>
        <v>5.9492001609310332</v>
      </c>
      <c r="O7" s="38">
        <f t="shared" ca="1" si="3"/>
        <v>5.9492001609310332</v>
      </c>
      <c r="P7" s="38">
        <f t="shared" ca="1" si="4"/>
        <v>0.8744200966666611</v>
      </c>
      <c r="Q7" s="38" t="str">
        <f t="shared" ca="1" si="5"/>
        <v xml:space="preserve"> </v>
      </c>
      <c r="R7" s="38" t="str">
        <f t="shared" ca="1" si="6"/>
        <v xml:space="preserve"> </v>
      </c>
      <c r="S7" s="38">
        <f t="shared" ca="1" si="7"/>
        <v>5.9492001609310332</v>
      </c>
      <c r="T7" s="38">
        <f t="shared" ca="1" si="8"/>
        <v>0.8744200966666611</v>
      </c>
      <c r="U7" s="38">
        <f t="shared" ca="1" si="9"/>
        <v>0.8744200966666611</v>
      </c>
      <c r="V7" s="38">
        <f t="shared" ca="1" si="10"/>
        <v>0.8744200966666611</v>
      </c>
    </row>
    <row r="8" spans="1:22" x14ac:dyDescent="0.25">
      <c r="A8" s="233" t="str">
        <f>'CWD 2030 BRA (com desc.)'!A252</f>
        <v>TEN7</v>
      </c>
      <c r="B8" s="236" t="str">
        <f>'CWD 2030 BRA (com desc.)'!B252</f>
        <v>PR-TECAB</v>
      </c>
      <c r="C8" s="237">
        <f>'CWD 2030 BRA (sem desc.)'!F30</f>
        <v>105733943.56400453</v>
      </c>
      <c r="D8" s="238">
        <f ca="1">'CWD 2030 BRA (com desc.)'!E252</f>
        <v>5.5763378152913319</v>
      </c>
      <c r="E8" s="237">
        <f t="shared" ca="1" si="0"/>
        <v>589608187.85583794</v>
      </c>
      <c r="F8" s="298"/>
      <c r="L8" s="32"/>
    </row>
    <row r="9" spans="1:22" x14ac:dyDescent="0.25">
      <c r="A9" s="233" t="str">
        <f>'CWD 2030 BRA (com desc.)'!A253</f>
        <v>TEN8</v>
      </c>
      <c r="B9" s="236" t="str">
        <f>'CWD 2030 BRA (com desc.)'!B253</f>
        <v>PR-GUARAREMA (INTERCONEXÃO)</v>
      </c>
      <c r="C9" s="237">
        <f>'CWD 2030 BRA (sem desc.)'!F31</f>
        <v>46267510.535602026</v>
      </c>
      <c r="D9" s="238">
        <f ca="1">'CWD 2030 BRA (com desc.)'!E253</f>
        <v>0.50155775102695932</v>
      </c>
      <c r="E9" s="237">
        <f t="shared" ca="1" si="0"/>
        <v>23205828.529852699</v>
      </c>
      <c r="F9" s="298"/>
      <c r="L9" s="32"/>
    </row>
    <row r="10" spans="1:22" x14ac:dyDescent="0.25">
      <c r="A10" s="233" t="str">
        <f>'CWD 2030 BRA (com desc.)'!A254</f>
        <v>TEN9</v>
      </c>
      <c r="B10" s="236" t="str">
        <f>'CWD 2030 BRA (com desc.)'!B254</f>
        <v>PR-REPLAN (INTERCONEXÃO)</v>
      </c>
      <c r="C10" s="237">
        <f>'CWD 2030 BRA (sem desc.)'!F32</f>
        <v>2723059.0670000003</v>
      </c>
      <c r="D10" s="238">
        <f ca="1">'CWD 2030 BRA (com desc.)'!E254</f>
        <v>0.50155775102695932</v>
      </c>
      <c r="E10" s="237">
        <f t="shared" ca="1" si="0"/>
        <v>1365771.3815580902</v>
      </c>
      <c r="F10" s="298"/>
      <c r="L10" s="32"/>
    </row>
    <row r="11" spans="1:22" x14ac:dyDescent="0.25">
      <c r="A11" s="233" t="str">
        <f>'CWD 2030 BRA (com desc.)'!A255</f>
        <v>TEN10</v>
      </c>
      <c r="B11" s="236" t="str">
        <f>'CWD 2030 BRA (com desc.)'!B255</f>
        <v>PR-TECAB (INTERCONEXÃO)</v>
      </c>
      <c r="C11" s="237">
        <f>'CWD 2030 BRA (sem desc.)'!F33</f>
        <v>2723059.0670000003</v>
      </c>
      <c r="D11" s="238">
        <f ca="1">'CWD 2030 BRA (com desc.)'!E255</f>
        <v>0.50155775102695932</v>
      </c>
      <c r="E11" s="237">
        <f t="shared" ca="1" si="0"/>
        <v>1365771.3815580902</v>
      </c>
      <c r="F11" s="298"/>
      <c r="L11" s="32"/>
    </row>
    <row r="12" spans="1:22" x14ac:dyDescent="0.25">
      <c r="E12" s="36">
        <f ca="1">SUM(E2:E11)</f>
        <v>2506729342.2463918</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2030 BRA (com desc.)'!H246</f>
        <v>TEX1</v>
      </c>
      <c r="B15" s="237" t="str">
        <f>'CWD 2030 BRA (com desc.)'!I246</f>
        <v>NTS MG 1</v>
      </c>
      <c r="C15" s="237">
        <f>'CWD 2030 BRA (sem desc.)'!F41</f>
        <v>1143131.2713643934</v>
      </c>
      <c r="D15" s="237"/>
      <c r="E15" s="240">
        <f ca="1">'CWD 2030 BRA (com desc.)'!L246</f>
        <v>4.4714216408888712</v>
      </c>
      <c r="F15" s="246">
        <f ca="1">IFERROR(C15*E15," ")</f>
        <v>5111421.9051555572</v>
      </c>
      <c r="G15" s="249"/>
      <c r="H15" s="255" t="str">
        <f>IFERROR(G15/D15," ")</f>
        <v xml:space="preserve"> </v>
      </c>
      <c r="I15" s="37"/>
      <c r="J15" s="37"/>
      <c r="L15" s="30"/>
    </row>
    <row r="16" spans="1:22" x14ac:dyDescent="0.25">
      <c r="A16" s="237" t="str">
        <f>'CWD 2030 BRA (com desc.)'!H247</f>
        <v>TEX2</v>
      </c>
      <c r="B16" s="237" t="str">
        <f>'CWD 2030 BRA (com desc.)'!I247</f>
        <v>NTS MG 2</v>
      </c>
      <c r="C16" s="237">
        <f>'CWD 2030 BRA (sem desc.)'!F42</f>
        <v>18497674.607759055</v>
      </c>
      <c r="D16" s="237"/>
      <c r="E16" s="240">
        <f ca="1">'CWD 2030 BRA (com desc.)'!L247</f>
        <v>4.4714216408888712</v>
      </c>
      <c r="F16" s="246">
        <f t="shared" ref="F16:F30" ca="1" si="12">IFERROR(C16*E16," ")</f>
        <v>82710902.547254398</v>
      </c>
      <c r="G16" s="258"/>
      <c r="H16" s="256" t="str">
        <f t="shared" ref="H16:H30" si="13">IFERROR(G16/D16," ")</f>
        <v xml:space="preserve"> </v>
      </c>
      <c r="I16" s="37"/>
      <c r="J16" s="37"/>
      <c r="L16" s="30"/>
    </row>
    <row r="17" spans="1:12" x14ac:dyDescent="0.25">
      <c r="A17" s="237" t="str">
        <f>'CWD 2030 BRA (com desc.)'!H248</f>
        <v>TEX3</v>
      </c>
      <c r="B17" s="237" t="str">
        <f>'CWD 2030 BRA (com desc.)'!I248</f>
        <v>NTS MG 3</v>
      </c>
      <c r="C17" s="237">
        <f>'CWD 2030 BRA (sem desc.)'!F43</f>
        <v>21664461.4795895</v>
      </c>
      <c r="D17" s="237"/>
      <c r="E17" s="240">
        <f ca="1">'CWD 2030 BRA (com desc.)'!L248</f>
        <v>4.4714216408888712</v>
      </c>
      <c r="F17" s="246">
        <f ca="1">IFERROR(C17*E17," ")</f>
        <v>96870941.898039818</v>
      </c>
      <c r="G17" s="251"/>
      <c r="H17" s="257" t="str">
        <f t="shared" si="13"/>
        <v xml:space="preserve"> </v>
      </c>
      <c r="I17" s="37"/>
      <c r="J17" s="37"/>
      <c r="L17" s="30"/>
    </row>
    <row r="18" spans="1:12" x14ac:dyDescent="0.25">
      <c r="A18" s="242" t="str">
        <f>'CWD 2030 BRA (com desc.)'!H249</f>
        <v>TEX4</v>
      </c>
      <c r="B18" s="242" t="str">
        <f>'CWD 2030 BRA (com desc.)'!I249</f>
        <v>NTS MG 4</v>
      </c>
      <c r="C18" s="242">
        <f>'CWD 2030 BRA (sem desc.)'!F44</f>
        <v>3511458.0641919076</v>
      </c>
      <c r="D18" s="242">
        <f>SUM(C15:C18)</f>
        <v>44816725.422904857</v>
      </c>
      <c r="E18" s="243">
        <f ca="1">'CWD 2030 BRA (com desc.)'!L249</f>
        <v>4.4714216408888712</v>
      </c>
      <c r="F18" s="242">
        <f ca="1">IFERROR(C18*E18," ")</f>
        <v>15701209.579301439</v>
      </c>
      <c r="G18" s="254">
        <f ca="1">SUM(F15:F18)</f>
        <v>200394475.92975122</v>
      </c>
      <c r="H18" s="252">
        <f t="shared" ca="1" si="13"/>
        <v>4.4714216408888712</v>
      </c>
      <c r="I18" s="272"/>
      <c r="J18"/>
      <c r="L18" s="30"/>
    </row>
    <row r="19" spans="1:12" x14ac:dyDescent="0.25">
      <c r="A19" s="237" t="str">
        <f>'CWD 2030 BRA (com desc.)'!H250</f>
        <v>TEX5</v>
      </c>
      <c r="B19" s="237" t="str">
        <f>'CWD 2030 BRA (com desc.)'!I250</f>
        <v>NTS RJ 1</v>
      </c>
      <c r="C19" s="237">
        <f>'CWD 2030 BRA (sem desc.)'!F45</f>
        <v>56008136.89657066</v>
      </c>
      <c r="D19" s="237"/>
      <c r="E19" s="240">
        <f ca="1">'CWD 2030 BRA (com desc.)'!L250</f>
        <v>4.4714216408888712</v>
      </c>
      <c r="F19" s="246">
        <f t="shared" ca="1" si="12"/>
        <v>250435995.38519251</v>
      </c>
      <c r="G19" s="249"/>
      <c r="H19" s="255" t="str">
        <f t="shared" si="13"/>
        <v xml:space="preserve"> </v>
      </c>
      <c r="I19"/>
      <c r="J19"/>
      <c r="L19" s="30"/>
    </row>
    <row r="20" spans="1:12" x14ac:dyDescent="0.25">
      <c r="A20" s="237" t="str">
        <f>'CWD 2030 BRA (com desc.)'!H251</f>
        <v>TEX6</v>
      </c>
      <c r="B20" s="237" t="str">
        <f>'CWD 2030 BRA (com desc.)'!I251</f>
        <v>NTS RJ 2</v>
      </c>
      <c r="C20" s="237">
        <f>'CWD 2030 BRA (sem desc.)'!F46</f>
        <v>22758184.654042114</v>
      </c>
      <c r="D20" s="237"/>
      <c r="E20" s="240">
        <f ca="1">'CWD 2030 BRA (com desc.)'!L251</f>
        <v>4.4714216408888712</v>
      </c>
      <c r="F20" s="246">
        <f t="shared" ca="1" si="12"/>
        <v>101761439.36942892</v>
      </c>
      <c r="G20" s="250"/>
      <c r="H20" s="256" t="str">
        <f t="shared" si="13"/>
        <v xml:space="preserve"> </v>
      </c>
      <c r="I20"/>
      <c r="J20"/>
      <c r="L20" s="30"/>
    </row>
    <row r="21" spans="1:12" x14ac:dyDescent="0.25">
      <c r="A21" s="237" t="str">
        <f>'CWD 2030 BRA (com desc.)'!H252</f>
        <v>TEX7</v>
      </c>
      <c r="B21" s="237" t="str">
        <f>'CWD 2030 BRA (com desc.)'!I252</f>
        <v>NTS RJ 3</v>
      </c>
      <c r="C21" s="237">
        <f>'CWD 2030 BRA (sem desc.)'!F47</f>
        <v>20387219.046491113</v>
      </c>
      <c r="D21" s="245"/>
      <c r="E21" s="240">
        <f ca="1">'CWD 2030 BRA (com desc.)'!L252</f>
        <v>4.4714216408888712</v>
      </c>
      <c r="F21" s="246">
        <f t="shared" ca="1" si="12"/>
        <v>91159852.442022145</v>
      </c>
      <c r="G21" s="253"/>
      <c r="H21" s="256" t="str">
        <f t="shared" si="13"/>
        <v xml:space="preserve"> </v>
      </c>
      <c r="I21"/>
      <c r="J21"/>
      <c r="L21" s="30"/>
    </row>
    <row r="22" spans="1:12" x14ac:dyDescent="0.25">
      <c r="A22" s="237" t="str">
        <f>'CWD 2030 BRA (com desc.)'!H253</f>
        <v>TEX8</v>
      </c>
      <c r="B22" s="237" t="str">
        <f>'CWD 2030 BRA (com desc.)'!I253</f>
        <v>NTS RJ 4</v>
      </c>
      <c r="C22" s="237">
        <f>'CWD 2030 BRA (sem desc.)'!F48</f>
        <v>3745710.8496582415</v>
      </c>
      <c r="D22" s="237"/>
      <c r="E22" s="240">
        <f ca="1">'CWD 2030 BRA (com desc.)'!L253</f>
        <v>4.4714216408888712</v>
      </c>
      <c r="F22" s="246">
        <f t="shared" ca="1" si="12"/>
        <v>16748652.553674102</v>
      </c>
      <c r="G22" s="251"/>
      <c r="H22" s="257" t="str">
        <f t="shared" si="13"/>
        <v xml:space="preserve"> </v>
      </c>
      <c r="I22"/>
      <c r="J22"/>
      <c r="L22" s="30"/>
    </row>
    <row r="23" spans="1:12" x14ac:dyDescent="0.25">
      <c r="A23" s="242" t="str">
        <f>'CWD 2030 BRA (com desc.)'!H254</f>
        <v>TEX9</v>
      </c>
      <c r="B23" s="242" t="str">
        <f>'CWD 2030 BRA (com desc.)'!I254</f>
        <v>NTS RJ 5</v>
      </c>
      <c r="C23" s="242">
        <f>'CWD 2030 BRA (sem desc.)'!F49</f>
        <v>9476242.9913493898</v>
      </c>
      <c r="D23" s="242">
        <f>SUM(C19:C23)</f>
        <v>112375494.43811151</v>
      </c>
      <c r="E23" s="243">
        <f ca="1">'CWD 2030 BRA (com desc.)'!L254</f>
        <v>4.4714216408888712</v>
      </c>
      <c r="F23" s="242">
        <f t="shared" ca="1" si="12"/>
        <v>42372277.985841155</v>
      </c>
      <c r="G23" s="254">
        <f ca="1">SUM(F19:F23)</f>
        <v>502478217.73615885</v>
      </c>
      <c r="H23" s="252">
        <f t="shared" ca="1" si="13"/>
        <v>4.4714216408888712</v>
      </c>
      <c r="I23" s="272"/>
      <c r="J23"/>
    </row>
    <row r="24" spans="1:12" x14ac:dyDescent="0.25">
      <c r="A24" s="237" t="str">
        <f>'CWD 2030 BRA (com desc.)'!H255</f>
        <v>TEX10</v>
      </c>
      <c r="B24" s="237" t="str">
        <f>'CWD 2030 BRA (com desc.)'!I255</f>
        <v>NTS SP 1</v>
      </c>
      <c r="C24" s="237">
        <f>'CWD 2030 BRA (sem desc.)'!F50</f>
        <v>13541813.635020396</v>
      </c>
      <c r="D24" s="237"/>
      <c r="E24" s="240">
        <f ca="1">'CWD 2030 BRA (com desc.)'!L255</f>
        <v>4.4714216408888712</v>
      </c>
      <c r="F24" s="246">
        <f t="shared" ca="1" si="12"/>
        <v>60551158.544514187</v>
      </c>
      <c r="G24" s="249"/>
      <c r="H24" s="255" t="str">
        <f t="shared" si="13"/>
        <v xml:space="preserve"> </v>
      </c>
      <c r="I24"/>
      <c r="J24"/>
    </row>
    <row r="25" spans="1:12" x14ac:dyDescent="0.25">
      <c r="A25" s="237" t="str">
        <f>'CWD 2030 BRA (com desc.)'!H256</f>
        <v>TEX11</v>
      </c>
      <c r="B25" s="237" t="str">
        <f>'CWD 2030 BRA (com desc.)'!I256</f>
        <v>NTS SP 2</v>
      </c>
      <c r="C25" s="237">
        <f>'CWD 2030 BRA (sem desc.)'!F51</f>
        <v>33498430.787737504</v>
      </c>
      <c r="D25" s="237"/>
      <c r="E25" s="240">
        <f ca="1">'CWD 2030 BRA (com desc.)'!L256</f>
        <v>4.4714216408888712</v>
      </c>
      <c r="F25" s="246">
        <f t="shared" ca="1" si="12"/>
        <v>149785608.36010751</v>
      </c>
      <c r="G25" s="250"/>
      <c r="H25" s="256" t="str">
        <f t="shared" si="13"/>
        <v xml:space="preserve"> </v>
      </c>
      <c r="I25"/>
      <c r="J25"/>
    </row>
    <row r="26" spans="1:12" x14ac:dyDescent="0.25">
      <c r="A26" s="237" t="str">
        <f>'CWD 2030 BRA (com desc.)'!H257</f>
        <v>TEX12</v>
      </c>
      <c r="B26" s="237" t="str">
        <f>'CWD 2030 BRA (com desc.)'!I257</f>
        <v>NTS SP 3</v>
      </c>
      <c r="C26" s="237">
        <f>'CWD 2030 BRA (sem desc.)'!F52</f>
        <v>13729236.478939947</v>
      </c>
      <c r="D26" s="245"/>
      <c r="E26" s="240">
        <f ca="1">'CWD 2030 BRA (com desc.)'!L257</f>
        <v>4.4714216408888712</v>
      </c>
      <c r="F26" s="246">
        <f t="shared" ca="1" si="12"/>
        <v>61389205.104813002</v>
      </c>
      <c r="G26" s="259"/>
      <c r="H26" s="257" t="str">
        <f t="shared" si="13"/>
        <v xml:space="preserve"> </v>
      </c>
      <c r="I26"/>
      <c r="J26"/>
    </row>
    <row r="27" spans="1:12" x14ac:dyDescent="0.25">
      <c r="A27" s="242" t="str">
        <f>'CWD 2030 BRA (com desc.)'!H258</f>
        <v>TEX13</v>
      </c>
      <c r="B27" s="242" t="str">
        <f>'CWD 2030 BRA (com desc.)'!I258</f>
        <v>NTS SP 4</v>
      </c>
      <c r="C27" s="242">
        <f>'CWD 2030 BRA (sem desc.)'!F53</f>
        <v>17945906.78229931</v>
      </c>
      <c r="D27" s="242">
        <f>SUM(C24:C27)</f>
        <v>78715387.683997154</v>
      </c>
      <c r="E27" s="243">
        <f ca="1">'CWD 2030 BRA (com desc.)'!L258</f>
        <v>4.4714216408888712</v>
      </c>
      <c r="F27" s="242">
        <f t="shared" ca="1" si="12"/>
        <v>80243715.951747507</v>
      </c>
      <c r="G27" s="247">
        <f ca="1">SUM(F24:F27)</f>
        <v>351969687.96118224</v>
      </c>
      <c r="H27" s="248">
        <f t="shared" ca="1" si="13"/>
        <v>4.4714216408888721</v>
      </c>
      <c r="I27" s="272"/>
      <c r="J27"/>
    </row>
    <row r="28" spans="1:12" x14ac:dyDescent="0.25">
      <c r="A28" s="237" t="str">
        <f>'CWD 2030 BRA (com desc.)'!H259</f>
        <v>TEX14</v>
      </c>
      <c r="B28" s="237" t="str">
        <f>'CWD 2030 BRA (com desc.)'!I259</f>
        <v>PE-GUARAREMA (INTERCONEXÃO)</v>
      </c>
      <c r="C28" s="237">
        <f>'CWD 2030 BRA (sem desc.)'!F54</f>
        <v>0</v>
      </c>
      <c r="D28" s="237">
        <f>C28</f>
        <v>0</v>
      </c>
      <c r="E28" s="240">
        <f>'CWD 2030 BRA (com desc.)'!L259</f>
        <v>0</v>
      </c>
      <c r="F28" s="237">
        <f t="shared" si="12"/>
        <v>0</v>
      </c>
      <c r="G28" s="237">
        <f>F28</f>
        <v>0</v>
      </c>
      <c r="H28" s="241" t="str">
        <f t="shared" si="13"/>
        <v xml:space="preserve"> </v>
      </c>
      <c r="I28"/>
      <c r="J28"/>
    </row>
    <row r="29" spans="1:12" x14ac:dyDescent="0.25">
      <c r="A29" s="242" t="str">
        <f>'CWD 2030 BRA (com desc.)'!H260</f>
        <v>TEX15</v>
      </c>
      <c r="B29" s="242" t="str">
        <f>'CWD 2030 BRA (com desc.)'!I260</f>
        <v>PE-REPLAN (INTERCONEXÃO)</v>
      </c>
      <c r="C29" s="242">
        <f>'CWD 2030 BRA (sem desc.)'!F55</f>
        <v>49495122.385346346</v>
      </c>
      <c r="D29" s="242">
        <f t="shared" ref="D29:D30" si="14">C29</f>
        <v>49495122.385346346</v>
      </c>
      <c r="E29" s="243">
        <f ca="1">'CWD 2030 BRA (com desc.)'!L260</f>
        <v>0.37286234563970172</v>
      </c>
      <c r="F29" s="242">
        <f t="shared" ca="1" si="12"/>
        <v>18454867.430324346</v>
      </c>
      <c r="G29" s="242">
        <f t="shared" ref="G29:G30" ca="1" si="15">F29</f>
        <v>18454867.430324346</v>
      </c>
      <c r="H29" s="244">
        <f t="shared" ca="1" si="13"/>
        <v>0.37286234563970172</v>
      </c>
      <c r="I29" s="272"/>
      <c r="J29"/>
    </row>
    <row r="30" spans="1:12" x14ac:dyDescent="0.25">
      <c r="A30" s="237" t="str">
        <f>'CWD 2030 BRA (com desc.)'!H261</f>
        <v>TEX16</v>
      </c>
      <c r="B30" s="237" t="str">
        <f>'CWD 2030 BRA (com desc.)'!I261</f>
        <v>PE-TECAB (INTERCONEXÃO)</v>
      </c>
      <c r="C30" s="237">
        <f>'CWD 2030 BRA (sem desc.)'!F56</f>
        <v>2723059.0670000003</v>
      </c>
      <c r="D30" s="237">
        <f t="shared" si="14"/>
        <v>2723059.0670000003</v>
      </c>
      <c r="E30" s="240">
        <f ca="1">'CWD 2030 BRA (com desc.)'!L261</f>
        <v>0.37286234563970172</v>
      </c>
      <c r="F30" s="237">
        <f t="shared" ca="1" si="12"/>
        <v>1015326.1910370778</v>
      </c>
      <c r="G30" s="237">
        <f t="shared" ca="1" si="15"/>
        <v>1015326.1910370778</v>
      </c>
      <c r="H30" s="241">
        <f t="shared" ca="1" si="13"/>
        <v>0.37286234563970172</v>
      </c>
      <c r="I30" s="272"/>
      <c r="J30" s="37"/>
    </row>
    <row r="31" spans="1:12" x14ac:dyDescent="0.25">
      <c r="C31" s="36">
        <f>SUM(C15:C30)</f>
        <v>288125788.99735987</v>
      </c>
      <c r="D31" s="36">
        <f>SUM(D15:D30)</f>
        <v>288125788.99735981</v>
      </c>
      <c r="F31" s="36">
        <f ca="1">SUM(F15:F30)</f>
        <v>1074312575.2484536</v>
      </c>
      <c r="G31" s="36">
        <f ca="1">SUM(G15:G30)</f>
        <v>1074312575.2484536</v>
      </c>
    </row>
    <row r="32" spans="1:12" x14ac:dyDescent="0.25">
      <c r="C32" s="36"/>
      <c r="D32" s="36"/>
      <c r="F32" s="36"/>
      <c r="G32" s="36"/>
    </row>
    <row r="33" spans="2:3" x14ac:dyDescent="0.25">
      <c r="C33" s="34" t="s">
        <v>192</v>
      </c>
    </row>
    <row r="34" spans="2:3" x14ac:dyDescent="0.25">
      <c r="B34" s="39" t="s">
        <v>53</v>
      </c>
      <c r="C34" s="37">
        <f ca="1">H18</f>
        <v>4.4714216408888712</v>
      </c>
    </row>
    <row r="35" spans="2:3" x14ac:dyDescent="0.25">
      <c r="B35" s="39" t="s">
        <v>64</v>
      </c>
      <c r="C35" s="37">
        <f ca="1">H23</f>
        <v>4.4714216408888712</v>
      </c>
    </row>
    <row r="36" spans="2:3" x14ac:dyDescent="0.25">
      <c r="B36" s="39" t="s">
        <v>193</v>
      </c>
      <c r="C36" s="37">
        <f ca="1">H27</f>
        <v>4.4714216408888721</v>
      </c>
    </row>
    <row r="37" spans="2:3" x14ac:dyDescent="0.25">
      <c r="B37" s="88" t="s">
        <v>199</v>
      </c>
      <c r="C37" s="37" t="str">
        <f>H28</f>
        <v xml:space="preserve"> </v>
      </c>
    </row>
    <row r="38" spans="2:3" x14ac:dyDescent="0.25">
      <c r="B38" s="88" t="s">
        <v>198</v>
      </c>
      <c r="C38" s="37">
        <f t="shared" ref="C38:C39" ca="1" si="16">H29</f>
        <v>0.37286234563970172</v>
      </c>
    </row>
    <row r="39" spans="2:3" x14ac:dyDescent="0.25">
      <c r="B39" s="88" t="s">
        <v>197</v>
      </c>
      <c r="C39" s="37">
        <f t="shared" ca="1" si="16"/>
        <v>0.37286234563970172</v>
      </c>
    </row>
  </sheetData>
  <pageMargins left="0.511811024" right="0.511811024" top="0.78740157499999996" bottom="0.78740157499999996" header="0.31496062000000002" footer="0.31496062000000002"/>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9D80B-525E-44EE-AF4A-3512F912E69B}">
  <sheetPr codeName="Planilha26">
    <tabColor theme="1" tint="0.499984740745262"/>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2030</v>
      </c>
    </row>
    <row r="4" spans="1:9" ht="18.75" thickBot="1" x14ac:dyDescent="0.3">
      <c r="A4" s="162"/>
      <c r="B4" s="163" t="s">
        <v>102</v>
      </c>
      <c r="C4" s="164" t="s">
        <v>200</v>
      </c>
      <c r="D4" s="165">
        <f>('Premissas (Legados)'!H37-'Premissas (Legados)'!H36)/1000</f>
        <v>4872.4706662975377</v>
      </c>
      <c r="E4" s="166" t="s">
        <v>103</v>
      </c>
      <c r="F4" s="162"/>
      <c r="G4" s="162"/>
      <c r="H4" s="177"/>
      <c r="I4" s="177"/>
    </row>
    <row r="5" spans="1:9" ht="18" x14ac:dyDescent="0.25">
      <c r="A5" s="148">
        <f>HLOOKUP($G$3,'Premissas (Legados)'!$B$5:$F$13,9,FALSE)</f>
        <v>0.7</v>
      </c>
      <c r="B5" s="149" t="s">
        <v>104</v>
      </c>
      <c r="C5" s="150" t="s">
        <v>201</v>
      </c>
      <c r="D5" s="151">
        <f>$A$5*$D$4</f>
        <v>3410.729466408276</v>
      </c>
      <c r="E5" s="152" t="s">
        <v>105</v>
      </c>
      <c r="F5" s="153"/>
      <c r="G5" s="153"/>
      <c r="H5" s="177"/>
    </row>
    <row r="6" spans="1:9" ht="30" x14ac:dyDescent="0.25">
      <c r="A6" s="48"/>
      <c r="B6" s="154" t="s">
        <v>106</v>
      </c>
      <c r="C6" s="155" t="s">
        <v>202</v>
      </c>
      <c r="D6" s="156">
        <f>$C$34*'Premissas (Legados)'!$F$20</f>
        <v>29819405</v>
      </c>
      <c r="E6" s="154" t="s">
        <v>107</v>
      </c>
      <c r="F6" s="172">
        <f>F34</f>
        <v>1112328782.9834948</v>
      </c>
      <c r="G6" s="40" t="s">
        <v>108</v>
      </c>
    </row>
    <row r="7" spans="1:9" ht="18.75" thickBot="1" x14ac:dyDescent="0.3">
      <c r="A7" s="157"/>
      <c r="B7" s="158" t="s">
        <v>109</v>
      </c>
      <c r="C7" s="159" t="s">
        <v>203</v>
      </c>
      <c r="D7" s="160">
        <f>$D$5/$D$6*1000</f>
        <v>0.11437952790836289</v>
      </c>
      <c r="E7" s="161" t="s">
        <v>110</v>
      </c>
      <c r="F7" s="174">
        <f>$D$5/$F$6*1000000</f>
        <v>3.0662961514490323</v>
      </c>
      <c r="G7" s="170" t="s">
        <v>15</v>
      </c>
      <c r="I7" s="177"/>
    </row>
    <row r="8" spans="1:9" ht="18" x14ac:dyDescent="0.25">
      <c r="A8" s="148">
        <f>1-A5</f>
        <v>0.30000000000000004</v>
      </c>
      <c r="B8" s="149" t="s">
        <v>111</v>
      </c>
      <c r="C8" s="150" t="s">
        <v>204</v>
      </c>
      <c r="D8" s="151">
        <f>$A$8*$D$4</f>
        <v>1461.7411998892615</v>
      </c>
      <c r="E8" s="152" t="s">
        <v>105</v>
      </c>
      <c r="F8" s="173"/>
      <c r="G8" s="171"/>
    </row>
    <row r="9" spans="1:9" ht="30" x14ac:dyDescent="0.25">
      <c r="B9" s="154" t="s">
        <v>112</v>
      </c>
      <c r="C9" s="155" t="s">
        <v>205</v>
      </c>
      <c r="D9" s="156">
        <f>$C$57*'Premissas (Legados)'!$F$20</f>
        <v>24399520</v>
      </c>
      <c r="E9" s="154" t="s">
        <v>107</v>
      </c>
      <c r="F9" s="172">
        <f>F57</f>
        <v>910155262.55408001</v>
      </c>
      <c r="G9" s="40" t="s">
        <v>108</v>
      </c>
    </row>
    <row r="10" spans="1:9" ht="18.75" thickBot="1" x14ac:dyDescent="0.3">
      <c r="A10" s="167"/>
      <c r="B10" s="158" t="s">
        <v>113</v>
      </c>
      <c r="C10" s="159" t="s">
        <v>206</v>
      </c>
      <c r="D10" s="160">
        <f>$D$8/$D$9*1000</f>
        <v>5.9908604754899342E-2</v>
      </c>
      <c r="E10" s="161" t="s">
        <v>110</v>
      </c>
      <c r="F10" s="174">
        <f>$D$8/$F$9*1000000</f>
        <v>1.606034992081812</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2030</v>
      </c>
      <c r="F21" s="376">
        <v>2030</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(Legados)'!G3</f>
        <v>14956</v>
      </c>
      <c r="E24" s="60"/>
      <c r="F24" s="15">
        <f>IFERROR($C24*$H$19*'Premissas (Legados)'!$F$20*1000," ")</f>
        <v>203630357.03025997</v>
      </c>
      <c r="G24" s="49"/>
    </row>
    <row r="25" spans="1:9" x14ac:dyDescent="0.25">
      <c r="A25" s="2" t="s">
        <v>125</v>
      </c>
      <c r="B25" s="16" t="s">
        <v>26</v>
      </c>
      <c r="C25" s="231">
        <f>'Oferta (Legados)'!G4</f>
        <v>20000</v>
      </c>
      <c r="E25" s="60"/>
      <c r="F25" s="15">
        <f>IFERROR($C25*$H$19*'Premissas (Legados)'!$F$20*1000," ")</f>
        <v>272305906.69999999</v>
      </c>
      <c r="G25" s="49"/>
    </row>
    <row r="26" spans="1:9" x14ac:dyDescent="0.25">
      <c r="A26" s="2" t="s">
        <v>126</v>
      </c>
      <c r="B26" s="16" t="s">
        <v>411</v>
      </c>
      <c r="C26" s="231">
        <f>'Oferta (Legados)'!G5</f>
        <v>13564</v>
      </c>
      <c r="D26" s="18"/>
      <c r="E26" s="60"/>
      <c r="F26" s="15">
        <f>IFERROR($C26*$H$19*'Premissas (Legados)'!$F$20*1000," ")</f>
        <v>184677865.92394</v>
      </c>
      <c r="G26" s="49"/>
    </row>
    <row r="27" spans="1:9" x14ac:dyDescent="0.25">
      <c r="A27" s="2" t="s">
        <v>127</v>
      </c>
      <c r="B27" s="16" t="s">
        <v>388</v>
      </c>
      <c r="C27" s="231">
        <f>'Oferta (Legados)'!G6</f>
        <v>383</v>
      </c>
      <c r="D27" s="18"/>
      <c r="E27" s="60"/>
      <c r="F27" s="15">
        <f>IFERROR($C27*$H$19*'Premissas (Legados)'!$F$20*1000," ")</f>
        <v>5214658.1133049997</v>
      </c>
      <c r="G27" s="49"/>
    </row>
    <row r="28" spans="1:9" x14ac:dyDescent="0.25">
      <c r="A28" s="2" t="s">
        <v>128</v>
      </c>
      <c r="B28" s="16" t="s">
        <v>27</v>
      </c>
      <c r="C28" s="231">
        <f>'Oferta (Legados)'!G7</f>
        <v>0</v>
      </c>
      <c r="D28" s="18"/>
      <c r="E28" s="60"/>
      <c r="F28" s="15">
        <f>IFERROR($C28*$H$19*'Premissas (Legados)'!$F$20*1000," ")</f>
        <v>0</v>
      </c>
      <c r="G28" s="49"/>
    </row>
    <row r="29" spans="1:9" x14ac:dyDescent="0.25">
      <c r="A29" s="2" t="s">
        <v>183</v>
      </c>
      <c r="B29" s="16" t="s">
        <v>29</v>
      </c>
      <c r="C29" s="231">
        <f>'Oferta (Legados)'!G8</f>
        <v>0</v>
      </c>
      <c r="D29" s="18"/>
      <c r="E29" s="60"/>
      <c r="F29" s="15">
        <f>IFERROR($C29*$H$19*'Premissas (Legados)'!$F$20*1000," ")</f>
        <v>0</v>
      </c>
      <c r="G29" s="49"/>
    </row>
    <row r="30" spans="1:9" x14ac:dyDescent="0.25">
      <c r="A30" s="2" t="s">
        <v>129</v>
      </c>
      <c r="B30" s="16" t="s">
        <v>24</v>
      </c>
      <c r="C30" s="231">
        <f>'Oferta (Legados)'!G9</f>
        <v>24869</v>
      </c>
      <c r="D30" s="18"/>
      <c r="E30" s="60"/>
      <c r="F30" s="15">
        <f>IFERROR($C30*$H$19*'Premissas (Legados)'!$F$20*1000," ")</f>
        <v>338598779.68611497</v>
      </c>
      <c r="G30" s="49"/>
    </row>
    <row r="31" spans="1:9" x14ac:dyDescent="0.25">
      <c r="A31" s="2" t="s">
        <v>184</v>
      </c>
      <c r="B31" s="16" t="s">
        <v>194</v>
      </c>
      <c r="C31" s="231">
        <f>'Oferta (Legados)'!G10</f>
        <v>7525</v>
      </c>
      <c r="D31" s="18"/>
      <c r="E31" s="60"/>
      <c r="F31" s="15">
        <f>IFERROR($C31*$H$19*'Premissas (Legados)'!$F$20*1000," ")</f>
        <v>102455097.39587498</v>
      </c>
      <c r="G31" s="49"/>
    </row>
    <row r="32" spans="1:9" x14ac:dyDescent="0.25">
      <c r="A32" s="2" t="s">
        <v>130</v>
      </c>
      <c r="B32" s="16" t="s">
        <v>196</v>
      </c>
      <c r="C32" s="231">
        <f>'Oferta (Legados)'!G11</f>
        <v>200</v>
      </c>
      <c r="D32" s="18"/>
      <c r="E32" s="60"/>
      <c r="F32" s="15">
        <f>IFERROR($C32*$H$19*'Premissas (Legados)'!$F$20*1000," ")</f>
        <v>2723059.0670000003</v>
      </c>
      <c r="G32" s="49"/>
    </row>
    <row r="33" spans="1:8" x14ac:dyDescent="0.25">
      <c r="A33" s="2" t="s">
        <v>131</v>
      </c>
      <c r="B33" s="16" t="s">
        <v>195</v>
      </c>
      <c r="C33" s="231">
        <f>'Oferta (Legados)'!G12</f>
        <v>200</v>
      </c>
      <c r="D33" s="18"/>
      <c r="E33" s="60"/>
      <c r="F33" s="15">
        <f>IFERROR($C33*$H$19*'Premissas (Legados)'!$F$20*1000,"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2030</v>
      </c>
      <c r="F38" s="376">
        <v>2030</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(Legados)'!G3</f>
        <v>668</v>
      </c>
      <c r="F41" s="15">
        <f>IFERROR($C41*$H$19*'Premissas (Legados)'!$F$20*1000," ")</f>
        <v>9095017.2837799974</v>
      </c>
      <c r="G41" s="49"/>
    </row>
    <row r="42" spans="1:8" x14ac:dyDescent="0.25">
      <c r="A42" s="2" t="s">
        <v>38</v>
      </c>
      <c r="B42" s="16" t="s">
        <v>161</v>
      </c>
      <c r="C42" s="231">
        <f>'Demanda (Legados)'!G4</f>
        <v>1824</v>
      </c>
      <c r="F42" s="15">
        <f>IFERROR($C42*$H$19*'Premissas (Legados)'!$F$20*1000," ")</f>
        <v>24834298.691039998</v>
      </c>
      <c r="G42" s="49"/>
    </row>
    <row r="43" spans="1:8" x14ac:dyDescent="0.25">
      <c r="A43" s="2" t="s">
        <v>39</v>
      </c>
      <c r="B43" s="16" t="s">
        <v>162</v>
      </c>
      <c r="C43" s="231">
        <f>'Demanda (Legados)'!G5</f>
        <v>3002</v>
      </c>
      <c r="D43" s="18"/>
      <c r="F43" s="15">
        <f>IFERROR($C43*$H$19*'Premissas (Legados)'!$F$20*1000," ")</f>
        <v>40873116.59567</v>
      </c>
      <c r="G43" s="49"/>
    </row>
    <row r="44" spans="1:8" x14ac:dyDescent="0.25">
      <c r="A44" s="2" t="s">
        <v>40</v>
      </c>
      <c r="B44" s="16" t="s">
        <v>163</v>
      </c>
      <c r="C44" s="231">
        <f>'Demanda (Legados)'!G6</f>
        <v>351</v>
      </c>
      <c r="D44" s="18"/>
      <c r="F44" s="15">
        <f>IFERROR($C44*$H$19*'Premissas (Legados)'!$F$20*1000," ")</f>
        <v>4778968.6625849996</v>
      </c>
      <c r="G44" s="49"/>
    </row>
    <row r="45" spans="1:8" x14ac:dyDescent="0.25">
      <c r="A45" s="2" t="s">
        <v>41</v>
      </c>
      <c r="B45" s="16" t="s">
        <v>164</v>
      </c>
      <c r="C45" s="231">
        <f>'Demanda (Legados)'!G7</f>
        <v>17575</v>
      </c>
      <c r="D45" s="18"/>
      <c r="F45" s="15">
        <f>IFERROR($C45*$H$19*'Premissas (Legados)'!$F$20*1000," ")</f>
        <v>239288815.51262498</v>
      </c>
      <c r="G45" s="49"/>
    </row>
    <row r="46" spans="1:8" x14ac:dyDescent="0.25">
      <c r="A46" s="2" t="s">
        <v>42</v>
      </c>
      <c r="B46" s="16" t="s">
        <v>165</v>
      </c>
      <c r="C46" s="231">
        <f>'Demanda (Legados)'!G8</f>
        <v>11227</v>
      </c>
      <c r="D46" s="18"/>
      <c r="F46" s="15">
        <f>IFERROR($C46*$H$19*'Premissas (Legados)'!$F$20*1000," ")</f>
        <v>152858920.72604498</v>
      </c>
      <c r="G46" s="49"/>
    </row>
    <row r="47" spans="1:8" x14ac:dyDescent="0.25">
      <c r="A47" s="2" t="s">
        <v>43</v>
      </c>
      <c r="B47" s="16" t="s">
        <v>166</v>
      </c>
      <c r="C47" s="231">
        <f>'Demanda (Legados)'!G9</f>
        <v>2083</v>
      </c>
      <c r="D47" s="18"/>
      <c r="F47" s="15">
        <f>IFERROR($C47*$H$19*'Premissas (Legados)'!$F$20*1000," ")</f>
        <v>28360660.182804998</v>
      </c>
      <c r="G47" s="49"/>
    </row>
    <row r="48" spans="1:8" x14ac:dyDescent="0.25">
      <c r="A48" s="2" t="s">
        <v>44</v>
      </c>
      <c r="B48" s="16" t="s">
        <v>167</v>
      </c>
      <c r="C48" s="231">
        <f>'Demanda (Legados)'!G10</f>
        <v>340</v>
      </c>
      <c r="D48" s="18"/>
      <c r="F48" s="15">
        <f>IFERROR($C48*$H$19*'Premissas (Legados)'!$F$20*1000," ")</f>
        <v>4629200.4139</v>
      </c>
      <c r="G48" s="49"/>
    </row>
    <row r="49" spans="1:9" x14ac:dyDescent="0.25">
      <c r="A49" s="2" t="s">
        <v>45</v>
      </c>
      <c r="B49" s="16" t="s">
        <v>168</v>
      </c>
      <c r="C49" s="231">
        <f>'Demanda (Legados)'!G11</f>
        <v>2249</v>
      </c>
      <c r="D49" s="18"/>
      <c r="F49" s="15">
        <f>IFERROR($C49*$H$19*'Premissas (Legados)'!$F$20*1000," ")</f>
        <v>30620799.208414994</v>
      </c>
      <c r="G49" s="49"/>
    </row>
    <row r="50" spans="1:9" x14ac:dyDescent="0.25">
      <c r="A50" s="2" t="s">
        <v>46</v>
      </c>
      <c r="B50" s="16" t="s">
        <v>169</v>
      </c>
      <c r="C50" s="231">
        <f>'Demanda (Legados)'!G12</f>
        <v>1161</v>
      </c>
      <c r="D50" s="18"/>
      <c r="F50" s="15">
        <f>IFERROR($C50*$H$19*'Premissas (Legados)'!$F$20*1000," ")</f>
        <v>15807357.883934999</v>
      </c>
      <c r="G50" s="49"/>
    </row>
    <row r="51" spans="1:9" x14ac:dyDescent="0.25">
      <c r="A51" s="2" t="s">
        <v>47</v>
      </c>
      <c r="B51" s="16" t="s">
        <v>170</v>
      </c>
      <c r="C51" s="231">
        <f>'Demanda (Legados)'!G13</f>
        <v>3064</v>
      </c>
      <c r="D51" s="18"/>
      <c r="F51" s="15">
        <f>IFERROR($C51*$H$19*'Premissas (Legados)'!$F$20*1000," ")</f>
        <v>41717264.906439997</v>
      </c>
      <c r="G51" s="49"/>
    </row>
    <row r="52" spans="1:9" x14ac:dyDescent="0.25">
      <c r="A52" s="2" t="s">
        <v>48</v>
      </c>
      <c r="B52" s="16" t="s">
        <v>171</v>
      </c>
      <c r="C52" s="231">
        <f>'Demanda (Legados)'!G14</f>
        <v>9481</v>
      </c>
      <c r="D52" s="18"/>
      <c r="F52" s="15">
        <f>IFERROR($C52*$H$19*'Premissas (Legados)'!$F$20*1000," ")</f>
        <v>129086615.071135</v>
      </c>
      <c r="G52" s="49"/>
    </row>
    <row r="53" spans="1:9" x14ac:dyDescent="0.25">
      <c r="A53" s="2" t="s">
        <v>49</v>
      </c>
      <c r="B53" s="16" t="s">
        <v>172</v>
      </c>
      <c r="C53" s="231">
        <f>'Demanda (Legados)'!G15</f>
        <v>3920</v>
      </c>
      <c r="D53" s="18"/>
      <c r="F53" s="15">
        <f>IFERROR($C53*$H$19*'Premissas (Legados)'!$F$20*1000," ")</f>
        <v>53371957.713199995</v>
      </c>
      <c r="G53" s="49"/>
    </row>
    <row r="54" spans="1:9" x14ac:dyDescent="0.25">
      <c r="A54" s="2" t="s">
        <v>50</v>
      </c>
      <c r="B54" s="16" t="s">
        <v>199</v>
      </c>
      <c r="C54" s="231">
        <f>'Demanda (Legados)'!G16</f>
        <v>0</v>
      </c>
      <c r="D54" s="18"/>
      <c r="F54" s="15">
        <f>IFERROR($C54*$H$19*'Premissas (Legados)'!$F$20*1000," ")</f>
        <v>0</v>
      </c>
      <c r="G54" s="49"/>
    </row>
    <row r="55" spans="1:9" x14ac:dyDescent="0.25">
      <c r="A55" s="2" t="s">
        <v>51</v>
      </c>
      <c r="B55" s="16" t="s">
        <v>198</v>
      </c>
      <c r="C55" s="231">
        <f>'Demanda (Legados)'!G17</f>
        <v>9703</v>
      </c>
      <c r="D55" s="18"/>
      <c r="F55" s="15">
        <f>IFERROR($C55*$H$19*'Premissas (Legados)'!$F$20*1000," ")</f>
        <v>132109210.63550498</v>
      </c>
      <c r="G55" s="49"/>
    </row>
    <row r="56" spans="1:9" x14ac:dyDescent="0.25">
      <c r="A56" s="2" t="s">
        <v>52</v>
      </c>
      <c r="B56" s="16" t="s">
        <v>197</v>
      </c>
      <c r="C56" s="231">
        <f>'Demanda (Legados)'!G18</f>
        <v>200</v>
      </c>
      <c r="D56" s="18"/>
      <c r="F56" s="15">
        <f>IFERROR($C56*$H$19*'Premissas (Legados)'!$F$20*1000,"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667.09378823792008</v>
      </c>
      <c r="C193" s="19"/>
      <c r="D193" t="s">
        <v>311</v>
      </c>
      <c r="E193" s="5">
        <f t="shared" ref="E193:E208" ca="1" si="7">$E162*$D$8</f>
        <v>16.658314804884029</v>
      </c>
    </row>
    <row r="194" spans="1:5" ht="18" x14ac:dyDescent="0.35">
      <c r="A194" t="s">
        <v>312</v>
      </c>
      <c r="B194" s="6">
        <f t="shared" ca="1" si="6"/>
        <v>644.10019492135621</v>
      </c>
      <c r="D194" t="s">
        <v>313</v>
      </c>
      <c r="E194" s="5">
        <f t="shared" ca="1" si="7"/>
        <v>57.49109598476619</v>
      </c>
    </row>
    <row r="195" spans="1:5" ht="18" x14ac:dyDescent="0.35">
      <c r="A195" t="s">
        <v>314</v>
      </c>
      <c r="B195" s="6">
        <f t="shared" ca="1" si="6"/>
        <v>503.18700036782775</v>
      </c>
      <c r="D195" t="s">
        <v>315</v>
      </c>
      <c r="E195" s="5">
        <f t="shared" ca="1" si="7"/>
        <v>118.44606018038724</v>
      </c>
    </row>
    <row r="196" spans="1:5" ht="18" x14ac:dyDescent="0.35">
      <c r="A196" t="s">
        <v>316</v>
      </c>
      <c r="B196" s="6">
        <f t="shared" ca="1" si="6"/>
        <v>19.867643877168508</v>
      </c>
      <c r="D196" t="s">
        <v>317</v>
      </c>
      <c r="E196" s="5">
        <f t="shared" ca="1" si="7"/>
        <v>14.206431147025032</v>
      </c>
    </row>
    <row r="197" spans="1:5" ht="18" x14ac:dyDescent="0.35">
      <c r="A197" t="s">
        <v>318</v>
      </c>
      <c r="B197" s="6">
        <f t="shared" ca="1" si="6"/>
        <v>0</v>
      </c>
      <c r="D197" t="s">
        <v>319</v>
      </c>
      <c r="E197" s="5">
        <f t="shared" ca="1" si="7"/>
        <v>229.16652038605213</v>
      </c>
    </row>
    <row r="198" spans="1:5" ht="18" x14ac:dyDescent="0.35">
      <c r="A198" t="s">
        <v>320</v>
      </c>
      <c r="B198" s="6">
        <f t="shared" ca="1" si="6"/>
        <v>0</v>
      </c>
      <c r="D198" t="s">
        <v>321</v>
      </c>
      <c r="E198" s="5">
        <f t="shared" ca="1" si="7"/>
        <v>147.38626633537984</v>
      </c>
    </row>
    <row r="199" spans="1:5" ht="18" x14ac:dyDescent="0.35">
      <c r="A199" t="s">
        <v>322</v>
      </c>
      <c r="B199" s="6">
        <f t="shared" ca="1" si="6"/>
        <v>1268.303308540269</v>
      </c>
      <c r="D199" t="s">
        <v>323</v>
      </c>
      <c r="E199" s="5">
        <f t="shared" ca="1" si="7"/>
        <v>30.3066793333414</v>
      </c>
    </row>
    <row r="200" spans="1:5" ht="18" x14ac:dyDescent="0.35">
      <c r="A200" t="s">
        <v>324</v>
      </c>
      <c r="B200" s="6">
        <f t="shared" ca="1" si="6"/>
        <v>287.60290789574003</v>
      </c>
      <c r="D200" t="s">
        <v>325</v>
      </c>
      <c r="E200" s="5">
        <f t="shared" ca="1" si="7"/>
        <v>5.5517424441149217</v>
      </c>
    </row>
    <row r="201" spans="1:5" ht="18" x14ac:dyDescent="0.35">
      <c r="A201" t="s">
        <v>326</v>
      </c>
      <c r="B201" s="6">
        <f t="shared" ca="1" si="6"/>
        <v>10.374748760923506</v>
      </c>
      <c r="D201" t="s">
        <v>327</v>
      </c>
      <c r="E201" s="5">
        <f t="shared" ca="1" si="7"/>
        <v>30.364369324072289</v>
      </c>
    </row>
    <row r="202" spans="1:5" ht="18" x14ac:dyDescent="0.35">
      <c r="A202" t="s">
        <v>328</v>
      </c>
      <c r="B202" s="6">
        <f t="shared" ca="1" si="6"/>
        <v>10.199873807071206</v>
      </c>
      <c r="D202" t="s">
        <v>329</v>
      </c>
      <c r="E202" s="5">
        <f t="shared" ca="1" si="7"/>
        <v>25.4025655646853</v>
      </c>
    </row>
    <row r="203" spans="1:5" ht="18" x14ac:dyDescent="0.35">
      <c r="B203" s="6">
        <f ca="1">SUM(B193:B202)</f>
        <v>3410.729466408276</v>
      </c>
      <c r="D203" t="s">
        <v>330</v>
      </c>
      <c r="E203" s="5">
        <f t="shared" ca="1" si="7"/>
        <v>64.812345007802151</v>
      </c>
    </row>
    <row r="204" spans="1:5" ht="18" x14ac:dyDescent="0.35">
      <c r="B204" s="6"/>
      <c r="D204" t="s">
        <v>331</v>
      </c>
      <c r="E204" s="5">
        <f t="shared" ca="1" si="7"/>
        <v>267.6485472831485</v>
      </c>
    </row>
    <row r="205" spans="1:5" ht="18" x14ac:dyDescent="0.35">
      <c r="B205" s="6"/>
      <c r="D205" t="s">
        <v>332</v>
      </c>
      <c r="E205" s="5">
        <f t="shared" ca="1" si="7"/>
        <v>120.08207180713335</v>
      </c>
    </row>
    <row r="206" spans="1:5" ht="18" x14ac:dyDescent="0.35">
      <c r="B206" s="6"/>
      <c r="D206" t="s">
        <v>333</v>
      </c>
      <c r="E206" s="5">
        <f t="shared" ca="1" si="7"/>
        <v>0</v>
      </c>
    </row>
    <row r="207" spans="1:5" ht="18" x14ac:dyDescent="0.35">
      <c r="B207" s="6"/>
      <c r="D207" t="s">
        <v>334</v>
      </c>
      <c r="E207" s="5">
        <f t="shared" ca="1" si="7"/>
        <v>331.09246642757165</v>
      </c>
    </row>
    <row r="208" spans="1:5" ht="18" x14ac:dyDescent="0.35">
      <c r="B208" s="6"/>
      <c r="D208" t="s">
        <v>335</v>
      </c>
      <c r="E208" s="5">
        <f t="shared" ca="1" si="7"/>
        <v>3.1257238588974547</v>
      </c>
    </row>
    <row r="209" spans="1:5" x14ac:dyDescent="0.25">
      <c r="B209" s="6"/>
      <c r="E209" s="5">
        <f ca="1">SUM(E193:E208)</f>
        <v>1461.7411998892615</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3.2760036271938979</v>
      </c>
      <c r="D226" s="77"/>
      <c r="E226" s="7"/>
      <c r="F226" s="7"/>
      <c r="G226" s="78"/>
      <c r="H226" s="20" t="s">
        <v>343</v>
      </c>
      <c r="I226" s="20" t="str">
        <f t="shared" ref="I226:I241" si="9">B41</f>
        <v>NTS MG 1</v>
      </c>
      <c r="J226" s="11">
        <f t="shared" ref="J226:J241" ca="1" si="10">IFERROR($E193/$F41*1000000," ")</f>
        <v>1.8315869321757501</v>
      </c>
      <c r="L226" s="12"/>
      <c r="M226" s="79"/>
      <c r="Q226" s="7"/>
      <c r="R226" s="80"/>
      <c r="S226" s="81"/>
      <c r="T226" s="81"/>
      <c r="U226" s="81"/>
    </row>
    <row r="227" spans="1:22" ht="18" x14ac:dyDescent="0.25">
      <c r="A227" s="20" t="s">
        <v>344</v>
      </c>
      <c r="B227" s="20" t="str">
        <f t="shared" ref="B227:B235" si="11">B25</f>
        <v>PR-GNLBGB</v>
      </c>
      <c r="C227" s="11">
        <f t="shared" ca="1" si="8"/>
        <v>2.3653552092462058</v>
      </c>
      <c r="D227" s="77"/>
      <c r="E227" s="7"/>
      <c r="F227" s="7"/>
      <c r="G227" s="78"/>
      <c r="H227" s="20" t="s">
        <v>345</v>
      </c>
      <c r="I227" s="20" t="str">
        <f t="shared" si="9"/>
        <v>NTS MG 2</v>
      </c>
      <c r="J227" s="11">
        <f t="shared" ca="1" si="10"/>
        <v>2.31498769906913</v>
      </c>
      <c r="L227" s="12"/>
      <c r="M227" s="79"/>
      <c r="Q227" s="7"/>
      <c r="R227" s="80"/>
      <c r="S227" s="81"/>
      <c r="T227" s="81"/>
      <c r="U227" s="81"/>
    </row>
    <row r="228" spans="1:22" ht="18" x14ac:dyDescent="0.25">
      <c r="A228" s="20" t="s">
        <v>346</v>
      </c>
      <c r="B228" s="20" t="str">
        <f t="shared" si="11"/>
        <v>PR-ITABORAÍ</v>
      </c>
      <c r="C228" s="11">
        <f t="shared" ca="1" si="8"/>
        <v>2.7246741121378695</v>
      </c>
      <c r="D228" s="77"/>
      <c r="E228" s="7"/>
      <c r="F228" s="7"/>
      <c r="G228" s="78"/>
      <c r="H228" s="20" t="s">
        <v>347</v>
      </c>
      <c r="I228" s="20" t="str">
        <f t="shared" si="9"/>
        <v>NTS MG 3</v>
      </c>
      <c r="J228" s="11">
        <f t="shared" ca="1" si="10"/>
        <v>2.8978964670615586</v>
      </c>
      <c r="L228" s="12"/>
      <c r="M228" s="79"/>
      <c r="Q228" s="7"/>
      <c r="R228" s="80"/>
      <c r="S228" s="81"/>
      <c r="T228" s="81"/>
      <c r="U228" s="81"/>
    </row>
    <row r="229" spans="1:22" ht="18" x14ac:dyDescent="0.25">
      <c r="A229" s="20" t="s">
        <v>348</v>
      </c>
      <c r="B229" s="20" t="str">
        <f t="shared" si="11"/>
        <v>PR-GASPAJ (INTERCONEXÃO)</v>
      </c>
      <c r="C229" s="11">
        <f t="shared" ca="1" si="8"/>
        <v>3.8099609687693579</v>
      </c>
      <c r="D229" s="77"/>
      <c r="E229" s="7"/>
      <c r="F229" s="7"/>
      <c r="G229" s="78"/>
      <c r="H229" s="20" t="s">
        <v>349</v>
      </c>
      <c r="I229" s="20" t="str">
        <f t="shared" si="9"/>
        <v>NTS MG 4</v>
      </c>
      <c r="J229" s="11">
        <f t="shared" ca="1" si="10"/>
        <v>2.9726981175349678</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0.95769841935617417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0.96419800450852811</v>
      </c>
      <c r="L231" s="12"/>
      <c r="M231" s="79"/>
      <c r="Q231" s="7"/>
      <c r="R231" s="80"/>
      <c r="S231" s="81"/>
      <c r="T231" s="81"/>
      <c r="U231" s="81"/>
    </row>
    <row r="232" spans="1:22" ht="18" x14ac:dyDescent="0.25">
      <c r="A232" s="20" t="s">
        <v>354</v>
      </c>
      <c r="B232" s="20" t="str">
        <f t="shared" si="11"/>
        <v>PR-TECAB</v>
      </c>
      <c r="C232" s="11">
        <f t="shared" ca="1" si="8"/>
        <v>3.7457409318367922</v>
      </c>
      <c r="D232" s="77"/>
      <c r="E232" s="7"/>
      <c r="F232" s="7"/>
      <c r="G232" s="78"/>
      <c r="H232" s="20" t="s">
        <v>355</v>
      </c>
      <c r="I232" s="20" t="str">
        <f t="shared" si="9"/>
        <v>NTS RJ 3</v>
      </c>
      <c r="J232" s="11">
        <f t="shared" ca="1" si="10"/>
        <v>1.0686168494665813</v>
      </c>
      <c r="L232" s="12"/>
      <c r="M232" s="79"/>
      <c r="Q232" s="7"/>
      <c r="R232" s="80"/>
      <c r="S232" s="81"/>
      <c r="T232" s="81"/>
      <c r="U232" s="81"/>
    </row>
    <row r="233" spans="1:22" ht="18" x14ac:dyDescent="0.25">
      <c r="A233" s="20" t="s">
        <v>356</v>
      </c>
      <c r="B233" s="20" t="str">
        <f t="shared" si="11"/>
        <v>PR-GUARAREMA (INTERCONEXÃO)</v>
      </c>
      <c r="C233" s="11">
        <f t="shared" ca="1" si="8"/>
        <v>2.8071117514482928</v>
      </c>
      <c r="D233" s="77"/>
      <c r="E233" s="7"/>
      <c r="F233" s="7"/>
      <c r="G233" s="78"/>
      <c r="H233" s="20" t="s">
        <v>357</v>
      </c>
      <c r="I233" s="20" t="str">
        <f t="shared" si="9"/>
        <v>NTS RJ 4</v>
      </c>
      <c r="J233" s="11">
        <f t="shared" ca="1" si="10"/>
        <v>1.1992875545947037</v>
      </c>
      <c r="L233" s="12"/>
      <c r="M233" s="79"/>
      <c r="Q233" s="7"/>
      <c r="R233" s="80"/>
      <c r="S233" s="81"/>
      <c r="T233" s="81"/>
      <c r="U233" s="81"/>
    </row>
    <row r="234" spans="1:22" ht="18" x14ac:dyDescent="0.25">
      <c r="A234" s="20" t="s">
        <v>358</v>
      </c>
      <c r="B234" s="20" t="str">
        <f t="shared" si="11"/>
        <v>PR-REPLAN (INTERCONEXÃO)</v>
      </c>
      <c r="C234" s="11">
        <f t="shared" ca="1" si="8"/>
        <v>3.8099609687693583</v>
      </c>
      <c r="D234" s="72"/>
      <c r="E234" s="7"/>
      <c r="F234" s="7"/>
      <c r="G234" s="72"/>
      <c r="H234" s="20" t="s">
        <v>359</v>
      </c>
      <c r="I234" s="20" t="str">
        <f t="shared" si="9"/>
        <v>NTS RJ 5</v>
      </c>
      <c r="J234" s="11">
        <f t="shared" ca="1" si="10"/>
        <v>0.99162563058536268</v>
      </c>
      <c r="L234" s="12"/>
      <c r="Q234" s="7"/>
      <c r="R234" s="80"/>
      <c r="S234" s="81"/>
      <c r="T234" s="81"/>
      <c r="U234" s="81"/>
    </row>
    <row r="235" spans="1:22" ht="18" x14ac:dyDescent="0.25">
      <c r="A235" s="20" t="s">
        <v>360</v>
      </c>
      <c r="B235" s="20" t="str">
        <f t="shared" si="11"/>
        <v>PR-TECAB (INTERCONEXÃO)</v>
      </c>
      <c r="C235" s="11">
        <f t="shared" ca="1" si="8"/>
        <v>3.7457409318367922</v>
      </c>
      <c r="D235" s="72"/>
      <c r="E235" s="7"/>
      <c r="F235" s="7"/>
      <c r="G235" s="72"/>
      <c r="H235" s="20" t="s">
        <v>361</v>
      </c>
      <c r="I235" s="20" t="str">
        <f t="shared" si="9"/>
        <v>NTS SP 1</v>
      </c>
      <c r="J235" s="11">
        <f t="shared" ca="1" si="10"/>
        <v>1.6070089480609471</v>
      </c>
      <c r="L235" s="12"/>
      <c r="Q235" s="7"/>
      <c r="R235" s="80"/>
      <c r="S235" s="81"/>
      <c r="T235" s="81"/>
      <c r="U235" s="81"/>
    </row>
    <row r="236" spans="1:22" ht="18" x14ac:dyDescent="0.25">
      <c r="D236" s="72"/>
      <c r="E236" s="7"/>
      <c r="F236" s="7"/>
      <c r="G236" s="72"/>
      <c r="H236" s="20" t="s">
        <v>362</v>
      </c>
      <c r="I236" s="20" t="str">
        <f t="shared" si="9"/>
        <v>NTS SP 2</v>
      </c>
      <c r="J236" s="11">
        <f t="shared" ca="1" si="10"/>
        <v>1.5536096422706012</v>
      </c>
      <c r="K236" s="72"/>
      <c r="L236" s="12"/>
      <c r="Q236" s="7"/>
      <c r="R236" s="80"/>
      <c r="S236" s="81"/>
      <c r="T236" s="81"/>
      <c r="U236" s="81"/>
    </row>
    <row r="237" spans="1:22" ht="18" x14ac:dyDescent="0.25">
      <c r="D237" s="72"/>
      <c r="E237" s="7"/>
      <c r="F237" s="7"/>
      <c r="G237" s="72"/>
      <c r="H237" s="20" t="s">
        <v>363</v>
      </c>
      <c r="I237" s="20" t="str">
        <f t="shared" si="9"/>
        <v>NTS SP 3</v>
      </c>
      <c r="J237" s="11">
        <f t="shared" ca="1" si="10"/>
        <v>2.0734027856850767</v>
      </c>
      <c r="L237" s="12"/>
      <c r="Q237" s="7"/>
      <c r="R237" s="80"/>
      <c r="S237" s="81"/>
      <c r="T237" s="81"/>
      <c r="U237" s="81"/>
    </row>
    <row r="238" spans="1:22" ht="18" x14ac:dyDescent="0.25">
      <c r="D238" s="72"/>
      <c r="E238" s="7"/>
      <c r="F238" s="7"/>
      <c r="G238" s="72"/>
      <c r="H238" s="20" t="s">
        <v>364</v>
      </c>
      <c r="I238" s="20" t="str">
        <f t="shared" si="9"/>
        <v>NTS SP 4</v>
      </c>
      <c r="J238" s="11">
        <f t="shared" ca="1" si="10"/>
        <v>2.2499094459380222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2.5062027457046132</v>
      </c>
      <c r="L240" s="12"/>
      <c r="Q240" s="7"/>
      <c r="R240" s="82"/>
      <c r="S240" s="9"/>
      <c r="T240" s="9"/>
      <c r="U240" s="9"/>
      <c r="V240" s="72"/>
    </row>
    <row r="241" spans="1:22" ht="18" x14ac:dyDescent="0.25">
      <c r="E241" s="7"/>
      <c r="F241" s="7"/>
      <c r="G241" s="72"/>
      <c r="H241" s="20" t="s">
        <v>367</v>
      </c>
      <c r="I241" s="20" t="str">
        <f t="shared" si="9"/>
        <v>PE-TECAB (INTERCONEXÃO)</v>
      </c>
      <c r="J241" s="11">
        <f t="shared" ca="1" si="10"/>
        <v>1.1478722209067138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3.0662961514490323</v>
      </c>
      <c r="E245" s="11">
        <f ca="1">IFERROR(C245+D245," ")</f>
        <v>3.0662961514490323</v>
      </c>
      <c r="G245" s="79"/>
      <c r="H245" s="20" t="s">
        <v>343</v>
      </c>
      <c r="I245" s="20" t="str">
        <f t="shared" ref="I245:I260" si="15">I226</f>
        <v>NTS MG 1</v>
      </c>
      <c r="J245" s="11">
        <f t="shared" ref="J245:J260" ca="1" si="16">IF(F41=0," ",J226*(1-$C$11))</f>
        <v>0</v>
      </c>
      <c r="K245" s="11">
        <f t="shared" ref="K245:K260" si="17">$F$10*$C$11</f>
        <v>1.606034992081812</v>
      </c>
      <c r="L245" s="11">
        <f ca="1">IFERROR(J245+K245," ")</f>
        <v>1.606034992081812</v>
      </c>
    </row>
    <row r="246" spans="1:22" ht="18" x14ac:dyDescent="0.25">
      <c r="A246" s="20" t="s">
        <v>344</v>
      </c>
      <c r="B246" s="20" t="str">
        <f t="shared" si="12"/>
        <v>PR-GNLBGB</v>
      </c>
      <c r="C246" s="11">
        <f t="shared" ca="1" si="13"/>
        <v>0</v>
      </c>
      <c r="D246" s="11">
        <f t="shared" si="14"/>
        <v>3.0662961514490323</v>
      </c>
      <c r="E246" s="11">
        <f t="shared" ref="E246:E254" ca="1" si="18">IFERROR(C246+D246," ")</f>
        <v>3.0662961514490323</v>
      </c>
      <c r="G246" s="79"/>
      <c r="H246" s="20" t="s">
        <v>345</v>
      </c>
      <c r="I246" s="20" t="str">
        <f t="shared" si="15"/>
        <v>NTS MG 2</v>
      </c>
      <c r="J246" s="11">
        <f t="shared" ca="1" si="16"/>
        <v>0</v>
      </c>
      <c r="K246" s="11">
        <f t="shared" si="17"/>
        <v>1.606034992081812</v>
      </c>
      <c r="L246" s="11">
        <f t="shared" ref="L246:L260" ca="1" si="19">IFERROR(J246+K246," ")</f>
        <v>1.606034992081812</v>
      </c>
    </row>
    <row r="247" spans="1:22" ht="18" x14ac:dyDescent="0.25">
      <c r="A247" s="20" t="s">
        <v>346</v>
      </c>
      <c r="B247" s="20" t="str">
        <f t="shared" si="12"/>
        <v>PR-ITABORAÍ</v>
      </c>
      <c r="C247" s="11">
        <f t="shared" ca="1" si="13"/>
        <v>0</v>
      </c>
      <c r="D247" s="11">
        <f t="shared" si="14"/>
        <v>3.0662961514490323</v>
      </c>
      <c r="E247" s="11">
        <f t="shared" ca="1" si="18"/>
        <v>3.0662961514490323</v>
      </c>
      <c r="G247" s="79"/>
      <c r="H247" s="20" t="s">
        <v>347</v>
      </c>
      <c r="I247" s="20" t="str">
        <f t="shared" si="15"/>
        <v>NTS MG 3</v>
      </c>
      <c r="J247" s="11">
        <f t="shared" ca="1" si="16"/>
        <v>0</v>
      </c>
      <c r="K247" s="11">
        <f t="shared" si="17"/>
        <v>1.606034992081812</v>
      </c>
      <c r="L247" s="11">
        <f t="shared" ca="1" si="19"/>
        <v>1.606034992081812</v>
      </c>
    </row>
    <row r="248" spans="1:22" ht="18" x14ac:dyDescent="0.25">
      <c r="A248" s="20" t="s">
        <v>348</v>
      </c>
      <c r="B248" s="20" t="str">
        <f t="shared" si="12"/>
        <v>PR-GASPAJ (INTERCONEXÃO)</v>
      </c>
      <c r="C248" s="11">
        <f t="shared" ca="1" si="13"/>
        <v>0</v>
      </c>
      <c r="D248" s="11">
        <f t="shared" si="14"/>
        <v>3.0662961514490323</v>
      </c>
      <c r="E248" s="11">
        <f t="shared" ca="1" si="18"/>
        <v>3.0662961514490323</v>
      </c>
      <c r="G248" s="79"/>
      <c r="H248" s="20" t="s">
        <v>349</v>
      </c>
      <c r="I248" s="20" t="str">
        <f t="shared" si="15"/>
        <v>NTS MG 4</v>
      </c>
      <c r="J248" s="11">
        <f t="shared" ca="1" si="16"/>
        <v>0</v>
      </c>
      <c r="K248" s="11">
        <f t="shared" si="17"/>
        <v>1.606034992081812</v>
      </c>
      <c r="L248" s="11">
        <f t="shared" ca="1" si="19"/>
        <v>1.606034992081812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1.606034992081812</v>
      </c>
      <c r="L249" s="11">
        <f t="shared" ca="1" si="19"/>
        <v>1.606034992081812</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1.606034992081812</v>
      </c>
      <c r="L250" s="11">
        <f t="shared" ca="1" si="19"/>
        <v>1.606034992081812</v>
      </c>
    </row>
    <row r="251" spans="1:22" ht="18" x14ac:dyDescent="0.25">
      <c r="A251" s="20" t="s">
        <v>354</v>
      </c>
      <c r="B251" s="20" t="str">
        <f t="shared" si="12"/>
        <v>PR-TECAB</v>
      </c>
      <c r="C251" s="11">
        <f t="shared" ca="1" si="13"/>
        <v>0</v>
      </c>
      <c r="D251" s="11">
        <f t="shared" si="14"/>
        <v>3.0662961514490323</v>
      </c>
      <c r="E251" s="11">
        <f t="shared" ca="1" si="18"/>
        <v>3.0662961514490323</v>
      </c>
      <c r="G251" s="79"/>
      <c r="H251" s="20" t="s">
        <v>355</v>
      </c>
      <c r="I251" s="20" t="str">
        <f t="shared" si="15"/>
        <v>NTS RJ 3</v>
      </c>
      <c r="J251" s="11">
        <f t="shared" ca="1" si="16"/>
        <v>0</v>
      </c>
      <c r="K251" s="11">
        <f t="shared" si="17"/>
        <v>1.606034992081812</v>
      </c>
      <c r="L251" s="11">
        <f t="shared" ca="1" si="19"/>
        <v>1.606034992081812</v>
      </c>
    </row>
    <row r="252" spans="1:22" ht="18" x14ac:dyDescent="0.25">
      <c r="A252" s="20" t="s">
        <v>356</v>
      </c>
      <c r="B252" s="20" t="str">
        <f t="shared" si="12"/>
        <v>PR-GUARAREMA (INTERCONEXÃO)</v>
      </c>
      <c r="C252" s="11">
        <f t="shared" ca="1" si="13"/>
        <v>0</v>
      </c>
      <c r="D252" s="11">
        <f t="shared" si="14"/>
        <v>3.0662961514490323</v>
      </c>
      <c r="E252" s="11">
        <f t="shared" ca="1" si="18"/>
        <v>3.0662961514490323</v>
      </c>
      <c r="G252" s="79"/>
      <c r="H252" s="20" t="s">
        <v>357</v>
      </c>
      <c r="I252" s="20" t="str">
        <f t="shared" si="15"/>
        <v>NTS RJ 4</v>
      </c>
      <c r="J252" s="11">
        <f t="shared" ca="1" si="16"/>
        <v>0</v>
      </c>
      <c r="K252" s="11">
        <f t="shared" si="17"/>
        <v>1.606034992081812</v>
      </c>
      <c r="L252" s="11">
        <f t="shared" ca="1" si="19"/>
        <v>1.606034992081812</v>
      </c>
    </row>
    <row r="253" spans="1:22" ht="18" x14ac:dyDescent="0.25">
      <c r="A253" s="20" t="s">
        <v>358</v>
      </c>
      <c r="B253" s="20" t="str">
        <f t="shared" si="12"/>
        <v>PR-REPLAN (INTERCONEXÃO)</v>
      </c>
      <c r="C253" s="11">
        <f t="shared" ca="1" si="13"/>
        <v>0</v>
      </c>
      <c r="D253" s="11">
        <f t="shared" si="14"/>
        <v>3.0662961514490323</v>
      </c>
      <c r="E253" s="11">
        <f t="shared" ca="1" si="18"/>
        <v>3.0662961514490323</v>
      </c>
      <c r="G253" s="79"/>
      <c r="H253" s="20" t="s">
        <v>359</v>
      </c>
      <c r="I253" s="20" t="str">
        <f t="shared" si="15"/>
        <v>NTS RJ 5</v>
      </c>
      <c r="J253" s="11">
        <f t="shared" ca="1" si="16"/>
        <v>0</v>
      </c>
      <c r="K253" s="11">
        <f t="shared" si="17"/>
        <v>1.606034992081812</v>
      </c>
      <c r="L253" s="11">
        <f t="shared" ca="1" si="19"/>
        <v>1.606034992081812</v>
      </c>
    </row>
    <row r="254" spans="1:22" ht="18" x14ac:dyDescent="0.25">
      <c r="A254" s="20" t="s">
        <v>360</v>
      </c>
      <c r="B254" s="20" t="str">
        <f t="shared" si="12"/>
        <v>PR-TECAB (INTERCONEXÃO)</v>
      </c>
      <c r="C254" s="11">
        <f t="shared" ca="1" si="13"/>
        <v>0</v>
      </c>
      <c r="D254" s="11">
        <f t="shared" si="14"/>
        <v>3.0662961514490323</v>
      </c>
      <c r="E254" s="11">
        <f t="shared" ca="1" si="18"/>
        <v>3.0662961514490323</v>
      </c>
      <c r="G254" s="79"/>
      <c r="H254" s="20" t="s">
        <v>361</v>
      </c>
      <c r="I254" s="20" t="str">
        <f t="shared" si="15"/>
        <v>NTS SP 1</v>
      </c>
      <c r="J254" s="11">
        <f t="shared" ca="1" si="16"/>
        <v>0</v>
      </c>
      <c r="K254" s="11">
        <f t="shared" si="17"/>
        <v>1.606034992081812</v>
      </c>
      <c r="L254" s="11">
        <f t="shared" ca="1" si="19"/>
        <v>1.606034992081812</v>
      </c>
    </row>
    <row r="255" spans="1:22" ht="18" x14ac:dyDescent="0.25">
      <c r="H255" s="20" t="s">
        <v>362</v>
      </c>
      <c r="I255" s="20" t="str">
        <f t="shared" si="15"/>
        <v>NTS SP 2</v>
      </c>
      <c r="J255" s="11">
        <f t="shared" ca="1" si="16"/>
        <v>0</v>
      </c>
      <c r="K255" s="11">
        <f t="shared" si="17"/>
        <v>1.606034992081812</v>
      </c>
      <c r="L255" s="11">
        <f t="shared" ca="1" si="19"/>
        <v>1.606034992081812</v>
      </c>
    </row>
    <row r="256" spans="1:22" ht="18" x14ac:dyDescent="0.25">
      <c r="H256" s="20" t="s">
        <v>363</v>
      </c>
      <c r="I256" s="20" t="str">
        <f t="shared" si="15"/>
        <v>NTS SP 3</v>
      </c>
      <c r="J256" s="11">
        <f t="shared" ca="1" si="16"/>
        <v>0</v>
      </c>
      <c r="K256" s="11">
        <f t="shared" si="17"/>
        <v>1.606034992081812</v>
      </c>
      <c r="L256" s="11">
        <f t="shared" ca="1" si="19"/>
        <v>1.606034992081812</v>
      </c>
    </row>
    <row r="257" spans="1:13" ht="18" x14ac:dyDescent="0.25">
      <c r="H257" s="20" t="s">
        <v>364</v>
      </c>
      <c r="I257" s="20" t="str">
        <f t="shared" si="15"/>
        <v>NTS SP 4</v>
      </c>
      <c r="J257" s="11">
        <f t="shared" ca="1" si="16"/>
        <v>0</v>
      </c>
      <c r="K257" s="11">
        <f t="shared" si="17"/>
        <v>1.606034992081812</v>
      </c>
      <c r="L257" s="11">
        <f t="shared" ca="1" si="19"/>
        <v>1.606034992081812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1.606034992081812</v>
      </c>
      <c r="L259" s="11">
        <f t="shared" ca="1" si="19"/>
        <v>1.606034992081812</v>
      </c>
    </row>
    <row r="260" spans="1:13" ht="18" x14ac:dyDescent="0.25">
      <c r="H260" s="20" t="s">
        <v>367</v>
      </c>
      <c r="I260" s="20" t="str">
        <f t="shared" si="15"/>
        <v>PE-TECAB (INTERCONEXÃO)</v>
      </c>
      <c r="J260" s="11">
        <f t="shared" ca="1" si="16"/>
        <v>0</v>
      </c>
      <c r="K260" s="11">
        <f t="shared" si="17"/>
        <v>1.606034992081812</v>
      </c>
      <c r="L260" s="11">
        <f t="shared" ca="1" si="19"/>
        <v>1.606034992081812</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(Legados)'!G11</f>
        <v>200</v>
      </c>
      <c r="D267" s="207">
        <f ca="1">E253</f>
        <v>3.0662961514490323</v>
      </c>
      <c r="E267" s="210">
        <f ca="1">D267*(1-$C$262)</f>
        <v>0.30662961514490317</v>
      </c>
      <c r="F267" s="208">
        <f ca="1">C267*E267*'Premissas (Legados)'!$C$54*'Premissas (Legados)'!$F$20*1000</f>
        <v>834970.55373104895</v>
      </c>
      <c r="L267" s="84"/>
    </row>
    <row r="268" spans="1:13" ht="18.75" x14ac:dyDescent="0.3">
      <c r="B268" s="189" t="s">
        <v>376</v>
      </c>
      <c r="C268" s="213">
        <f>'Oferta (Legados)'!G10</f>
        <v>7525</v>
      </c>
      <c r="D268" s="207">
        <f ca="1">E252</f>
        <v>3.0662961514490323</v>
      </c>
      <c r="E268" s="210">
        <f t="shared" ref="E268:E270" ca="1" si="20">D268*(1-$C$262)</f>
        <v>0.30662961514490317</v>
      </c>
      <c r="F268" s="208">
        <f ca="1">C268*E268*'Premissas (Legados)'!$C$54*'Premissas (Legados)'!$F$20*1000</f>
        <v>31415767.084130723</v>
      </c>
      <c r="G268" s="85"/>
      <c r="K268" s="85"/>
      <c r="L268" s="84"/>
    </row>
    <row r="269" spans="1:13" ht="18.75" x14ac:dyDescent="0.3">
      <c r="B269" s="190" t="s">
        <v>377</v>
      </c>
      <c r="C269" s="213">
        <f>'Oferta (Legados)'!G12</f>
        <v>200</v>
      </c>
      <c r="D269" s="207">
        <f ca="1">E254</f>
        <v>3.0662961514490323</v>
      </c>
      <c r="E269" s="210">
        <f t="shared" ca="1" si="20"/>
        <v>0.30662961514490317</v>
      </c>
      <c r="F269" s="208">
        <f ca="1">C269*E269*'Premissas (Legados)'!$C$54*'Premissas (Legados)'!$F$20*1000</f>
        <v>834970.55373104895</v>
      </c>
      <c r="K269" s="85"/>
      <c r="L269" s="84"/>
    </row>
    <row r="270" spans="1:13" ht="18.75" x14ac:dyDescent="0.3">
      <c r="B270" s="190" t="s">
        <v>185</v>
      </c>
      <c r="C270" s="213">
        <f>'Oferta (Legados)'!G6</f>
        <v>383</v>
      </c>
      <c r="D270" s="207">
        <f ca="1">E248</f>
        <v>3.0662961514490323</v>
      </c>
      <c r="E270" s="210">
        <f t="shared" ca="1" si="20"/>
        <v>0.30662961514490317</v>
      </c>
      <c r="F270" s="208">
        <f ca="1">C270*E270*'Premissas (Legados)'!$C$54*'Premissas (Legados)'!$F$20*1000</f>
        <v>1598968.6103949589</v>
      </c>
      <c r="K270" s="85"/>
      <c r="L270" s="84"/>
    </row>
    <row r="271" spans="1:13" ht="18.75" x14ac:dyDescent="0.3">
      <c r="B271" s="188" t="s">
        <v>378</v>
      </c>
      <c r="C271" s="213">
        <f>'Demanda (Legados)'!G17</f>
        <v>9703</v>
      </c>
      <c r="D271" s="207">
        <f ca="1">L259</f>
        <v>1.606034992081812</v>
      </c>
      <c r="E271" s="210">
        <f ca="1">D271*(1-$C$262)</f>
        <v>0.16060349920818118</v>
      </c>
      <c r="F271" s="208">
        <f ca="1">C271*E271*'Premissas (Legados)'!$C$54*'Premissas (Legados)'!$F$20*1000</f>
        <v>21217201.505692765</v>
      </c>
      <c r="K271" s="85"/>
      <c r="L271" s="84"/>
    </row>
    <row r="272" spans="1:13" ht="18.75" x14ac:dyDescent="0.3">
      <c r="B272" s="190" t="s">
        <v>379</v>
      </c>
      <c r="C272" s="213">
        <f>'Demanda (Legados)'!G18</f>
        <v>200</v>
      </c>
      <c r="D272" s="207">
        <f ca="1">L260</f>
        <v>1.606034992081812</v>
      </c>
      <c r="E272" s="210">
        <f ca="1">D272*(1-$C$262)</f>
        <v>0.16060349920818118</v>
      </c>
      <c r="F272" s="208">
        <f ca="1">C272*E272*'Premissas (Legados)'!$C$54*'Premissas (Legados)'!$F$20*1000</f>
        <v>437332.81471076509</v>
      </c>
      <c r="K272" s="85"/>
      <c r="L272" s="84"/>
    </row>
    <row r="273" spans="2:13" ht="19.5" thickBot="1" x14ac:dyDescent="0.35">
      <c r="B273" s="190"/>
      <c r="C273" s="190"/>
      <c r="D273" s="190"/>
      <c r="E273" s="190"/>
      <c r="F273" s="209">
        <f ca="1">SUM(F267:F272)</f>
        <v>56339211.122391313</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DFDD-ACFD-4FEC-94F2-909009CBEABC}">
  <sheetPr codeName="Planilha1">
    <tabColor theme="1" tint="0.499984740745262"/>
  </sheetPr>
  <dimension ref="A1:AL56"/>
  <sheetViews>
    <sheetView showGridLines="0" topLeftCell="A19" zoomScaleNormal="100" workbookViewId="0">
      <selection activeCell="C31" sqref="C31:C34"/>
    </sheetView>
  </sheetViews>
  <sheetFormatPr defaultColWidth="8.85546875" defaultRowHeight="12.75" x14ac:dyDescent="0.2"/>
  <cols>
    <col min="1" max="1" width="31.85546875" style="94" customWidth="1"/>
    <col min="2" max="2" width="14.85546875" style="94" customWidth="1"/>
    <col min="3" max="3" width="13.140625" style="94" bestFit="1" customWidth="1"/>
    <col min="4" max="5" width="12.140625" style="94" customWidth="1"/>
    <col min="6" max="7" width="12.28515625" style="94" customWidth="1"/>
    <col min="8" max="8" width="11.5703125" style="94" customWidth="1"/>
    <col min="9" max="34" width="9.85546875" style="94" hidden="1" customWidth="1"/>
    <col min="35" max="35" width="11" style="94" bestFit="1" customWidth="1"/>
    <col min="36" max="36" width="12.140625" style="94" bestFit="1" customWidth="1"/>
    <col min="37" max="37" width="8.85546875" style="94"/>
    <col min="38" max="38" width="29.85546875" style="94" bestFit="1" customWidth="1"/>
    <col min="39" max="16384" width="8.85546875" style="94"/>
  </cols>
  <sheetData>
    <row r="1" spans="1:38" s="92" customFormat="1" x14ac:dyDescent="0.2">
      <c r="A1" s="91"/>
    </row>
    <row r="2" spans="1:38" x14ac:dyDescent="0.2">
      <c r="A2" s="93"/>
    </row>
    <row r="3" spans="1:38" s="92" customFormat="1" ht="20.25" customHeight="1" x14ac:dyDescent="0.2">
      <c r="A3" s="384" t="s">
        <v>0</v>
      </c>
      <c r="B3" s="385"/>
      <c r="C3" s="385"/>
      <c r="D3" s="385"/>
      <c r="E3" s="385"/>
      <c r="F3" s="385"/>
      <c r="G3" s="340"/>
      <c r="H3" s="340"/>
      <c r="AI3" s="94"/>
    </row>
    <row r="4" spans="1:38" s="92" customFormat="1" ht="15" customHeight="1" x14ac:dyDescent="0.2">
      <c r="G4" s="98"/>
      <c r="H4" s="98"/>
      <c r="AI4" s="94"/>
    </row>
    <row r="5" spans="1:38" s="92" customFormat="1" ht="15" customHeight="1" x14ac:dyDescent="0.2">
      <c r="A5" s="95" t="s">
        <v>1</v>
      </c>
      <c r="B5" s="97">
        <v>2026</v>
      </c>
      <c r="C5" s="97">
        <f>B5+1</f>
        <v>2027</v>
      </c>
      <c r="D5" s="97">
        <f>C5+1</f>
        <v>2028</v>
      </c>
      <c r="E5" s="97">
        <f>D5+1</f>
        <v>2029</v>
      </c>
      <c r="F5" s="96">
        <f>E5+1</f>
        <v>2030</v>
      </c>
      <c r="G5" s="341"/>
      <c r="H5" s="341"/>
      <c r="AI5" s="94"/>
    </row>
    <row r="6" spans="1:38" s="98" customFormat="1" ht="15" customHeight="1" x14ac:dyDescent="0.2">
      <c r="A6" s="94"/>
      <c r="AL6" s="94"/>
    </row>
    <row r="7" spans="1:38" s="98" customFormat="1" ht="15" customHeight="1" x14ac:dyDescent="0.2">
      <c r="A7" s="99" t="s">
        <v>2</v>
      </c>
      <c r="B7" s="100"/>
      <c r="C7" s="100"/>
      <c r="D7" s="100"/>
      <c r="E7" s="100"/>
      <c r="F7" s="100"/>
      <c r="AL7" s="94"/>
    </row>
    <row r="8" spans="1:38" s="98" customFormat="1" ht="15" customHeight="1" x14ac:dyDescent="0.2">
      <c r="A8" s="101" t="s">
        <v>3</v>
      </c>
      <c r="B8" s="102">
        <v>1</v>
      </c>
      <c r="C8" s="102">
        <v>1</v>
      </c>
      <c r="D8" s="103">
        <v>1</v>
      </c>
      <c r="E8" s="103">
        <v>1</v>
      </c>
      <c r="F8" s="335">
        <v>1</v>
      </c>
      <c r="G8" s="332"/>
      <c r="H8" s="332"/>
    </row>
    <row r="9" spans="1:38" s="98" customFormat="1" ht="15" customHeight="1" x14ac:dyDescent="0.2">
      <c r="A9" s="101" t="s">
        <v>4</v>
      </c>
      <c r="B9" s="104">
        <f>1-B8</f>
        <v>0</v>
      </c>
      <c r="C9" s="104">
        <f>1-C8</f>
        <v>0</v>
      </c>
      <c r="D9" s="104">
        <f>1-D8</f>
        <v>0</v>
      </c>
      <c r="E9" s="104">
        <f>1-E8</f>
        <v>0</v>
      </c>
      <c r="F9" s="336">
        <f>1-F8</f>
        <v>0</v>
      </c>
      <c r="G9" s="332"/>
      <c r="H9" s="332"/>
    </row>
    <row r="10" spans="1:38" s="98" customFormat="1" ht="15" customHeight="1" x14ac:dyDescent="0.2"/>
    <row r="11" spans="1:38" s="98" customFormat="1" ht="15" customHeight="1" x14ac:dyDescent="0.2"/>
    <row r="12" spans="1:38" s="98" customFormat="1" ht="15" customHeight="1" x14ac:dyDescent="0.2">
      <c r="A12" s="99" t="s">
        <v>5</v>
      </c>
      <c r="B12" s="100"/>
      <c r="C12" s="100"/>
      <c r="D12" s="100"/>
      <c r="E12" s="100"/>
      <c r="F12" s="100"/>
    </row>
    <row r="13" spans="1:38" s="98" customFormat="1" ht="15" customHeight="1" x14ac:dyDescent="0.2">
      <c r="A13" s="105" t="s">
        <v>6</v>
      </c>
      <c r="B13" s="103">
        <v>0.7</v>
      </c>
      <c r="C13" s="103">
        <v>0.7</v>
      </c>
      <c r="D13" s="103">
        <v>0.7</v>
      </c>
      <c r="E13" s="103">
        <v>0.7</v>
      </c>
      <c r="F13" s="103">
        <v>0.7</v>
      </c>
      <c r="G13" s="333"/>
      <c r="H13" s="333"/>
    </row>
    <row r="14" spans="1:38" s="98" customFormat="1" ht="15" customHeight="1" x14ac:dyDescent="0.2">
      <c r="A14" s="105" t="s">
        <v>7</v>
      </c>
      <c r="B14" s="106">
        <f>1-B13</f>
        <v>0.30000000000000004</v>
      </c>
      <c r="C14" s="106">
        <f>1-C13</f>
        <v>0.30000000000000004</v>
      </c>
      <c r="D14" s="106">
        <f>1-D13</f>
        <v>0.30000000000000004</v>
      </c>
      <c r="E14" s="106">
        <f>1-E13</f>
        <v>0.30000000000000004</v>
      </c>
      <c r="F14" s="337">
        <f>1-F13</f>
        <v>0.30000000000000004</v>
      </c>
      <c r="G14" s="334"/>
      <c r="H14" s="334"/>
    </row>
    <row r="15" spans="1:38" s="98" customFormat="1" ht="15" customHeight="1" x14ac:dyDescent="0.2"/>
    <row r="16" spans="1:38" s="92" customFormat="1" ht="15" customHeight="1" x14ac:dyDescent="0.2">
      <c r="B16" s="98"/>
      <c r="G16" s="98"/>
      <c r="H16" s="98"/>
      <c r="AJ16" s="107"/>
    </row>
    <row r="17" spans="1:34" s="92" customFormat="1" ht="15" customHeight="1" x14ac:dyDescent="0.2">
      <c r="A17" s="99" t="s">
        <v>8</v>
      </c>
      <c r="B17" s="100"/>
      <c r="C17" s="100"/>
      <c r="D17" s="100"/>
      <c r="E17" s="100"/>
      <c r="F17" s="100"/>
      <c r="G17" s="98"/>
      <c r="H17" s="98"/>
      <c r="I17" s="108">
        <v>2025</v>
      </c>
      <c r="J17" s="109">
        <v>2026</v>
      </c>
      <c r="K17" s="109">
        <v>2027</v>
      </c>
      <c r="L17" s="109">
        <v>2028</v>
      </c>
      <c r="M17" s="109">
        <v>2029</v>
      </c>
      <c r="N17" s="109">
        <v>2030</v>
      </c>
      <c r="O17" s="109">
        <v>2031</v>
      </c>
      <c r="P17" s="109">
        <v>2032</v>
      </c>
      <c r="Q17" s="109">
        <v>2033</v>
      </c>
      <c r="R17" s="109">
        <v>2034</v>
      </c>
      <c r="S17" s="109">
        <v>2035</v>
      </c>
      <c r="T17" s="109">
        <v>2036</v>
      </c>
      <c r="U17" s="109">
        <v>2037</v>
      </c>
      <c r="V17" s="109">
        <v>2038</v>
      </c>
      <c r="W17" s="109">
        <v>2039</v>
      </c>
      <c r="X17" s="109">
        <v>2040</v>
      </c>
      <c r="Y17" s="109">
        <v>2041</v>
      </c>
      <c r="Z17" s="109">
        <v>2042</v>
      </c>
      <c r="AA17" s="109">
        <v>2043</v>
      </c>
      <c r="AB17" s="109">
        <v>2044</v>
      </c>
      <c r="AC17" s="109">
        <v>2045</v>
      </c>
      <c r="AD17" s="109">
        <v>2046</v>
      </c>
      <c r="AE17" s="109">
        <v>2047</v>
      </c>
      <c r="AF17" s="109">
        <v>2048</v>
      </c>
      <c r="AG17" s="109">
        <v>2049</v>
      </c>
      <c r="AH17" s="109">
        <v>2050</v>
      </c>
    </row>
    <row r="18" spans="1:34" s="92" customFormat="1" ht="15" customHeight="1" x14ac:dyDescent="0.2">
      <c r="A18" s="110" t="s">
        <v>372</v>
      </c>
      <c r="B18" s="111">
        <v>9400</v>
      </c>
      <c r="C18" s="111">
        <f>+B18</f>
        <v>9400</v>
      </c>
      <c r="D18" s="111">
        <f>+C18</f>
        <v>9400</v>
      </c>
      <c r="E18" s="111">
        <f>+D18</f>
        <v>9400</v>
      </c>
      <c r="F18" s="338">
        <f>+E18</f>
        <v>9400</v>
      </c>
      <c r="G18" s="342"/>
      <c r="H18" s="342"/>
      <c r="I18" s="112">
        <f>+F18</f>
        <v>9400</v>
      </c>
      <c r="J18" s="113">
        <f t="shared" ref="J18:AH18" si="0">+I18</f>
        <v>9400</v>
      </c>
      <c r="K18" s="113">
        <f t="shared" si="0"/>
        <v>9400</v>
      </c>
      <c r="L18" s="113">
        <f t="shared" si="0"/>
        <v>9400</v>
      </c>
      <c r="M18" s="113">
        <f t="shared" si="0"/>
        <v>9400</v>
      </c>
      <c r="N18" s="113">
        <f t="shared" si="0"/>
        <v>9400</v>
      </c>
      <c r="O18" s="113">
        <f t="shared" si="0"/>
        <v>9400</v>
      </c>
      <c r="P18" s="113">
        <f t="shared" si="0"/>
        <v>9400</v>
      </c>
      <c r="Q18" s="113">
        <f t="shared" si="0"/>
        <v>9400</v>
      </c>
      <c r="R18" s="113">
        <f t="shared" si="0"/>
        <v>9400</v>
      </c>
      <c r="S18" s="113">
        <f t="shared" si="0"/>
        <v>9400</v>
      </c>
      <c r="T18" s="113">
        <f t="shared" si="0"/>
        <v>9400</v>
      </c>
      <c r="U18" s="113">
        <f t="shared" si="0"/>
        <v>9400</v>
      </c>
      <c r="V18" s="113">
        <f t="shared" si="0"/>
        <v>9400</v>
      </c>
      <c r="W18" s="113">
        <f t="shared" si="0"/>
        <v>9400</v>
      </c>
      <c r="X18" s="113">
        <f t="shared" si="0"/>
        <v>9400</v>
      </c>
      <c r="Y18" s="113">
        <f t="shared" si="0"/>
        <v>9400</v>
      </c>
      <c r="Z18" s="113">
        <f t="shared" si="0"/>
        <v>9400</v>
      </c>
      <c r="AA18" s="113">
        <f t="shared" si="0"/>
        <v>9400</v>
      </c>
      <c r="AB18" s="113">
        <f t="shared" si="0"/>
        <v>9400</v>
      </c>
      <c r="AC18" s="113">
        <f t="shared" si="0"/>
        <v>9400</v>
      </c>
      <c r="AD18" s="113">
        <f t="shared" si="0"/>
        <v>9400</v>
      </c>
      <c r="AE18" s="113">
        <f t="shared" si="0"/>
        <v>9400</v>
      </c>
      <c r="AF18" s="113">
        <f t="shared" si="0"/>
        <v>9400</v>
      </c>
      <c r="AG18" s="113">
        <f t="shared" si="0"/>
        <v>9400</v>
      </c>
      <c r="AH18" s="113">
        <f t="shared" si="0"/>
        <v>9400</v>
      </c>
    </row>
    <row r="19" spans="1:34" s="92" customFormat="1" ht="15" customHeight="1" x14ac:dyDescent="0.2">
      <c r="A19" s="114" t="s">
        <v>9</v>
      </c>
      <c r="B19" s="115">
        <v>37.302179000000002</v>
      </c>
      <c r="C19" s="115">
        <v>37.302179000000002</v>
      </c>
      <c r="D19" s="115">
        <v>37.302179000000002</v>
      </c>
      <c r="E19" s="115">
        <v>37.302179000000002</v>
      </c>
      <c r="F19" s="339">
        <v>37.302179000000002</v>
      </c>
      <c r="G19" s="343"/>
      <c r="H19" s="343"/>
      <c r="I19" s="116">
        <f t="shared" ref="I19:AH19" si="1">I18/251996</f>
        <v>3.7302179399673008E-2</v>
      </c>
      <c r="J19" s="117">
        <f t="shared" si="1"/>
        <v>3.7302179399673008E-2</v>
      </c>
      <c r="K19" s="117">
        <f t="shared" si="1"/>
        <v>3.7302179399673008E-2</v>
      </c>
      <c r="L19" s="117">
        <f t="shared" si="1"/>
        <v>3.7302179399673008E-2</v>
      </c>
      <c r="M19" s="117">
        <f t="shared" si="1"/>
        <v>3.7302179399673008E-2</v>
      </c>
      <c r="N19" s="117">
        <f t="shared" si="1"/>
        <v>3.7302179399673008E-2</v>
      </c>
      <c r="O19" s="117">
        <f t="shared" si="1"/>
        <v>3.7302179399673008E-2</v>
      </c>
      <c r="P19" s="117">
        <f t="shared" si="1"/>
        <v>3.7302179399673008E-2</v>
      </c>
      <c r="Q19" s="117">
        <f t="shared" si="1"/>
        <v>3.7302179399673008E-2</v>
      </c>
      <c r="R19" s="117">
        <f t="shared" si="1"/>
        <v>3.7302179399673008E-2</v>
      </c>
      <c r="S19" s="117">
        <f t="shared" si="1"/>
        <v>3.7302179399673008E-2</v>
      </c>
      <c r="T19" s="117">
        <f t="shared" si="1"/>
        <v>3.7302179399673008E-2</v>
      </c>
      <c r="U19" s="117">
        <f t="shared" si="1"/>
        <v>3.7302179399673008E-2</v>
      </c>
      <c r="V19" s="117">
        <f t="shared" si="1"/>
        <v>3.7302179399673008E-2</v>
      </c>
      <c r="W19" s="117">
        <f t="shared" si="1"/>
        <v>3.7302179399673008E-2</v>
      </c>
      <c r="X19" s="117">
        <f t="shared" si="1"/>
        <v>3.7302179399673008E-2</v>
      </c>
      <c r="Y19" s="117">
        <f t="shared" si="1"/>
        <v>3.7302179399673008E-2</v>
      </c>
      <c r="Z19" s="117">
        <f t="shared" si="1"/>
        <v>3.7302179399673008E-2</v>
      </c>
      <c r="AA19" s="117">
        <f t="shared" si="1"/>
        <v>3.7302179399673008E-2</v>
      </c>
      <c r="AB19" s="117">
        <f t="shared" si="1"/>
        <v>3.7302179399673008E-2</v>
      </c>
      <c r="AC19" s="117">
        <f t="shared" si="1"/>
        <v>3.7302179399673008E-2</v>
      </c>
      <c r="AD19" s="117">
        <f t="shared" si="1"/>
        <v>3.7302179399673008E-2</v>
      </c>
      <c r="AE19" s="117">
        <f t="shared" si="1"/>
        <v>3.7302179399673008E-2</v>
      </c>
      <c r="AF19" s="117">
        <f t="shared" si="1"/>
        <v>3.7302179399673008E-2</v>
      </c>
      <c r="AG19" s="117">
        <f t="shared" si="1"/>
        <v>3.7302179399673008E-2</v>
      </c>
      <c r="AH19" s="117">
        <f t="shared" si="1"/>
        <v>3.7302179399673008E-2</v>
      </c>
    </row>
    <row r="20" spans="1:34" s="92" customFormat="1" ht="15" customHeight="1" x14ac:dyDescent="0.2">
      <c r="A20" s="110" t="s">
        <v>10</v>
      </c>
      <c r="B20" s="111">
        <v>365</v>
      </c>
      <c r="C20" s="111">
        <v>365</v>
      </c>
      <c r="D20" s="111">
        <v>366</v>
      </c>
      <c r="E20" s="111">
        <v>365</v>
      </c>
      <c r="F20" s="338">
        <v>365</v>
      </c>
      <c r="G20" s="342"/>
      <c r="H20" s="342"/>
      <c r="I20" s="118">
        <v>365</v>
      </c>
      <c r="J20" s="119">
        <v>365</v>
      </c>
      <c r="K20" s="119">
        <v>365</v>
      </c>
      <c r="L20" s="119">
        <v>366</v>
      </c>
      <c r="M20" s="119">
        <v>365</v>
      </c>
      <c r="N20" s="119">
        <v>365</v>
      </c>
      <c r="O20" s="119">
        <v>365</v>
      </c>
      <c r="P20" s="119">
        <v>366</v>
      </c>
      <c r="Q20" s="119">
        <v>365</v>
      </c>
      <c r="R20" s="119">
        <v>365</v>
      </c>
      <c r="S20" s="119">
        <v>365</v>
      </c>
      <c r="T20" s="119">
        <v>366</v>
      </c>
      <c r="U20" s="119">
        <v>365</v>
      </c>
      <c r="V20" s="119">
        <v>365</v>
      </c>
      <c r="W20" s="119">
        <v>365</v>
      </c>
      <c r="X20" s="119">
        <v>366</v>
      </c>
      <c r="Y20" s="119">
        <v>365</v>
      </c>
      <c r="Z20" s="119">
        <v>365</v>
      </c>
      <c r="AA20" s="119">
        <v>365</v>
      </c>
      <c r="AB20" s="119">
        <v>366</v>
      </c>
      <c r="AC20" s="119">
        <v>365</v>
      </c>
      <c r="AD20" s="119">
        <v>365</v>
      </c>
      <c r="AE20" s="119">
        <v>365</v>
      </c>
      <c r="AF20" s="119">
        <v>366</v>
      </c>
      <c r="AG20" s="119">
        <v>260</v>
      </c>
      <c r="AH20" s="119">
        <v>365</v>
      </c>
    </row>
    <row r="21" spans="1:34" ht="15" customHeight="1" x14ac:dyDescent="0.2">
      <c r="G21" s="98"/>
      <c r="H21" s="98"/>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row>
    <row r="22" spans="1:34" ht="15" customHeight="1" thickBot="1" x14ac:dyDescent="0.25">
      <c r="B22" s="120"/>
      <c r="C22" s="120"/>
      <c r="D22" s="120"/>
      <c r="E22" s="120"/>
      <c r="F22" s="120"/>
      <c r="G22" s="344"/>
      <c r="H22" s="344"/>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row>
    <row r="23" spans="1:34" ht="15" customHeight="1" thickBot="1" x14ac:dyDescent="0.25">
      <c r="A23" s="121" t="s">
        <v>11</v>
      </c>
      <c r="B23" s="122">
        <v>1</v>
      </c>
      <c r="G23" s="98"/>
      <c r="H23" s="98"/>
    </row>
    <row r="24" spans="1:34" ht="15" customHeight="1" x14ac:dyDescent="0.2">
      <c r="A24" s="123" t="s">
        <v>158</v>
      </c>
      <c r="G24" s="98"/>
      <c r="H24" s="98"/>
    </row>
    <row r="25" spans="1:34" x14ac:dyDescent="0.2">
      <c r="G25" s="98"/>
      <c r="H25" s="98"/>
    </row>
    <row r="26" spans="1:34" x14ac:dyDescent="0.2">
      <c r="G26" s="98"/>
      <c r="H26" s="98"/>
    </row>
    <row r="27" spans="1:34" ht="15" customHeight="1" x14ac:dyDescent="0.2">
      <c r="A27" s="388" t="s">
        <v>179</v>
      </c>
      <c r="B27" s="389"/>
      <c r="C27" s="389"/>
      <c r="D27" s="389"/>
      <c r="E27" s="389"/>
      <c r="F27" s="389"/>
      <c r="G27" s="389"/>
      <c r="H27" s="389"/>
    </row>
    <row r="28" spans="1:34" x14ac:dyDescent="0.2">
      <c r="A28" s="41"/>
      <c r="B28" s="41"/>
      <c r="C28" s="41"/>
      <c r="G28" s="98"/>
      <c r="H28" s="225" t="s">
        <v>455</v>
      </c>
    </row>
    <row r="29" spans="1:34" x14ac:dyDescent="0.2">
      <c r="A29" s="390" t="s">
        <v>395</v>
      </c>
      <c r="B29" s="42" t="s">
        <v>12</v>
      </c>
      <c r="C29" s="42" t="s">
        <v>13</v>
      </c>
      <c r="D29" s="42" t="s">
        <v>454</v>
      </c>
      <c r="E29" s="42" t="s">
        <v>456</v>
      </c>
      <c r="F29" s="42" t="s">
        <v>457</v>
      </c>
      <c r="G29" s="42" t="s">
        <v>458</v>
      </c>
      <c r="H29" s="42" t="s">
        <v>459</v>
      </c>
    </row>
    <row r="30" spans="1:34" x14ac:dyDescent="0.2">
      <c r="A30" s="390"/>
      <c r="B30" s="42" t="s">
        <v>14</v>
      </c>
      <c r="C30" s="219" t="s">
        <v>15</v>
      </c>
      <c r="D30" s="42" t="s">
        <v>16</v>
      </c>
      <c r="E30" s="42" t="s">
        <v>16</v>
      </c>
      <c r="F30" s="42" t="s">
        <v>16</v>
      </c>
      <c r="G30" s="42" t="s">
        <v>16</v>
      </c>
      <c r="H30" s="42" t="s">
        <v>16</v>
      </c>
    </row>
    <row r="31" spans="1:34" x14ac:dyDescent="0.2">
      <c r="A31" s="43" t="s">
        <v>18</v>
      </c>
      <c r="B31" s="365">
        <v>49400</v>
      </c>
      <c r="C31" s="301">
        <v>3.3947000000000003</v>
      </c>
      <c r="D31" s="220">
        <f t="shared" ref="D31:D34" si="2">IF(B$5&lt;YEAR($B42),$B31*$C31*$B$19*B$20,IF(B$5=YEAR($B42),$B31*$C31*($B42-DATE(B$5,1,1)+1)*$B$19,0))/1000</f>
        <v>2283260.2478419906</v>
      </c>
      <c r="E31" s="220">
        <f t="shared" ref="E31:E34" si="3">IF(C$5&lt;YEAR($B42),$B31*$C31*$B$19*C$20,IF(C$5=YEAR($B42),$B31*$C31*($B42-DATE(C$5,1,1)+1)*$B$19,0))/1000</f>
        <v>2283260.2478419906</v>
      </c>
      <c r="F31" s="220">
        <f t="shared" ref="F31:F34" si="4">IF(D$5&lt;YEAR($B42),$B31*$C31*$B$19*D$20,IF(D$5=YEAR($B42),$B31*$C31*($B42-DATE(D$5,1,1)+1)*$B$19,0))/1000</f>
        <v>2289515.7553703245</v>
      </c>
      <c r="G31" s="220">
        <f t="shared" ref="G31:G34" si="5">IF(E$5&lt;YEAR($B42),$B31*$C31*$B$19*E$20,IF(E$5=YEAR($B42),$B31*$C31*($B42-DATE(E$5,1,1)+1)*$B$19,0))/1000</f>
        <v>2283260.2478419906</v>
      </c>
      <c r="H31" s="220">
        <f t="shared" ref="H31:H34" si="6">IF(F$5&lt;YEAR($B42),$B31*$C31*$B$19*F$20,IF(F$5=YEAR($B42),$B31*$C31*($B42-DATE(F$5,1,1)+1)*$B$19,0))/1000</f>
        <v>2283260.2478419906</v>
      </c>
    </row>
    <row r="32" spans="1:34" x14ac:dyDescent="0.2">
      <c r="A32" s="43" t="s">
        <v>19</v>
      </c>
      <c r="B32" s="365">
        <v>5000</v>
      </c>
      <c r="C32" s="301">
        <v>3.1732</v>
      </c>
      <c r="D32" s="220">
        <f t="shared" si="2"/>
        <v>216020.27578511002</v>
      </c>
      <c r="E32" s="220">
        <f t="shared" si="3"/>
        <v>216020.27578511002</v>
      </c>
      <c r="F32" s="220">
        <f t="shared" si="4"/>
        <v>216612.11215712404</v>
      </c>
      <c r="G32" s="220">
        <f t="shared" si="5"/>
        <v>216020.27578511002</v>
      </c>
      <c r="H32" s="220">
        <f t="shared" si="6"/>
        <v>8285.709208196</v>
      </c>
      <c r="AH32" s="124"/>
    </row>
    <row r="33" spans="1:8" x14ac:dyDescent="0.2">
      <c r="A33" s="43" t="s">
        <v>20</v>
      </c>
      <c r="B33" s="365">
        <v>40000</v>
      </c>
      <c r="C33" s="301">
        <v>2.7465000000000002</v>
      </c>
      <c r="D33" s="220">
        <f t="shared" si="2"/>
        <v>1495776.3455031002</v>
      </c>
      <c r="E33" s="220">
        <f t="shared" si="3"/>
        <v>1495776.3455031002</v>
      </c>
      <c r="F33" s="220">
        <f t="shared" si="4"/>
        <v>1499874.36288804</v>
      </c>
      <c r="G33" s="220">
        <f t="shared" si="5"/>
        <v>1495776.3455031002</v>
      </c>
      <c r="H33" s="220">
        <f t="shared" si="6"/>
        <v>1290875.4762561002</v>
      </c>
    </row>
    <row r="34" spans="1:8" x14ac:dyDescent="0.2">
      <c r="A34" s="43" t="s">
        <v>21</v>
      </c>
      <c r="B34" s="365">
        <v>20000</v>
      </c>
      <c r="C34" s="301">
        <v>4.7374999999999998</v>
      </c>
      <c r="D34" s="220">
        <f t="shared" si="2"/>
        <v>1290049.23299125</v>
      </c>
      <c r="E34" s="220">
        <f t="shared" si="3"/>
        <v>1290049.23299125</v>
      </c>
      <c r="F34" s="220">
        <f t="shared" si="4"/>
        <v>1293583.6144514999</v>
      </c>
      <c r="G34" s="220">
        <f t="shared" si="5"/>
        <v>1290049.23299125</v>
      </c>
      <c r="H34" s="220">
        <f t="shared" si="6"/>
        <v>1290049.23299125</v>
      </c>
    </row>
    <row r="35" spans="1:8" x14ac:dyDescent="0.2">
      <c r="A35" s="268" t="s">
        <v>394</v>
      </c>
      <c r="B35" s="269"/>
      <c r="C35" s="270"/>
      <c r="D35" s="271">
        <f>SUM(D31:D34)</f>
        <v>5285106.1021214509</v>
      </c>
      <c r="E35" s="271">
        <f>SUM(E31:E34)</f>
        <v>5285106.1021214509</v>
      </c>
      <c r="F35" s="271">
        <f>SUM(F31:F34)</f>
        <v>5299585.8448669882</v>
      </c>
      <c r="G35" s="271">
        <f>SUM(G31:G34)</f>
        <v>5285106.1021214509</v>
      </c>
      <c r="H35" s="271">
        <f>SUM(H31:H34)</f>
        <v>4872470.6662975373</v>
      </c>
    </row>
    <row r="36" spans="1:8" x14ac:dyDescent="0.2">
      <c r="A36" s="43" t="s">
        <v>436</v>
      </c>
      <c r="B36" s="44">
        <v>0</v>
      </c>
      <c r="C36" s="217">
        <v>0</v>
      </c>
      <c r="D36" s="224">
        <f>-'Conta Regulatória (C.Reg)'!E4*(D35/SUM(D35,'Premissas (BRA)'!B31))/10^3</f>
        <v>-68096.021039578365</v>
      </c>
      <c r="E36" s="224">
        <f>-'Conta Regulatória (C.Reg)'!F4/10^3</f>
        <v>0</v>
      </c>
      <c r="F36" s="224">
        <f>-'Conta Regulatória (C.Reg)'!G4/10^3</f>
        <v>0</v>
      </c>
      <c r="G36" s="224">
        <f>-'Conta Regulatória (C.Reg)'!H4/10^3</f>
        <v>0</v>
      </c>
      <c r="H36" s="224">
        <f>-'Conta Regulatória (C.Reg)'!I4/10^3</f>
        <v>0</v>
      </c>
    </row>
    <row r="37" spans="1:8" customFormat="1" ht="15.75" thickBot="1" x14ac:dyDescent="0.3">
      <c r="D37" s="45">
        <f>SUM(D35:D36)</f>
        <v>5217010.0810818728</v>
      </c>
      <c r="E37" s="45">
        <f>SUM(E35:E36)</f>
        <v>5285106.1021214509</v>
      </c>
      <c r="F37" s="45">
        <f>SUM(F35:F36)</f>
        <v>5299585.8448669882</v>
      </c>
      <c r="G37" s="45">
        <f>SUM(G35:G36)</f>
        <v>5285106.1021214509</v>
      </c>
      <c r="H37" s="45">
        <f>SUM(H35:H36)</f>
        <v>4872470.6662975373</v>
      </c>
    </row>
    <row r="38" spans="1:8" ht="15.75" thickTop="1" x14ac:dyDescent="0.25">
      <c r="A38"/>
      <c r="B38"/>
      <c r="C38"/>
      <c r="D38" s="355"/>
      <c r="E38"/>
    </row>
    <row r="39" spans="1:8" ht="15" x14ac:dyDescent="0.25">
      <c r="A39"/>
      <c r="B39"/>
      <c r="C39"/>
      <c r="D39" s="355"/>
      <c r="E39"/>
    </row>
    <row r="40" spans="1:8" ht="15" x14ac:dyDescent="0.25">
      <c r="A40" s="347" t="s">
        <v>395</v>
      </c>
      <c r="B40" s="347" t="s">
        <v>462</v>
      </c>
      <c r="C40"/>
      <c r="D40"/>
      <c r="E40"/>
    </row>
    <row r="41" spans="1:8" ht="15" x14ac:dyDescent="0.25">
      <c r="A41" s="348" t="s">
        <v>17</v>
      </c>
      <c r="B41" s="349">
        <v>46022</v>
      </c>
      <c r="C41"/>
      <c r="D41"/>
      <c r="E41"/>
    </row>
    <row r="42" spans="1:8" ht="15" x14ac:dyDescent="0.25">
      <c r="A42" s="348" t="s">
        <v>18</v>
      </c>
      <c r="B42" s="349">
        <v>48134</v>
      </c>
      <c r="C42"/>
      <c r="D42"/>
      <c r="E42"/>
    </row>
    <row r="43" spans="1:8" ht="15" x14ac:dyDescent="0.25">
      <c r="A43" s="348" t="s">
        <v>19</v>
      </c>
      <c r="B43" s="349">
        <v>47497</v>
      </c>
      <c r="C43"/>
      <c r="D43"/>
      <c r="E43"/>
    </row>
    <row r="44" spans="1:8" ht="15" x14ac:dyDescent="0.25">
      <c r="A44" s="348" t="s">
        <v>20</v>
      </c>
      <c r="B44" s="349">
        <v>47798</v>
      </c>
      <c r="C44"/>
      <c r="D44"/>
      <c r="E44"/>
    </row>
    <row r="45" spans="1:8" ht="15" x14ac:dyDescent="0.25">
      <c r="A45" s="348" t="s">
        <v>21</v>
      </c>
      <c r="B45" s="349">
        <v>48182</v>
      </c>
      <c r="C45"/>
      <c r="D45"/>
      <c r="E45"/>
    </row>
    <row r="46" spans="1:8" ht="15" x14ac:dyDescent="0.25">
      <c r="A46"/>
      <c r="B46"/>
      <c r="C46"/>
      <c r="D46"/>
      <c r="E46"/>
    </row>
    <row r="47" spans="1:8" ht="15" x14ac:dyDescent="0.25">
      <c r="A47" s="350"/>
      <c r="B47" s="351"/>
      <c r="C47"/>
      <c r="D47"/>
      <c r="E47"/>
    </row>
    <row r="48" spans="1:8" ht="15" x14ac:dyDescent="0.25">
      <c r="A48" s="350"/>
      <c r="B48"/>
      <c r="C48"/>
      <c r="D48"/>
      <c r="E48"/>
    </row>
    <row r="49" spans="1:5" ht="15" x14ac:dyDescent="0.25">
      <c r="A49"/>
      <c r="B49"/>
      <c r="C49"/>
      <c r="D49"/>
      <c r="E49"/>
    </row>
    <row r="50" spans="1:5" x14ac:dyDescent="0.2">
      <c r="E50" s="222"/>
    </row>
    <row r="52" spans="1:5" x14ac:dyDescent="0.2">
      <c r="A52" s="41"/>
      <c r="B52" s="218"/>
      <c r="C52" s="41"/>
      <c r="E52" s="221"/>
    </row>
    <row r="53" spans="1:5" x14ac:dyDescent="0.2">
      <c r="A53" s="41"/>
      <c r="B53" s="41"/>
      <c r="C53" s="41"/>
      <c r="D53" s="41"/>
    </row>
    <row r="54" spans="1:5" x14ac:dyDescent="0.2">
      <c r="A54" s="125" t="s">
        <v>22</v>
      </c>
      <c r="B54" s="125"/>
      <c r="C54" s="223">
        <v>3.7302178999999998E-2</v>
      </c>
      <c r="D54" s="41"/>
      <c r="E54" s="221"/>
    </row>
    <row r="55" spans="1:5" x14ac:dyDescent="0.2">
      <c r="A55" s="41"/>
      <c r="B55" s="41"/>
      <c r="C55" s="41"/>
      <c r="D55" s="41"/>
    </row>
    <row r="56" spans="1:5" x14ac:dyDescent="0.2">
      <c r="A56" s="41"/>
      <c r="B56" s="41"/>
      <c r="C56" s="41"/>
      <c r="D56" s="41"/>
    </row>
  </sheetData>
  <mergeCells count="3">
    <mergeCell ref="A3:F3"/>
    <mergeCell ref="A29:A30"/>
    <mergeCell ref="A27:H27"/>
  </mergeCells>
  <phoneticPr fontId="13" type="noConversion"/>
  <printOptions gridLines="1"/>
  <pageMargins left="0.7" right="0.7" top="0.75" bottom="0.75" header="0.3" footer="0.3"/>
  <pageSetup paperSize="9" scale="80" fitToWidth="0"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1469-776A-48E7-BFE7-AB8871BF8F35}">
  <sheetPr codeName="Planilha27">
    <tabColor theme="1" tint="0.499984740745262"/>
  </sheetPr>
  <dimension ref="A2:AA303"/>
  <sheetViews>
    <sheetView showGridLines="0" topLeftCell="A257" zoomScale="70" zoomScaleNormal="70" workbookViewId="0">
      <selection activeCell="F22" sqref="F22:F58"/>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2030</v>
      </c>
    </row>
    <row r="4" spans="1:9" ht="18.75" thickBot="1" x14ac:dyDescent="0.3">
      <c r="A4" s="162"/>
      <c r="B4" s="163" t="s">
        <v>102</v>
      </c>
      <c r="C4" s="164" t="s">
        <v>200</v>
      </c>
      <c r="D4" s="165">
        <f>('Premissas (Legados)'!H37-'Premissas (Legados)'!H36)/1000</f>
        <v>4872.4706662975377</v>
      </c>
      <c r="E4" s="166" t="s">
        <v>103</v>
      </c>
      <c r="F4" s="162"/>
      <c r="G4" s="162"/>
      <c r="H4" s="177"/>
      <c r="I4" s="177"/>
    </row>
    <row r="5" spans="1:9" ht="15.75" thickBot="1" x14ac:dyDescent="0.3">
      <c r="A5" s="153"/>
      <c r="B5" s="197" t="s">
        <v>385</v>
      </c>
      <c r="C5" s="150"/>
      <c r="D5" s="151">
        <f ca="1">D6+D9</f>
        <v>4816.1314551751457</v>
      </c>
      <c r="E5" s="166" t="s">
        <v>103</v>
      </c>
      <c r="F5" s="215" t="s">
        <v>390</v>
      </c>
      <c r="G5" s="153"/>
      <c r="H5" s="177"/>
      <c r="I5" s="177"/>
    </row>
    <row r="6" spans="1:9" ht="18" x14ac:dyDescent="0.25">
      <c r="A6" s="148">
        <f>HLOOKUP($G$3,'Premissas (Legados)'!$B$5:$F$13,9,FALSE)</f>
        <v>0.7</v>
      </c>
      <c r="B6" s="149" t="s">
        <v>104</v>
      </c>
      <c r="C6" s="150" t="s">
        <v>201</v>
      </c>
      <c r="D6" s="151">
        <f ca="1">($A$6*$D$4)-(SUM($F$268:$F$271)/10^6)</f>
        <v>3376.0447896062883</v>
      </c>
      <c r="E6" s="152" t="s">
        <v>105</v>
      </c>
      <c r="F6" s="215" t="s">
        <v>383</v>
      </c>
      <c r="G6" s="153"/>
      <c r="H6" s="177"/>
    </row>
    <row r="7" spans="1:9" ht="30" x14ac:dyDescent="0.25">
      <c r="A7" s="48"/>
      <c r="B7" s="154" t="s">
        <v>106</v>
      </c>
      <c r="C7" s="155" t="s">
        <v>202</v>
      </c>
      <c r="D7" s="156">
        <f>$C$35*'Premissas (Legados)'!$F$20</f>
        <v>26786985</v>
      </c>
      <c r="E7" s="154" t="s">
        <v>107</v>
      </c>
      <c r="F7" s="172">
        <f>F35</f>
        <v>999212909.34031487</v>
      </c>
      <c r="G7" s="40" t="s">
        <v>108</v>
      </c>
    </row>
    <row r="8" spans="1:9" ht="18.75" thickBot="1" x14ac:dyDescent="0.3">
      <c r="A8" s="157"/>
      <c r="B8" s="158" t="s">
        <v>109</v>
      </c>
      <c r="C8" s="159" t="s">
        <v>203</v>
      </c>
      <c r="D8" s="160">
        <f ca="1">$D$6/$D$7*1000</f>
        <v>0.12603302647185893</v>
      </c>
      <c r="E8" s="161" t="s">
        <v>110</v>
      </c>
      <c r="F8" s="174">
        <f ca="1">$D$6/$F$7*1000000</f>
        <v>3.3787041360736314</v>
      </c>
      <c r="G8" s="170" t="s">
        <v>15</v>
      </c>
      <c r="I8" s="177"/>
    </row>
    <row r="9" spans="1:9" ht="18" x14ac:dyDescent="0.25">
      <c r="A9" s="148">
        <f>1-A6</f>
        <v>0.30000000000000004</v>
      </c>
      <c r="B9" s="149" t="s">
        <v>111</v>
      </c>
      <c r="C9" s="150" t="s">
        <v>204</v>
      </c>
      <c r="D9" s="151">
        <f ca="1">($A$9*$D$4)-(SUM($F$272:$F$273)/10^6)</f>
        <v>1440.0866655688578</v>
      </c>
      <c r="E9" s="152" t="s">
        <v>105</v>
      </c>
      <c r="F9" s="215" t="s">
        <v>384</v>
      </c>
      <c r="G9" s="171"/>
    </row>
    <row r="10" spans="1:9" ht="30" x14ac:dyDescent="0.25">
      <c r="B10" s="154" t="s">
        <v>112</v>
      </c>
      <c r="C10" s="155" t="s">
        <v>205</v>
      </c>
      <c r="D10" s="156">
        <f>$C$58*'Premissas (Legados)'!$F$20</f>
        <v>20784925</v>
      </c>
      <c r="E10" s="154" t="s">
        <v>107</v>
      </c>
      <c r="F10" s="172">
        <f>F58</f>
        <v>775322992.85157502</v>
      </c>
      <c r="G10" s="40" t="s">
        <v>108</v>
      </c>
    </row>
    <row r="11" spans="1:9" ht="18.75" thickBot="1" x14ac:dyDescent="0.3">
      <c r="A11" s="167"/>
      <c r="B11" s="158" t="s">
        <v>113</v>
      </c>
      <c r="C11" s="159" t="s">
        <v>206</v>
      </c>
      <c r="D11" s="160">
        <f ca="1">$D$9/$D$10*1000</f>
        <v>6.9285150923992164E-2</v>
      </c>
      <c r="E11" s="161" t="s">
        <v>110</v>
      </c>
      <c r="F11" s="174">
        <f ca="1">$D$9/$F$10*1000000</f>
        <v>1.8574022424800483</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2030</v>
      </c>
      <c r="F22" s="376">
        <v>2030</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(Legados)'!G3</f>
        <v>14956</v>
      </c>
      <c r="E25" s="60"/>
      <c r="F25" s="15">
        <f>IFERROR($C25*$H$20*'Premissas (Legados)'!$F$20*1000," ")</f>
        <v>203630357.03025997</v>
      </c>
      <c r="G25" s="49"/>
    </row>
    <row r="26" spans="1:9" x14ac:dyDescent="0.25">
      <c r="A26" s="2" t="s">
        <v>125</v>
      </c>
      <c r="B26" s="16" t="s">
        <v>26</v>
      </c>
      <c r="C26" s="231">
        <f>'Oferta (Legados)'!G4</f>
        <v>20000</v>
      </c>
      <c r="E26" s="60"/>
      <c r="F26" s="15">
        <f>IFERROR($C26*$H$20*'Premissas (Legados)'!$F$20*1000," ")</f>
        <v>272305906.69999999</v>
      </c>
      <c r="G26" s="49"/>
    </row>
    <row r="27" spans="1:9" x14ac:dyDescent="0.25">
      <c r="A27" s="2" t="s">
        <v>126</v>
      </c>
      <c r="B27" s="16" t="s">
        <v>411</v>
      </c>
      <c r="C27" s="231">
        <f>'Oferta (Legados)'!G5</f>
        <v>13564</v>
      </c>
      <c r="D27" s="18"/>
      <c r="E27" s="60"/>
      <c r="F27" s="15">
        <f>IFERROR($C27*$H$20*'Premissas (Legados)'!$F$20*1000," ")</f>
        <v>184677865.92394</v>
      </c>
      <c r="G27" s="49"/>
    </row>
    <row r="28" spans="1:9" x14ac:dyDescent="0.25">
      <c r="A28" s="2" t="s">
        <v>127</v>
      </c>
      <c r="B28" s="16" t="s">
        <v>388</v>
      </c>
      <c r="C28" s="234"/>
      <c r="D28" s="216" t="s">
        <v>386</v>
      </c>
      <c r="E28" s="60"/>
      <c r="F28" s="15">
        <f>IFERROR($C28*$H$20*'Premissas (Legados)'!$F$20*1000," ")</f>
        <v>0</v>
      </c>
      <c r="G28" s="49"/>
    </row>
    <row r="29" spans="1:9" x14ac:dyDescent="0.25">
      <c r="A29" s="2" t="s">
        <v>128</v>
      </c>
      <c r="B29" s="16" t="s">
        <v>27</v>
      </c>
      <c r="C29" s="231">
        <f>'Oferta (Legados)'!G7</f>
        <v>0</v>
      </c>
      <c r="D29" s="18"/>
      <c r="E29" s="60"/>
      <c r="F29" s="15">
        <f>IFERROR($C29*$H$20*'Premissas (Legados)'!$F$20*1000," ")</f>
        <v>0</v>
      </c>
      <c r="G29" s="49"/>
    </row>
    <row r="30" spans="1:9" x14ac:dyDescent="0.25">
      <c r="A30" s="2" t="s">
        <v>183</v>
      </c>
      <c r="B30" s="16" t="s">
        <v>29</v>
      </c>
      <c r="C30" s="231">
        <f>'Oferta (Legados)'!G8</f>
        <v>0</v>
      </c>
      <c r="D30" s="18"/>
      <c r="E30" s="60"/>
      <c r="F30" s="15">
        <f>IFERROR($C30*$H$20*'Premissas (Legados)'!$F$20*1000," ")</f>
        <v>0</v>
      </c>
      <c r="G30" s="49"/>
    </row>
    <row r="31" spans="1:9" x14ac:dyDescent="0.25">
      <c r="A31" s="2" t="s">
        <v>129</v>
      </c>
      <c r="B31" s="16" t="s">
        <v>24</v>
      </c>
      <c r="C31" s="231">
        <f>'Oferta (Legados)'!G9</f>
        <v>24869</v>
      </c>
      <c r="D31" s="18"/>
      <c r="E31" s="60"/>
      <c r="F31" s="15">
        <f>IFERROR($C31*$H$20*'Premissas (Legados)'!$F$20*1000," ")</f>
        <v>338598779.68611497</v>
      </c>
      <c r="G31" s="49"/>
    </row>
    <row r="32" spans="1:9" x14ac:dyDescent="0.25">
      <c r="A32" s="2" t="s">
        <v>184</v>
      </c>
      <c r="B32" s="16" t="s">
        <v>194</v>
      </c>
      <c r="C32" s="191"/>
      <c r="D32" s="216" t="s">
        <v>386</v>
      </c>
      <c r="E32" s="60"/>
      <c r="F32" s="15">
        <f>IFERROR($C32*$H$20*'Premissas (Legados)'!$F$20*1000," ")</f>
        <v>0</v>
      </c>
      <c r="G32" s="49"/>
    </row>
    <row r="33" spans="1:8" x14ac:dyDescent="0.25">
      <c r="A33" s="2" t="s">
        <v>130</v>
      </c>
      <c r="B33" s="16" t="s">
        <v>196</v>
      </c>
      <c r="C33" s="191"/>
      <c r="D33" s="216" t="s">
        <v>386</v>
      </c>
      <c r="E33" s="60"/>
      <c r="F33" s="15">
        <f>IFERROR($C33*$H$20*'Premissas (Legados)'!$F$20*1000," ")</f>
        <v>0</v>
      </c>
      <c r="G33" s="49"/>
    </row>
    <row r="34" spans="1:8" x14ac:dyDescent="0.25">
      <c r="A34" s="2" t="s">
        <v>131</v>
      </c>
      <c r="B34" s="16" t="s">
        <v>195</v>
      </c>
      <c r="C34" s="191"/>
      <c r="D34" s="216" t="s">
        <v>386</v>
      </c>
      <c r="E34" s="60"/>
      <c r="F34" s="15">
        <f>IFERROR($C34*$H$20*'Premissas (Legados)'!$F$20*1000,"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2030</v>
      </c>
      <c r="F39" s="376">
        <v>2030</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(Legados)'!G3</f>
        <v>668</v>
      </c>
      <c r="F42" s="15">
        <f>IFERROR($C42*$H$20*'Premissas (Legados)'!$F$20*1000," ")</f>
        <v>9095017.2837799974</v>
      </c>
      <c r="G42" s="49"/>
    </row>
    <row r="43" spans="1:8" x14ac:dyDescent="0.25">
      <c r="A43" s="2" t="s">
        <v>38</v>
      </c>
      <c r="B43" s="16" t="s">
        <v>161</v>
      </c>
      <c r="C43" s="231">
        <f>'Demanda (Legados)'!G4</f>
        <v>1824</v>
      </c>
      <c r="D43" s="18"/>
      <c r="F43" s="15">
        <f>IFERROR($C43*$H$20*'Premissas (Legados)'!$F$20*1000," ")</f>
        <v>24834298.691039998</v>
      </c>
      <c r="G43" s="49"/>
    </row>
    <row r="44" spans="1:8" x14ac:dyDescent="0.25">
      <c r="A44" s="2" t="s">
        <v>39</v>
      </c>
      <c r="B44" s="16" t="s">
        <v>162</v>
      </c>
      <c r="C44" s="231">
        <f>'Demanda (Legados)'!G5</f>
        <v>3002</v>
      </c>
      <c r="D44" s="18"/>
      <c r="F44" s="15">
        <f>IFERROR($C44*$H$20*'Premissas (Legados)'!$F$20*1000," ")</f>
        <v>40873116.59567</v>
      </c>
      <c r="G44" s="49"/>
    </row>
    <row r="45" spans="1:8" x14ac:dyDescent="0.25">
      <c r="A45" s="2" t="s">
        <v>40</v>
      </c>
      <c r="B45" s="16" t="s">
        <v>163</v>
      </c>
      <c r="C45" s="231">
        <f>'Demanda (Legados)'!G6</f>
        <v>351</v>
      </c>
      <c r="D45" s="18"/>
      <c r="F45" s="15">
        <f>IFERROR($C45*$H$20*'Premissas (Legados)'!$F$20*1000," ")</f>
        <v>4778968.6625849996</v>
      </c>
      <c r="G45" s="49"/>
    </row>
    <row r="46" spans="1:8" x14ac:dyDescent="0.25">
      <c r="A46" s="2" t="s">
        <v>41</v>
      </c>
      <c r="B46" s="16" t="s">
        <v>164</v>
      </c>
      <c r="C46" s="231">
        <f>'Demanda (Legados)'!G7</f>
        <v>17575</v>
      </c>
      <c r="D46" s="18"/>
      <c r="F46" s="15">
        <f>IFERROR($C46*$H$20*'Premissas (Legados)'!$F$20*1000," ")</f>
        <v>239288815.51262498</v>
      </c>
      <c r="G46" s="49"/>
    </row>
    <row r="47" spans="1:8" x14ac:dyDescent="0.25">
      <c r="A47" s="2" t="s">
        <v>42</v>
      </c>
      <c r="B47" s="16" t="s">
        <v>165</v>
      </c>
      <c r="C47" s="231">
        <f>'Demanda (Legados)'!G8</f>
        <v>11227</v>
      </c>
      <c r="D47" s="18"/>
      <c r="F47" s="15">
        <f>IFERROR($C47*$H$20*'Premissas (Legados)'!$F$20*1000," ")</f>
        <v>152858920.72604498</v>
      </c>
      <c r="G47" s="49"/>
    </row>
    <row r="48" spans="1:8" x14ac:dyDescent="0.25">
      <c r="A48" s="2" t="s">
        <v>43</v>
      </c>
      <c r="B48" s="16" t="s">
        <v>166</v>
      </c>
      <c r="C48" s="231">
        <f>'Demanda (Legados)'!G9</f>
        <v>2083</v>
      </c>
      <c r="D48" s="18"/>
      <c r="F48" s="15">
        <f>IFERROR($C48*$H$20*'Premissas (Legados)'!$F$20*1000," ")</f>
        <v>28360660.182804998</v>
      </c>
      <c r="G48" s="49"/>
    </row>
    <row r="49" spans="1:9" x14ac:dyDescent="0.25">
      <c r="A49" s="2" t="s">
        <v>44</v>
      </c>
      <c r="B49" s="16" t="s">
        <v>167</v>
      </c>
      <c r="C49" s="231">
        <f>'Demanda (Legados)'!G10</f>
        <v>340</v>
      </c>
      <c r="D49" s="18"/>
      <c r="F49" s="15">
        <f>IFERROR($C49*$H$20*'Premissas (Legados)'!$F$20*1000," ")</f>
        <v>4629200.4139</v>
      </c>
      <c r="G49" s="49"/>
    </row>
    <row r="50" spans="1:9" x14ac:dyDescent="0.25">
      <c r="A50" s="2" t="s">
        <v>45</v>
      </c>
      <c r="B50" s="16" t="s">
        <v>168</v>
      </c>
      <c r="C50" s="231">
        <f>'Demanda (Legados)'!G11</f>
        <v>2249</v>
      </c>
      <c r="D50" s="18"/>
      <c r="F50" s="15">
        <f>IFERROR($C50*$H$20*'Premissas (Legados)'!$F$20*1000," ")</f>
        <v>30620799.208414994</v>
      </c>
      <c r="G50" s="49"/>
    </row>
    <row r="51" spans="1:9" x14ac:dyDescent="0.25">
      <c r="A51" s="2" t="s">
        <v>46</v>
      </c>
      <c r="B51" s="16" t="s">
        <v>169</v>
      </c>
      <c r="C51" s="231">
        <f>'Demanda (Legados)'!G12</f>
        <v>1161</v>
      </c>
      <c r="D51" s="18"/>
      <c r="F51" s="15">
        <f>IFERROR($C51*$H$20*'Premissas (Legados)'!$F$20*1000," ")</f>
        <v>15807357.883934999</v>
      </c>
      <c r="G51" s="49"/>
    </row>
    <row r="52" spans="1:9" x14ac:dyDescent="0.25">
      <c r="A52" s="2" t="s">
        <v>47</v>
      </c>
      <c r="B52" s="16" t="s">
        <v>170</v>
      </c>
      <c r="C52" s="231">
        <f>'Demanda (Legados)'!G13</f>
        <v>3064</v>
      </c>
      <c r="D52" s="18"/>
      <c r="F52" s="15">
        <f>IFERROR($C52*$H$20*'Premissas (Legados)'!$F$20*1000," ")</f>
        <v>41717264.906439997</v>
      </c>
      <c r="G52" s="49"/>
    </row>
    <row r="53" spans="1:9" x14ac:dyDescent="0.25">
      <c r="A53" s="2" t="s">
        <v>48</v>
      </c>
      <c r="B53" s="16" t="s">
        <v>171</v>
      </c>
      <c r="C53" s="231">
        <f>'Demanda (Legados)'!G14</f>
        <v>9481</v>
      </c>
      <c r="D53" s="18"/>
      <c r="F53" s="15">
        <f>IFERROR($C53*$H$20*'Premissas (Legados)'!$F$20*1000," ")</f>
        <v>129086615.071135</v>
      </c>
      <c r="G53" s="49"/>
    </row>
    <row r="54" spans="1:9" x14ac:dyDescent="0.25">
      <c r="A54" s="2" t="s">
        <v>49</v>
      </c>
      <c r="B54" s="16" t="s">
        <v>172</v>
      </c>
      <c r="C54" s="231">
        <f>'Demanda (Legados)'!G15</f>
        <v>3920</v>
      </c>
      <c r="D54" s="18"/>
      <c r="F54" s="15">
        <f>IFERROR($C54*$H$20*'Premissas (Legados)'!$F$20*1000," ")</f>
        <v>53371957.713199995</v>
      </c>
      <c r="G54" s="49"/>
    </row>
    <row r="55" spans="1:9" x14ac:dyDescent="0.25">
      <c r="A55" s="2" t="s">
        <v>50</v>
      </c>
      <c r="B55" s="16" t="s">
        <v>199</v>
      </c>
      <c r="C55" s="191"/>
      <c r="D55" s="216" t="s">
        <v>386</v>
      </c>
      <c r="F55" s="15">
        <f>IFERROR($C55*$H$20*'Premissas (Legados)'!$F$20*1000," ")</f>
        <v>0</v>
      </c>
      <c r="G55" s="49"/>
    </row>
    <row r="56" spans="1:9" x14ac:dyDescent="0.25">
      <c r="A56" s="2" t="s">
        <v>51</v>
      </c>
      <c r="B56" s="16" t="s">
        <v>198</v>
      </c>
      <c r="C56" s="191"/>
      <c r="D56" s="216" t="s">
        <v>386</v>
      </c>
      <c r="F56" s="15">
        <f>IFERROR($C56*$H$20*'Premissas (Legados)'!$F$20*1000," ")</f>
        <v>0</v>
      </c>
      <c r="G56" s="49"/>
    </row>
    <row r="57" spans="1:9" x14ac:dyDescent="0.25">
      <c r="A57" s="2" t="s">
        <v>52</v>
      </c>
      <c r="B57" s="16" t="s">
        <v>197</v>
      </c>
      <c r="C57" s="191"/>
      <c r="D57" s="216" t="s">
        <v>386</v>
      </c>
      <c r="F57" s="15">
        <f>IFERROR($C57*$H$20*'Premissas (Legados)'!$F$20*1000,"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834.03043278707787</v>
      </c>
      <c r="C194" s="19"/>
      <c r="D194" t="s">
        <v>311</v>
      </c>
      <c r="E194" s="5">
        <f t="shared" ref="E194:E209" ca="1" si="7">$E163*$D$9</f>
        <v>21.082490962926119</v>
      </c>
    </row>
    <row r="195" spans="1:5" ht="18" x14ac:dyDescent="0.35">
      <c r="A195" t="s">
        <v>312</v>
      </c>
      <c r="B195" s="6">
        <f t="shared" ca="1" si="6"/>
        <v>653.78076571490624</v>
      </c>
      <c r="D195" t="s">
        <v>313</v>
      </c>
      <c r="E195" s="5">
        <f t="shared" ca="1" si="7"/>
        <v>73.02054324990074</v>
      </c>
    </row>
    <row r="196" spans="1:5" ht="18" x14ac:dyDescent="0.35">
      <c r="A196" t="s">
        <v>314</v>
      </c>
      <c r="B196" s="6">
        <f t="shared" ca="1" si="6"/>
        <v>521.02514088174007</v>
      </c>
      <c r="D196" t="s">
        <v>315</v>
      </c>
      <c r="E196" s="5">
        <f t="shared" ca="1" si="7"/>
        <v>150.85004717170628</v>
      </c>
    </row>
    <row r="197" spans="1:5" ht="18" x14ac:dyDescent="0.35">
      <c r="A197" t="s">
        <v>316</v>
      </c>
      <c r="B197" s="6">
        <f t="shared" ca="1" si="6"/>
        <v>0</v>
      </c>
      <c r="D197" t="s">
        <v>317</v>
      </c>
      <c r="E197" s="5">
        <f t="shared" ca="1" si="7"/>
        <v>19.139532074851523</v>
      </c>
    </row>
    <row r="198" spans="1:5" ht="18" x14ac:dyDescent="0.35">
      <c r="A198" t="s">
        <v>318</v>
      </c>
      <c r="B198" s="6">
        <f t="shared" ca="1" si="6"/>
        <v>0</v>
      </c>
      <c r="D198" t="s">
        <v>319</v>
      </c>
      <c r="E198" s="5">
        <f t="shared" ca="1" si="7"/>
        <v>254.41481541411318</v>
      </c>
    </row>
    <row r="199" spans="1:5" ht="18" x14ac:dyDescent="0.35">
      <c r="A199" t="s">
        <v>320</v>
      </c>
      <c r="B199" s="6">
        <f t="shared" ca="1" si="6"/>
        <v>0</v>
      </c>
      <c r="D199" t="s">
        <v>321</v>
      </c>
      <c r="E199" s="5">
        <f t="shared" ca="1" si="7"/>
        <v>175.07331610346253</v>
      </c>
    </row>
    <row r="200" spans="1:5" ht="18" x14ac:dyDescent="0.35">
      <c r="A200" t="s">
        <v>322</v>
      </c>
      <c r="B200" s="6">
        <f t="shared" ca="1" si="6"/>
        <v>1367.2084502225641</v>
      </c>
      <c r="D200" t="s">
        <v>323</v>
      </c>
      <c r="E200" s="5">
        <f t="shared" ca="1" si="7"/>
        <v>37.554903367859573</v>
      </c>
    </row>
    <row r="201" spans="1:5" ht="18" x14ac:dyDescent="0.35">
      <c r="A201" t="s">
        <v>324</v>
      </c>
      <c r="B201" s="6">
        <f t="shared" ca="1" si="6"/>
        <v>0</v>
      </c>
      <c r="D201" t="s">
        <v>325</v>
      </c>
      <c r="E201" s="5">
        <f t="shared" ca="1" si="7"/>
        <v>7.2067516128027584</v>
      </c>
    </row>
    <row r="202" spans="1:5" ht="18" x14ac:dyDescent="0.35">
      <c r="A202" t="s">
        <v>326</v>
      </c>
      <c r="B202" s="6">
        <f t="shared" ca="1" si="6"/>
        <v>0</v>
      </c>
      <c r="D202" t="s">
        <v>327</v>
      </c>
      <c r="E202" s="5">
        <f t="shared" ca="1" si="7"/>
        <v>35.426009264745346</v>
      </c>
    </row>
    <row r="203" spans="1:5" ht="18" x14ac:dyDescent="0.35">
      <c r="A203" t="s">
        <v>328</v>
      </c>
      <c r="B203" s="6">
        <f t="shared" ca="1" si="6"/>
        <v>0</v>
      </c>
      <c r="D203" t="s">
        <v>329</v>
      </c>
      <c r="E203" s="5">
        <f t="shared" ca="1" si="7"/>
        <v>34.761513095610368</v>
      </c>
    </row>
    <row r="204" spans="1:5" ht="18" x14ac:dyDescent="0.35">
      <c r="B204" s="6">
        <f ca="1">SUM(B194:B203)</f>
        <v>3376.0447896062883</v>
      </c>
      <c r="D204" t="s">
        <v>330</v>
      </c>
      <c r="E204" s="5">
        <f t="shared" ca="1" si="7"/>
        <v>90.796405379814217</v>
      </c>
    </row>
    <row r="205" spans="1:5" ht="18" x14ac:dyDescent="0.35">
      <c r="B205" s="6"/>
      <c r="D205" t="s">
        <v>331</v>
      </c>
      <c r="E205" s="5">
        <f t="shared" ca="1" si="7"/>
        <v>373.98699506055908</v>
      </c>
    </row>
    <row r="206" spans="1:5" ht="18" x14ac:dyDescent="0.35">
      <c r="B206" s="6"/>
      <c r="D206" t="s">
        <v>332</v>
      </c>
      <c r="E206" s="5">
        <f t="shared" ca="1" si="7"/>
        <v>166.77334281050625</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1440.0866655688578</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4.0958059738761783</v>
      </c>
      <c r="D227" s="77"/>
      <c r="E227" s="7"/>
      <c r="F227" s="7"/>
      <c r="G227" s="78"/>
      <c r="H227" s="20" t="s">
        <v>343</v>
      </c>
      <c r="I227" s="20" t="str">
        <f t="shared" ref="I227:I242" si="9">B42</f>
        <v>NTS MG 1</v>
      </c>
      <c r="J227" s="11">
        <f t="shared" ref="J227:J242" ca="1" si="10">IFERROR($E194/$F42*1000000," ")</f>
        <v>2.3180264869341718</v>
      </c>
      <c r="L227" s="12"/>
      <c r="M227" s="79"/>
      <c r="Q227" s="7"/>
      <c r="R227" s="80"/>
      <c r="S227" s="81"/>
      <c r="T227" s="81"/>
      <c r="U227" s="81"/>
    </row>
    <row r="228" spans="1:21" ht="18" x14ac:dyDescent="0.25">
      <c r="A228" s="20" t="s">
        <v>344</v>
      </c>
      <c r="B228" s="20" t="str">
        <f t="shared" ref="B228:B236" si="11">B26</f>
        <v>PR-GNLBGB</v>
      </c>
      <c r="C228" s="11">
        <f t="shared" ca="1" si="8"/>
        <v>2.4009055610944858</v>
      </c>
      <c r="D228" s="77"/>
      <c r="E228" s="7"/>
      <c r="F228" s="7"/>
      <c r="G228" s="78"/>
      <c r="H228" s="20" t="s">
        <v>345</v>
      </c>
      <c r="I228" s="20" t="str">
        <f t="shared" si="9"/>
        <v>NTS MG 2</v>
      </c>
      <c r="J228" s="11">
        <f t="shared" ca="1" si="10"/>
        <v>2.9403102603515809</v>
      </c>
      <c r="L228" s="12"/>
      <c r="M228" s="79"/>
      <c r="Q228" s="7"/>
      <c r="R228" s="80"/>
      <c r="S228" s="81"/>
      <c r="T228" s="81"/>
      <c r="U228" s="81"/>
    </row>
    <row r="229" spans="1:21" ht="18" x14ac:dyDescent="0.25">
      <c r="A229" s="20" t="s">
        <v>346</v>
      </c>
      <c r="B229" s="20" t="str">
        <f t="shared" si="11"/>
        <v>PR-ITABORAÍ</v>
      </c>
      <c r="C229" s="11">
        <f t="shared" ca="1" si="8"/>
        <v>2.8212646831013601</v>
      </c>
      <c r="D229" s="77"/>
      <c r="E229" s="7"/>
      <c r="F229" s="7"/>
      <c r="G229" s="78"/>
      <c r="H229" s="20" t="s">
        <v>347</v>
      </c>
      <c r="I229" s="20" t="str">
        <f t="shared" si="9"/>
        <v>NTS MG 3</v>
      </c>
      <c r="J229" s="11">
        <f t="shared" ca="1" si="10"/>
        <v>3.6906910883249595</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4.0049503200756975</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1.0632123146628645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1.1453261299497879</v>
      </c>
      <c r="L232" s="12"/>
      <c r="M232" s="79"/>
      <c r="Q232" s="7"/>
      <c r="R232" s="80"/>
      <c r="S232" s="81"/>
      <c r="T232" s="81"/>
      <c r="U232" s="81"/>
    </row>
    <row r="233" spans="1:21" ht="18" x14ac:dyDescent="0.25">
      <c r="A233" s="20" t="s">
        <v>354</v>
      </c>
      <c r="B233" s="20" t="str">
        <f t="shared" si="11"/>
        <v>PR-TECAB</v>
      </c>
      <c r="C233" s="11">
        <f t="shared" ca="1" si="8"/>
        <v>4.0378422258047779</v>
      </c>
      <c r="D233" s="77"/>
      <c r="E233" s="7"/>
      <c r="F233" s="7"/>
      <c r="G233" s="78"/>
      <c r="H233" s="20" t="s">
        <v>355</v>
      </c>
      <c r="I233" s="20" t="str">
        <f t="shared" si="9"/>
        <v>NTS RJ 3</v>
      </c>
      <c r="J233" s="11">
        <f t="shared" ca="1" si="10"/>
        <v>1.324190026811471</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1.5568026804722477</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1.1569263435491852</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2.1990716823675167</v>
      </c>
      <c r="L236" s="12"/>
      <c r="Q236" s="7"/>
      <c r="R236" s="80"/>
      <c r="S236" s="81"/>
      <c r="T236" s="81"/>
      <c r="U236" s="81"/>
    </row>
    <row r="237" spans="1:21" ht="18" x14ac:dyDescent="0.25">
      <c r="D237" s="72"/>
      <c r="E237" s="7"/>
      <c r="F237" s="7"/>
      <c r="G237" s="72"/>
      <c r="H237" s="20" t="s">
        <v>362</v>
      </c>
      <c r="I237" s="20" t="str">
        <f t="shared" si="9"/>
        <v>NTS SP 2</v>
      </c>
      <c r="J237" s="11">
        <f t="shared" ca="1" si="10"/>
        <v>2.1764707150251774</v>
      </c>
      <c r="K237" s="72"/>
      <c r="L237" s="12"/>
      <c r="Q237" s="7"/>
      <c r="R237" s="80"/>
      <c r="S237" s="81"/>
      <c r="T237" s="81"/>
      <c r="U237" s="81"/>
    </row>
    <row r="238" spans="1:21" ht="18" x14ac:dyDescent="0.25">
      <c r="D238" s="72"/>
      <c r="E238" s="7"/>
      <c r="F238" s="7"/>
      <c r="G238" s="72"/>
      <c r="H238" s="20" t="s">
        <v>363</v>
      </c>
      <c r="I238" s="20" t="str">
        <f t="shared" si="9"/>
        <v>NTS SP 3</v>
      </c>
      <c r="J238" s="11">
        <f t="shared" ca="1" si="10"/>
        <v>2.8971787265044351</v>
      </c>
      <c r="L238" s="12"/>
      <c r="Q238" s="7"/>
      <c r="R238" s="80"/>
      <c r="S238" s="81"/>
      <c r="T238" s="81"/>
      <c r="U238" s="81"/>
    </row>
    <row r="239" spans="1:21" ht="18" x14ac:dyDescent="0.25">
      <c r="D239" s="72"/>
      <c r="E239" s="7"/>
      <c r="F239" s="7"/>
      <c r="G239" s="72"/>
      <c r="H239" s="20" t="s">
        <v>364</v>
      </c>
      <c r="I239" s="20" t="str">
        <f t="shared" si="9"/>
        <v>NTS SP 4</v>
      </c>
      <c r="J239" s="11">
        <f t="shared" ca="1" si="10"/>
        <v>3.1247372207457875</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3.3787041360736314</v>
      </c>
      <c r="E246" s="11">
        <f ca="1">IFERROR(C246+D246," ")</f>
        <v>3.3787041360736314</v>
      </c>
      <c r="F246" s="198">
        <f ca="1">E246*F25</f>
        <v>688006729.52828956</v>
      </c>
      <c r="G246" s="79"/>
      <c r="H246" s="20" t="s">
        <v>343</v>
      </c>
      <c r="I246" s="20" t="str">
        <f t="shared" ref="I246:I261" si="15">I227</f>
        <v>NTS MG 1</v>
      </c>
      <c r="J246" s="11">
        <f t="shared" ref="J246:J261" ca="1" si="16">IF(F42=0," ",J227*(1-$C$12))</f>
        <v>0</v>
      </c>
      <c r="K246" s="11">
        <f t="shared" ref="K246:K258" ca="1" si="17">$F$11*$C$12</f>
        <v>1.8574022424800483</v>
      </c>
      <c r="L246" s="11">
        <f ca="1">IFERROR(J246+K246," ")</f>
        <v>1.8574022424800483</v>
      </c>
      <c r="M246" s="198">
        <f t="shared" ref="M246:M258" ca="1" si="18">L246*F42</f>
        <v>16893105.498287763</v>
      </c>
      <c r="N246" s="87"/>
    </row>
    <row r="247" spans="1:22" ht="18" x14ac:dyDescent="0.25">
      <c r="A247" s="20" t="s">
        <v>344</v>
      </c>
      <c r="B247" s="20" t="str">
        <f t="shared" si="12"/>
        <v>PR-GNLBGB</v>
      </c>
      <c r="C247" s="11">
        <f t="shared" ca="1" si="13"/>
        <v>0</v>
      </c>
      <c r="D247" s="11">
        <f t="shared" ca="1" si="14"/>
        <v>3.3787041360736314</v>
      </c>
      <c r="E247" s="11">
        <f t="shared" ref="E247:E252" ca="1" si="19">IFERROR(C247+D247," ")</f>
        <v>3.3787041360736314</v>
      </c>
      <c r="F247" s="198">
        <f ca="1">E247*F26</f>
        <v>920041093.24457037</v>
      </c>
      <c r="G247" s="79"/>
      <c r="H247" s="20" t="s">
        <v>345</v>
      </c>
      <c r="I247" s="20" t="str">
        <f t="shared" si="15"/>
        <v>NTS MG 2</v>
      </c>
      <c r="J247" s="11">
        <f t="shared" ca="1" si="16"/>
        <v>0</v>
      </c>
      <c r="K247" s="11">
        <f t="shared" ca="1" si="17"/>
        <v>1.8574022424800483</v>
      </c>
      <c r="L247" s="11">
        <f t="shared" ref="L247:L258" ca="1" si="20">IFERROR(J247+K247," ")</f>
        <v>1.8574022424800483</v>
      </c>
      <c r="M247" s="198">
        <f t="shared" ca="1" si="18"/>
        <v>46127282.079157017</v>
      </c>
    </row>
    <row r="248" spans="1:22" ht="18" x14ac:dyDescent="0.25">
      <c r="A248" s="20" t="s">
        <v>346</v>
      </c>
      <c r="B248" s="20" t="str">
        <f t="shared" si="12"/>
        <v>PR-ITABORAÍ</v>
      </c>
      <c r="C248" s="11">
        <f t="shared" ca="1" si="13"/>
        <v>0</v>
      </c>
      <c r="D248" s="11">
        <f t="shared" ca="1" si="14"/>
        <v>3.3787041360736314</v>
      </c>
      <c r="E248" s="11">
        <f t="shared" ca="1" si="19"/>
        <v>3.3787041360736314</v>
      </c>
      <c r="F248" s="198">
        <f ca="1">E248*F27</f>
        <v>623971869.43846762</v>
      </c>
      <c r="G248" s="79"/>
      <c r="H248" s="20" t="s">
        <v>347</v>
      </c>
      <c r="I248" s="20" t="str">
        <f t="shared" si="15"/>
        <v>NTS MG 3</v>
      </c>
      <c r="J248" s="11">
        <f t="shared" ca="1" si="16"/>
        <v>0</v>
      </c>
      <c r="K248" s="11">
        <f t="shared" ca="1" si="17"/>
        <v>1.8574022424800483</v>
      </c>
      <c r="L248" s="11">
        <f t="shared" ca="1" si="20"/>
        <v>1.8574022424800483</v>
      </c>
      <c r="M248" s="198">
        <f t="shared" ca="1" si="18"/>
        <v>75917818.42194593</v>
      </c>
    </row>
    <row r="249" spans="1:22" ht="18" x14ac:dyDescent="0.25">
      <c r="A249" s="20" t="s">
        <v>348</v>
      </c>
      <c r="B249" s="20" t="str">
        <f t="shared" si="12"/>
        <v>PR-GASPAJ (INTERCONEXÃO)</v>
      </c>
      <c r="C249" s="11" t="str">
        <f t="shared" si="13"/>
        <v xml:space="preserve"> </v>
      </c>
      <c r="D249" s="11">
        <f t="shared" ca="1" si="14"/>
        <v>3.3787041360736314</v>
      </c>
      <c r="E249" s="83">
        <f ca="1">E271</f>
        <v>0.30662961514490317</v>
      </c>
      <c r="F249" s="198">
        <f ca="1">E249*F28</f>
        <v>0</v>
      </c>
      <c r="G249" s="79"/>
      <c r="H249" s="20" t="s">
        <v>349</v>
      </c>
      <c r="I249" s="20" t="str">
        <f t="shared" si="15"/>
        <v>NTS MG 4</v>
      </c>
      <c r="J249" s="11">
        <f t="shared" ca="1" si="16"/>
        <v>0</v>
      </c>
      <c r="K249" s="11">
        <f t="shared" ca="1" si="17"/>
        <v>1.8574022424800483</v>
      </c>
      <c r="L249" s="11">
        <f t="shared" ca="1" si="20"/>
        <v>1.8574022424800483</v>
      </c>
      <c r="M249" s="198">
        <f t="shared" ca="1" si="18"/>
        <v>8876467.1106272545</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1.8574022424800483</v>
      </c>
      <c r="L250" s="11">
        <f t="shared" ca="1" si="20"/>
        <v>1.8574022424800483</v>
      </c>
      <c r="M250" s="198">
        <f t="shared" ca="1" si="18"/>
        <v>444455582.53354418</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1.8574022424800483</v>
      </c>
      <c r="L251" s="11">
        <f t="shared" ca="1" si="20"/>
        <v>1.8574022424800483</v>
      </c>
      <c r="M251" s="198">
        <f t="shared" ca="1" si="18"/>
        <v>283920502.13963586</v>
      </c>
    </row>
    <row r="252" spans="1:22" ht="18" x14ac:dyDescent="0.25">
      <c r="A252" s="20" t="s">
        <v>354</v>
      </c>
      <c r="B252" s="20" t="str">
        <f t="shared" si="12"/>
        <v>PR-TECAB</v>
      </c>
      <c r="C252" s="11">
        <f t="shared" ca="1" si="13"/>
        <v>0</v>
      </c>
      <c r="D252" s="11">
        <f t="shared" ca="1" si="14"/>
        <v>3.3787041360736314</v>
      </c>
      <c r="E252" s="11">
        <f t="shared" ca="1" si="19"/>
        <v>3.3787041360736314</v>
      </c>
      <c r="F252" s="198">
        <f ca="1">E252*F31</f>
        <v>1144025097.3949609</v>
      </c>
      <c r="G252" s="79"/>
      <c r="H252" s="20" t="s">
        <v>355</v>
      </c>
      <c r="I252" s="20" t="str">
        <f t="shared" si="15"/>
        <v>NTS RJ 3</v>
      </c>
      <c r="J252" s="11">
        <f t="shared" ca="1" si="16"/>
        <v>0</v>
      </c>
      <c r="K252" s="11">
        <f t="shared" ca="1" si="17"/>
        <v>1.8574022424800483</v>
      </c>
      <c r="L252" s="11">
        <f t="shared" ca="1" si="20"/>
        <v>1.8574022424800483</v>
      </c>
      <c r="M252" s="198">
        <f t="shared" ca="1" si="18"/>
        <v>52677153.821756616</v>
      </c>
    </row>
    <row r="253" spans="1:22" ht="18" x14ac:dyDescent="0.25">
      <c r="A253" s="20" t="s">
        <v>356</v>
      </c>
      <c r="B253" s="20" t="str">
        <f t="shared" si="12"/>
        <v>PR-GUARAREMA (INTERCONEXÃO)</v>
      </c>
      <c r="C253" s="11" t="str">
        <f t="shared" si="13"/>
        <v xml:space="preserve"> </v>
      </c>
      <c r="D253" s="11"/>
      <c r="E253" s="83">
        <f ca="1">E269</f>
        <v>0.30662961514490317</v>
      </c>
      <c r="F253" s="199"/>
      <c r="G253" s="79"/>
      <c r="H253" s="20" t="s">
        <v>357</v>
      </c>
      <c r="I253" s="20" t="str">
        <f t="shared" si="15"/>
        <v>NTS RJ 4</v>
      </c>
      <c r="J253" s="11">
        <f t="shared" ca="1" si="16"/>
        <v>0</v>
      </c>
      <c r="K253" s="11">
        <f t="shared" ca="1" si="17"/>
        <v>1.8574022424800483</v>
      </c>
      <c r="L253" s="11">
        <f t="shared" ca="1" si="20"/>
        <v>1.8574022424800483</v>
      </c>
      <c r="M253" s="198">
        <f t="shared" ca="1" si="18"/>
        <v>8598287.229667427</v>
      </c>
    </row>
    <row r="254" spans="1:22" ht="18" x14ac:dyDescent="0.25">
      <c r="A254" s="20" t="s">
        <v>358</v>
      </c>
      <c r="B254" s="20" t="str">
        <f t="shared" si="12"/>
        <v>PR-REPLAN (INTERCONEXÃO)</v>
      </c>
      <c r="C254" s="11" t="str">
        <f t="shared" si="13"/>
        <v xml:space="preserve"> </v>
      </c>
      <c r="D254" s="11"/>
      <c r="E254" s="83">
        <f ca="1">E268</f>
        <v>0.30662961514490317</v>
      </c>
      <c r="F254" s="200">
        <f ca="1">SUM(F246:F252)</f>
        <v>3376044789.6062884</v>
      </c>
      <c r="G254" s="79"/>
      <c r="H254" s="20" t="s">
        <v>359</v>
      </c>
      <c r="I254" s="20" t="str">
        <f t="shared" si="15"/>
        <v>NTS RJ 5</v>
      </c>
      <c r="J254" s="11">
        <f t="shared" ca="1" si="16"/>
        <v>0</v>
      </c>
      <c r="K254" s="11">
        <f t="shared" ca="1" si="17"/>
        <v>1.8574022424800483</v>
      </c>
      <c r="L254" s="11">
        <f t="shared" ca="1" si="20"/>
        <v>1.8574022424800483</v>
      </c>
      <c r="M254" s="198">
        <f t="shared" ca="1" si="18"/>
        <v>56875141.116241299</v>
      </c>
    </row>
    <row r="255" spans="1:22" ht="18" x14ac:dyDescent="0.25">
      <c r="A255" s="20" t="s">
        <v>360</v>
      </c>
      <c r="B255" s="20" t="str">
        <f t="shared" si="12"/>
        <v>PR-TECAB (INTERCONEXÃO)</v>
      </c>
      <c r="C255" s="11" t="str">
        <f t="shared" si="13"/>
        <v xml:space="preserve"> </v>
      </c>
      <c r="D255" s="11"/>
      <c r="E255" s="83">
        <f ca="1">E270</f>
        <v>0.30662961514490317</v>
      </c>
      <c r="G255" s="79"/>
      <c r="H255" s="20" t="s">
        <v>361</v>
      </c>
      <c r="I255" s="20" t="str">
        <f t="shared" si="15"/>
        <v>NTS SP 1</v>
      </c>
      <c r="J255" s="11">
        <f t="shared" ca="1" si="16"/>
        <v>0</v>
      </c>
      <c r="K255" s="11">
        <f t="shared" ca="1" si="17"/>
        <v>1.8574022424800483</v>
      </c>
      <c r="L255" s="11">
        <f t="shared" ca="1" si="20"/>
        <v>1.8574022424800483</v>
      </c>
      <c r="M255" s="198">
        <f t="shared" ca="1" si="18"/>
        <v>29360621.981305536</v>
      </c>
    </row>
    <row r="256" spans="1:22" ht="18" x14ac:dyDescent="0.25">
      <c r="F256" s="87"/>
      <c r="H256" s="20" t="s">
        <v>362</v>
      </c>
      <c r="I256" s="20" t="str">
        <f t="shared" si="15"/>
        <v>NTS SP 2</v>
      </c>
      <c r="J256" s="11">
        <f t="shared" ca="1" si="16"/>
        <v>0</v>
      </c>
      <c r="K256" s="11">
        <f t="shared" ca="1" si="17"/>
        <v>1.8574022424800483</v>
      </c>
      <c r="L256" s="11">
        <f t="shared" ca="1" si="20"/>
        <v>1.8574022424800483</v>
      </c>
      <c r="M256" s="198">
        <f t="shared" ca="1" si="18"/>
        <v>77485741.387355879</v>
      </c>
    </row>
    <row r="257" spans="1:13" ht="18" x14ac:dyDescent="0.25">
      <c r="H257" s="20" t="s">
        <v>363</v>
      </c>
      <c r="I257" s="20" t="str">
        <f t="shared" si="15"/>
        <v>NTS SP 3</v>
      </c>
      <c r="J257" s="11">
        <f t="shared" ca="1" si="16"/>
        <v>0</v>
      </c>
      <c r="K257" s="11">
        <f t="shared" ca="1" si="17"/>
        <v>1.8574022424800483</v>
      </c>
      <c r="L257" s="11">
        <f t="shared" ca="1" si="20"/>
        <v>1.8574022424800483</v>
      </c>
      <c r="M257" s="198">
        <f t="shared" ca="1" si="18"/>
        <v>239765768.30728495</v>
      </c>
    </row>
    <row r="258" spans="1:13" ht="18" x14ac:dyDescent="0.25">
      <c r="H258" s="20" t="s">
        <v>364</v>
      </c>
      <c r="I258" s="20" t="str">
        <f t="shared" si="15"/>
        <v>NTS SP 4</v>
      </c>
      <c r="J258" s="11">
        <f t="shared" ca="1" si="16"/>
        <v>0</v>
      </c>
      <c r="K258" s="11">
        <f t="shared" ca="1" si="17"/>
        <v>1.8574022424800483</v>
      </c>
      <c r="L258" s="11">
        <f t="shared" ca="1" si="20"/>
        <v>1.8574022424800483</v>
      </c>
      <c r="M258" s="198">
        <f t="shared" ca="1" si="18"/>
        <v>99133193.942047983</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0.16060349920818118</v>
      </c>
      <c r="M260" s="200">
        <f ca="1">SUM(M246:M258)</f>
        <v>1440086665.5688577</v>
      </c>
    </row>
    <row r="261" spans="1:13" ht="18" x14ac:dyDescent="0.25">
      <c r="H261" s="20" t="s">
        <v>367</v>
      </c>
      <c r="I261" s="20" t="str">
        <f t="shared" si="15"/>
        <v>PE-TECAB (INTERCONEXÃO)</v>
      </c>
      <c r="J261" s="11" t="str">
        <f t="shared" si="16"/>
        <v xml:space="preserve"> </v>
      </c>
      <c r="K261" s="11"/>
      <c r="L261" s="83">
        <f ca="1">E273</f>
        <v>0.16060349920818118</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(Legados)'!G11</f>
        <v>200</v>
      </c>
      <c r="D268" s="207">
        <f ca="1">'CWD 2030 Legados (sem desc.)'!D267</f>
        <v>3.0662961514490323</v>
      </c>
      <c r="E268" s="210">
        <f ca="1">D268*(1-$C$263)</f>
        <v>0.30662961514490317</v>
      </c>
      <c r="F268" s="208">
        <f ca="1">C268*E268*'Premissas (Legados)'!$C$54*'Premissas (Legados)'!$F$20*1000</f>
        <v>834970.55373104895</v>
      </c>
      <c r="L268" s="84"/>
    </row>
    <row r="269" spans="1:13" ht="18.75" x14ac:dyDescent="0.3">
      <c r="B269" s="189" t="s">
        <v>376</v>
      </c>
      <c r="C269" s="213">
        <f>'Oferta (Legados)'!G10</f>
        <v>7525</v>
      </c>
      <c r="D269" s="207">
        <f ca="1">'CWD 2030 Legados (sem desc.)'!D268</f>
        <v>3.0662961514490323</v>
      </c>
      <c r="E269" s="210">
        <f t="shared" ref="E269:E271" ca="1" si="21">D269*(1-$C$263)</f>
        <v>0.30662961514490317</v>
      </c>
      <c r="F269" s="208">
        <f ca="1">C269*E269*'Premissas (Legados)'!$C$54*'Premissas (Legados)'!$F$20*1000</f>
        <v>31415767.084130723</v>
      </c>
      <c r="G269" s="85"/>
      <c r="K269" s="85"/>
      <c r="L269" s="84"/>
    </row>
    <row r="270" spans="1:13" ht="18.75" x14ac:dyDescent="0.3">
      <c r="B270" s="190" t="s">
        <v>377</v>
      </c>
      <c r="C270" s="213">
        <f>'Oferta (Legados)'!G12</f>
        <v>200</v>
      </c>
      <c r="D270" s="207">
        <f ca="1">'CWD 2030 Legados (sem desc.)'!D269</f>
        <v>3.0662961514490323</v>
      </c>
      <c r="E270" s="210">
        <f t="shared" ca="1" si="21"/>
        <v>0.30662961514490317</v>
      </c>
      <c r="F270" s="208">
        <f ca="1">C270*E270*'Premissas (Legados)'!$C$54*'Premissas (Legados)'!$F$20*1000</f>
        <v>834970.55373104895</v>
      </c>
      <c r="K270" s="85"/>
      <c r="L270" s="84"/>
    </row>
    <row r="271" spans="1:13" ht="18.75" x14ac:dyDescent="0.3">
      <c r="B271" s="190" t="s">
        <v>185</v>
      </c>
      <c r="C271" s="213">
        <f>'Oferta (Legados)'!G6</f>
        <v>383</v>
      </c>
      <c r="D271" s="207">
        <f ca="1">'CWD 2030 Legados (sem desc.)'!D270</f>
        <v>3.0662961514490323</v>
      </c>
      <c r="E271" s="210">
        <f t="shared" ca="1" si="21"/>
        <v>0.30662961514490317</v>
      </c>
      <c r="F271" s="208">
        <f ca="1">C271*E271*'Premissas (Legados)'!$C$54*'Premissas (Legados)'!$F$20*1000</f>
        <v>1598968.6103949589</v>
      </c>
      <c r="K271" s="85"/>
      <c r="L271" s="84"/>
    </row>
    <row r="272" spans="1:13" ht="18.75" x14ac:dyDescent="0.3">
      <c r="B272" s="188" t="s">
        <v>378</v>
      </c>
      <c r="C272" s="213">
        <f>'Demanda (Legados)'!G17</f>
        <v>9703</v>
      </c>
      <c r="D272" s="207">
        <f ca="1">'CWD 2030 Legados (sem desc.)'!D271</f>
        <v>1.606034992081812</v>
      </c>
      <c r="E272" s="210">
        <f ca="1">D272*(1-$C$263)</f>
        <v>0.16060349920818118</v>
      </c>
      <c r="F272" s="208">
        <f ca="1">C272*E272*'Premissas (Legados)'!$C$54*'Premissas (Legados)'!$F$20*1000</f>
        <v>21217201.505692765</v>
      </c>
      <c r="K272" s="85"/>
      <c r="L272" s="84"/>
    </row>
    <row r="273" spans="2:13" ht="18.75" x14ac:dyDescent="0.3">
      <c r="B273" s="190" t="s">
        <v>379</v>
      </c>
      <c r="C273" s="213">
        <f>'Demanda (Legados)'!G18</f>
        <v>200</v>
      </c>
      <c r="D273" s="207">
        <f ca="1">'CWD 2030 Legados (sem desc.)'!D272</f>
        <v>1.606034992081812</v>
      </c>
      <c r="E273" s="210">
        <f ca="1">D273*(1-$C$263)</f>
        <v>0.16060349920818118</v>
      </c>
      <c r="F273" s="208">
        <f ca="1">C273*E273*'Premissas (Legados)'!$C$54*'Premissas (Legados)'!$F$20*1000</f>
        <v>437332.81471076509</v>
      </c>
      <c r="K273" s="85"/>
      <c r="L273" s="84"/>
    </row>
    <row r="274" spans="2:13" ht="19.5" thickBot="1" x14ac:dyDescent="0.35">
      <c r="B274" s="190"/>
      <c r="C274" s="211"/>
      <c r="D274" s="211"/>
      <c r="E274" s="211"/>
      <c r="F274" s="209">
        <f ca="1">SUM(F268:F273)</f>
        <v>56339211.122391313</v>
      </c>
      <c r="K274" s="85"/>
      <c r="L274" s="84"/>
    </row>
    <row r="275" spans="2:13" ht="15.75" thickTop="1" x14ac:dyDescent="0.25">
      <c r="K275" s="85"/>
      <c r="L275" s="84"/>
    </row>
    <row r="276" spans="2:13" x14ac:dyDescent="0.25">
      <c r="E276" t="s">
        <v>102</v>
      </c>
      <c r="F276" s="177">
        <f ca="1">F254+M260+F274</f>
        <v>4872470666.2975378</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7365-34C8-4512-B6E7-64C0F4F01B78}">
  <sheetPr codeName="Planilha28">
    <tabColor theme="1" tint="0.499984740745262"/>
  </sheetPr>
  <dimension ref="A1:V39"/>
  <sheetViews>
    <sheetView showGridLines="0" zoomScale="110" zoomScaleNormal="110" workbookViewId="0">
      <selection activeCell="H24" sqref="H24"/>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2030 Legado (com desc.)'!A246</f>
        <v>TEN1</v>
      </c>
      <c r="B2" s="261" t="str">
        <f>'CWD 2030 Legado (com desc.)'!B246</f>
        <v>PR-CARAGUATATUBA</v>
      </c>
      <c r="C2" s="262">
        <f>'CWD 2030 Legados (sem desc.)'!F24</f>
        <v>203630357.03025997</v>
      </c>
      <c r="D2" s="263">
        <f ca="1">'CWD 2030 Legado (com desc.)'!E246</f>
        <v>3.3787041360736314</v>
      </c>
      <c r="E2" s="264">
        <f t="shared" ref="E2:E11" ca="1" si="0">IFERROR(C2*D2," ")</f>
        <v>688006729.52828956</v>
      </c>
      <c r="F2" s="298"/>
      <c r="L2" s="39" t="s">
        <v>53</v>
      </c>
      <c r="M2" s="38">
        <f ca="1">IFERROR($D$2+$C34," ")</f>
        <v>5.2361063785536794</v>
      </c>
      <c r="N2" s="38">
        <f ca="1">IFERROR($D$3+$C34," ")</f>
        <v>5.2361063785536794</v>
      </c>
      <c r="O2" s="38">
        <f ca="1">IFERROR($D$4+$C34," ")</f>
        <v>5.2361063785536794</v>
      </c>
      <c r="P2" s="38">
        <f ca="1">IFERROR($D$5+$C34," ")</f>
        <v>2.1640318576249511</v>
      </c>
      <c r="Q2" s="38" t="str">
        <f ca="1">IFERROR($D$6+$C34," ")</f>
        <v xml:space="preserve"> </v>
      </c>
      <c r="R2" s="38" t="str">
        <f ca="1">IFERROR($D$7+$C34," ")</f>
        <v xml:space="preserve"> </v>
      </c>
      <c r="S2" s="38">
        <f ca="1">IFERROR($D$8+$C34," ")</f>
        <v>5.2361063785536794</v>
      </c>
      <c r="T2" s="38">
        <f ca="1">IFERROR($D$9+$C34," ")</f>
        <v>2.1640318576249511</v>
      </c>
      <c r="U2" s="38">
        <f ca="1">IFERROR($D$10+$C34," ")</f>
        <v>2.1640318576249511</v>
      </c>
      <c r="V2" s="38">
        <f ca="1">IFERROR($D$11+$C34," ")</f>
        <v>2.1640318576249511</v>
      </c>
    </row>
    <row r="3" spans="1:22" s="33" customFormat="1" x14ac:dyDescent="0.25">
      <c r="A3" s="233" t="str">
        <f>'CWD 2030 Legado (com desc.)'!A247</f>
        <v>TEN2</v>
      </c>
      <c r="B3" s="236" t="str">
        <f>'CWD 2030 Legado (com desc.)'!B247</f>
        <v>PR-GNLBGB</v>
      </c>
      <c r="C3" s="237">
        <f>'CWD 2030 Legados (sem desc.)'!F25</f>
        <v>272305906.69999999</v>
      </c>
      <c r="D3" s="238">
        <f ca="1">'CWD 2030 Legado (com desc.)'!E247</f>
        <v>3.3787041360736314</v>
      </c>
      <c r="E3" s="239">
        <f t="shared" ca="1" si="0"/>
        <v>920041093.24457037</v>
      </c>
      <c r="F3" s="298"/>
      <c r="L3" s="39" t="s">
        <v>64</v>
      </c>
      <c r="M3" s="38">
        <f t="shared" ref="M3:M7" ca="1" si="1">IFERROR($D$2+$C35," ")</f>
        <v>5.2361063785536794</v>
      </c>
      <c r="N3" s="38">
        <f t="shared" ref="N3:N7" ca="1" si="2">IFERROR($D$3+$C35," ")</f>
        <v>5.2361063785536794</v>
      </c>
      <c r="O3" s="38">
        <f t="shared" ref="O3:O7" ca="1" si="3">IFERROR($D$4+$C35," ")</f>
        <v>5.2361063785536794</v>
      </c>
      <c r="P3" s="38">
        <f t="shared" ref="P3:P7" ca="1" si="4">IFERROR($D$5+$C35," ")</f>
        <v>2.1640318576249515</v>
      </c>
      <c r="Q3" s="38" t="str">
        <f t="shared" ref="Q3:Q7" ca="1" si="5">IFERROR($D$6+$C35," ")</f>
        <v xml:space="preserve"> </v>
      </c>
      <c r="R3" s="38" t="str">
        <f t="shared" ref="R3:R7" ca="1" si="6">IFERROR($D$7+$C35," ")</f>
        <v xml:space="preserve"> </v>
      </c>
      <c r="S3" s="38">
        <f t="shared" ref="S3:S7" ca="1" si="7">IFERROR($D$8+$C35," ")</f>
        <v>5.2361063785536794</v>
      </c>
      <c r="T3" s="38">
        <f t="shared" ref="T3:T7" ca="1" si="8">IFERROR($D$9+$C35," ")</f>
        <v>2.1640318576249515</v>
      </c>
      <c r="U3" s="38">
        <f t="shared" ref="U3:U7" ca="1" si="9">IFERROR($D$10+$C35," ")</f>
        <v>2.1640318576249515</v>
      </c>
      <c r="V3" s="38">
        <f t="shared" ref="V3:V7" ca="1" si="10">IFERROR($D$11+$C35," ")</f>
        <v>2.1640318576249515</v>
      </c>
    </row>
    <row r="4" spans="1:22" x14ac:dyDescent="0.25">
      <c r="A4" s="233" t="str">
        <f>'CWD 2030 Legado (com desc.)'!A248</f>
        <v>TEN3</v>
      </c>
      <c r="B4" s="236" t="str">
        <f>'CWD 2030 Legado (com desc.)'!B248</f>
        <v>PR-ITABORAÍ</v>
      </c>
      <c r="C4" s="237">
        <f>'CWD 2030 Legados (sem desc.)'!F26</f>
        <v>184677865.92394</v>
      </c>
      <c r="D4" s="238">
        <f ca="1">'CWD 2030 Legado (com desc.)'!E248</f>
        <v>3.3787041360736314</v>
      </c>
      <c r="E4" s="237">
        <f t="shared" ca="1" si="0"/>
        <v>623971869.43846762</v>
      </c>
      <c r="F4" s="298"/>
      <c r="L4" s="39" t="s">
        <v>193</v>
      </c>
      <c r="M4" s="38">
        <f t="shared" ca="1" si="1"/>
        <v>5.2361063785536794</v>
      </c>
      <c r="N4" s="38">
        <f t="shared" ca="1" si="2"/>
        <v>5.2361063785536794</v>
      </c>
      <c r="O4" s="38">
        <f t="shared" ca="1" si="3"/>
        <v>5.2361063785536794</v>
      </c>
      <c r="P4" s="38">
        <f t="shared" ca="1" si="4"/>
        <v>2.1640318576249515</v>
      </c>
      <c r="Q4" s="38" t="str">
        <f t="shared" ca="1" si="5"/>
        <v xml:space="preserve"> </v>
      </c>
      <c r="R4" s="38" t="str">
        <f t="shared" ca="1" si="6"/>
        <v xml:space="preserve"> </v>
      </c>
      <c r="S4" s="38">
        <f t="shared" ca="1" si="7"/>
        <v>5.2361063785536794</v>
      </c>
      <c r="T4" s="38">
        <f t="shared" ca="1" si="8"/>
        <v>2.1640318576249515</v>
      </c>
      <c r="U4" s="38">
        <f t="shared" ca="1" si="9"/>
        <v>2.1640318576249515</v>
      </c>
      <c r="V4" s="38">
        <f t="shared" ca="1" si="10"/>
        <v>2.1640318576249515</v>
      </c>
    </row>
    <row r="5" spans="1:22" ht="24" x14ac:dyDescent="0.25">
      <c r="A5" s="233" t="str">
        <f>'CWD 2030 Legado (com desc.)'!A249</f>
        <v>TEN4</v>
      </c>
      <c r="B5" s="236" t="str">
        <f>'CWD 2030 Legado (com desc.)'!B249</f>
        <v>PR-GASPAJ (INTERCONEXÃO)</v>
      </c>
      <c r="C5" s="237">
        <f>'CWD 2030 Legados (sem desc.)'!F27</f>
        <v>5214658.1133049997</v>
      </c>
      <c r="D5" s="238">
        <f ca="1">'CWD 2030 Legado (com desc.)'!E249</f>
        <v>0.30662961514490317</v>
      </c>
      <c r="E5" s="237">
        <f t="shared" ca="1" si="0"/>
        <v>1598968.6103949589</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2030 Legado (com desc.)'!A250</f>
        <v>TEN5</v>
      </c>
      <c r="B6" s="236" t="str">
        <f>'CWD 2030 Legado (com desc.)'!B250</f>
        <v>PR-REDUC</v>
      </c>
      <c r="C6" s="237">
        <f>'CWD 2030 Legados (sem desc.)'!F28</f>
        <v>0</v>
      </c>
      <c r="D6" s="238" t="str">
        <f>'CWD 2030 Legado (com desc.)'!E250</f>
        <v xml:space="preserve"> </v>
      </c>
      <c r="E6" s="237" t="str">
        <f t="shared" si="0"/>
        <v xml:space="preserve"> </v>
      </c>
      <c r="F6" s="298"/>
      <c r="L6" s="88" t="str">
        <f t="shared" ref="L6:L7" si="11">B29</f>
        <v>PE-REPLAN (INTERCONEXÃO)</v>
      </c>
      <c r="M6" s="38">
        <f t="shared" ca="1" si="1"/>
        <v>3.5393076352818125</v>
      </c>
      <c r="N6" s="38">
        <f t="shared" ca="1" si="2"/>
        <v>3.5393076352818125</v>
      </c>
      <c r="O6" s="38">
        <f t="shared" ca="1" si="3"/>
        <v>3.5393076352818125</v>
      </c>
      <c r="P6" s="38">
        <f t="shared" ca="1" si="4"/>
        <v>0.46723311435308434</v>
      </c>
      <c r="Q6" s="38" t="str">
        <f t="shared" ca="1" si="5"/>
        <v xml:space="preserve"> </v>
      </c>
      <c r="R6" s="38" t="str">
        <f t="shared" ca="1" si="6"/>
        <v xml:space="preserve"> </v>
      </c>
      <c r="S6" s="38">
        <f t="shared" ca="1" si="7"/>
        <v>3.5393076352818125</v>
      </c>
      <c r="T6" s="38">
        <f t="shared" ca="1" si="8"/>
        <v>0.46723311435308434</v>
      </c>
      <c r="U6" s="38">
        <f t="shared" ca="1" si="9"/>
        <v>0.46723311435308434</v>
      </c>
      <c r="V6" s="38">
        <f t="shared" ca="1" si="10"/>
        <v>0.46723311435308434</v>
      </c>
    </row>
    <row r="7" spans="1:22" x14ac:dyDescent="0.25">
      <c r="A7" s="233" t="str">
        <f>'CWD 2030 Legado (com desc.)'!A251</f>
        <v>TEN6</v>
      </c>
      <c r="B7" s="236" t="str">
        <f>'CWD 2030 Legado (com desc.)'!B251</f>
        <v>PR-RPBC</v>
      </c>
      <c r="C7" s="237">
        <f>'CWD 2030 Legados (sem desc.)'!F29</f>
        <v>0</v>
      </c>
      <c r="D7" s="238" t="str">
        <f>'CWD 2030 Legado (com desc.)'!E251</f>
        <v xml:space="preserve"> </v>
      </c>
      <c r="E7" s="237" t="str">
        <f t="shared" si="0"/>
        <v xml:space="preserve"> </v>
      </c>
      <c r="F7" s="298"/>
      <c r="L7" s="88" t="str">
        <f t="shared" si="11"/>
        <v>PE-TECAB (INTERCONEXÃO)</v>
      </c>
      <c r="M7" s="38">
        <f t="shared" ca="1" si="1"/>
        <v>3.5393076352818125</v>
      </c>
      <c r="N7" s="38">
        <f t="shared" ca="1" si="2"/>
        <v>3.5393076352818125</v>
      </c>
      <c r="O7" s="38">
        <f t="shared" ca="1" si="3"/>
        <v>3.5393076352818125</v>
      </c>
      <c r="P7" s="38">
        <f t="shared" ca="1" si="4"/>
        <v>0.46723311435308434</v>
      </c>
      <c r="Q7" s="38" t="str">
        <f t="shared" ca="1" si="5"/>
        <v xml:space="preserve"> </v>
      </c>
      <c r="R7" s="38" t="str">
        <f t="shared" ca="1" si="6"/>
        <v xml:space="preserve"> </v>
      </c>
      <c r="S7" s="38">
        <f t="shared" ca="1" si="7"/>
        <v>3.5393076352818125</v>
      </c>
      <c r="T7" s="38">
        <f t="shared" ca="1" si="8"/>
        <v>0.46723311435308434</v>
      </c>
      <c r="U7" s="38">
        <f t="shared" ca="1" si="9"/>
        <v>0.46723311435308434</v>
      </c>
      <c r="V7" s="38">
        <f t="shared" ca="1" si="10"/>
        <v>0.46723311435308434</v>
      </c>
    </row>
    <row r="8" spans="1:22" x14ac:dyDescent="0.25">
      <c r="A8" s="233" t="str">
        <f>'CWD 2030 Legado (com desc.)'!A252</f>
        <v>TEN7</v>
      </c>
      <c r="B8" s="236" t="str">
        <f>'CWD 2030 Legado (com desc.)'!B252</f>
        <v>PR-TECAB</v>
      </c>
      <c r="C8" s="237">
        <f>'CWD 2030 Legados (sem desc.)'!F30</f>
        <v>338598779.68611497</v>
      </c>
      <c r="D8" s="238">
        <f ca="1">'CWD 2030 Legado (com desc.)'!E252</f>
        <v>3.3787041360736314</v>
      </c>
      <c r="E8" s="237">
        <f t="shared" ca="1" si="0"/>
        <v>1144025097.3949609</v>
      </c>
      <c r="F8" s="298"/>
      <c r="L8" s="32"/>
    </row>
    <row r="9" spans="1:22" x14ac:dyDescent="0.25">
      <c r="A9" s="233" t="str">
        <f>'CWD 2030 Legado (com desc.)'!A253</f>
        <v>TEN8</v>
      </c>
      <c r="B9" s="236" t="str">
        <f>'CWD 2030 Legado (com desc.)'!B253</f>
        <v>PR-GUARAREMA (INTERCONEXÃO)</v>
      </c>
      <c r="C9" s="237">
        <f>'CWD 2030 Legados (sem desc.)'!F31</f>
        <v>102455097.39587498</v>
      </c>
      <c r="D9" s="238">
        <f ca="1">'CWD 2030 Legado (com desc.)'!E253</f>
        <v>0.30662961514490317</v>
      </c>
      <c r="E9" s="237">
        <f t="shared" ca="1" si="0"/>
        <v>31415767.084130716</v>
      </c>
      <c r="F9" s="298"/>
      <c r="L9" s="32"/>
    </row>
    <row r="10" spans="1:22" x14ac:dyDescent="0.25">
      <c r="A10" s="233" t="str">
        <f>'CWD 2030 Legado (com desc.)'!A254</f>
        <v>TEN9</v>
      </c>
      <c r="B10" s="236" t="str">
        <f>'CWD 2030 Legado (com desc.)'!B254</f>
        <v>PR-REPLAN (INTERCONEXÃO)</v>
      </c>
      <c r="C10" s="237">
        <f>'CWD 2030 Legados (sem desc.)'!F32</f>
        <v>2723059.0670000003</v>
      </c>
      <c r="D10" s="238">
        <f ca="1">'CWD 2030 Legado (com desc.)'!E254</f>
        <v>0.30662961514490317</v>
      </c>
      <c r="E10" s="237">
        <f t="shared" ca="1" si="0"/>
        <v>834970.55373104918</v>
      </c>
      <c r="F10" s="298"/>
      <c r="L10" s="32"/>
    </row>
    <row r="11" spans="1:22" x14ac:dyDescent="0.25">
      <c r="A11" s="233" t="str">
        <f>'CWD 2030 Legado (com desc.)'!A255</f>
        <v>TEN10</v>
      </c>
      <c r="B11" s="236" t="str">
        <f>'CWD 2030 Legado (com desc.)'!B255</f>
        <v>PR-TECAB (INTERCONEXÃO)</v>
      </c>
      <c r="C11" s="237">
        <f>'CWD 2030 Legados (sem desc.)'!F33</f>
        <v>2723059.0670000003</v>
      </c>
      <c r="D11" s="238">
        <f ca="1">'CWD 2030 Legado (com desc.)'!E255</f>
        <v>0.30662961514490317</v>
      </c>
      <c r="E11" s="237">
        <f t="shared" ca="1" si="0"/>
        <v>834970.55373104918</v>
      </c>
      <c r="F11" s="298"/>
      <c r="L11" s="32"/>
    </row>
    <row r="12" spans="1:22" x14ac:dyDescent="0.25">
      <c r="E12" s="36">
        <f ca="1">SUM(E2:E11)</f>
        <v>3410729466.4082761</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2030 Legado (com desc.)'!H246</f>
        <v>TEX1</v>
      </c>
      <c r="B15" s="237" t="str">
        <f>'CWD 2030 Legado (com desc.)'!I246</f>
        <v>NTS MG 1</v>
      </c>
      <c r="C15" s="237">
        <f>'CWD 2030 Legados (sem desc.)'!F41</f>
        <v>9095017.2837799974</v>
      </c>
      <c r="D15" s="237"/>
      <c r="E15" s="240">
        <f ca="1">'CWD 2030 Legado (com desc.)'!L246</f>
        <v>1.8574022424800483</v>
      </c>
      <c r="F15" s="246">
        <f ca="1">IFERROR(C15*E15," ")</f>
        <v>16893105.498287763</v>
      </c>
      <c r="G15" s="249"/>
      <c r="H15" s="255" t="str">
        <f>IFERROR(G15/D15," ")</f>
        <v xml:space="preserve"> </v>
      </c>
      <c r="I15" s="37"/>
      <c r="J15" s="37"/>
      <c r="L15" s="30"/>
    </row>
    <row r="16" spans="1:22" x14ac:dyDescent="0.25">
      <c r="A16" s="237" t="str">
        <f>'CWD 2030 Legado (com desc.)'!H247</f>
        <v>TEX2</v>
      </c>
      <c r="B16" s="237" t="str">
        <f>'CWD 2030 Legado (com desc.)'!I247</f>
        <v>NTS MG 2</v>
      </c>
      <c r="C16" s="237">
        <f>'CWD 2030 Legados (sem desc.)'!F42</f>
        <v>24834298.691039998</v>
      </c>
      <c r="D16" s="237"/>
      <c r="E16" s="240">
        <f ca="1">'CWD 2030 Legado (com desc.)'!L247</f>
        <v>1.8574022424800483</v>
      </c>
      <c r="F16" s="246">
        <f t="shared" ref="F16:F30" ca="1" si="12">IFERROR(C16*E16," ")</f>
        <v>46127282.079157017</v>
      </c>
      <c r="G16" s="258"/>
      <c r="H16" s="256" t="str">
        <f t="shared" ref="H16:H30" si="13">IFERROR(G16/D16," ")</f>
        <v xml:space="preserve"> </v>
      </c>
      <c r="I16" s="37"/>
      <c r="J16" s="37"/>
      <c r="L16" s="30"/>
    </row>
    <row r="17" spans="1:12" x14ac:dyDescent="0.25">
      <c r="A17" s="237" t="str">
        <f>'CWD 2030 Legado (com desc.)'!H248</f>
        <v>TEX3</v>
      </c>
      <c r="B17" s="237" t="str">
        <f>'CWD 2030 Legado (com desc.)'!I248</f>
        <v>NTS MG 3</v>
      </c>
      <c r="C17" s="237">
        <f>'CWD 2030 Legados (sem desc.)'!F43</f>
        <v>40873116.59567</v>
      </c>
      <c r="D17" s="237"/>
      <c r="E17" s="240">
        <f ca="1">'CWD 2030 Legado (com desc.)'!L248</f>
        <v>1.8574022424800483</v>
      </c>
      <c r="F17" s="246">
        <f ca="1">IFERROR(C17*E17," ")</f>
        <v>75917818.42194593</v>
      </c>
      <c r="G17" s="251"/>
      <c r="H17" s="257" t="str">
        <f t="shared" si="13"/>
        <v xml:space="preserve"> </v>
      </c>
      <c r="I17" s="37"/>
      <c r="J17" s="37"/>
      <c r="L17" s="30"/>
    </row>
    <row r="18" spans="1:12" x14ac:dyDescent="0.25">
      <c r="A18" s="242" t="str">
        <f>'CWD 2030 Legado (com desc.)'!H249</f>
        <v>TEX4</v>
      </c>
      <c r="B18" s="242" t="str">
        <f>'CWD 2030 Legado (com desc.)'!I249</f>
        <v>NTS MG 4</v>
      </c>
      <c r="C18" s="242">
        <f>'CWD 2030 Legados (sem desc.)'!F44</f>
        <v>4778968.6625849996</v>
      </c>
      <c r="D18" s="242">
        <f>SUM(C15:C18)</f>
        <v>79581401.233075008</v>
      </c>
      <c r="E18" s="243">
        <f ca="1">'CWD 2030 Legado (com desc.)'!L249</f>
        <v>1.8574022424800483</v>
      </c>
      <c r="F18" s="242">
        <f ca="1">IFERROR(C18*E18," ")</f>
        <v>8876467.1106272545</v>
      </c>
      <c r="G18" s="254">
        <f ca="1">SUM(F15:F18)</f>
        <v>147814673.11001799</v>
      </c>
      <c r="H18" s="252">
        <f t="shared" ca="1" si="13"/>
        <v>1.857402242480048</v>
      </c>
      <c r="I18" s="272"/>
      <c r="J18"/>
      <c r="L18" s="30"/>
    </row>
    <row r="19" spans="1:12" x14ac:dyDescent="0.25">
      <c r="A19" s="237" t="str">
        <f>'CWD 2030 Legado (com desc.)'!H250</f>
        <v>TEX5</v>
      </c>
      <c r="B19" s="237" t="str">
        <f>'CWD 2030 Legado (com desc.)'!I250</f>
        <v>NTS RJ 1</v>
      </c>
      <c r="C19" s="237">
        <f>'CWD 2030 Legados (sem desc.)'!F45</f>
        <v>239288815.51262498</v>
      </c>
      <c r="D19" s="237"/>
      <c r="E19" s="240">
        <f ca="1">'CWD 2030 Legado (com desc.)'!L250</f>
        <v>1.8574022424800483</v>
      </c>
      <c r="F19" s="246">
        <f t="shared" ca="1" si="12"/>
        <v>444455582.53354418</v>
      </c>
      <c r="G19" s="249"/>
      <c r="H19" s="255" t="str">
        <f t="shared" si="13"/>
        <v xml:space="preserve"> </v>
      </c>
      <c r="I19"/>
      <c r="J19"/>
      <c r="L19" s="30"/>
    </row>
    <row r="20" spans="1:12" x14ac:dyDescent="0.25">
      <c r="A20" s="237" t="str">
        <f>'CWD 2030 Legado (com desc.)'!H251</f>
        <v>TEX6</v>
      </c>
      <c r="B20" s="237" t="str">
        <f>'CWD 2030 Legado (com desc.)'!I251</f>
        <v>NTS RJ 2</v>
      </c>
      <c r="C20" s="237">
        <f>'CWD 2030 Legados (sem desc.)'!F46</f>
        <v>152858920.72604498</v>
      </c>
      <c r="D20" s="237"/>
      <c r="E20" s="240">
        <f ca="1">'CWD 2030 Legado (com desc.)'!L251</f>
        <v>1.8574022424800483</v>
      </c>
      <c r="F20" s="246">
        <f t="shared" ca="1" si="12"/>
        <v>283920502.13963586</v>
      </c>
      <c r="G20" s="250"/>
      <c r="H20" s="256" t="str">
        <f t="shared" si="13"/>
        <v xml:space="preserve"> </v>
      </c>
      <c r="I20"/>
      <c r="J20"/>
      <c r="L20" s="30"/>
    </row>
    <row r="21" spans="1:12" x14ac:dyDescent="0.25">
      <c r="A21" s="237" t="str">
        <f>'CWD 2030 Legado (com desc.)'!H252</f>
        <v>TEX7</v>
      </c>
      <c r="B21" s="237" t="str">
        <f>'CWD 2030 Legado (com desc.)'!I252</f>
        <v>NTS RJ 3</v>
      </c>
      <c r="C21" s="237">
        <f>'CWD 2030 Legados (sem desc.)'!F47</f>
        <v>28360660.182804998</v>
      </c>
      <c r="D21" s="245"/>
      <c r="E21" s="240">
        <f ca="1">'CWD 2030 Legado (com desc.)'!L252</f>
        <v>1.8574022424800483</v>
      </c>
      <c r="F21" s="246">
        <f t="shared" ca="1" si="12"/>
        <v>52677153.821756616</v>
      </c>
      <c r="G21" s="253"/>
      <c r="H21" s="256" t="str">
        <f t="shared" si="13"/>
        <v xml:space="preserve"> </v>
      </c>
      <c r="I21"/>
      <c r="J21"/>
      <c r="L21" s="30"/>
    </row>
    <row r="22" spans="1:12" x14ac:dyDescent="0.25">
      <c r="A22" s="237" t="str">
        <f>'CWD 2030 Legado (com desc.)'!H253</f>
        <v>TEX8</v>
      </c>
      <c r="B22" s="237" t="str">
        <f>'CWD 2030 Legado (com desc.)'!I253</f>
        <v>NTS RJ 4</v>
      </c>
      <c r="C22" s="237">
        <f>'CWD 2030 Legados (sem desc.)'!F48</f>
        <v>4629200.4139</v>
      </c>
      <c r="D22" s="237"/>
      <c r="E22" s="240">
        <f ca="1">'CWD 2030 Legado (com desc.)'!L253</f>
        <v>1.8574022424800483</v>
      </c>
      <c r="F22" s="246">
        <f t="shared" ca="1" si="12"/>
        <v>8598287.229667427</v>
      </c>
      <c r="G22" s="251"/>
      <c r="H22" s="257" t="str">
        <f t="shared" si="13"/>
        <v xml:space="preserve"> </v>
      </c>
      <c r="I22"/>
      <c r="J22"/>
      <c r="L22" s="30"/>
    </row>
    <row r="23" spans="1:12" x14ac:dyDescent="0.25">
      <c r="A23" s="242" t="str">
        <f>'CWD 2030 Legado (com desc.)'!H254</f>
        <v>TEX9</v>
      </c>
      <c r="B23" s="242" t="str">
        <f>'CWD 2030 Legado (com desc.)'!I254</f>
        <v>NTS RJ 5</v>
      </c>
      <c r="C23" s="242">
        <f>'CWD 2030 Legados (sem desc.)'!F49</f>
        <v>30620799.208414994</v>
      </c>
      <c r="D23" s="242">
        <f>SUM(C19:C23)</f>
        <v>455758396.04378998</v>
      </c>
      <c r="E23" s="243">
        <f ca="1">'CWD 2030 Legado (com desc.)'!L254</f>
        <v>1.8574022424800483</v>
      </c>
      <c r="F23" s="242">
        <f t="shared" ca="1" si="12"/>
        <v>56875141.116241299</v>
      </c>
      <c r="G23" s="254">
        <f ca="1">SUM(F19:F23)</f>
        <v>846526666.84084547</v>
      </c>
      <c r="H23" s="252">
        <f t="shared" ca="1" si="13"/>
        <v>1.8574022424800483</v>
      </c>
      <c r="I23" s="272"/>
      <c r="J23"/>
    </row>
    <row r="24" spans="1:12" x14ac:dyDescent="0.25">
      <c r="A24" s="237" t="str">
        <f>'CWD 2030 Legado (com desc.)'!H255</f>
        <v>TEX10</v>
      </c>
      <c r="B24" s="237" t="str">
        <f>'CWD 2030 Legado (com desc.)'!I255</f>
        <v>NTS SP 1</v>
      </c>
      <c r="C24" s="237">
        <f>'CWD 2030 Legados (sem desc.)'!F50</f>
        <v>15807357.883934999</v>
      </c>
      <c r="D24" s="237"/>
      <c r="E24" s="240">
        <f ca="1">'CWD 2030 Legado (com desc.)'!L255</f>
        <v>1.8574022424800483</v>
      </c>
      <c r="F24" s="246">
        <f t="shared" ca="1" si="12"/>
        <v>29360621.981305536</v>
      </c>
      <c r="G24" s="249"/>
      <c r="H24" s="255" t="str">
        <f t="shared" si="13"/>
        <v xml:space="preserve"> </v>
      </c>
      <c r="I24"/>
      <c r="J24"/>
    </row>
    <row r="25" spans="1:12" x14ac:dyDescent="0.25">
      <c r="A25" s="237" t="str">
        <f>'CWD 2030 Legado (com desc.)'!H256</f>
        <v>TEX11</v>
      </c>
      <c r="B25" s="237" t="str">
        <f>'CWD 2030 Legado (com desc.)'!I256</f>
        <v>NTS SP 2</v>
      </c>
      <c r="C25" s="237">
        <f>'CWD 2030 Legados (sem desc.)'!F51</f>
        <v>41717264.906439997</v>
      </c>
      <c r="D25" s="237"/>
      <c r="E25" s="240">
        <f ca="1">'CWD 2030 Legado (com desc.)'!L256</f>
        <v>1.8574022424800483</v>
      </c>
      <c r="F25" s="246">
        <f t="shared" ca="1" si="12"/>
        <v>77485741.387355879</v>
      </c>
      <c r="G25" s="250"/>
      <c r="H25" s="256" t="str">
        <f t="shared" si="13"/>
        <v xml:space="preserve"> </v>
      </c>
      <c r="I25"/>
      <c r="J25"/>
    </row>
    <row r="26" spans="1:12" x14ac:dyDescent="0.25">
      <c r="A26" s="237" t="str">
        <f>'CWD 2030 Legado (com desc.)'!H257</f>
        <v>TEX12</v>
      </c>
      <c r="B26" s="237" t="str">
        <f>'CWD 2030 Legado (com desc.)'!I257</f>
        <v>NTS SP 3</v>
      </c>
      <c r="C26" s="237">
        <f>'CWD 2030 Legados (sem desc.)'!F52</f>
        <v>129086615.071135</v>
      </c>
      <c r="D26" s="245"/>
      <c r="E26" s="240">
        <f ca="1">'CWD 2030 Legado (com desc.)'!L257</f>
        <v>1.8574022424800483</v>
      </c>
      <c r="F26" s="246">
        <f t="shared" ca="1" si="12"/>
        <v>239765768.30728495</v>
      </c>
      <c r="G26" s="259"/>
      <c r="H26" s="257" t="str">
        <f t="shared" si="13"/>
        <v xml:space="preserve"> </v>
      </c>
      <c r="I26"/>
      <c r="J26"/>
    </row>
    <row r="27" spans="1:12" x14ac:dyDescent="0.25">
      <c r="A27" s="242" t="str">
        <f>'CWD 2030 Legado (com desc.)'!H258</f>
        <v>TEX13</v>
      </c>
      <c r="B27" s="242" t="str">
        <f>'CWD 2030 Legado (com desc.)'!I258</f>
        <v>NTS SP 4</v>
      </c>
      <c r="C27" s="242">
        <f>'CWD 2030 Legados (sem desc.)'!F53</f>
        <v>53371957.713199995</v>
      </c>
      <c r="D27" s="242">
        <f>SUM(C24:C27)</f>
        <v>239983195.57470998</v>
      </c>
      <c r="E27" s="243">
        <f ca="1">'CWD 2030 Legado (com desc.)'!L258</f>
        <v>1.8574022424800483</v>
      </c>
      <c r="F27" s="242">
        <f t="shared" ca="1" si="12"/>
        <v>99133193.942047983</v>
      </c>
      <c r="G27" s="247">
        <f ca="1">SUM(F24:F27)</f>
        <v>445745325.61799431</v>
      </c>
      <c r="H27" s="248">
        <f t="shared" ca="1" si="13"/>
        <v>1.8574022424800483</v>
      </c>
      <c r="I27" s="272"/>
      <c r="J27"/>
    </row>
    <row r="28" spans="1:12" x14ac:dyDescent="0.25">
      <c r="A28" s="237" t="str">
        <f>'CWD 2030 Legado (com desc.)'!H259</f>
        <v>TEX14</v>
      </c>
      <c r="B28" s="237" t="str">
        <f>'CWD 2030 Legado (com desc.)'!I259</f>
        <v>PE-GUARAREMA (INTERCONEXÃO)</v>
      </c>
      <c r="C28" s="237">
        <f>'CWD 2030 Legados (sem desc.)'!F54</f>
        <v>0</v>
      </c>
      <c r="D28" s="237">
        <f>C28</f>
        <v>0</v>
      </c>
      <c r="E28" s="240">
        <f>'CWD 2030 Legado (com desc.)'!L259</f>
        <v>0</v>
      </c>
      <c r="F28" s="237">
        <f t="shared" si="12"/>
        <v>0</v>
      </c>
      <c r="G28" s="237">
        <f>F28</f>
        <v>0</v>
      </c>
      <c r="H28" s="241" t="str">
        <f t="shared" si="13"/>
        <v xml:space="preserve"> </v>
      </c>
      <c r="I28"/>
      <c r="J28"/>
    </row>
    <row r="29" spans="1:12" x14ac:dyDescent="0.25">
      <c r="A29" s="242" t="str">
        <f>'CWD 2030 Legado (com desc.)'!H260</f>
        <v>TEX15</v>
      </c>
      <c r="B29" s="242" t="str">
        <f>'CWD 2030 Legado (com desc.)'!I260</f>
        <v>PE-REPLAN (INTERCONEXÃO)</v>
      </c>
      <c r="C29" s="242">
        <f>'CWD 2030 Legados (sem desc.)'!F55</f>
        <v>132109210.63550498</v>
      </c>
      <c r="D29" s="242">
        <f t="shared" ref="D29:D30" si="14">C29</f>
        <v>132109210.63550498</v>
      </c>
      <c r="E29" s="243">
        <f ca="1">'CWD 2030 Legado (com desc.)'!L260</f>
        <v>0.16060349920818118</v>
      </c>
      <c r="F29" s="242">
        <f t="shared" ca="1" si="12"/>
        <v>21217201.505692765</v>
      </c>
      <c r="G29" s="242">
        <f t="shared" ref="G29:G30" ca="1" si="15">F29</f>
        <v>21217201.505692765</v>
      </c>
      <c r="H29" s="244">
        <f t="shared" ca="1" si="13"/>
        <v>0.16060349920818118</v>
      </c>
      <c r="I29" s="272"/>
      <c r="J29"/>
    </row>
    <row r="30" spans="1:12" x14ac:dyDescent="0.25">
      <c r="A30" s="237" t="str">
        <f>'CWD 2030 Legado (com desc.)'!H261</f>
        <v>TEX16</v>
      </c>
      <c r="B30" s="237" t="str">
        <f>'CWD 2030 Legado (com desc.)'!I261</f>
        <v>PE-TECAB (INTERCONEXÃO)</v>
      </c>
      <c r="C30" s="237">
        <f>'CWD 2030 Legados (sem desc.)'!F56</f>
        <v>2723059.0670000003</v>
      </c>
      <c r="D30" s="237">
        <f t="shared" si="14"/>
        <v>2723059.0670000003</v>
      </c>
      <c r="E30" s="240">
        <f ca="1">'CWD 2030 Legado (com desc.)'!L261</f>
        <v>0.16060349920818118</v>
      </c>
      <c r="F30" s="237">
        <f t="shared" ca="1" si="12"/>
        <v>437332.81471076515</v>
      </c>
      <c r="G30" s="237">
        <f t="shared" ca="1" si="15"/>
        <v>437332.81471076515</v>
      </c>
      <c r="H30" s="241">
        <f t="shared" ca="1" si="13"/>
        <v>0.16060349920818118</v>
      </c>
      <c r="I30" s="272"/>
      <c r="J30" s="37"/>
    </row>
    <row r="31" spans="1:12" x14ac:dyDescent="0.25">
      <c r="C31" s="36">
        <f>SUM(C15:C30)</f>
        <v>910155262.55408001</v>
      </c>
      <c r="D31" s="36">
        <f>SUM(D15:D30)</f>
        <v>910155262.55408001</v>
      </c>
      <c r="F31" s="36">
        <f ca="1">SUM(F15:F30)</f>
        <v>1461741199.8892612</v>
      </c>
      <c r="G31" s="36">
        <f ca="1">SUM(G15:G30)</f>
        <v>1461741199.8892612</v>
      </c>
    </row>
    <row r="32" spans="1:12" x14ac:dyDescent="0.25">
      <c r="C32" s="36"/>
      <c r="D32" s="36"/>
      <c r="F32" s="36"/>
      <c r="G32" s="36"/>
    </row>
    <row r="33" spans="2:3" x14ac:dyDescent="0.25">
      <c r="C33" s="34" t="s">
        <v>192</v>
      </c>
    </row>
    <row r="34" spans="2:3" x14ac:dyDescent="0.25">
      <c r="B34" s="39" t="s">
        <v>53</v>
      </c>
      <c r="C34" s="37">
        <f ca="1">H18</f>
        <v>1.857402242480048</v>
      </c>
    </row>
    <row r="35" spans="2:3" x14ac:dyDescent="0.25">
      <c r="B35" s="39" t="s">
        <v>64</v>
      </c>
      <c r="C35" s="37">
        <f ca="1">H23</f>
        <v>1.8574022424800483</v>
      </c>
    </row>
    <row r="36" spans="2:3" x14ac:dyDescent="0.25">
      <c r="B36" s="39" t="s">
        <v>193</v>
      </c>
      <c r="C36" s="37">
        <f ca="1">H27</f>
        <v>1.8574022424800483</v>
      </c>
    </row>
    <row r="37" spans="2:3" x14ac:dyDescent="0.25">
      <c r="B37" s="88" t="s">
        <v>199</v>
      </c>
      <c r="C37" s="37" t="str">
        <f>H28</f>
        <v xml:space="preserve"> </v>
      </c>
    </row>
    <row r="38" spans="2:3" x14ac:dyDescent="0.25">
      <c r="B38" s="88" t="s">
        <v>198</v>
      </c>
      <c r="C38" s="37">
        <f t="shared" ref="C38:C39" ca="1" si="16">H29</f>
        <v>0.16060349920818118</v>
      </c>
    </row>
    <row r="39" spans="2:3" x14ac:dyDescent="0.25">
      <c r="B39" s="88" t="s">
        <v>197</v>
      </c>
      <c r="C39" s="37">
        <f t="shared" ca="1" si="16"/>
        <v>0.16060349920818118</v>
      </c>
    </row>
  </sheetData>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ACCCC-DAAB-490A-B5D1-C21F1E189C87}">
  <sheetPr codeName="Planilha14">
    <tabColor theme="1" tint="0.499984740745262"/>
  </sheetPr>
  <dimension ref="A1:G41"/>
  <sheetViews>
    <sheetView showGridLines="0" topLeftCell="A11" zoomScale="85" zoomScaleNormal="85" workbookViewId="0">
      <selection activeCell="I47" sqref="I47"/>
    </sheetView>
  </sheetViews>
  <sheetFormatPr defaultRowHeight="15" x14ac:dyDescent="0.25"/>
  <cols>
    <col min="1" max="1" width="8.85546875" customWidth="1"/>
    <col min="2" max="2" width="12.5703125" customWidth="1"/>
    <col min="3" max="3" width="10.42578125" customWidth="1"/>
    <col min="4" max="4" width="10.5703125" customWidth="1"/>
    <col min="5" max="5" width="9.85546875" bestFit="1" customWidth="1"/>
    <col min="6" max="6" width="12.7109375" bestFit="1" customWidth="1"/>
  </cols>
  <sheetData>
    <row r="1" spans="1:6" x14ac:dyDescent="0.25">
      <c r="A1" t="s">
        <v>420</v>
      </c>
    </row>
    <row r="2" spans="1:6" x14ac:dyDescent="0.25">
      <c r="A2" t="s">
        <v>421</v>
      </c>
      <c r="B2" t="s">
        <v>422</v>
      </c>
    </row>
    <row r="3" spans="1:6" x14ac:dyDescent="0.25">
      <c r="A3" t="s">
        <v>461</v>
      </c>
      <c r="C3" t="s">
        <v>480</v>
      </c>
    </row>
    <row r="5" spans="1:6" ht="45" x14ac:dyDescent="0.25">
      <c r="A5" s="279" t="s">
        <v>419</v>
      </c>
      <c r="B5" s="280" t="s">
        <v>423</v>
      </c>
      <c r="C5" s="279" t="s">
        <v>424</v>
      </c>
      <c r="D5" s="281" t="s">
        <v>431</v>
      </c>
    </row>
    <row r="6" spans="1:6" x14ac:dyDescent="0.25">
      <c r="A6" s="276">
        <v>44927</v>
      </c>
      <c r="B6" s="277">
        <v>1.1200000000000001</v>
      </c>
      <c r="C6" s="278">
        <f>B6%+1</f>
        <v>1.0112000000000001</v>
      </c>
      <c r="D6" s="282">
        <f>PRODUCT(C6:$C$41)</f>
        <v>1.4176111379197507</v>
      </c>
      <c r="F6" s="304"/>
    </row>
    <row r="7" spans="1:6" x14ac:dyDescent="0.25">
      <c r="A7" s="273">
        <v>44958</v>
      </c>
      <c r="B7" s="274">
        <v>0.92</v>
      </c>
      <c r="C7" s="275">
        <f t="shared" ref="C7:C17" si="0">B7%+1</f>
        <v>1.0092000000000001</v>
      </c>
      <c r="D7" s="282">
        <f>PRODUCT(C7:$C$41)</f>
        <v>1.4019097487339309</v>
      </c>
    </row>
    <row r="8" spans="1:6" x14ac:dyDescent="0.25">
      <c r="A8" s="273">
        <v>44986</v>
      </c>
      <c r="B8" s="274">
        <v>1.17</v>
      </c>
      <c r="C8" s="275">
        <f t="shared" si="0"/>
        <v>1.0117</v>
      </c>
      <c r="D8" s="282">
        <f>PRODUCT(C8:$C$41)</f>
        <v>1.3891297549880413</v>
      </c>
    </row>
    <row r="9" spans="1:6" x14ac:dyDescent="0.25">
      <c r="A9" s="273">
        <v>45017</v>
      </c>
      <c r="B9" s="274">
        <v>0.92</v>
      </c>
      <c r="C9" s="275">
        <f t="shared" si="0"/>
        <v>1.0092000000000001</v>
      </c>
      <c r="D9" s="282">
        <f>PRODUCT(C9:$C$41)</f>
        <v>1.3730648957082545</v>
      </c>
    </row>
    <row r="10" spans="1:6" x14ac:dyDescent="0.25">
      <c r="A10" s="273">
        <v>45047</v>
      </c>
      <c r="B10" s="274">
        <v>1.1200000000000001</v>
      </c>
      <c r="C10" s="275">
        <f t="shared" si="0"/>
        <v>1.0112000000000001</v>
      </c>
      <c r="D10" s="282">
        <f>PRODUCT(C10:$C$41)</f>
        <v>1.3605478554382227</v>
      </c>
    </row>
    <row r="11" spans="1:6" x14ac:dyDescent="0.25">
      <c r="A11" s="273">
        <v>45078</v>
      </c>
      <c r="B11" s="274">
        <v>1.07</v>
      </c>
      <c r="C11" s="275">
        <f t="shared" si="0"/>
        <v>1.0106999999999999</v>
      </c>
      <c r="D11" s="282">
        <f>PRODUCT(C11:$C$41)</f>
        <v>1.345478496279888</v>
      </c>
    </row>
    <row r="12" spans="1:6" x14ac:dyDescent="0.25">
      <c r="A12" s="273">
        <v>45108</v>
      </c>
      <c r="B12" s="274">
        <v>1.07</v>
      </c>
      <c r="C12" s="275">
        <f t="shared" si="0"/>
        <v>1.0106999999999999</v>
      </c>
      <c r="D12" s="282">
        <f>PRODUCT(C12:$C$41)</f>
        <v>1.3312342893834848</v>
      </c>
    </row>
    <row r="13" spans="1:6" x14ac:dyDescent="0.25">
      <c r="A13" s="273">
        <v>45139</v>
      </c>
      <c r="B13" s="274">
        <v>1.1399999999999999</v>
      </c>
      <c r="C13" s="275">
        <f t="shared" si="0"/>
        <v>1.0114000000000001</v>
      </c>
      <c r="D13" s="282">
        <f>PRODUCT(C13:$C$41)</f>
        <v>1.3171408819466555</v>
      </c>
    </row>
    <row r="14" spans="1:6" x14ac:dyDescent="0.25">
      <c r="A14" s="273">
        <v>45170</v>
      </c>
      <c r="B14" s="274">
        <v>0.97</v>
      </c>
      <c r="C14" s="275">
        <f t="shared" si="0"/>
        <v>1.0097</v>
      </c>
      <c r="D14" s="282">
        <f>PRODUCT(C14:$C$41)</f>
        <v>1.3022947221145496</v>
      </c>
    </row>
    <row r="15" spans="1:6" x14ac:dyDescent="0.25">
      <c r="A15" s="273">
        <v>45200</v>
      </c>
      <c r="B15" s="274">
        <v>1</v>
      </c>
      <c r="C15" s="275">
        <f t="shared" si="0"/>
        <v>1.01</v>
      </c>
      <c r="D15" s="282">
        <f>PRODUCT(C15:$C$41)</f>
        <v>1.2897838190695745</v>
      </c>
    </row>
    <row r="16" spans="1:6" x14ac:dyDescent="0.25">
      <c r="A16" s="273">
        <v>45231</v>
      </c>
      <c r="B16" s="274">
        <v>0.92</v>
      </c>
      <c r="C16" s="275">
        <f t="shared" si="0"/>
        <v>1.0092000000000001</v>
      </c>
      <c r="D16" s="282">
        <f>PRODUCT(C16:$C$41)</f>
        <v>1.2770136822471034</v>
      </c>
    </row>
    <row r="17" spans="1:7" x14ac:dyDescent="0.25">
      <c r="A17" s="273">
        <v>45261</v>
      </c>
      <c r="B17" s="274">
        <v>0.89</v>
      </c>
      <c r="C17" s="275">
        <f t="shared" si="0"/>
        <v>1.0088999999999999</v>
      </c>
      <c r="D17" s="282">
        <f>PRODUCT(C17:$C$41)</f>
        <v>1.2653722574783026</v>
      </c>
    </row>
    <row r="18" spans="1:7" x14ac:dyDescent="0.25">
      <c r="A18" s="273">
        <v>45292</v>
      </c>
      <c r="B18" s="274">
        <v>0.97</v>
      </c>
      <c r="C18" s="275">
        <f t="shared" ref="C18:C31" si="1">B18%+1</f>
        <v>1.0097</v>
      </c>
      <c r="D18" s="282">
        <f>PRODUCT(C18:$C$41)</f>
        <v>1.2542097903442395</v>
      </c>
    </row>
    <row r="19" spans="1:7" x14ac:dyDescent="0.25">
      <c r="A19" s="273">
        <v>45323</v>
      </c>
      <c r="B19" s="274">
        <v>0.8</v>
      </c>
      <c r="C19" s="275">
        <f t="shared" si="1"/>
        <v>1.008</v>
      </c>
      <c r="D19" s="282">
        <f>PRODUCT(C19:$C$41)</f>
        <v>1.2421608302904217</v>
      </c>
    </row>
    <row r="20" spans="1:7" x14ac:dyDescent="0.25">
      <c r="A20" s="273">
        <v>45352</v>
      </c>
      <c r="B20" s="274">
        <v>0.83</v>
      </c>
      <c r="C20" s="275">
        <f t="shared" si="1"/>
        <v>1.0083</v>
      </c>
      <c r="D20" s="282">
        <f>PRODUCT(C20:$C$41)</f>
        <v>1.232302411002403</v>
      </c>
    </row>
    <row r="21" spans="1:7" x14ac:dyDescent="0.25">
      <c r="A21" s="273">
        <v>45383</v>
      </c>
      <c r="B21" s="274">
        <v>0.89</v>
      </c>
      <c r="C21" s="275">
        <f t="shared" si="1"/>
        <v>1.0088999999999999</v>
      </c>
      <c r="D21" s="282">
        <f>PRODUCT(C21:$C$41)</f>
        <v>1.2221584954898375</v>
      </c>
    </row>
    <row r="22" spans="1:7" x14ac:dyDescent="0.25">
      <c r="A22" s="273">
        <v>45413</v>
      </c>
      <c r="B22" s="274">
        <v>0.83</v>
      </c>
      <c r="C22" s="275">
        <f t="shared" si="1"/>
        <v>1.0083</v>
      </c>
      <c r="D22" s="282">
        <f>PRODUCT(C22:$C$41)</f>
        <v>1.2113772380710055</v>
      </c>
    </row>
    <row r="23" spans="1:7" x14ac:dyDescent="0.25">
      <c r="A23" s="273">
        <v>45444</v>
      </c>
      <c r="B23" s="274">
        <v>0.79</v>
      </c>
      <c r="C23" s="275">
        <f t="shared" si="1"/>
        <v>1.0079</v>
      </c>
      <c r="D23" s="282">
        <f>PRODUCT(C23:$C$41)</f>
        <v>1.2014055718248591</v>
      </c>
    </row>
    <row r="24" spans="1:7" x14ac:dyDescent="0.25">
      <c r="A24" s="273">
        <v>45474</v>
      </c>
      <c r="B24" s="274">
        <v>0.91</v>
      </c>
      <c r="C24" s="275">
        <f t="shared" si="1"/>
        <v>1.0091000000000001</v>
      </c>
      <c r="D24" s="282">
        <f>PRODUCT(C24:$C$41)</f>
        <v>1.1919888598321846</v>
      </c>
    </row>
    <row r="25" spans="1:7" x14ac:dyDescent="0.25">
      <c r="A25" s="273">
        <v>45505</v>
      </c>
      <c r="B25" s="274">
        <v>0.87</v>
      </c>
      <c r="C25" s="275">
        <f t="shared" si="1"/>
        <v>1.0086999999999999</v>
      </c>
      <c r="D25" s="282">
        <f>PRODUCT(C25:$C$41)</f>
        <v>1.1812395796573034</v>
      </c>
    </row>
    <row r="26" spans="1:7" x14ac:dyDescent="0.25">
      <c r="A26" s="273">
        <v>45536</v>
      </c>
      <c r="B26" s="274">
        <v>0.84</v>
      </c>
      <c r="C26" s="275">
        <f t="shared" si="1"/>
        <v>1.0084</v>
      </c>
      <c r="D26" s="282">
        <f>PRODUCT(C26:$C$41)</f>
        <v>1.1710514321971879</v>
      </c>
    </row>
    <row r="27" spans="1:7" x14ac:dyDescent="0.25">
      <c r="A27" s="273">
        <v>45566</v>
      </c>
      <c r="B27" s="274">
        <v>0.93</v>
      </c>
      <c r="C27" s="275">
        <f t="shared" si="1"/>
        <v>1.0093000000000001</v>
      </c>
      <c r="D27" s="282">
        <f>PRODUCT(C27:$C$41)</f>
        <v>1.1612965412506822</v>
      </c>
    </row>
    <row r="28" spans="1:7" x14ac:dyDescent="0.25">
      <c r="A28" s="273">
        <v>45597</v>
      </c>
      <c r="B28" s="274">
        <v>0.79</v>
      </c>
      <c r="C28" s="275">
        <f t="shared" si="1"/>
        <v>1.0079</v>
      </c>
      <c r="D28" s="282">
        <f>PRODUCT(C28:$C$41)</f>
        <v>1.1505959984649581</v>
      </c>
    </row>
    <row r="29" spans="1:7" x14ac:dyDescent="0.25">
      <c r="A29" s="273">
        <v>45627</v>
      </c>
      <c r="B29" s="274">
        <v>0.93</v>
      </c>
      <c r="C29" s="275">
        <f t="shared" si="1"/>
        <v>1.0093000000000001</v>
      </c>
      <c r="D29" s="282">
        <f>PRODUCT(C29:$C$41)</f>
        <v>1.1415775359311024</v>
      </c>
    </row>
    <row r="30" spans="1:7" x14ac:dyDescent="0.25">
      <c r="A30" s="273">
        <v>45658</v>
      </c>
      <c r="B30" s="274">
        <v>1.01</v>
      </c>
      <c r="C30" s="275">
        <f t="shared" si="1"/>
        <v>1.0101</v>
      </c>
      <c r="D30" s="282">
        <f>PRODUCT(C30:$C$41)</f>
        <v>1.131058690113051</v>
      </c>
    </row>
    <row r="31" spans="1:7" x14ac:dyDescent="0.25">
      <c r="A31" s="273">
        <v>45689</v>
      </c>
      <c r="B31" s="274">
        <v>0.99</v>
      </c>
      <c r="C31" s="275">
        <f t="shared" si="1"/>
        <v>1.0099</v>
      </c>
      <c r="D31" s="282">
        <f>PRODUCT(C31:$C$41)</f>
        <v>1.1197492229611432</v>
      </c>
      <c r="G31" s="345"/>
    </row>
    <row r="32" spans="1:7" x14ac:dyDescent="0.25">
      <c r="A32" s="273">
        <v>45717</v>
      </c>
      <c r="B32" s="274">
        <v>0.96</v>
      </c>
      <c r="C32" s="275">
        <v>1.0096000000000001</v>
      </c>
      <c r="D32" s="282">
        <v>1.1087723764344424</v>
      </c>
      <c r="F32" s="304"/>
    </row>
    <row r="33" spans="1:5" x14ac:dyDescent="0.25">
      <c r="A33" s="273">
        <v>45748</v>
      </c>
      <c r="B33" s="274">
        <v>1.06</v>
      </c>
      <c r="C33" s="275">
        <v>1.0105999999999999</v>
      </c>
      <c r="D33" s="282">
        <v>1.0982293744398197</v>
      </c>
    </row>
    <row r="34" spans="1:5" x14ac:dyDescent="0.25">
      <c r="A34" s="273">
        <v>45778</v>
      </c>
      <c r="B34" s="274">
        <v>1.1399999999999999</v>
      </c>
      <c r="C34" s="275">
        <v>1.0114000000000001</v>
      </c>
      <c r="D34" s="282">
        <v>1.0867102458339797</v>
      </c>
    </row>
    <row r="35" spans="1:5" x14ac:dyDescent="0.25">
      <c r="A35" s="273">
        <v>45809</v>
      </c>
      <c r="B35" s="274">
        <v>1.1000000000000001</v>
      </c>
      <c r="C35" s="275">
        <v>1.0109999999999999</v>
      </c>
      <c r="D35" s="282">
        <v>1.0744613860332013</v>
      </c>
    </row>
    <row r="36" spans="1:5" x14ac:dyDescent="0.25">
      <c r="A36" s="273">
        <v>45839</v>
      </c>
      <c r="B36" s="346">
        <v>1.0198244513277528</v>
      </c>
      <c r="C36" s="275">
        <v>1.0101982445132776</v>
      </c>
      <c r="D36" s="282">
        <v>1.0627709060664701</v>
      </c>
      <c r="E36" s="391" t="s">
        <v>460</v>
      </c>
    </row>
    <row r="37" spans="1:5" x14ac:dyDescent="0.25">
      <c r="A37" s="273">
        <v>45870</v>
      </c>
      <c r="B37" s="346">
        <v>1.0198244513277528</v>
      </c>
      <c r="C37" s="275">
        <v>1.0101982445132776</v>
      </c>
      <c r="D37" s="282">
        <v>1.0520419252743034</v>
      </c>
      <c r="E37" s="391"/>
    </row>
    <row r="38" spans="1:5" x14ac:dyDescent="0.25">
      <c r="A38" s="273">
        <v>45901</v>
      </c>
      <c r="B38" s="346">
        <v>1.0198244513277528</v>
      </c>
      <c r="C38" s="275">
        <v>1.0101982445132776</v>
      </c>
      <c r="D38" s="282">
        <v>1.0414212566575847</v>
      </c>
      <c r="E38" s="391"/>
    </row>
    <row r="39" spans="1:5" x14ac:dyDescent="0.25">
      <c r="A39" s="273">
        <v>45931</v>
      </c>
      <c r="B39" s="346">
        <v>1.0198244513277528</v>
      </c>
      <c r="C39" s="275">
        <v>1.0101982445132776</v>
      </c>
      <c r="D39" s="282">
        <v>1.0309078067734623</v>
      </c>
      <c r="E39" s="391"/>
    </row>
    <row r="40" spans="1:5" x14ac:dyDescent="0.25">
      <c r="A40" s="273">
        <v>45962</v>
      </c>
      <c r="B40" s="346">
        <v>1.0198244513277528</v>
      </c>
      <c r="C40" s="275">
        <v>1.0101982445132776</v>
      </c>
      <c r="D40" s="282">
        <v>1.0205004932177077</v>
      </c>
      <c r="E40" s="391"/>
    </row>
    <row r="41" spans="1:5" x14ac:dyDescent="0.25">
      <c r="A41" s="273">
        <v>45992</v>
      </c>
      <c r="B41" s="346">
        <v>1.0198244513277528</v>
      </c>
      <c r="C41" s="275">
        <v>1.0101982445132776</v>
      </c>
      <c r="D41" s="282">
        <v>1.0101982445132776</v>
      </c>
      <c r="E41" s="391"/>
    </row>
  </sheetData>
  <mergeCells count="1">
    <mergeCell ref="E36:E4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055E5-5986-4B06-9CF5-7895ACB36627}">
  <sheetPr codeName="Planilha2">
    <tabColor theme="1" tint="0.499984740745262"/>
  </sheetPr>
  <dimension ref="A1:G54"/>
  <sheetViews>
    <sheetView showGridLines="0" workbookViewId="0">
      <selection activeCell="C20" sqref="C20"/>
    </sheetView>
  </sheetViews>
  <sheetFormatPr defaultRowHeight="15" x14ac:dyDescent="0.25"/>
  <cols>
    <col min="1" max="1" width="16.140625" customWidth="1"/>
    <col min="2" max="2" width="18.28515625" customWidth="1"/>
    <col min="3" max="3" width="19" customWidth="1"/>
    <col min="4" max="4" width="16.85546875" bestFit="1" customWidth="1"/>
    <col min="5" max="5" width="19.5703125" bestFit="1" customWidth="1"/>
    <col min="6" max="6" width="18.85546875" bestFit="1" customWidth="1"/>
    <col min="7" max="7" width="9.140625" bestFit="1" customWidth="1"/>
    <col min="8" max="8" width="32.7109375" bestFit="1" customWidth="1"/>
    <col min="9" max="9" width="16.85546875" bestFit="1" customWidth="1"/>
  </cols>
  <sheetData>
    <row r="1" spans="1:7" x14ac:dyDescent="0.25">
      <c r="A1" s="1" t="s">
        <v>435</v>
      </c>
    </row>
    <row r="3" spans="1:7" ht="30" x14ac:dyDescent="0.25">
      <c r="A3" s="293" t="s">
        <v>434</v>
      </c>
      <c r="B3" s="293" t="s">
        <v>430</v>
      </c>
      <c r="C3" s="293" t="s">
        <v>433</v>
      </c>
      <c r="D3" s="294" t="s">
        <v>393</v>
      </c>
      <c r="E3" s="294" t="s">
        <v>469</v>
      </c>
    </row>
    <row r="4" spans="1:7" x14ac:dyDescent="0.25">
      <c r="A4" s="181">
        <v>2026</v>
      </c>
      <c r="B4" s="289">
        <f>E21</f>
        <v>14937366.312895857</v>
      </c>
      <c r="C4" s="289">
        <f>E38</f>
        <v>67624886.394044787</v>
      </c>
      <c r="D4" s="289">
        <f>E54</f>
        <v>12066557.75818648</v>
      </c>
      <c r="E4" s="289">
        <f>SUM(B4:D4)</f>
        <v>94628810.465127125</v>
      </c>
      <c r="F4" s="303"/>
    </row>
    <row r="5" spans="1:7" x14ac:dyDescent="0.25">
      <c r="E5" s="345"/>
    </row>
    <row r="6" spans="1:7" x14ac:dyDescent="0.25">
      <c r="D6" s="295"/>
    </row>
    <row r="7" spans="1:7" x14ac:dyDescent="0.25">
      <c r="A7" s="392" t="s">
        <v>430</v>
      </c>
      <c r="B7" s="392"/>
      <c r="C7" s="392"/>
      <c r="D7" s="392"/>
      <c r="E7" s="392"/>
    </row>
    <row r="8" spans="1:7" ht="33.75" customHeight="1" x14ac:dyDescent="0.25">
      <c r="A8" s="283" t="s">
        <v>425</v>
      </c>
      <c r="B8" s="283" t="s">
        <v>426</v>
      </c>
      <c r="C8" s="284" t="s">
        <v>427</v>
      </c>
      <c r="D8" s="283" t="s">
        <v>428</v>
      </c>
      <c r="E8" s="284" t="s">
        <v>429</v>
      </c>
      <c r="G8" s="362"/>
    </row>
    <row r="9" spans="1:7" x14ac:dyDescent="0.25">
      <c r="A9" s="296">
        <v>45292</v>
      </c>
      <c r="B9" s="296">
        <v>45352</v>
      </c>
      <c r="C9" s="290">
        <v>565299.06323348358</v>
      </c>
      <c r="D9" s="275">
        <f>VLOOKUP(B9,SELIC!$A$6:$D$41,4,FALSE)</f>
        <v>1.232302411002403</v>
      </c>
      <c r="E9" s="289">
        <f t="shared" ref="E9:E20" si="0">C9*D9</f>
        <v>696619.39856002165</v>
      </c>
      <c r="G9" s="345"/>
    </row>
    <row r="10" spans="1:7" x14ac:dyDescent="0.25">
      <c r="A10" s="296">
        <v>45323</v>
      </c>
      <c r="B10" s="296">
        <v>45383</v>
      </c>
      <c r="C10" s="290">
        <v>858907.6691151642</v>
      </c>
      <c r="D10" s="275">
        <f>VLOOKUP(B10,SELIC!$A$6:$D$41,4,FALSE)</f>
        <v>1.2221584954898375</v>
      </c>
      <c r="E10" s="289">
        <f t="shared" si="0"/>
        <v>1049721.3046504722</v>
      </c>
    </row>
    <row r="11" spans="1:7" x14ac:dyDescent="0.25">
      <c r="A11" s="296">
        <v>45352</v>
      </c>
      <c r="B11" s="296">
        <v>45413</v>
      </c>
      <c r="C11" s="290">
        <v>1448175.6299521255</v>
      </c>
      <c r="D11" s="275">
        <f>VLOOKUP(B11,SELIC!$A$6:$D$41,4,FALSE)</f>
        <v>1.2113772380710055</v>
      </c>
      <c r="E11" s="289">
        <f t="shared" si="0"/>
        <v>1754286.9948531443</v>
      </c>
    </row>
    <row r="12" spans="1:7" x14ac:dyDescent="0.25">
      <c r="A12" s="296">
        <v>45383</v>
      </c>
      <c r="B12" s="296">
        <v>45444</v>
      </c>
      <c r="C12" s="290">
        <v>643241.37784042349</v>
      </c>
      <c r="D12" s="275">
        <f>VLOOKUP(B12,SELIC!$A$6:$D$41,4,FALSE)</f>
        <v>1.2014055718248591</v>
      </c>
      <c r="E12" s="289">
        <f t="shared" si="0"/>
        <v>772793.77536578418</v>
      </c>
    </row>
    <row r="13" spans="1:7" x14ac:dyDescent="0.25">
      <c r="A13" s="296">
        <v>45413</v>
      </c>
      <c r="B13" s="296">
        <v>45474</v>
      </c>
      <c r="C13" s="290">
        <v>673848.70249835448</v>
      </c>
      <c r="D13" s="275">
        <f>VLOOKUP(B13,SELIC!$A$6:$D$41,4,FALSE)</f>
        <v>1.1919888598321846</v>
      </c>
      <c r="E13" s="289">
        <f t="shared" si="0"/>
        <v>803220.1465904105</v>
      </c>
    </row>
    <row r="14" spans="1:7" x14ac:dyDescent="0.25">
      <c r="A14" s="296">
        <v>45444</v>
      </c>
      <c r="B14" s="296">
        <v>45505</v>
      </c>
      <c r="C14" s="290">
        <v>563045.49513491022</v>
      </c>
      <c r="D14" s="275">
        <f>VLOOKUP(B14,SELIC!$A$6:$D$41,4,FALSE)</f>
        <v>1.1812395796573034</v>
      </c>
      <c r="E14" s="289">
        <f t="shared" si="0"/>
        <v>665091.62400109961</v>
      </c>
    </row>
    <row r="15" spans="1:7" x14ac:dyDescent="0.25">
      <c r="A15" s="296">
        <v>45474</v>
      </c>
      <c r="B15" s="296">
        <v>45536</v>
      </c>
      <c r="C15" s="290">
        <v>1153499.7244207957</v>
      </c>
      <c r="D15" s="275">
        <f>VLOOKUP(B15,SELIC!$A$6:$D$41,4,FALSE)</f>
        <v>1.1710514321971879</v>
      </c>
      <c r="E15" s="289">
        <f t="shared" si="0"/>
        <v>1350807.5043220343</v>
      </c>
    </row>
    <row r="16" spans="1:7" x14ac:dyDescent="0.25">
      <c r="A16" s="296">
        <v>45505</v>
      </c>
      <c r="B16" s="296">
        <v>45566</v>
      </c>
      <c r="C16" s="290">
        <v>723378.74148903578</v>
      </c>
      <c r="D16" s="275">
        <f>VLOOKUP(B16,SELIC!$A$6:$D$41,4,FALSE)</f>
        <v>1.1612965412506822</v>
      </c>
      <c r="E16" s="289">
        <f t="shared" si="0"/>
        <v>840057.23050548858</v>
      </c>
    </row>
    <row r="17" spans="1:5" x14ac:dyDescent="0.25">
      <c r="A17" s="296">
        <v>45536</v>
      </c>
      <c r="B17" s="296">
        <v>45597</v>
      </c>
      <c r="C17" s="290">
        <v>2132066.8438842767</v>
      </c>
      <c r="D17" s="275">
        <f>VLOOKUP(B17,SELIC!$A$6:$D$41,4,FALSE)</f>
        <v>1.1505959984649581</v>
      </c>
      <c r="E17" s="289">
        <f t="shared" si="0"/>
        <v>2453147.5790330614</v>
      </c>
    </row>
    <row r="18" spans="1:5" x14ac:dyDescent="0.25">
      <c r="A18" s="296">
        <v>45566</v>
      </c>
      <c r="B18" s="296">
        <v>45627</v>
      </c>
      <c r="C18" s="290">
        <v>1008998.4949819959</v>
      </c>
      <c r="D18" s="275">
        <f>VLOOKUP(B18,SELIC!$A$6:$D$41,4,FALSE)</f>
        <v>1.1415775359311024</v>
      </c>
      <c r="E18" s="289">
        <f t="shared" si="0"/>
        <v>1151850.0156597376</v>
      </c>
    </row>
    <row r="19" spans="1:5" x14ac:dyDescent="0.25">
      <c r="A19" s="296">
        <v>45597</v>
      </c>
      <c r="B19" s="296">
        <v>45658</v>
      </c>
      <c r="C19" s="290">
        <v>1750737.23</v>
      </c>
      <c r="D19" s="275">
        <f>VLOOKUP(B19,SELIC!$A$6:$D$41,4,FALSE)</f>
        <v>1.131058690113051</v>
      </c>
      <c r="E19" s="289">
        <f t="shared" si="0"/>
        <v>1980186.5580959513</v>
      </c>
    </row>
    <row r="20" spans="1:5" x14ac:dyDescent="0.25">
      <c r="A20" s="296">
        <v>45627</v>
      </c>
      <c r="B20" s="296">
        <v>45689</v>
      </c>
      <c r="C20" s="290">
        <v>1267769.74</v>
      </c>
      <c r="D20" s="275">
        <f>VLOOKUP(B20,SELIC!$A$6:$D$41,4,FALSE)</f>
        <v>1.1197492229611432</v>
      </c>
      <c r="E20" s="289">
        <f t="shared" si="0"/>
        <v>1419584.1812586505</v>
      </c>
    </row>
    <row r="21" spans="1:5" x14ac:dyDescent="0.25">
      <c r="A21" s="393" t="s">
        <v>178</v>
      </c>
      <c r="B21" s="394"/>
      <c r="C21" s="291">
        <f>SUM(C9:C20)</f>
        <v>12788968.712550567</v>
      </c>
      <c r="D21" s="287"/>
      <c r="E21" s="292">
        <f>SUM(E9:E20)</f>
        <v>14937366.312895857</v>
      </c>
    </row>
    <row r="24" spans="1:5" x14ac:dyDescent="0.25">
      <c r="A24" s="392" t="s">
        <v>433</v>
      </c>
      <c r="B24" s="392"/>
      <c r="C24" s="392"/>
      <c r="D24" s="392"/>
      <c r="E24" s="392"/>
    </row>
    <row r="25" spans="1:5" ht="30" x14ac:dyDescent="0.25">
      <c r="A25" s="283" t="s">
        <v>425</v>
      </c>
      <c r="B25" s="283" t="s">
        <v>426</v>
      </c>
      <c r="C25" s="284" t="s">
        <v>427</v>
      </c>
      <c r="D25" s="283" t="s">
        <v>428</v>
      </c>
      <c r="E25" s="284" t="s">
        <v>429</v>
      </c>
    </row>
    <row r="26" spans="1:5" x14ac:dyDescent="0.25">
      <c r="A26" s="296">
        <v>45292</v>
      </c>
      <c r="B26" s="296">
        <v>45323</v>
      </c>
      <c r="C26" s="290">
        <v>3611734.4345513508</v>
      </c>
      <c r="D26" s="275">
        <f>VLOOKUP(B26,SELIC!$A$6:$D$41,4,FALSE)</f>
        <v>1.2421608302904217</v>
      </c>
      <c r="E26" s="289">
        <f t="shared" ref="E26:E37" si="1">C26*D26</f>
        <v>4486355.0440108124</v>
      </c>
    </row>
    <row r="27" spans="1:5" x14ac:dyDescent="0.25">
      <c r="A27" s="296">
        <v>45323</v>
      </c>
      <c r="B27" s="296">
        <v>45352</v>
      </c>
      <c r="C27" s="290">
        <v>2790498.5745191015</v>
      </c>
      <c r="D27" s="275">
        <f>VLOOKUP(B27,SELIC!$A$6:$D$41,4,FALSE)</f>
        <v>1.232302411002403</v>
      </c>
      <c r="E27" s="289">
        <f t="shared" si="1"/>
        <v>3438738.1212786576</v>
      </c>
    </row>
    <row r="28" spans="1:5" x14ac:dyDescent="0.25">
      <c r="A28" s="296">
        <v>45352</v>
      </c>
      <c r="B28" s="296">
        <v>45383</v>
      </c>
      <c r="C28" s="290">
        <v>1384635.5465740853</v>
      </c>
      <c r="D28" s="275">
        <f>VLOOKUP(B28,SELIC!$A$6:$D$41,4,FALSE)</f>
        <v>1.2221584954898375</v>
      </c>
      <c r="E28" s="289">
        <f t="shared" si="1"/>
        <v>1692244.0964027329</v>
      </c>
    </row>
    <row r="29" spans="1:5" x14ac:dyDescent="0.25">
      <c r="A29" s="296">
        <v>45383</v>
      </c>
      <c r="B29" s="296">
        <v>45413</v>
      </c>
      <c r="C29" s="290">
        <v>1721557.9608084839</v>
      </c>
      <c r="D29" s="275">
        <f>VLOOKUP(B29,SELIC!$A$6:$D$41,4,FALSE)</f>
        <v>1.2113772380710055</v>
      </c>
      <c r="E29" s="289">
        <f t="shared" si="1"/>
        <v>2085456.1277433336</v>
      </c>
    </row>
    <row r="30" spans="1:5" x14ac:dyDescent="0.25">
      <c r="A30" s="296">
        <v>45413</v>
      </c>
      <c r="B30" s="296">
        <v>45444</v>
      </c>
      <c r="C30" s="290">
        <v>4342320.3747175764</v>
      </c>
      <c r="D30" s="275">
        <f>VLOOKUP(B30,SELIC!$A$6:$D$41,4,FALSE)</f>
        <v>1.2014055718248591</v>
      </c>
      <c r="E30" s="289">
        <f t="shared" si="1"/>
        <v>5216887.8928343067</v>
      </c>
    </row>
    <row r="31" spans="1:5" x14ac:dyDescent="0.25">
      <c r="A31" s="296">
        <v>45444</v>
      </c>
      <c r="B31" s="296">
        <v>45474</v>
      </c>
      <c r="C31" s="290">
        <v>5731592.4649247872</v>
      </c>
      <c r="D31" s="275">
        <f>VLOOKUP(B31,SELIC!$A$6:$D$41,4,FALSE)</f>
        <v>1.1919888598321846</v>
      </c>
      <c r="E31" s="289">
        <f t="shared" si="1"/>
        <v>6831994.3672884377</v>
      </c>
    </row>
    <row r="32" spans="1:5" x14ac:dyDescent="0.25">
      <c r="A32" s="296">
        <v>45474</v>
      </c>
      <c r="B32" s="296">
        <v>45505</v>
      </c>
      <c r="C32" s="290">
        <v>7719898.0382868601</v>
      </c>
      <c r="D32" s="275">
        <f>VLOOKUP(B32,SELIC!$A$6:$D$41,4,FALSE)</f>
        <v>1.1812395796573034</v>
      </c>
      <c r="E32" s="289">
        <f t="shared" si="1"/>
        <v>9119049.1137432121</v>
      </c>
    </row>
    <row r="33" spans="1:5" x14ac:dyDescent="0.25">
      <c r="A33" s="296">
        <v>45505</v>
      </c>
      <c r="B33" s="296">
        <v>45536</v>
      </c>
      <c r="C33" s="290">
        <v>6989631.8767019026</v>
      </c>
      <c r="D33" s="275">
        <f>VLOOKUP(B33,SELIC!$A$6:$D$41,4,FALSE)</f>
        <v>1.1710514321971879</v>
      </c>
      <c r="E33" s="289">
        <f t="shared" si="1"/>
        <v>8185218.4197428813</v>
      </c>
    </row>
    <row r="34" spans="1:5" x14ac:dyDescent="0.25">
      <c r="A34" s="296">
        <v>45536</v>
      </c>
      <c r="B34" s="296">
        <v>45566</v>
      </c>
      <c r="C34" s="290">
        <v>8123751.9928476345</v>
      </c>
      <c r="D34" s="275">
        <f>VLOOKUP(B34,SELIC!$A$6:$D$41,4,FALSE)</f>
        <v>1.1612965412506822</v>
      </c>
      <c r="E34" s="289">
        <f t="shared" si="1"/>
        <v>9434085.0912722945</v>
      </c>
    </row>
    <row r="35" spans="1:5" x14ac:dyDescent="0.25">
      <c r="A35" s="296">
        <v>45566</v>
      </c>
      <c r="B35" s="296">
        <v>45597</v>
      </c>
      <c r="C35" s="290">
        <v>3078056.9551924234</v>
      </c>
      <c r="D35" s="275">
        <f>VLOOKUP(B35,SELIC!$A$6:$D$41,4,FALSE)</f>
        <v>1.1505959984649581</v>
      </c>
      <c r="E35" s="289">
        <f t="shared" si="1"/>
        <v>3541600.0156916352</v>
      </c>
    </row>
    <row r="36" spans="1:5" x14ac:dyDescent="0.25">
      <c r="A36" s="296">
        <v>45597</v>
      </c>
      <c r="B36" s="296">
        <v>45627</v>
      </c>
      <c r="C36" s="290">
        <v>5781798.7811307795</v>
      </c>
      <c r="D36" s="275">
        <f>VLOOKUP(B36,SELIC!$A$6:$D$41,4,FALSE)</f>
        <v>1.1415775359311024</v>
      </c>
      <c r="E36" s="289">
        <f t="shared" si="1"/>
        <v>6600371.6058127265</v>
      </c>
    </row>
    <row r="37" spans="1:5" x14ac:dyDescent="0.25">
      <c r="A37" s="296">
        <v>45627</v>
      </c>
      <c r="B37" s="296">
        <v>45658</v>
      </c>
      <c r="C37" s="290">
        <v>6182602.6883934736</v>
      </c>
      <c r="D37" s="275">
        <f>VLOOKUP(B37,SELIC!$A$6:$D$41,4,FALSE)</f>
        <v>1.131058690113051</v>
      </c>
      <c r="E37" s="289">
        <f t="shared" si="1"/>
        <v>6992886.4982237499</v>
      </c>
    </row>
    <row r="38" spans="1:5" x14ac:dyDescent="0.25">
      <c r="A38" s="393" t="s">
        <v>178</v>
      </c>
      <c r="B38" s="394"/>
      <c r="C38" s="291">
        <f>SUM(C26:C37)</f>
        <v>57458079.688648462</v>
      </c>
      <c r="D38" s="287"/>
      <c r="E38" s="292">
        <f>SUM(E26:E37)</f>
        <v>67624886.394044787</v>
      </c>
    </row>
    <row r="40" spans="1:5" x14ac:dyDescent="0.25">
      <c r="A40" s="392" t="s">
        <v>432</v>
      </c>
      <c r="B40" s="392"/>
      <c r="C40" s="392"/>
      <c r="D40" s="392"/>
      <c r="E40" s="392"/>
    </row>
    <row r="41" spans="1:5" ht="30" x14ac:dyDescent="0.25">
      <c r="A41" s="283" t="s">
        <v>425</v>
      </c>
      <c r="B41" s="283" t="s">
        <v>426</v>
      </c>
      <c r="C41" s="284" t="s">
        <v>427</v>
      </c>
      <c r="D41" s="283" t="s">
        <v>428</v>
      </c>
      <c r="E41" s="284" t="s">
        <v>429</v>
      </c>
    </row>
    <row r="42" spans="1:5" x14ac:dyDescent="0.25">
      <c r="A42" s="296">
        <v>45292</v>
      </c>
      <c r="B42" s="296">
        <v>45323</v>
      </c>
      <c r="C42" s="290">
        <v>60284.793646053389</v>
      </c>
      <c r="D42" s="275">
        <f>VLOOKUP(B42,SELIC!$A$6:$D$41,4,FALSE)</f>
        <v>1.2421608302904217</v>
      </c>
      <c r="E42" s="289">
        <f t="shared" ref="E42:E53" si="2">C42*D42</f>
        <v>74883.409329268412</v>
      </c>
    </row>
    <row r="43" spans="1:5" x14ac:dyDescent="0.25">
      <c r="A43" s="296">
        <v>45323</v>
      </c>
      <c r="B43" s="296">
        <v>45352</v>
      </c>
      <c r="C43" s="290">
        <v>54557.62985402238</v>
      </c>
      <c r="D43" s="275">
        <f>VLOOKUP(B43,SELIC!$A$6:$D$41,4,FALSE)</f>
        <v>1.232302411002403</v>
      </c>
      <c r="E43" s="289">
        <f t="shared" si="2"/>
        <v>67231.498807688462</v>
      </c>
    </row>
    <row r="44" spans="1:5" x14ac:dyDescent="0.25">
      <c r="A44" s="296">
        <v>45352</v>
      </c>
      <c r="B44" s="296">
        <v>45383</v>
      </c>
      <c r="C44" s="290">
        <v>4466.6375178179997</v>
      </c>
      <c r="D44" s="275">
        <f>VLOOKUP(B44,SELIC!$A$6:$D$41,4,FALSE)</f>
        <v>1.2221584954898375</v>
      </c>
      <c r="E44" s="289">
        <f t="shared" si="2"/>
        <v>5458.9389886749086</v>
      </c>
    </row>
    <row r="45" spans="1:5" x14ac:dyDescent="0.25">
      <c r="A45" s="296">
        <v>45383</v>
      </c>
      <c r="B45" s="296">
        <v>45413</v>
      </c>
      <c r="C45" s="290">
        <v>1687787.0560936271</v>
      </c>
      <c r="D45" s="275">
        <f>VLOOKUP(B45,SELIC!$A$6:$D$41,4,FALSE)</f>
        <v>1.2113772380710055</v>
      </c>
      <c r="E45" s="289">
        <f t="shared" si="2"/>
        <v>2044546.8224626912</v>
      </c>
    </row>
    <row r="46" spans="1:5" x14ac:dyDescent="0.25">
      <c r="A46" s="296">
        <v>45413</v>
      </c>
      <c r="B46" s="296">
        <v>45444</v>
      </c>
      <c r="C46" s="290">
        <v>3573047.2427846533</v>
      </c>
      <c r="D46" s="275">
        <f>VLOOKUP(B46,SELIC!$A$6:$D$41,4,FALSE)</f>
        <v>1.2014055718248591</v>
      </c>
      <c r="E46" s="289">
        <f t="shared" si="2"/>
        <v>4292678.8658749321</v>
      </c>
    </row>
    <row r="47" spans="1:5" x14ac:dyDescent="0.25">
      <c r="A47" s="296">
        <v>45444</v>
      </c>
      <c r="B47" s="296">
        <v>45474</v>
      </c>
      <c r="C47" s="290">
        <v>150.56027496939308</v>
      </c>
      <c r="D47" s="275">
        <f>VLOOKUP(B47,SELIC!$A$6:$D$41,4,FALSE)</f>
        <v>1.1919888598321846</v>
      </c>
      <c r="E47" s="289">
        <f t="shared" si="2"/>
        <v>179.46617049678707</v>
      </c>
    </row>
    <row r="48" spans="1:5" x14ac:dyDescent="0.25">
      <c r="A48" s="296">
        <v>45474</v>
      </c>
      <c r="B48" s="296">
        <v>45505</v>
      </c>
      <c r="C48" s="290">
        <v>2591384.432439975</v>
      </c>
      <c r="D48" s="275">
        <f>VLOOKUP(B48,SELIC!$A$6:$D$41,4,FALSE)</f>
        <v>1.1812395796573034</v>
      </c>
      <c r="E48" s="289">
        <f t="shared" si="2"/>
        <v>3061045.8577058758</v>
      </c>
    </row>
    <row r="49" spans="1:5" x14ac:dyDescent="0.25">
      <c r="A49" s="296">
        <v>45505</v>
      </c>
      <c r="B49" s="296">
        <v>45536</v>
      </c>
      <c r="C49" s="290">
        <v>280460.18174229161</v>
      </c>
      <c r="D49" s="275">
        <f>VLOOKUP(B49,SELIC!$A$6:$D$41,4,FALSE)</f>
        <v>1.1710514321971879</v>
      </c>
      <c r="E49" s="289">
        <f t="shared" si="2"/>
        <v>328433.29750359419</v>
      </c>
    </row>
    <row r="50" spans="1:5" x14ac:dyDescent="0.25">
      <c r="A50" s="296">
        <v>45536</v>
      </c>
      <c r="B50" s="296">
        <v>45566</v>
      </c>
      <c r="C50" s="290">
        <v>163744.96207569994</v>
      </c>
      <c r="D50" s="275">
        <f>VLOOKUP(B50,SELIC!$A$6:$D$41,4,FALSE)</f>
        <v>1.1612965412506822</v>
      </c>
      <c r="E50" s="289">
        <f t="shared" si="2"/>
        <v>190156.45810573446</v>
      </c>
    </row>
    <row r="51" spans="1:5" x14ac:dyDescent="0.25">
      <c r="A51" s="296">
        <v>45566</v>
      </c>
      <c r="B51" s="296">
        <v>45597</v>
      </c>
      <c r="C51" s="290">
        <v>1693248.9390755002</v>
      </c>
      <c r="D51" s="275">
        <f>VLOOKUP(B51,SELIC!$A$6:$D$41,4,FALSE)</f>
        <v>1.1505959984649581</v>
      </c>
      <c r="E51" s="289">
        <f t="shared" si="2"/>
        <v>1948245.4537053062</v>
      </c>
    </row>
    <row r="52" spans="1:5" x14ac:dyDescent="0.25">
      <c r="A52" s="296">
        <v>45597</v>
      </c>
      <c r="B52" s="296">
        <v>45627</v>
      </c>
      <c r="C52" s="290">
        <v>6571.4959976941673</v>
      </c>
      <c r="D52" s="275">
        <f>VLOOKUP(B52,SELIC!$A$6:$D$41,4,FALSE)</f>
        <v>1.1415775359311024</v>
      </c>
      <c r="E52" s="289">
        <f t="shared" si="2"/>
        <v>7501.8722084288092</v>
      </c>
    </row>
    <row r="53" spans="1:5" x14ac:dyDescent="0.25">
      <c r="A53" s="296">
        <v>45627</v>
      </c>
      <c r="B53" s="296">
        <v>45658</v>
      </c>
      <c r="C53" s="290">
        <v>40842.988721629721</v>
      </c>
      <c r="D53" s="275">
        <f>VLOOKUP(B53,SELIC!$A$6:$D$41,4,FALSE)</f>
        <v>1.131058690113051</v>
      </c>
      <c r="E53" s="289">
        <f t="shared" si="2"/>
        <v>46195.817323788629</v>
      </c>
    </row>
    <row r="54" spans="1:5" x14ac:dyDescent="0.25">
      <c r="A54" s="393" t="s">
        <v>178</v>
      </c>
      <c r="B54" s="394"/>
      <c r="C54" s="288">
        <f>SUM(C42:C53)</f>
        <v>10156546.920223933</v>
      </c>
      <c r="D54" s="286"/>
      <c r="E54" s="285">
        <f>SUM(E42:E53)</f>
        <v>12066557.75818648</v>
      </c>
    </row>
  </sheetData>
  <mergeCells count="6">
    <mergeCell ref="A40:E40"/>
    <mergeCell ref="A54:B54"/>
    <mergeCell ref="A7:E7"/>
    <mergeCell ref="A21:B21"/>
    <mergeCell ref="A24:E24"/>
    <mergeCell ref="A38:B38"/>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1E22-A321-4376-BAF5-37866EB8922F}">
  <sheetPr codeName="Planilha6">
    <tabColor theme="4" tint="0.79998168889431442"/>
  </sheetPr>
  <dimension ref="C1:AF85"/>
  <sheetViews>
    <sheetView showGridLines="0" topLeftCell="J1" zoomScale="90" zoomScaleNormal="90" workbookViewId="0">
      <selection activeCell="AB3" sqref="AB3"/>
    </sheetView>
  </sheetViews>
  <sheetFormatPr defaultColWidth="9.140625" defaultRowHeight="15" x14ac:dyDescent="0.25"/>
  <cols>
    <col min="1" max="1" width="9.140625" style="94"/>
    <col min="2" max="2" width="3.85546875" style="94" customWidth="1"/>
    <col min="3" max="3" width="20.85546875" style="94" bestFit="1" customWidth="1"/>
    <col min="4" max="4" width="27.85546875" style="94" bestFit="1" customWidth="1"/>
    <col min="5" max="5" width="9.85546875" style="143" bestFit="1" customWidth="1"/>
    <col min="6" max="9" width="14.85546875" style="145" customWidth="1"/>
    <col min="10" max="10" width="13.42578125" customWidth="1"/>
    <col min="11" max="11" width="14.140625" customWidth="1"/>
    <col min="12" max="17" width="14.85546875" style="145" customWidth="1"/>
    <col min="18" max="18" width="15.140625" style="94" customWidth="1"/>
    <col min="19" max="19" width="27.85546875" style="143" bestFit="1" customWidth="1"/>
    <col min="20" max="22" width="12.42578125" style="94" customWidth="1"/>
    <col min="23" max="23" width="16.85546875" style="94" customWidth="1"/>
    <col min="24" max="27" width="12.42578125" style="94" customWidth="1"/>
    <col min="28" max="28" width="15" style="94" customWidth="1"/>
    <col min="29" max="29" width="15.5703125" style="94" customWidth="1"/>
    <col min="30" max="30" width="12.42578125" style="94" customWidth="1"/>
    <col min="31" max="31" width="13.85546875" style="94" customWidth="1"/>
    <col min="32" max="16384" width="9.140625" style="94"/>
  </cols>
  <sheetData>
    <row r="1" spans="3:32" s="130" customFormat="1" ht="65.099999999999994" customHeight="1" x14ac:dyDescent="0.2">
      <c r="C1" s="127" t="s">
        <v>34</v>
      </c>
      <c r="D1" s="128" t="s">
        <v>35</v>
      </c>
      <c r="E1" s="128" t="s">
        <v>36</v>
      </c>
      <c r="F1" s="129" t="s">
        <v>186</v>
      </c>
      <c r="G1" s="129" t="s">
        <v>26</v>
      </c>
      <c r="H1" s="129" t="s">
        <v>411</v>
      </c>
      <c r="I1" s="129" t="s">
        <v>194</v>
      </c>
      <c r="J1" s="129" t="s">
        <v>185</v>
      </c>
      <c r="K1" s="129" t="s">
        <v>27</v>
      </c>
      <c r="L1" s="129" t="s">
        <v>196</v>
      </c>
      <c r="M1" s="129" t="s">
        <v>29</v>
      </c>
      <c r="N1" s="129" t="s">
        <v>24</v>
      </c>
      <c r="O1" s="129" t="s">
        <v>195</v>
      </c>
      <c r="S1" s="128" t="s">
        <v>36</v>
      </c>
      <c r="T1" s="129" t="str">
        <f>F1</f>
        <v>PR-CARAGUA-TATUBA</v>
      </c>
      <c r="U1" s="129" t="str">
        <f t="shared" ref="U1:W1" si="0">G1</f>
        <v>PR-GNLBGB</v>
      </c>
      <c r="V1" s="129" t="str">
        <f t="shared" si="0"/>
        <v>PR-ITABORAÍ</v>
      </c>
      <c r="W1" s="129" t="str">
        <f t="shared" si="0"/>
        <v>PR-GUARAREMA (INTERCONEXÃO)</v>
      </c>
      <c r="X1" s="129" t="str">
        <f t="shared" ref="X1:AC1" si="1">J1</f>
        <v>PR-GASPAJ</v>
      </c>
      <c r="Y1" s="129" t="str">
        <f t="shared" si="1"/>
        <v>PR-REDUC</v>
      </c>
      <c r="Z1" s="129" t="str">
        <f t="shared" si="1"/>
        <v>PR-REPLAN (INTERCONEXÃO)</v>
      </c>
      <c r="AA1" s="129" t="str">
        <f t="shared" si="1"/>
        <v>PR-RPBC</v>
      </c>
      <c r="AB1" s="129" t="str">
        <f t="shared" si="1"/>
        <v>PR-TECAB</v>
      </c>
      <c r="AC1" s="129" t="str">
        <f t="shared" si="1"/>
        <v>PR-TECAB (INTERCONEXÃO)</v>
      </c>
    </row>
    <row r="2" spans="3:32" x14ac:dyDescent="0.25">
      <c r="C2" s="395" t="s">
        <v>53</v>
      </c>
      <c r="D2" s="131" t="s">
        <v>54</v>
      </c>
      <c r="E2" s="132" t="s">
        <v>160</v>
      </c>
      <c r="F2" s="133">
        <v>442.80099999999999</v>
      </c>
      <c r="G2" s="133">
        <v>247.636</v>
      </c>
      <c r="H2" s="133">
        <v>297.05799999999999</v>
      </c>
      <c r="I2" s="134">
        <v>408.62099999999998</v>
      </c>
      <c r="J2" s="134">
        <f t="shared" ref="J2:J17" si="2">L2</f>
        <v>545.95600000000002</v>
      </c>
      <c r="K2" s="133">
        <v>129.63399999999999</v>
      </c>
      <c r="L2" s="134">
        <v>545.95600000000002</v>
      </c>
      <c r="M2" s="133">
        <v>514.78399999999999</v>
      </c>
      <c r="N2" s="133">
        <v>427.93400000000003</v>
      </c>
      <c r="O2" s="134">
        <v>427.93400000000003</v>
      </c>
      <c r="S2" s="135">
        <v>1</v>
      </c>
      <c r="T2" s="135">
        <v>2</v>
      </c>
      <c r="U2" s="135">
        <v>3</v>
      </c>
      <c r="V2" s="135">
        <v>4</v>
      </c>
      <c r="W2" s="135">
        <v>5</v>
      </c>
      <c r="X2" s="135">
        <v>6</v>
      </c>
      <c r="Y2" s="135">
        <v>7</v>
      </c>
      <c r="Z2" s="135">
        <v>8</v>
      </c>
      <c r="AA2" s="135">
        <v>9</v>
      </c>
      <c r="AB2" s="135">
        <v>10</v>
      </c>
      <c r="AC2" s="135">
        <v>11</v>
      </c>
    </row>
    <row r="3" spans="3:32" x14ac:dyDescent="0.25">
      <c r="C3" s="395"/>
      <c r="D3" s="136" t="s">
        <v>55</v>
      </c>
      <c r="E3" s="137" t="s">
        <v>160</v>
      </c>
      <c r="F3" s="138">
        <v>451.399</v>
      </c>
      <c r="G3" s="138">
        <v>256.23399999999998</v>
      </c>
      <c r="H3" s="138">
        <v>305.65599999999995</v>
      </c>
      <c r="I3" s="139">
        <v>417.21899999999999</v>
      </c>
      <c r="J3" s="139">
        <f t="shared" si="2"/>
        <v>554.55399999999997</v>
      </c>
      <c r="K3" s="138">
        <v>138.232</v>
      </c>
      <c r="L3" s="139">
        <v>554.55399999999997</v>
      </c>
      <c r="M3" s="138">
        <v>523.38199999999995</v>
      </c>
      <c r="N3" s="138">
        <v>436.53199999999998</v>
      </c>
      <c r="O3" s="139">
        <v>436.53199999999998</v>
      </c>
      <c r="S3" s="140" t="s">
        <v>160</v>
      </c>
      <c r="T3" s="141">
        <f t="shared" ref="T3:T15" ca="1" si="3">AVERAGEIF($E$2:$Q$54,$S3,F$2:F$54)</f>
        <v>447.1</v>
      </c>
      <c r="U3" s="141">
        <f t="shared" ref="U3:U15" ca="1" si="4">AVERAGEIF($E$2:$O$45,$S3,G$2:G$45)</f>
        <v>251.935</v>
      </c>
      <c r="V3" s="141">
        <f t="shared" ref="V3:V15" ca="1" si="5">AVERAGEIF($E$2:$O$45,$S3,H$2:H$45)</f>
        <v>301.35699999999997</v>
      </c>
      <c r="W3" s="141">
        <f t="shared" ref="W3:W15" ca="1" si="6">AVERAGEIF($E$2:$O$45,$S3,I$2:I$45)</f>
        <v>412.91999999999996</v>
      </c>
      <c r="X3" s="141">
        <f t="shared" ref="X3:X15" ca="1" si="7">AVERAGEIF($E$2:$O$45,$S3,J$2:J$45)</f>
        <v>550.255</v>
      </c>
      <c r="Y3" s="141">
        <f t="shared" ref="Y3:Y15" ca="1" si="8">AVERAGEIF($E$2:$O$45,$S3,K$2:K$45)</f>
        <v>133.93299999999999</v>
      </c>
      <c r="Z3" s="141">
        <f t="shared" ref="Z3:Z15" ca="1" si="9">AVERAGEIF($E$2:$O$45,$S3,L$2:L$45)</f>
        <v>550.255</v>
      </c>
      <c r="AA3" s="141">
        <f t="shared" ref="AA3:AA15" ca="1" si="10">AVERAGEIF($E$2:$O$45,$S3,M$2:M$45)</f>
        <v>519.08299999999997</v>
      </c>
      <c r="AB3" s="141">
        <f t="shared" ref="AB3:AB15" ca="1" si="11">AVERAGEIF($E$2:$O$45,$S3,N$2:N$45)</f>
        <v>432.233</v>
      </c>
      <c r="AC3" s="141">
        <f t="shared" ref="AC3:AC15" ca="1" si="12">AVERAGEIF($E$2:$O$45,$S3,O$2:O$45)</f>
        <v>432.233</v>
      </c>
      <c r="AF3" s="142"/>
    </row>
    <row r="4" spans="3:32" x14ac:dyDescent="0.25">
      <c r="C4" s="395"/>
      <c r="D4" s="131" t="s">
        <v>56</v>
      </c>
      <c r="E4" s="132" t="s">
        <v>161</v>
      </c>
      <c r="F4" s="133">
        <v>507.58100000000002</v>
      </c>
      <c r="G4" s="133">
        <v>312.416</v>
      </c>
      <c r="H4" s="133">
        <v>361.83799999999997</v>
      </c>
      <c r="I4" s="134">
        <v>473.40100000000001</v>
      </c>
      <c r="J4" s="134">
        <f t="shared" si="2"/>
        <v>610.73599999999999</v>
      </c>
      <c r="K4" s="133">
        <v>194.41399999999999</v>
      </c>
      <c r="L4" s="134">
        <v>610.73599999999999</v>
      </c>
      <c r="M4" s="133">
        <v>579.56399999999996</v>
      </c>
      <c r="N4" s="133">
        <v>492.714</v>
      </c>
      <c r="O4" s="134">
        <v>492.714</v>
      </c>
      <c r="S4" s="140" t="s">
        <v>161</v>
      </c>
      <c r="T4" s="141">
        <f t="shared" ca="1" si="3"/>
        <v>544.26400000000001</v>
      </c>
      <c r="U4" s="141">
        <f t="shared" ca="1" si="4"/>
        <v>349.09899999999999</v>
      </c>
      <c r="V4" s="141">
        <f t="shared" ca="1" si="5"/>
        <v>398.52100000000002</v>
      </c>
      <c r="W4" s="141">
        <f t="shared" ca="1" si="6"/>
        <v>510.08400000000006</v>
      </c>
      <c r="X4" s="141">
        <f t="shared" ca="1" si="7"/>
        <v>647.41899999999998</v>
      </c>
      <c r="Y4" s="141">
        <f t="shared" ca="1" si="8"/>
        <v>231.09699999999998</v>
      </c>
      <c r="Z4" s="141">
        <f t="shared" ca="1" si="9"/>
        <v>647.41899999999998</v>
      </c>
      <c r="AA4" s="141">
        <f t="shared" ca="1" si="10"/>
        <v>616.24699999999996</v>
      </c>
      <c r="AB4" s="141">
        <f t="shared" ca="1" si="11"/>
        <v>529.39700000000005</v>
      </c>
      <c r="AC4" s="141">
        <f t="shared" ca="1" si="12"/>
        <v>529.39700000000005</v>
      </c>
      <c r="AF4" s="142"/>
    </row>
    <row r="5" spans="3:32" x14ac:dyDescent="0.25">
      <c r="C5" s="395"/>
      <c r="D5" s="136" t="s">
        <v>57</v>
      </c>
      <c r="E5" s="137" t="s">
        <v>161</v>
      </c>
      <c r="F5" s="138">
        <v>580.947</v>
      </c>
      <c r="G5" s="138">
        <v>385.78199999999998</v>
      </c>
      <c r="H5" s="138">
        <v>435.20400000000006</v>
      </c>
      <c r="I5" s="139">
        <v>546.76700000000005</v>
      </c>
      <c r="J5" s="139">
        <f t="shared" si="2"/>
        <v>684.10199999999998</v>
      </c>
      <c r="K5" s="138">
        <v>267.77999999999997</v>
      </c>
      <c r="L5" s="139">
        <v>684.10199999999998</v>
      </c>
      <c r="M5" s="138">
        <v>652.92999999999995</v>
      </c>
      <c r="N5" s="138">
        <v>566.08000000000004</v>
      </c>
      <c r="O5" s="139">
        <v>566.08000000000004</v>
      </c>
      <c r="S5" s="140" t="s">
        <v>162</v>
      </c>
      <c r="T5" s="141">
        <f t="shared" ca="1" si="3"/>
        <v>661.42919999999992</v>
      </c>
      <c r="U5" s="141">
        <f t="shared" ca="1" si="4"/>
        <v>466.26419999999996</v>
      </c>
      <c r="V5" s="141">
        <f t="shared" ca="1" si="5"/>
        <v>515.68619999999999</v>
      </c>
      <c r="W5" s="141">
        <f t="shared" ca="1" si="6"/>
        <v>627.24920000000009</v>
      </c>
      <c r="X5" s="141">
        <f t="shared" ca="1" si="7"/>
        <v>764.58420000000001</v>
      </c>
      <c r="Y5" s="141">
        <f t="shared" ca="1" si="8"/>
        <v>348.26220000000001</v>
      </c>
      <c r="Z5" s="141">
        <f t="shared" ca="1" si="9"/>
        <v>764.58420000000001</v>
      </c>
      <c r="AA5" s="141">
        <f t="shared" ca="1" si="10"/>
        <v>733.4122000000001</v>
      </c>
      <c r="AB5" s="141">
        <f t="shared" ca="1" si="11"/>
        <v>646.56219999999996</v>
      </c>
      <c r="AC5" s="141">
        <f t="shared" ca="1" si="12"/>
        <v>646.56219999999996</v>
      </c>
      <c r="AF5" s="142"/>
    </row>
    <row r="6" spans="3:32" x14ac:dyDescent="0.25">
      <c r="C6" s="395"/>
      <c r="D6" s="131" t="s">
        <v>58</v>
      </c>
      <c r="E6" s="132" t="s">
        <v>162</v>
      </c>
      <c r="F6" s="133">
        <v>631.10199999999998</v>
      </c>
      <c r="G6" s="133">
        <v>435.93700000000001</v>
      </c>
      <c r="H6" s="133">
        <v>485.35900000000004</v>
      </c>
      <c r="I6" s="134">
        <v>596.92200000000003</v>
      </c>
      <c r="J6" s="134">
        <f t="shared" si="2"/>
        <v>734.25699999999995</v>
      </c>
      <c r="K6" s="133">
        <v>317.935</v>
      </c>
      <c r="L6" s="134">
        <v>734.25699999999995</v>
      </c>
      <c r="M6" s="133">
        <v>703.08500000000004</v>
      </c>
      <c r="N6" s="133">
        <v>616.23500000000001</v>
      </c>
      <c r="O6" s="134">
        <v>616.23500000000001</v>
      </c>
      <c r="S6" s="140" t="s">
        <v>163</v>
      </c>
      <c r="T6" s="141">
        <f t="shared" ca="1" si="3"/>
        <v>394.62900000000002</v>
      </c>
      <c r="U6" s="141">
        <f t="shared" ca="1" si="4"/>
        <v>596.17999999999995</v>
      </c>
      <c r="V6" s="141">
        <f t="shared" ca="1" si="5"/>
        <v>645.60199999999998</v>
      </c>
      <c r="W6" s="141">
        <f t="shared" ca="1" si="6"/>
        <v>360.44900000000001</v>
      </c>
      <c r="X6" s="141">
        <f t="shared" ca="1" si="7"/>
        <v>93.766000000000005</v>
      </c>
      <c r="Y6" s="141">
        <f t="shared" ca="1" si="8"/>
        <v>598.4799999999999</v>
      </c>
      <c r="Z6" s="141">
        <f t="shared" ca="1" si="9"/>
        <v>93.766000000000005</v>
      </c>
      <c r="AA6" s="141">
        <f t="shared" ca="1" si="10"/>
        <v>466.61200000000002</v>
      </c>
      <c r="AB6" s="141">
        <f t="shared" ca="1" si="11"/>
        <v>776.47799999999995</v>
      </c>
      <c r="AC6" s="141">
        <f t="shared" ca="1" si="12"/>
        <v>776.47799999999995</v>
      </c>
      <c r="AF6" s="142"/>
    </row>
    <row r="7" spans="3:32" x14ac:dyDescent="0.25">
      <c r="C7" s="395"/>
      <c r="D7" s="136" t="s">
        <v>59</v>
      </c>
      <c r="E7" s="137" t="s">
        <v>162</v>
      </c>
      <c r="F7" s="138">
        <v>669.01099999999997</v>
      </c>
      <c r="G7" s="138">
        <v>473.846</v>
      </c>
      <c r="H7" s="138">
        <v>523.26800000000003</v>
      </c>
      <c r="I7" s="139">
        <v>634.83100000000002</v>
      </c>
      <c r="J7" s="139">
        <f t="shared" si="2"/>
        <v>772.16600000000005</v>
      </c>
      <c r="K7" s="138">
        <v>355.84399999999999</v>
      </c>
      <c r="L7" s="139">
        <v>772.16600000000005</v>
      </c>
      <c r="M7" s="138">
        <v>740.99400000000003</v>
      </c>
      <c r="N7" s="138">
        <v>654.14400000000001</v>
      </c>
      <c r="O7" s="139">
        <v>654.14400000000001</v>
      </c>
      <c r="S7" s="140" t="s">
        <v>164</v>
      </c>
      <c r="T7" s="141">
        <f t="shared" ca="1" si="3"/>
        <v>460.82099999999997</v>
      </c>
      <c r="U7" s="141">
        <f t="shared" ca="1" si="4"/>
        <v>64.091333333333338</v>
      </c>
      <c r="V7" s="141">
        <f t="shared" ca="1" si="5"/>
        <v>75.091333333333338</v>
      </c>
      <c r="W7" s="141">
        <f t="shared" ca="1" si="6"/>
        <v>423.95966666666664</v>
      </c>
      <c r="X7" s="141">
        <f t="shared" ca="1" si="7"/>
        <v>563.976</v>
      </c>
      <c r="Y7" s="141">
        <f t="shared" ca="1" si="8"/>
        <v>64.091333333333338</v>
      </c>
      <c r="Z7" s="141">
        <f t="shared" ca="1" si="9"/>
        <v>563.976</v>
      </c>
      <c r="AA7" s="141">
        <f t="shared" ca="1" si="10"/>
        <v>530.12266666666665</v>
      </c>
      <c r="AB7" s="141">
        <f t="shared" ca="1" si="11"/>
        <v>120.26933333333334</v>
      </c>
      <c r="AC7" s="141">
        <f t="shared" ca="1" si="12"/>
        <v>120.26933333333334</v>
      </c>
      <c r="AF7" s="142"/>
    </row>
    <row r="8" spans="3:32" x14ac:dyDescent="0.25">
      <c r="C8" s="395"/>
      <c r="D8" s="131" t="s">
        <v>60</v>
      </c>
      <c r="E8" s="132" t="s">
        <v>162</v>
      </c>
      <c r="F8" s="133">
        <v>669.01099999999997</v>
      </c>
      <c r="G8" s="133">
        <v>473.846</v>
      </c>
      <c r="H8" s="133">
        <v>523.26800000000003</v>
      </c>
      <c r="I8" s="134">
        <v>634.83100000000002</v>
      </c>
      <c r="J8" s="134">
        <f t="shared" si="2"/>
        <v>772.16600000000005</v>
      </c>
      <c r="K8" s="133">
        <v>355.84399999999999</v>
      </c>
      <c r="L8" s="134">
        <v>772.16600000000005</v>
      </c>
      <c r="M8" s="133">
        <v>740.99400000000003</v>
      </c>
      <c r="N8" s="133">
        <v>654.14400000000001</v>
      </c>
      <c r="O8" s="134">
        <v>654.14400000000001</v>
      </c>
      <c r="S8" s="140" t="s">
        <v>165</v>
      </c>
      <c r="T8" s="141">
        <f t="shared" ca="1" si="3"/>
        <v>352.80099999999999</v>
      </c>
      <c r="U8" s="141">
        <f t="shared" ca="1" si="4"/>
        <v>46.097999999999992</v>
      </c>
      <c r="V8" s="141">
        <f t="shared" ca="1" si="5"/>
        <v>95.519999999999982</v>
      </c>
      <c r="W8" s="141">
        <f t="shared" ca="1" si="6"/>
        <v>318.62100000000004</v>
      </c>
      <c r="X8" s="141">
        <f t="shared" ca="1" si="7"/>
        <v>456.31599999999997</v>
      </c>
      <c r="Y8" s="141">
        <f t="shared" ca="1" si="8"/>
        <v>45.943333333333328</v>
      </c>
      <c r="Z8" s="141">
        <f t="shared" ca="1" si="9"/>
        <v>456.31599999999997</v>
      </c>
      <c r="AA8" s="141">
        <f t="shared" ca="1" si="10"/>
        <v>424.06400000000002</v>
      </c>
      <c r="AB8" s="141">
        <f t="shared" ca="1" si="11"/>
        <v>226.39599999999999</v>
      </c>
      <c r="AC8" s="141">
        <f t="shared" ca="1" si="12"/>
        <v>226.39599999999999</v>
      </c>
      <c r="AF8" s="142"/>
    </row>
    <row r="9" spans="3:32" x14ac:dyDescent="0.25">
      <c r="C9" s="395"/>
      <c r="D9" s="136" t="s">
        <v>61</v>
      </c>
      <c r="E9" s="137" t="s">
        <v>162</v>
      </c>
      <c r="F9" s="138">
        <v>669.01099999999997</v>
      </c>
      <c r="G9" s="138">
        <v>473.846</v>
      </c>
      <c r="H9" s="138">
        <v>523.26800000000003</v>
      </c>
      <c r="I9" s="139">
        <v>634.83100000000002</v>
      </c>
      <c r="J9" s="139">
        <f t="shared" si="2"/>
        <v>772.16600000000005</v>
      </c>
      <c r="K9" s="138">
        <v>355.84399999999999</v>
      </c>
      <c r="L9" s="139">
        <v>772.16600000000005</v>
      </c>
      <c r="M9" s="138">
        <v>740.99400000000003</v>
      </c>
      <c r="N9" s="138">
        <v>654.14400000000001</v>
      </c>
      <c r="O9" s="139">
        <v>654.14400000000001</v>
      </c>
      <c r="S9" s="140" t="s">
        <v>166</v>
      </c>
      <c r="T9" s="141">
        <f t="shared" ca="1" si="3"/>
        <v>307.62360000000001</v>
      </c>
      <c r="U9" s="141">
        <f t="shared" ca="1" si="4"/>
        <v>92.737400000000008</v>
      </c>
      <c r="V9" s="141">
        <f t="shared" ca="1" si="5"/>
        <v>142.15940000000001</v>
      </c>
      <c r="W9" s="141">
        <f t="shared" ca="1" si="6"/>
        <v>273.44359999999995</v>
      </c>
      <c r="X9" s="141">
        <f t="shared" ca="1" si="7"/>
        <v>448.94899999999996</v>
      </c>
      <c r="Y9" s="141">
        <f t="shared" ca="1" si="8"/>
        <v>89.951799999999992</v>
      </c>
      <c r="Z9" s="141">
        <f t="shared" ca="1" si="9"/>
        <v>448.94899999999996</v>
      </c>
      <c r="AA9" s="141">
        <f t="shared" ca="1" si="10"/>
        <v>379.60659999999996</v>
      </c>
      <c r="AB9" s="141">
        <f t="shared" ca="1" si="11"/>
        <v>273.03540000000004</v>
      </c>
      <c r="AC9" s="141">
        <f t="shared" ca="1" si="12"/>
        <v>273.03540000000004</v>
      </c>
      <c r="AF9" s="142"/>
    </row>
    <row r="10" spans="3:32" x14ac:dyDescent="0.25">
      <c r="C10" s="395"/>
      <c r="D10" s="131" t="s">
        <v>62</v>
      </c>
      <c r="E10" s="132" t="s">
        <v>162</v>
      </c>
      <c r="F10" s="133">
        <v>669.01099999999997</v>
      </c>
      <c r="G10" s="133">
        <v>473.846</v>
      </c>
      <c r="H10" s="133">
        <v>523.26800000000003</v>
      </c>
      <c r="I10" s="134">
        <v>634.83100000000002</v>
      </c>
      <c r="J10" s="134">
        <f t="shared" si="2"/>
        <v>772.16600000000005</v>
      </c>
      <c r="K10" s="133">
        <v>355.84399999999999</v>
      </c>
      <c r="L10" s="134">
        <v>772.16600000000005</v>
      </c>
      <c r="M10" s="133">
        <v>740.99400000000003</v>
      </c>
      <c r="N10" s="133">
        <v>654.14400000000001</v>
      </c>
      <c r="O10" s="134">
        <v>654.14400000000001</v>
      </c>
      <c r="S10" s="140" t="s">
        <v>167</v>
      </c>
      <c r="T10" s="141">
        <f t="shared" ca="1" si="3"/>
        <v>244.471</v>
      </c>
      <c r="U10" s="141">
        <f t="shared" ca="1" si="4"/>
        <v>154.518</v>
      </c>
      <c r="V10" s="141">
        <f t="shared" ca="1" si="5"/>
        <v>203.93999999999997</v>
      </c>
      <c r="W10" s="141">
        <f t="shared" ca="1" si="6"/>
        <v>210.56099999999998</v>
      </c>
      <c r="X10" s="141">
        <f t="shared" ca="1" si="7"/>
        <v>347.89600000000002</v>
      </c>
      <c r="Y10" s="141">
        <f t="shared" ca="1" si="8"/>
        <v>156.81800000000001</v>
      </c>
      <c r="Z10" s="141">
        <f t="shared" ca="1" si="9"/>
        <v>347.89600000000002</v>
      </c>
      <c r="AA10" s="141">
        <f t="shared" ca="1" si="10"/>
        <v>316.72399999999999</v>
      </c>
      <c r="AB10" s="141">
        <f t="shared" ca="1" si="11"/>
        <v>334.81599999999997</v>
      </c>
      <c r="AC10" s="141">
        <f t="shared" ca="1" si="12"/>
        <v>334.81599999999997</v>
      </c>
      <c r="AF10" s="142"/>
    </row>
    <row r="11" spans="3:32" x14ac:dyDescent="0.25">
      <c r="C11" s="395"/>
      <c r="D11" s="136" t="s">
        <v>63</v>
      </c>
      <c r="E11" s="137" t="s">
        <v>163</v>
      </c>
      <c r="F11" s="138">
        <v>394.62900000000002</v>
      </c>
      <c r="G11" s="138">
        <v>596.17999999999995</v>
      </c>
      <c r="H11" s="138">
        <v>645.60199999999998</v>
      </c>
      <c r="I11" s="139">
        <v>360.44900000000001</v>
      </c>
      <c r="J11" s="139">
        <f t="shared" si="2"/>
        <v>93.766000000000005</v>
      </c>
      <c r="K11" s="138">
        <v>598.4799999999999</v>
      </c>
      <c r="L11" s="139">
        <v>93.766000000000005</v>
      </c>
      <c r="M11" s="138">
        <v>466.61200000000002</v>
      </c>
      <c r="N11" s="138">
        <v>776.47799999999995</v>
      </c>
      <c r="O11" s="139">
        <v>776.47799999999995</v>
      </c>
      <c r="S11" s="140" t="s">
        <v>168</v>
      </c>
      <c r="T11" s="141">
        <f t="shared" ca="1" si="3"/>
        <v>395.91849999999999</v>
      </c>
      <c r="U11" s="141">
        <f t="shared" ca="1" si="4"/>
        <v>36.580500000000001</v>
      </c>
      <c r="V11" s="141">
        <f t="shared" ca="1" si="5"/>
        <v>87.152500000000003</v>
      </c>
      <c r="W11" s="214">
        <f t="shared" ca="1" si="6"/>
        <v>357.71899999999999</v>
      </c>
      <c r="X11" s="141">
        <f t="shared" ca="1" si="7"/>
        <v>499.07349999999997</v>
      </c>
      <c r="Y11" s="141">
        <f t="shared" ca="1" si="8"/>
        <v>34.080500000000001</v>
      </c>
      <c r="Z11" s="141">
        <f t="shared" ca="1" si="9"/>
        <v>499.07349999999997</v>
      </c>
      <c r="AA11" s="141">
        <f t="shared" ca="1" si="10"/>
        <v>463.87950000000001</v>
      </c>
      <c r="AB11" s="141">
        <f t="shared" ca="1" si="11"/>
        <v>218.02850000000001</v>
      </c>
      <c r="AC11" s="141">
        <f t="shared" ca="1" si="12"/>
        <v>218.02850000000001</v>
      </c>
      <c r="AF11" s="142"/>
    </row>
    <row r="12" spans="3:32" x14ac:dyDescent="0.25">
      <c r="C12" s="396" t="s">
        <v>64</v>
      </c>
      <c r="D12" s="131" t="s">
        <v>65</v>
      </c>
      <c r="E12" s="132" t="s">
        <v>164</v>
      </c>
      <c r="F12" s="133">
        <v>391.67099999999999</v>
      </c>
      <c r="G12" s="133">
        <v>7.5880000000000001</v>
      </c>
      <c r="H12" s="133">
        <v>57.009999999999991</v>
      </c>
      <c r="I12" s="134">
        <v>357.49099999999999</v>
      </c>
      <c r="J12" s="134">
        <f t="shared" si="2"/>
        <v>494.82600000000002</v>
      </c>
      <c r="K12" s="133">
        <v>9.8879999999999999</v>
      </c>
      <c r="L12" s="134">
        <v>494.82600000000002</v>
      </c>
      <c r="M12" s="133">
        <v>463.654</v>
      </c>
      <c r="N12" s="133">
        <v>187.886</v>
      </c>
      <c r="O12" s="134">
        <v>187.886</v>
      </c>
      <c r="S12" s="140" t="s">
        <v>169</v>
      </c>
      <c r="T12" s="141">
        <f ca="1">AVERAGEIF($E$2:$Q$54,$S12,F$2:F$54)</f>
        <v>162.84283333333335</v>
      </c>
      <c r="U12" s="141">
        <f t="shared" ca="1" si="4"/>
        <v>343.1248333333333</v>
      </c>
      <c r="V12" s="141">
        <f t="shared" ca="1" si="5"/>
        <v>329.05316666666664</v>
      </c>
      <c r="W12" s="141">
        <f t="shared" ca="1" si="6"/>
        <v>128.66283333333334</v>
      </c>
      <c r="X12" s="141">
        <f t="shared" ca="1" si="7"/>
        <v>222.24283333333335</v>
      </c>
      <c r="Y12" s="141">
        <f t="shared" ca="1" si="8"/>
        <v>278.44916666666666</v>
      </c>
      <c r="Z12" s="141">
        <f t="shared" ca="1" si="9"/>
        <v>222.24283333333335</v>
      </c>
      <c r="AA12" s="141">
        <f t="shared" ca="1" si="10"/>
        <v>234.82583333333335</v>
      </c>
      <c r="AB12" s="141">
        <f t="shared" ca="1" si="11"/>
        <v>459.92916666666662</v>
      </c>
      <c r="AC12" s="141">
        <f t="shared" ca="1" si="12"/>
        <v>459.92916666666662</v>
      </c>
      <c r="AF12" s="142"/>
    </row>
    <row r="13" spans="3:32" x14ac:dyDescent="0.25">
      <c r="C13" s="397"/>
      <c r="D13" s="136" t="s">
        <v>66</v>
      </c>
      <c r="E13" s="137" t="s">
        <v>164</v>
      </c>
      <c r="F13" s="138">
        <v>401.55900000000003</v>
      </c>
      <c r="G13" s="138">
        <v>2.2999999999999998</v>
      </c>
      <c r="H13" s="138">
        <v>51.722000000000008</v>
      </c>
      <c r="I13" s="139">
        <v>359.33499999999998</v>
      </c>
      <c r="J13" s="139">
        <f t="shared" si="2"/>
        <v>504.714</v>
      </c>
      <c r="K13" s="138">
        <v>0</v>
      </c>
      <c r="L13" s="139">
        <v>504.714</v>
      </c>
      <c r="M13" s="138">
        <v>465.49799999999999</v>
      </c>
      <c r="N13" s="138">
        <v>182.59800000000001</v>
      </c>
      <c r="O13" s="139">
        <v>182.59800000000001</v>
      </c>
      <c r="S13" s="140" t="s">
        <v>170</v>
      </c>
      <c r="T13" s="141">
        <f t="shared" ca="1" si="3"/>
        <v>77.567999999999998</v>
      </c>
      <c r="U13" s="141">
        <f t="shared" ca="1" si="4"/>
        <v>319.46766666666667</v>
      </c>
      <c r="V13" s="141">
        <f t="shared" ca="1" si="5"/>
        <v>367.80966666666671</v>
      </c>
      <c r="W13" s="141">
        <f t="shared" ca="1" si="6"/>
        <v>45.611333333333334</v>
      </c>
      <c r="X13" s="141">
        <f t="shared" ca="1" si="7"/>
        <v>221.07166666666669</v>
      </c>
      <c r="Y13" s="141">
        <f t="shared" ca="1" si="8"/>
        <v>321.76766666666668</v>
      </c>
      <c r="Z13" s="141">
        <f t="shared" ca="1" si="9"/>
        <v>221.07166666666669</v>
      </c>
      <c r="AA13" s="141">
        <f t="shared" ca="1" si="10"/>
        <v>151.77433333333332</v>
      </c>
      <c r="AB13" s="141">
        <f t="shared" ca="1" si="11"/>
        <v>498.68566666666669</v>
      </c>
      <c r="AC13" s="141">
        <f t="shared" ca="1" si="12"/>
        <v>498.68566666666669</v>
      </c>
      <c r="AF13" s="142"/>
    </row>
    <row r="14" spans="3:32" x14ac:dyDescent="0.25">
      <c r="C14" s="397"/>
      <c r="D14" s="131" t="s">
        <v>67</v>
      </c>
      <c r="E14" s="132" t="s">
        <v>164</v>
      </c>
      <c r="F14" s="133">
        <v>401.55900000000003</v>
      </c>
      <c r="G14" s="133">
        <v>2.2999999999999998</v>
      </c>
      <c r="H14" s="133">
        <v>51.722000000000008</v>
      </c>
      <c r="I14" s="134">
        <v>359.33499999999998</v>
      </c>
      <c r="J14" s="134">
        <f t="shared" si="2"/>
        <v>504.714</v>
      </c>
      <c r="K14" s="133">
        <v>0</v>
      </c>
      <c r="L14" s="134">
        <v>504.714</v>
      </c>
      <c r="M14" s="133">
        <v>465.49799999999999</v>
      </c>
      <c r="N14" s="133">
        <v>182.59800000000001</v>
      </c>
      <c r="O14" s="134">
        <v>182.59800000000001</v>
      </c>
      <c r="S14" s="140" t="s">
        <v>171</v>
      </c>
      <c r="T14" s="141">
        <f t="shared" ca="1" si="3"/>
        <v>176.60120000000001</v>
      </c>
      <c r="U14" s="141">
        <f t="shared" ca="1" si="4"/>
        <v>435.43320000000006</v>
      </c>
      <c r="V14" s="141">
        <f t="shared" ca="1" si="5"/>
        <v>483.80799999999999</v>
      </c>
      <c r="W14" s="141">
        <f t="shared" ca="1" si="6"/>
        <v>70.354199999999992</v>
      </c>
      <c r="X14" s="141">
        <f t="shared" ca="1" si="7"/>
        <v>337.03720000000004</v>
      </c>
      <c r="Y14" s="141">
        <f t="shared" ca="1" si="8"/>
        <v>437.73320000000001</v>
      </c>
      <c r="Z14" s="141">
        <f t="shared" ca="1" si="9"/>
        <v>337.03720000000004</v>
      </c>
      <c r="AA14" s="141">
        <f t="shared" ca="1" si="10"/>
        <v>46.044000000000004</v>
      </c>
      <c r="AB14" s="141">
        <f t="shared" ca="1" si="11"/>
        <v>614.68399999999997</v>
      </c>
      <c r="AC14" s="141">
        <f t="shared" ca="1" si="12"/>
        <v>614.68399999999997</v>
      </c>
      <c r="AF14" s="142"/>
    </row>
    <row r="15" spans="3:32" x14ac:dyDescent="0.25">
      <c r="C15" s="397"/>
      <c r="D15" s="136" t="s">
        <v>68</v>
      </c>
      <c r="E15" s="137" t="s">
        <v>164</v>
      </c>
      <c r="F15" s="138">
        <v>437.68099999999998</v>
      </c>
      <c r="G15" s="138">
        <v>38.421999999999997</v>
      </c>
      <c r="H15" s="138">
        <v>11</v>
      </c>
      <c r="I15" s="139">
        <v>403.50099999999998</v>
      </c>
      <c r="J15" s="139">
        <f t="shared" si="2"/>
        <v>540.83600000000001</v>
      </c>
      <c r="K15" s="138">
        <v>40.721999999999994</v>
      </c>
      <c r="L15" s="139">
        <v>540.83600000000001</v>
      </c>
      <c r="M15" s="138">
        <v>509.66399999999999</v>
      </c>
      <c r="N15" s="138">
        <v>141.876</v>
      </c>
      <c r="O15" s="139">
        <v>141.876</v>
      </c>
      <c r="S15" s="140" t="s">
        <v>172</v>
      </c>
      <c r="T15" s="141">
        <f t="shared" ca="1" si="3"/>
        <v>211.58399999999997</v>
      </c>
      <c r="U15" s="141">
        <f t="shared" ca="1" si="4"/>
        <v>470.416</v>
      </c>
      <c r="V15" s="141">
        <f t="shared" ca="1" si="5"/>
        <v>519.83799999999997</v>
      </c>
      <c r="W15" s="141">
        <f t="shared" ca="1" si="6"/>
        <v>105.337</v>
      </c>
      <c r="X15" s="141">
        <f t="shared" ca="1" si="7"/>
        <v>372.02</v>
      </c>
      <c r="Y15" s="141">
        <f t="shared" ca="1" si="8"/>
        <v>472.71600000000007</v>
      </c>
      <c r="Z15" s="141">
        <f t="shared" ca="1" si="9"/>
        <v>372.02</v>
      </c>
      <c r="AA15" s="141">
        <f t="shared" ca="1" si="10"/>
        <v>0.82600000000000007</v>
      </c>
      <c r="AB15" s="141">
        <f t="shared" ca="1" si="11"/>
        <v>650.71399999999994</v>
      </c>
      <c r="AC15" s="141">
        <f t="shared" ca="1" si="12"/>
        <v>650.71399999999994</v>
      </c>
      <c r="AF15" s="142"/>
    </row>
    <row r="16" spans="3:32" x14ac:dyDescent="0.25">
      <c r="C16" s="397"/>
      <c r="D16" s="131" t="s">
        <v>69</v>
      </c>
      <c r="E16" s="132" t="s">
        <v>164</v>
      </c>
      <c r="F16" s="133">
        <v>566.22799999999995</v>
      </c>
      <c r="G16" s="133">
        <v>166.96899999999999</v>
      </c>
      <c r="H16" s="133">
        <v>139.547</v>
      </c>
      <c r="I16" s="134">
        <v>532.048</v>
      </c>
      <c r="J16" s="134">
        <f t="shared" si="2"/>
        <v>669.38300000000004</v>
      </c>
      <c r="K16" s="133">
        <v>166.96899999999999</v>
      </c>
      <c r="L16" s="134">
        <v>669.38300000000004</v>
      </c>
      <c r="M16" s="133">
        <v>638.21100000000001</v>
      </c>
      <c r="N16" s="133">
        <v>13.329000000000001</v>
      </c>
      <c r="O16" s="134">
        <v>13.329000000000001</v>
      </c>
      <c r="S16" s="140" t="str">
        <f>D46</f>
        <v>PE-GUARAREMA (INTERCONEXÃO)</v>
      </c>
      <c r="T16" s="141">
        <f t="shared" ref="T16:AC18" si="13">F46</f>
        <v>106.247</v>
      </c>
      <c r="U16" s="141">
        <f t="shared" si="13"/>
        <v>365.07900000000001</v>
      </c>
      <c r="V16" s="141">
        <f t="shared" si="13"/>
        <v>414.50099999999998</v>
      </c>
      <c r="W16" s="141">
        <f t="shared" si="13"/>
        <v>0</v>
      </c>
      <c r="X16" s="141">
        <f t="shared" si="13"/>
        <v>266.68299999999999</v>
      </c>
      <c r="Y16" s="141">
        <f t="shared" si="13"/>
        <v>367.37900000000002</v>
      </c>
      <c r="Z16" s="141">
        <f t="shared" si="13"/>
        <v>266.68299999999999</v>
      </c>
      <c r="AA16" s="141">
        <f t="shared" si="13"/>
        <v>106.163</v>
      </c>
      <c r="AB16" s="141">
        <f t="shared" si="13"/>
        <v>545.37699999999995</v>
      </c>
      <c r="AC16" s="141">
        <f t="shared" si="13"/>
        <v>545.37699999999995</v>
      </c>
      <c r="AF16" s="142"/>
    </row>
    <row r="17" spans="3:32" x14ac:dyDescent="0.25">
      <c r="C17" s="397"/>
      <c r="D17" s="136" t="s">
        <v>70</v>
      </c>
      <c r="E17" s="137" t="s">
        <v>164</v>
      </c>
      <c r="F17" s="138">
        <v>566.22799999999995</v>
      </c>
      <c r="G17" s="138">
        <v>166.96899999999999</v>
      </c>
      <c r="H17" s="138">
        <v>139.547</v>
      </c>
      <c r="I17" s="139">
        <v>532.048</v>
      </c>
      <c r="J17" s="139">
        <f t="shared" si="2"/>
        <v>669.38300000000004</v>
      </c>
      <c r="K17" s="138">
        <v>166.96899999999999</v>
      </c>
      <c r="L17" s="139">
        <v>669.38300000000004</v>
      </c>
      <c r="M17" s="138">
        <v>638.21100000000001</v>
      </c>
      <c r="N17" s="138">
        <v>13.329000000000001</v>
      </c>
      <c r="O17" s="139">
        <v>13.329000000000001</v>
      </c>
      <c r="S17" s="140" t="str">
        <f>D47</f>
        <v>PE-REPLAN (INTERCONEXÃO)</v>
      </c>
      <c r="T17" s="141">
        <f t="shared" si="13"/>
        <v>300.863</v>
      </c>
      <c r="U17" s="141">
        <f t="shared" si="13"/>
        <v>502.41399999999999</v>
      </c>
      <c r="V17" s="141">
        <f t="shared" si="13"/>
        <v>551.83600000000001</v>
      </c>
      <c r="W17" s="141">
        <f t="shared" si="13"/>
        <v>266.68299999999999</v>
      </c>
      <c r="X17" s="141">
        <f t="shared" si="13"/>
        <v>0</v>
      </c>
      <c r="Y17" s="141">
        <f t="shared" si="13"/>
        <v>504.714</v>
      </c>
      <c r="Z17" s="141">
        <f t="shared" si="13"/>
        <v>0</v>
      </c>
      <c r="AA17" s="141">
        <f t="shared" si="13"/>
        <v>372.846</v>
      </c>
      <c r="AB17" s="141">
        <f t="shared" si="13"/>
        <v>682.71199999999999</v>
      </c>
      <c r="AC17" s="141">
        <f t="shared" si="13"/>
        <v>682.71199999999999</v>
      </c>
      <c r="AF17" s="142"/>
    </row>
    <row r="18" spans="3:32" x14ac:dyDescent="0.25">
      <c r="C18" s="397"/>
      <c r="D18" s="136" t="s">
        <v>71</v>
      </c>
      <c r="E18" s="137" t="s">
        <v>165</v>
      </c>
      <c r="F18" s="138">
        <v>352.08100000000002</v>
      </c>
      <c r="G18" s="138">
        <v>46.097999999999999</v>
      </c>
      <c r="H18" s="138">
        <v>95.519999999999982</v>
      </c>
      <c r="I18" s="139">
        <v>317.90100000000001</v>
      </c>
      <c r="J18" s="139">
        <f t="shared" ref="J18:J34" si="14">L18</f>
        <v>456.31599999999997</v>
      </c>
      <c r="K18" s="138">
        <v>41.033999999999999</v>
      </c>
      <c r="L18" s="139">
        <v>456.31599999999997</v>
      </c>
      <c r="M18" s="138">
        <v>424.06400000000002</v>
      </c>
      <c r="N18" s="138">
        <v>226.39599999999999</v>
      </c>
      <c r="O18" s="139">
        <v>226.39599999999999</v>
      </c>
      <c r="S18" s="140" t="str">
        <f>D48</f>
        <v>PE-TECAB (INTERCONEXÃO)</v>
      </c>
      <c r="T18" s="141">
        <f t="shared" si="13"/>
        <v>579.55700000000002</v>
      </c>
      <c r="U18" s="141">
        <f t="shared" si="13"/>
        <v>180.298</v>
      </c>
      <c r="V18" s="141">
        <f t="shared" si="13"/>
        <v>152.876</v>
      </c>
      <c r="W18" s="141">
        <f t="shared" si="13"/>
        <v>545.37699999999995</v>
      </c>
      <c r="X18" s="141">
        <f t="shared" si="13"/>
        <v>682.71199999999999</v>
      </c>
      <c r="Y18" s="141">
        <f t="shared" si="13"/>
        <v>180.298</v>
      </c>
      <c r="Z18" s="141">
        <f t="shared" si="13"/>
        <v>682.71199999999999</v>
      </c>
      <c r="AA18" s="141">
        <f t="shared" si="13"/>
        <v>651.54</v>
      </c>
      <c r="AB18" s="141">
        <f t="shared" si="13"/>
        <v>0</v>
      </c>
      <c r="AC18" s="141">
        <f t="shared" si="13"/>
        <v>0</v>
      </c>
      <c r="AF18" s="142"/>
    </row>
    <row r="19" spans="3:32" x14ac:dyDescent="0.25">
      <c r="C19" s="397"/>
      <c r="D19" s="131" t="s">
        <v>72</v>
      </c>
      <c r="E19" s="132" t="s">
        <v>165</v>
      </c>
      <c r="F19" s="133">
        <v>353.161</v>
      </c>
      <c r="G19" s="133">
        <v>46.097999999999999</v>
      </c>
      <c r="H19" s="133">
        <v>95.519999999999982</v>
      </c>
      <c r="I19" s="134">
        <v>318.98099999999999</v>
      </c>
      <c r="J19" s="134">
        <f t="shared" si="14"/>
        <v>456.31599999999997</v>
      </c>
      <c r="K19" s="133">
        <v>48.397999999999996</v>
      </c>
      <c r="L19" s="134">
        <v>456.31599999999997</v>
      </c>
      <c r="M19" s="133">
        <v>424.06400000000002</v>
      </c>
      <c r="N19" s="133">
        <v>226.39599999999999</v>
      </c>
      <c r="O19" s="134">
        <v>226.39599999999999</v>
      </c>
    </row>
    <row r="20" spans="3:32" x14ac:dyDescent="0.25">
      <c r="C20" s="397"/>
      <c r="D20" s="136" t="s">
        <v>73</v>
      </c>
      <c r="E20" s="137" t="s">
        <v>165</v>
      </c>
      <c r="F20" s="138">
        <v>353.161</v>
      </c>
      <c r="G20" s="138">
        <v>46.097999999999999</v>
      </c>
      <c r="H20" s="138">
        <v>95.519999999999982</v>
      </c>
      <c r="I20" s="139">
        <v>318.98099999999999</v>
      </c>
      <c r="J20" s="139">
        <f t="shared" si="14"/>
        <v>456.31599999999997</v>
      </c>
      <c r="K20" s="138">
        <v>48.397999999999996</v>
      </c>
      <c r="L20" s="139">
        <v>456.31599999999997</v>
      </c>
      <c r="M20" s="138">
        <v>424.06400000000002</v>
      </c>
      <c r="N20" s="138">
        <v>226.39599999999999</v>
      </c>
      <c r="O20" s="139">
        <v>226.39599999999999</v>
      </c>
      <c r="S20" s="94"/>
    </row>
    <row r="21" spans="3:32" x14ac:dyDescent="0.25">
      <c r="C21" s="397"/>
      <c r="D21" s="131" t="s">
        <v>74</v>
      </c>
      <c r="E21" s="132" t="s">
        <v>166</v>
      </c>
      <c r="F21" s="133">
        <v>278.76900000000001</v>
      </c>
      <c r="G21" s="133">
        <v>119.41</v>
      </c>
      <c r="H21" s="133">
        <v>168.83200000000002</v>
      </c>
      <c r="I21" s="134">
        <v>244.58899999999994</v>
      </c>
      <c r="J21" s="134">
        <f t="shared" si="14"/>
        <v>381.92399999999998</v>
      </c>
      <c r="K21" s="133">
        <v>117.11</v>
      </c>
      <c r="L21" s="134">
        <v>381.92399999999998</v>
      </c>
      <c r="M21" s="133">
        <v>350.75200000000001</v>
      </c>
      <c r="N21" s="133">
        <v>299.70800000000003</v>
      </c>
      <c r="O21" s="134">
        <v>299.70800000000003</v>
      </c>
      <c r="S21" s="94"/>
    </row>
    <row r="22" spans="3:32" x14ac:dyDescent="0.25">
      <c r="C22" s="397"/>
      <c r="D22" s="136" t="s">
        <v>75</v>
      </c>
      <c r="E22" s="137" t="s">
        <v>166</v>
      </c>
      <c r="F22" s="138">
        <v>291.45699999999999</v>
      </c>
      <c r="G22" s="138">
        <v>106.72199999999999</v>
      </c>
      <c r="H22" s="138">
        <v>156.14399999999998</v>
      </c>
      <c r="I22" s="139">
        <v>257.27699999999993</v>
      </c>
      <c r="J22" s="139">
        <f t="shared" si="14"/>
        <v>394.61200000000002</v>
      </c>
      <c r="K22" s="138">
        <v>104.422</v>
      </c>
      <c r="L22" s="139">
        <v>394.61200000000002</v>
      </c>
      <c r="M22" s="138">
        <v>363.44</v>
      </c>
      <c r="N22" s="138">
        <v>287.02</v>
      </c>
      <c r="O22" s="139">
        <v>287.02</v>
      </c>
      <c r="S22" s="94"/>
    </row>
    <row r="23" spans="3:32" x14ac:dyDescent="0.25">
      <c r="C23" s="397"/>
      <c r="D23" s="131" t="s">
        <v>78</v>
      </c>
      <c r="E23" s="132" t="s">
        <v>166</v>
      </c>
      <c r="F23" s="133">
        <v>304.05500000000001</v>
      </c>
      <c r="G23" s="133">
        <v>105.03400000000001</v>
      </c>
      <c r="H23" s="133">
        <v>154.45599999999999</v>
      </c>
      <c r="I23" s="134">
        <v>269.875</v>
      </c>
      <c r="J23" s="134">
        <f t="shared" si="14"/>
        <v>515.25199999999995</v>
      </c>
      <c r="K23" s="133">
        <v>105.03400000000001</v>
      </c>
      <c r="L23" s="134">
        <v>515.25199999999995</v>
      </c>
      <c r="M23" s="133">
        <v>376.03800000000001</v>
      </c>
      <c r="N23" s="133">
        <v>285.33199999999999</v>
      </c>
      <c r="O23" s="134">
        <v>285.33199999999999</v>
      </c>
      <c r="S23" s="94"/>
    </row>
    <row r="24" spans="3:32" x14ac:dyDescent="0.25">
      <c r="C24" s="397"/>
      <c r="D24" s="136" t="s">
        <v>77</v>
      </c>
      <c r="E24" s="137" t="s">
        <v>166</v>
      </c>
      <c r="F24" s="138">
        <v>322.28199999999998</v>
      </c>
      <c r="G24" s="138">
        <v>75.897000000000006</v>
      </c>
      <c r="H24" s="138">
        <v>125.31899999999999</v>
      </c>
      <c r="I24" s="139">
        <v>288.10199999999998</v>
      </c>
      <c r="J24" s="139">
        <f t="shared" si="14"/>
        <v>486.11500000000001</v>
      </c>
      <c r="K24" s="138">
        <v>71.233000000000004</v>
      </c>
      <c r="L24" s="139">
        <v>486.11500000000001</v>
      </c>
      <c r="M24" s="138">
        <v>394.26499999999999</v>
      </c>
      <c r="N24" s="138">
        <v>256.19499999999999</v>
      </c>
      <c r="O24" s="139">
        <v>256.19499999999999</v>
      </c>
      <c r="S24" s="94"/>
    </row>
    <row r="25" spans="3:32" x14ac:dyDescent="0.25">
      <c r="C25" s="397"/>
      <c r="D25" s="131" t="s">
        <v>76</v>
      </c>
      <c r="E25" s="132" t="s">
        <v>166</v>
      </c>
      <c r="F25" s="133">
        <v>341.55500000000001</v>
      </c>
      <c r="G25" s="133">
        <v>56.624000000000002</v>
      </c>
      <c r="H25" s="133">
        <v>106.04599999999999</v>
      </c>
      <c r="I25" s="134">
        <v>307.375</v>
      </c>
      <c r="J25" s="134">
        <f t="shared" si="14"/>
        <v>466.84199999999998</v>
      </c>
      <c r="K25" s="133">
        <v>51.96</v>
      </c>
      <c r="L25" s="134">
        <v>466.84199999999998</v>
      </c>
      <c r="M25" s="133">
        <v>413.53800000000001</v>
      </c>
      <c r="N25" s="133">
        <v>236.922</v>
      </c>
      <c r="O25" s="134">
        <v>236.922</v>
      </c>
      <c r="S25" s="94"/>
    </row>
    <row r="26" spans="3:32" x14ac:dyDescent="0.25">
      <c r="C26" s="397"/>
      <c r="D26" s="136" t="s">
        <v>79</v>
      </c>
      <c r="E26" s="137" t="s">
        <v>167</v>
      </c>
      <c r="F26" s="138">
        <v>244.471</v>
      </c>
      <c r="G26" s="138">
        <v>154.518</v>
      </c>
      <c r="H26" s="138">
        <v>203.93999999999997</v>
      </c>
      <c r="I26" s="139">
        <v>210.56099999999998</v>
      </c>
      <c r="J26" s="139">
        <f t="shared" si="14"/>
        <v>347.89600000000002</v>
      </c>
      <c r="K26" s="138">
        <v>156.81800000000001</v>
      </c>
      <c r="L26" s="139">
        <v>347.89600000000002</v>
      </c>
      <c r="M26" s="138">
        <v>316.72399999999999</v>
      </c>
      <c r="N26" s="138">
        <v>334.81599999999997</v>
      </c>
      <c r="O26" s="139">
        <v>334.81599999999997</v>
      </c>
      <c r="S26" s="94"/>
    </row>
    <row r="27" spans="3:32" x14ac:dyDescent="0.25">
      <c r="C27" s="397"/>
      <c r="D27" s="131" t="s">
        <v>80</v>
      </c>
      <c r="E27" s="132" t="s">
        <v>168</v>
      </c>
      <c r="F27" s="133">
        <v>390.27800000000002</v>
      </c>
      <c r="G27" s="133">
        <v>70.861000000000004</v>
      </c>
      <c r="H27" s="133">
        <v>122.583</v>
      </c>
      <c r="I27" s="134">
        <v>356.09800000000001</v>
      </c>
      <c r="J27" s="134">
        <f t="shared" si="14"/>
        <v>493.43299999999999</v>
      </c>
      <c r="K27" s="133">
        <v>68.161000000000001</v>
      </c>
      <c r="L27" s="134">
        <v>493.43299999999999</v>
      </c>
      <c r="M27" s="133">
        <v>462.26100000000002</v>
      </c>
      <c r="N27" s="133">
        <v>253.459</v>
      </c>
      <c r="O27" s="134">
        <v>253.459</v>
      </c>
      <c r="S27" s="94"/>
    </row>
    <row r="28" spans="3:32" x14ac:dyDescent="0.25">
      <c r="C28" s="398"/>
      <c r="D28" s="136" t="s">
        <v>81</v>
      </c>
      <c r="E28" s="137" t="s">
        <v>168</v>
      </c>
      <c r="F28" s="138">
        <v>401.55900000000003</v>
      </c>
      <c r="G28" s="138">
        <v>2.2999999999999998</v>
      </c>
      <c r="H28" s="138">
        <v>51.722000000000008</v>
      </c>
      <c r="I28" s="139">
        <v>359.34</v>
      </c>
      <c r="J28" s="139">
        <f t="shared" si="14"/>
        <v>504.714</v>
      </c>
      <c r="K28" s="138">
        <v>0</v>
      </c>
      <c r="L28" s="139">
        <v>504.714</v>
      </c>
      <c r="M28" s="138">
        <v>465.49799999999999</v>
      </c>
      <c r="N28" s="138">
        <v>182.59800000000001</v>
      </c>
      <c r="O28" s="139">
        <v>182.59800000000001</v>
      </c>
      <c r="S28" s="94"/>
    </row>
    <row r="29" spans="3:32" x14ac:dyDescent="0.25">
      <c r="C29" s="396" t="s">
        <v>82</v>
      </c>
      <c r="D29" s="131" t="s">
        <v>84</v>
      </c>
      <c r="E29" s="132" t="s">
        <v>169</v>
      </c>
      <c r="F29" s="133">
        <v>111.196</v>
      </c>
      <c r="G29" s="133">
        <v>312.74700000000001</v>
      </c>
      <c r="H29" s="133">
        <v>362.16899999999998</v>
      </c>
      <c r="I29" s="134">
        <v>77.016000000000005</v>
      </c>
      <c r="J29" s="134">
        <f t="shared" si="14"/>
        <v>189.667</v>
      </c>
      <c r="K29" s="133">
        <v>315.04700000000003</v>
      </c>
      <c r="L29" s="134">
        <v>189.667</v>
      </c>
      <c r="M29" s="133">
        <v>183.179</v>
      </c>
      <c r="N29" s="133">
        <v>493.04500000000002</v>
      </c>
      <c r="O29" s="134">
        <v>493.04500000000002</v>
      </c>
      <c r="S29" s="94"/>
    </row>
    <row r="30" spans="3:32" x14ac:dyDescent="0.25">
      <c r="C30" s="397"/>
      <c r="D30" s="136" t="s">
        <v>85</v>
      </c>
      <c r="E30" s="137" t="s">
        <v>169</v>
      </c>
      <c r="F30" s="138">
        <v>128.608</v>
      </c>
      <c r="G30" s="138">
        <v>330.15899999999999</v>
      </c>
      <c r="H30" s="138">
        <v>318.99300000000005</v>
      </c>
      <c r="I30" s="139">
        <v>94.427999999999997</v>
      </c>
      <c r="J30" s="139">
        <f t="shared" si="14"/>
        <v>231.76300000000001</v>
      </c>
      <c r="K30" s="138">
        <v>264.90699999999998</v>
      </c>
      <c r="L30" s="139">
        <v>231.76300000000001</v>
      </c>
      <c r="M30" s="138">
        <v>200.59100000000001</v>
      </c>
      <c r="N30" s="138">
        <v>449.86900000000003</v>
      </c>
      <c r="O30" s="139">
        <v>449.86900000000003</v>
      </c>
      <c r="S30" s="94"/>
    </row>
    <row r="31" spans="3:32" x14ac:dyDescent="0.25">
      <c r="C31" s="397"/>
      <c r="D31" s="131" t="s">
        <v>86</v>
      </c>
      <c r="E31" s="132" t="s">
        <v>169</v>
      </c>
      <c r="F31" s="133">
        <v>162.661</v>
      </c>
      <c r="G31" s="133">
        <v>236.59800000000001</v>
      </c>
      <c r="H31" s="133">
        <v>286.02</v>
      </c>
      <c r="I31" s="134">
        <v>128.48100000000005</v>
      </c>
      <c r="J31" s="134">
        <f t="shared" si="14"/>
        <v>265.81599999999997</v>
      </c>
      <c r="K31" s="133">
        <v>238.89800000000002</v>
      </c>
      <c r="L31" s="134">
        <v>265.81599999999997</v>
      </c>
      <c r="M31" s="133">
        <v>234.64400000000001</v>
      </c>
      <c r="N31" s="133">
        <v>416.89600000000002</v>
      </c>
      <c r="O31" s="134">
        <v>416.89600000000002</v>
      </c>
      <c r="S31" s="94"/>
    </row>
    <row r="32" spans="3:32" x14ac:dyDescent="0.25">
      <c r="C32" s="397"/>
      <c r="D32" s="136" t="s">
        <v>87</v>
      </c>
      <c r="E32" s="137" t="s">
        <v>169</v>
      </c>
      <c r="F32" s="138">
        <v>166.572</v>
      </c>
      <c r="G32" s="138">
        <v>368.12299999999999</v>
      </c>
      <c r="H32" s="138">
        <v>281.029</v>
      </c>
      <c r="I32" s="139">
        <v>132.392</v>
      </c>
      <c r="J32" s="139">
        <f t="shared" si="14"/>
        <v>269.72699999999998</v>
      </c>
      <c r="K32" s="138">
        <v>226.94300000000001</v>
      </c>
      <c r="L32" s="139">
        <v>269.72699999999998</v>
      </c>
      <c r="M32" s="138">
        <v>238.55500000000001</v>
      </c>
      <c r="N32" s="138">
        <v>411.90499999999997</v>
      </c>
      <c r="O32" s="139">
        <v>411.90499999999997</v>
      </c>
      <c r="S32" s="94"/>
    </row>
    <row r="33" spans="3:22" x14ac:dyDescent="0.25">
      <c r="C33" s="397"/>
      <c r="D33" s="131" t="s">
        <v>88</v>
      </c>
      <c r="E33" s="132" t="s">
        <v>169</v>
      </c>
      <c r="F33" s="133">
        <v>190.24299999999999</v>
      </c>
      <c r="G33" s="133">
        <v>391.79399999999998</v>
      </c>
      <c r="H33" s="133">
        <v>257.35799999999995</v>
      </c>
      <c r="I33" s="134">
        <v>156.06299999999999</v>
      </c>
      <c r="J33" s="134">
        <f t="shared" si="14"/>
        <v>293.39800000000002</v>
      </c>
      <c r="K33" s="133">
        <v>203.27199999999999</v>
      </c>
      <c r="L33" s="134">
        <v>293.39800000000002</v>
      </c>
      <c r="M33" s="133">
        <v>262.226</v>
      </c>
      <c r="N33" s="133">
        <v>388.23399999999998</v>
      </c>
      <c r="O33" s="134">
        <v>388.23399999999998</v>
      </c>
      <c r="S33" s="94"/>
    </row>
    <row r="34" spans="3:22" x14ac:dyDescent="0.25">
      <c r="C34" s="397"/>
      <c r="D34" s="136" t="s">
        <v>83</v>
      </c>
      <c r="E34" s="137" t="s">
        <v>169</v>
      </c>
      <c r="F34" s="138">
        <v>217.77699999999999</v>
      </c>
      <c r="G34" s="138">
        <v>419.32799999999997</v>
      </c>
      <c r="H34" s="138">
        <v>468.75</v>
      </c>
      <c r="I34" s="139">
        <v>183.59700000000001</v>
      </c>
      <c r="J34" s="139">
        <f t="shared" si="14"/>
        <v>83.085999999999999</v>
      </c>
      <c r="K34" s="138">
        <v>421.62799999999999</v>
      </c>
      <c r="L34" s="139">
        <v>83.085999999999999</v>
      </c>
      <c r="M34" s="138">
        <v>289.76</v>
      </c>
      <c r="N34" s="138">
        <v>599.62599999999998</v>
      </c>
      <c r="O34" s="139">
        <v>599.62599999999998</v>
      </c>
      <c r="S34" s="94"/>
    </row>
    <row r="35" spans="3:22" x14ac:dyDescent="0.25">
      <c r="C35" s="397"/>
      <c r="D35" s="136" t="s">
        <v>90</v>
      </c>
      <c r="E35" s="137" t="s">
        <v>170</v>
      </c>
      <c r="F35" s="138">
        <v>66.924999999999997</v>
      </c>
      <c r="G35" s="138">
        <v>328.99900000000002</v>
      </c>
      <c r="H35" s="138">
        <v>377.34100000000001</v>
      </c>
      <c r="I35" s="139">
        <v>36.08</v>
      </c>
      <c r="J35" s="139">
        <f t="shared" ref="J35:J45" si="15">L35</f>
        <v>230.60300000000001</v>
      </c>
      <c r="K35" s="138">
        <v>331.29900000000004</v>
      </c>
      <c r="L35" s="139">
        <v>230.60300000000001</v>
      </c>
      <c r="M35" s="138">
        <v>142.24299999999999</v>
      </c>
      <c r="N35" s="138">
        <v>508.21699999999998</v>
      </c>
      <c r="O35" s="139">
        <v>508.21699999999998</v>
      </c>
      <c r="S35" s="94"/>
    </row>
    <row r="36" spans="3:22" x14ac:dyDescent="0.25">
      <c r="C36" s="397"/>
      <c r="D36" s="131" t="s">
        <v>91</v>
      </c>
      <c r="E36" s="132" t="s">
        <v>170</v>
      </c>
      <c r="F36" s="133">
        <v>66.924999999999997</v>
      </c>
      <c r="G36" s="133">
        <v>328.99900000000002</v>
      </c>
      <c r="H36" s="133">
        <v>377.34100000000001</v>
      </c>
      <c r="I36" s="134">
        <v>36.08</v>
      </c>
      <c r="J36" s="134">
        <f t="shared" si="15"/>
        <v>230.60300000000001</v>
      </c>
      <c r="K36" s="133">
        <v>331.29900000000004</v>
      </c>
      <c r="L36" s="134">
        <v>230.60300000000001</v>
      </c>
      <c r="M36" s="133">
        <v>142.24299999999999</v>
      </c>
      <c r="N36" s="133">
        <v>508.21699999999998</v>
      </c>
      <c r="O36" s="134">
        <v>508.21699999999998</v>
      </c>
      <c r="S36" s="94"/>
    </row>
    <row r="37" spans="3:22" x14ac:dyDescent="0.25">
      <c r="C37" s="397"/>
      <c r="D37" s="136" t="s">
        <v>89</v>
      </c>
      <c r="E37" s="137" t="s">
        <v>170</v>
      </c>
      <c r="F37" s="138">
        <v>98.853999999999999</v>
      </c>
      <c r="G37" s="138">
        <v>300.40499999999997</v>
      </c>
      <c r="H37" s="138">
        <v>348.74699999999996</v>
      </c>
      <c r="I37" s="139">
        <v>64.674000000000007</v>
      </c>
      <c r="J37" s="139">
        <f t="shared" si="15"/>
        <v>202.00899999999999</v>
      </c>
      <c r="K37" s="138">
        <v>302.70499999999998</v>
      </c>
      <c r="L37" s="139">
        <v>202.00899999999999</v>
      </c>
      <c r="M37" s="138">
        <v>170.83699999999999</v>
      </c>
      <c r="N37" s="138">
        <v>479.62299999999999</v>
      </c>
      <c r="O37" s="139">
        <v>479.62299999999999</v>
      </c>
      <c r="S37" s="94"/>
    </row>
    <row r="38" spans="3:22" x14ac:dyDescent="0.25">
      <c r="C38" s="397"/>
      <c r="D38" s="136" t="s">
        <v>92</v>
      </c>
      <c r="E38" s="137" t="s">
        <v>171</v>
      </c>
      <c r="F38" s="138">
        <v>141.17599999999999</v>
      </c>
      <c r="G38" s="138">
        <v>400.00799999999998</v>
      </c>
      <c r="H38" s="138">
        <v>448.35</v>
      </c>
      <c r="I38" s="139">
        <v>34.929000000000002</v>
      </c>
      <c r="J38" s="139">
        <f t="shared" si="15"/>
        <v>301.61200000000002</v>
      </c>
      <c r="K38" s="138">
        <v>402.30799999999999</v>
      </c>
      <c r="L38" s="139">
        <v>301.61200000000002</v>
      </c>
      <c r="M38" s="138">
        <v>70.236000000000004</v>
      </c>
      <c r="N38" s="138">
        <v>579.226</v>
      </c>
      <c r="O38" s="139">
        <v>579.226</v>
      </c>
      <c r="S38" s="94"/>
    </row>
    <row r="39" spans="3:22" x14ac:dyDescent="0.25">
      <c r="C39" s="397"/>
      <c r="D39" s="131" t="s">
        <v>93</v>
      </c>
      <c r="E39" s="132" t="s">
        <v>171</v>
      </c>
      <c r="F39" s="133">
        <v>170.52600000000001</v>
      </c>
      <c r="G39" s="133">
        <v>429.358</v>
      </c>
      <c r="H39" s="133">
        <v>476.702</v>
      </c>
      <c r="I39" s="134">
        <v>64.278999999999996</v>
      </c>
      <c r="J39" s="134">
        <f t="shared" si="15"/>
        <v>330.96199999999999</v>
      </c>
      <c r="K39" s="133">
        <v>431.65800000000002</v>
      </c>
      <c r="L39" s="134">
        <v>330.96199999999999</v>
      </c>
      <c r="M39" s="133">
        <v>60.747999999999998</v>
      </c>
      <c r="N39" s="133">
        <v>607.57799999999997</v>
      </c>
      <c r="O39" s="134">
        <v>607.57799999999997</v>
      </c>
      <c r="S39" s="94"/>
    </row>
    <row r="40" spans="3:22" x14ac:dyDescent="0.25">
      <c r="C40" s="397"/>
      <c r="D40" s="136" t="s">
        <v>94</v>
      </c>
      <c r="E40" s="137" t="s">
        <v>171</v>
      </c>
      <c r="F40" s="138">
        <v>170.52600000000001</v>
      </c>
      <c r="G40" s="138">
        <v>429.358</v>
      </c>
      <c r="H40" s="138">
        <v>476.702</v>
      </c>
      <c r="I40" s="139">
        <v>64.278999999999996</v>
      </c>
      <c r="J40" s="139">
        <f t="shared" si="15"/>
        <v>330.96199999999999</v>
      </c>
      <c r="K40" s="138">
        <v>431.65800000000002</v>
      </c>
      <c r="L40" s="139">
        <v>330.96199999999999</v>
      </c>
      <c r="M40" s="138">
        <v>60.747999999999998</v>
      </c>
      <c r="N40" s="138">
        <v>607.57799999999997</v>
      </c>
      <c r="O40" s="139">
        <v>607.57799999999997</v>
      </c>
      <c r="S40" s="94"/>
    </row>
    <row r="41" spans="3:22" x14ac:dyDescent="0.25">
      <c r="C41" s="397"/>
      <c r="D41" s="131" t="s">
        <v>95</v>
      </c>
      <c r="E41" s="132" t="s">
        <v>171</v>
      </c>
      <c r="F41" s="133">
        <v>194.40700000000001</v>
      </c>
      <c r="G41" s="133">
        <v>453.23899999999998</v>
      </c>
      <c r="H41" s="133">
        <v>502.66100000000006</v>
      </c>
      <c r="I41" s="134">
        <v>88.16</v>
      </c>
      <c r="J41" s="134">
        <f t="shared" si="15"/>
        <v>354.84300000000002</v>
      </c>
      <c r="K41" s="133">
        <v>455.53899999999999</v>
      </c>
      <c r="L41" s="134">
        <v>354.84300000000002</v>
      </c>
      <c r="M41" s="133">
        <v>18.003</v>
      </c>
      <c r="N41" s="133">
        <v>633.53700000000003</v>
      </c>
      <c r="O41" s="134">
        <v>633.53700000000003</v>
      </c>
      <c r="S41" s="94"/>
    </row>
    <row r="42" spans="3:22" x14ac:dyDescent="0.25">
      <c r="C42" s="397"/>
      <c r="D42" s="136" t="s">
        <v>96</v>
      </c>
      <c r="E42" s="137" t="s">
        <v>171</v>
      </c>
      <c r="F42" s="138">
        <v>206.37100000000001</v>
      </c>
      <c r="G42" s="138">
        <v>465.20299999999997</v>
      </c>
      <c r="H42" s="138">
        <v>514.625</v>
      </c>
      <c r="I42" s="139">
        <v>100.124</v>
      </c>
      <c r="J42" s="139">
        <f t="shared" si="15"/>
        <v>366.80700000000002</v>
      </c>
      <c r="K42" s="138">
        <v>467.50299999999999</v>
      </c>
      <c r="L42" s="139">
        <v>366.80700000000002</v>
      </c>
      <c r="M42" s="138">
        <v>20.484999999999999</v>
      </c>
      <c r="N42" s="138">
        <v>645.50099999999998</v>
      </c>
      <c r="O42" s="139">
        <v>645.50099999999998</v>
      </c>
      <c r="R42" s="143"/>
      <c r="T42" s="143"/>
      <c r="U42" s="143"/>
      <c r="V42" s="143"/>
    </row>
    <row r="43" spans="3:22" s="143" customFormat="1" x14ac:dyDescent="0.25">
      <c r="C43" s="397"/>
      <c r="D43" s="131" t="s">
        <v>98</v>
      </c>
      <c r="E43" s="132" t="s">
        <v>172</v>
      </c>
      <c r="F43" s="133">
        <v>209.93199999999999</v>
      </c>
      <c r="G43" s="133">
        <v>468.76400000000001</v>
      </c>
      <c r="H43" s="133">
        <v>518.18600000000004</v>
      </c>
      <c r="I43" s="134">
        <v>103.685</v>
      </c>
      <c r="J43" s="134">
        <f t="shared" si="15"/>
        <v>370.36799999999999</v>
      </c>
      <c r="K43" s="133">
        <v>471.06400000000002</v>
      </c>
      <c r="L43" s="134">
        <v>370.36799999999999</v>
      </c>
      <c r="M43" s="133">
        <v>2.4780000000000002</v>
      </c>
      <c r="N43" s="133">
        <v>649.06200000000001</v>
      </c>
      <c r="O43" s="134">
        <v>649.06200000000001</v>
      </c>
      <c r="R43" s="94"/>
      <c r="S43" s="94"/>
      <c r="T43" s="94"/>
      <c r="U43" s="94"/>
      <c r="V43" s="94"/>
    </row>
    <row r="44" spans="3:22" x14ac:dyDescent="0.25">
      <c r="C44" s="397"/>
      <c r="D44" s="136" t="s">
        <v>97</v>
      </c>
      <c r="E44" s="137" t="s">
        <v>172</v>
      </c>
      <c r="F44" s="138">
        <v>212.41</v>
      </c>
      <c r="G44" s="138">
        <v>471.24200000000002</v>
      </c>
      <c r="H44" s="138">
        <v>520.66399999999999</v>
      </c>
      <c r="I44" s="139">
        <v>106.163</v>
      </c>
      <c r="J44" s="139">
        <f t="shared" si="15"/>
        <v>372.846</v>
      </c>
      <c r="K44" s="138">
        <v>473.54200000000003</v>
      </c>
      <c r="L44" s="139">
        <v>372.846</v>
      </c>
      <c r="M44" s="138">
        <v>0</v>
      </c>
      <c r="N44" s="138">
        <v>651.54</v>
      </c>
      <c r="O44" s="139">
        <v>651.54</v>
      </c>
      <c r="S44" s="94"/>
    </row>
    <row r="45" spans="3:22" x14ac:dyDescent="0.25">
      <c r="C45" s="398"/>
      <c r="D45" s="131" t="s">
        <v>99</v>
      </c>
      <c r="E45" s="132" t="s">
        <v>172</v>
      </c>
      <c r="F45" s="133">
        <v>212.41</v>
      </c>
      <c r="G45" s="133">
        <v>471.24200000000002</v>
      </c>
      <c r="H45" s="133">
        <v>520.66399999999999</v>
      </c>
      <c r="I45" s="134">
        <v>106.163</v>
      </c>
      <c r="J45" s="134">
        <f t="shared" si="15"/>
        <v>372.846</v>
      </c>
      <c r="K45" s="133">
        <v>473.54200000000003</v>
      </c>
      <c r="L45" s="134">
        <v>372.846</v>
      </c>
      <c r="M45" s="133">
        <v>0</v>
      </c>
      <c r="N45" s="133">
        <v>651.54</v>
      </c>
      <c r="O45" s="134">
        <v>651.54</v>
      </c>
      <c r="S45" s="94"/>
    </row>
    <row r="46" spans="3:22" x14ac:dyDescent="0.25">
      <c r="C46"/>
      <c r="D46" s="136" t="s">
        <v>199</v>
      </c>
      <c r="E46" s="137"/>
      <c r="F46" s="138">
        <v>106.247</v>
      </c>
      <c r="G46" s="138">
        <v>365.07900000000001</v>
      </c>
      <c r="H46" s="138">
        <v>414.50099999999998</v>
      </c>
      <c r="I46" s="138">
        <v>0</v>
      </c>
      <c r="J46" s="138">
        <v>266.68299999999999</v>
      </c>
      <c r="K46" s="138">
        <v>367.37900000000002</v>
      </c>
      <c r="L46" s="138">
        <v>266.68299999999999</v>
      </c>
      <c r="M46" s="138">
        <v>106.163</v>
      </c>
      <c r="N46" s="138">
        <v>545.37699999999995</v>
      </c>
      <c r="O46" s="138">
        <v>545.37699999999995</v>
      </c>
      <c r="S46" s="94"/>
    </row>
    <row r="47" spans="3:22" x14ac:dyDescent="0.25">
      <c r="C47"/>
      <c r="D47" s="131" t="s">
        <v>198</v>
      </c>
      <c r="E47" s="132"/>
      <c r="F47" s="133">
        <v>300.863</v>
      </c>
      <c r="G47" s="133">
        <v>502.41399999999999</v>
      </c>
      <c r="H47" s="133">
        <v>551.83600000000001</v>
      </c>
      <c r="I47" s="133">
        <v>266.68299999999999</v>
      </c>
      <c r="J47" s="133">
        <v>0</v>
      </c>
      <c r="K47" s="133">
        <v>504.714</v>
      </c>
      <c r="L47" s="133">
        <v>0</v>
      </c>
      <c r="M47" s="133">
        <v>372.846</v>
      </c>
      <c r="N47" s="133">
        <v>682.71199999999999</v>
      </c>
      <c r="O47" s="133">
        <v>682.71199999999999</v>
      </c>
      <c r="S47" s="94"/>
    </row>
    <row r="48" spans="3:22" x14ac:dyDescent="0.25">
      <c r="C48"/>
      <c r="D48" s="136" t="s">
        <v>197</v>
      </c>
      <c r="E48" s="137"/>
      <c r="F48" s="138">
        <v>579.55700000000002</v>
      </c>
      <c r="G48" s="138">
        <v>180.298</v>
      </c>
      <c r="H48" s="138">
        <v>152.876</v>
      </c>
      <c r="I48" s="139">
        <v>545.37699999999995</v>
      </c>
      <c r="J48" s="139">
        <v>682.71199999999999</v>
      </c>
      <c r="K48" s="138">
        <v>180.298</v>
      </c>
      <c r="L48" s="139">
        <v>682.71199999999999</v>
      </c>
      <c r="M48" s="138">
        <v>651.54</v>
      </c>
      <c r="N48" s="138">
        <v>0</v>
      </c>
      <c r="O48" s="139">
        <v>0</v>
      </c>
      <c r="S48" s="94"/>
    </row>
    <row r="49" spans="3:22" x14ac:dyDescent="0.25">
      <c r="C49" s="144"/>
      <c r="S49" s="94"/>
    </row>
    <row r="50" spans="3:22" x14ac:dyDescent="0.25">
      <c r="C50" s="144"/>
      <c r="S50" s="94"/>
    </row>
    <row r="51" spans="3:22" x14ac:dyDescent="0.25">
      <c r="C51" s="144"/>
      <c r="S51" s="94"/>
    </row>
    <row r="52" spans="3:22" x14ac:dyDescent="0.25">
      <c r="C52" s="144"/>
      <c r="S52" s="94"/>
    </row>
    <row r="53" spans="3:22" x14ac:dyDescent="0.25">
      <c r="C53" s="144"/>
      <c r="S53" s="146"/>
      <c r="T53" s="142"/>
      <c r="U53" s="142"/>
      <c r="V53" s="142"/>
    </row>
    <row r="54" spans="3:22" x14ac:dyDescent="0.25">
      <c r="C54" s="144"/>
      <c r="S54" s="146"/>
      <c r="T54" s="142"/>
      <c r="U54" s="142"/>
      <c r="V54" s="142"/>
    </row>
    <row r="55" spans="3:22" x14ac:dyDescent="0.25">
      <c r="S55" s="146"/>
      <c r="T55" s="142"/>
      <c r="U55" s="142"/>
      <c r="V55" s="142"/>
    </row>
    <row r="56" spans="3:22" x14ac:dyDescent="0.25">
      <c r="S56" s="146"/>
      <c r="T56" s="142"/>
      <c r="U56" s="142"/>
      <c r="V56" s="142"/>
    </row>
    <row r="57" spans="3:22" x14ac:dyDescent="0.25">
      <c r="S57" s="146"/>
      <c r="T57" s="142"/>
      <c r="U57" s="142"/>
      <c r="V57" s="142"/>
    </row>
    <row r="58" spans="3:22" x14ac:dyDescent="0.25">
      <c r="S58" s="146"/>
      <c r="T58" s="142"/>
      <c r="U58" s="142"/>
      <c r="V58" s="142"/>
    </row>
    <row r="59" spans="3:22" x14ac:dyDescent="0.25">
      <c r="S59" s="146"/>
      <c r="T59" s="142"/>
      <c r="U59" s="142"/>
      <c r="V59" s="142"/>
    </row>
    <row r="60" spans="3:22" x14ac:dyDescent="0.25">
      <c r="S60" s="146"/>
      <c r="T60" s="142"/>
      <c r="U60" s="142"/>
      <c r="V60" s="142"/>
    </row>
    <row r="61" spans="3:22" x14ac:dyDescent="0.25">
      <c r="S61" s="146"/>
      <c r="T61" s="142"/>
      <c r="U61" s="142"/>
      <c r="V61" s="142"/>
    </row>
    <row r="62" spans="3:22" x14ac:dyDescent="0.25">
      <c r="S62" s="146"/>
      <c r="T62" s="142"/>
      <c r="U62" s="142"/>
      <c r="V62" s="142"/>
    </row>
    <row r="63" spans="3:22" x14ac:dyDescent="0.25">
      <c r="S63" s="146"/>
      <c r="T63" s="142"/>
      <c r="U63" s="142"/>
      <c r="V63" s="142"/>
    </row>
    <row r="64" spans="3:22" x14ac:dyDescent="0.25">
      <c r="S64" s="146"/>
      <c r="T64" s="142"/>
      <c r="U64" s="142"/>
      <c r="V64" s="142"/>
    </row>
    <row r="65" spans="19:22" x14ac:dyDescent="0.25">
      <c r="S65" s="146"/>
      <c r="T65" s="142"/>
      <c r="U65" s="142"/>
      <c r="V65" s="142"/>
    </row>
    <row r="66" spans="19:22" x14ac:dyDescent="0.25">
      <c r="S66" s="146"/>
      <c r="T66" s="142"/>
      <c r="U66" s="142"/>
      <c r="V66" s="142"/>
    </row>
    <row r="67" spans="19:22" x14ac:dyDescent="0.25">
      <c r="S67" s="146"/>
      <c r="T67" s="142"/>
      <c r="U67" s="142"/>
      <c r="V67" s="142"/>
    </row>
    <row r="68" spans="19:22" x14ac:dyDescent="0.25">
      <c r="S68" s="146"/>
      <c r="T68" s="142"/>
      <c r="U68" s="142"/>
      <c r="V68" s="142"/>
    </row>
    <row r="69" spans="19:22" x14ac:dyDescent="0.25">
      <c r="S69" s="146"/>
      <c r="T69" s="142"/>
      <c r="U69" s="142"/>
      <c r="V69" s="142"/>
    </row>
    <row r="70" spans="19:22" x14ac:dyDescent="0.25">
      <c r="S70" s="146"/>
      <c r="T70" s="142"/>
      <c r="U70" s="142"/>
      <c r="V70" s="142"/>
    </row>
    <row r="71" spans="19:22" x14ac:dyDescent="0.25">
      <c r="S71" s="146"/>
      <c r="T71" s="142"/>
      <c r="U71" s="142"/>
      <c r="V71" s="142"/>
    </row>
    <row r="72" spans="19:22" x14ac:dyDescent="0.25">
      <c r="S72" s="146"/>
      <c r="T72" s="142"/>
      <c r="U72" s="142"/>
      <c r="V72" s="142"/>
    </row>
    <row r="73" spans="19:22" x14ac:dyDescent="0.25">
      <c r="S73" s="146"/>
      <c r="T73" s="142"/>
      <c r="U73" s="142"/>
      <c r="V73" s="142"/>
    </row>
    <row r="74" spans="19:22" x14ac:dyDescent="0.25">
      <c r="S74" s="146"/>
      <c r="T74" s="142"/>
      <c r="U74" s="142"/>
      <c r="V74" s="142"/>
    </row>
    <row r="75" spans="19:22" x14ac:dyDescent="0.25">
      <c r="S75" s="146"/>
      <c r="T75" s="142"/>
      <c r="U75" s="142"/>
      <c r="V75" s="142"/>
    </row>
    <row r="76" spans="19:22" x14ac:dyDescent="0.25">
      <c r="S76" s="146"/>
      <c r="T76" s="142"/>
      <c r="U76" s="142"/>
      <c r="V76" s="142"/>
    </row>
    <row r="77" spans="19:22" x14ac:dyDescent="0.25">
      <c r="S77" s="146"/>
      <c r="T77" s="142"/>
      <c r="U77" s="142"/>
      <c r="V77" s="142"/>
    </row>
    <row r="78" spans="19:22" x14ac:dyDescent="0.25">
      <c r="S78" s="146"/>
      <c r="T78" s="142"/>
      <c r="U78" s="142"/>
      <c r="V78" s="142"/>
    </row>
    <row r="79" spans="19:22" x14ac:dyDescent="0.25">
      <c r="S79" s="146"/>
      <c r="T79" s="142"/>
      <c r="U79" s="142"/>
      <c r="V79" s="142"/>
    </row>
    <row r="80" spans="19:22" x14ac:dyDescent="0.25">
      <c r="S80" s="146"/>
      <c r="T80" s="142"/>
      <c r="U80" s="142"/>
      <c r="V80" s="142"/>
    </row>
    <row r="81" spans="19:22" x14ac:dyDescent="0.25">
      <c r="S81" s="146"/>
      <c r="T81" s="142"/>
      <c r="U81" s="142"/>
      <c r="V81" s="142"/>
    </row>
    <row r="82" spans="19:22" x14ac:dyDescent="0.25">
      <c r="S82" s="146"/>
      <c r="T82" s="142"/>
      <c r="U82" s="142"/>
      <c r="V82" s="142"/>
    </row>
    <row r="83" spans="19:22" x14ac:dyDescent="0.25">
      <c r="S83" s="146"/>
      <c r="T83" s="142"/>
      <c r="U83" s="142"/>
      <c r="V83" s="142"/>
    </row>
    <row r="84" spans="19:22" x14ac:dyDescent="0.25">
      <c r="S84" s="146"/>
      <c r="T84" s="142"/>
      <c r="U84" s="142"/>
      <c r="V84" s="142"/>
    </row>
    <row r="85" spans="19:22" x14ac:dyDescent="0.25">
      <c r="S85" s="146"/>
      <c r="T85" s="142"/>
      <c r="U85" s="142"/>
      <c r="V85" s="142"/>
    </row>
  </sheetData>
  <sortState xmlns:xlrd2="http://schemas.microsoft.com/office/spreadsheetml/2017/richdata2" ref="D48:Q50">
    <sortCondition ref="D48:D50"/>
  </sortState>
  <mergeCells count="3">
    <mergeCell ref="C2:C11"/>
    <mergeCell ref="C12:C28"/>
    <mergeCell ref="C29:C45"/>
  </mergeCells>
  <phoneticPr fontId="13" type="noConversion"/>
  <pageMargins left="0.511811024" right="0.511811024" top="0.78740157499999996" bottom="0.78740157499999996" header="0.31496062000000002" footer="0.31496062000000002"/>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9268-9BEB-4B74-8377-514DDE51555C}">
  <sheetPr codeName="Planilha3">
    <tabColor theme="1" tint="0.499984740745262"/>
  </sheetPr>
  <dimension ref="A1:G35"/>
  <sheetViews>
    <sheetView showGridLines="0" zoomScale="120" zoomScaleNormal="120" workbookViewId="0">
      <selection activeCell="I17" sqref="I17"/>
    </sheetView>
  </sheetViews>
  <sheetFormatPr defaultColWidth="9.140625" defaultRowHeight="12.75" x14ac:dyDescent="0.2"/>
  <cols>
    <col min="1" max="1" width="31" style="98" bestFit="1" customWidth="1"/>
    <col min="2" max="2" width="18" style="98" customWidth="1"/>
    <col min="3" max="3" width="10.140625" style="98" customWidth="1"/>
    <col min="4" max="4" width="10.5703125" style="98" customWidth="1"/>
    <col min="5" max="5" width="10.42578125" style="98" bestFit="1" customWidth="1"/>
    <col min="6" max="6" width="10.140625" style="98" bestFit="1" customWidth="1"/>
    <col min="7" max="7" width="11.85546875" style="98" customWidth="1"/>
    <col min="8" max="16384" width="9.140625" style="98"/>
  </cols>
  <sheetData>
    <row r="1" spans="1:7" ht="18" customHeight="1" x14ac:dyDescent="0.2">
      <c r="A1" s="399" t="s">
        <v>441</v>
      </c>
      <c r="B1" s="399"/>
      <c r="C1" s="399"/>
      <c r="D1" s="399"/>
      <c r="E1" s="399"/>
      <c r="F1" s="399"/>
      <c r="G1" s="399"/>
    </row>
    <row r="2" spans="1:7" ht="15" x14ac:dyDescent="0.2">
      <c r="A2" s="230" t="s">
        <v>407</v>
      </c>
      <c r="B2" s="230" t="s">
        <v>23</v>
      </c>
      <c r="C2" s="230">
        <v>2026</v>
      </c>
      <c r="D2" s="230">
        <v>2027</v>
      </c>
      <c r="E2" s="230">
        <v>2028</v>
      </c>
      <c r="F2" s="230">
        <v>2029</v>
      </c>
      <c r="G2" s="230">
        <v>2030</v>
      </c>
    </row>
    <row r="3" spans="1:7" ht="15" x14ac:dyDescent="0.2">
      <c r="A3" s="300" t="s">
        <v>28</v>
      </c>
      <c r="B3" s="300" t="s">
        <v>21</v>
      </c>
      <c r="C3" s="126">
        <v>14956</v>
      </c>
      <c r="D3" s="299">
        <v>14956</v>
      </c>
      <c r="E3" s="299">
        <v>14956</v>
      </c>
      <c r="F3" s="299">
        <v>14956</v>
      </c>
      <c r="G3" s="299">
        <v>14956</v>
      </c>
    </row>
    <row r="4" spans="1:7" ht="15" x14ac:dyDescent="0.2">
      <c r="A4" s="300" t="s">
        <v>26</v>
      </c>
      <c r="B4" s="300" t="s">
        <v>177</v>
      </c>
      <c r="C4" s="126">
        <v>20000</v>
      </c>
      <c r="D4" s="299">
        <v>20000</v>
      </c>
      <c r="E4" s="299">
        <v>20000</v>
      </c>
      <c r="F4" s="299">
        <v>20000</v>
      </c>
      <c r="G4" s="299">
        <v>20000</v>
      </c>
    </row>
    <row r="5" spans="1:7" ht="15" x14ac:dyDescent="0.2">
      <c r="A5" s="300" t="s">
        <v>411</v>
      </c>
      <c r="B5" s="300" t="s">
        <v>20</v>
      </c>
      <c r="C5" s="126">
        <v>13564</v>
      </c>
      <c r="D5" s="299">
        <v>13564</v>
      </c>
      <c r="E5" s="299">
        <v>13564</v>
      </c>
      <c r="F5" s="299">
        <v>13564</v>
      </c>
      <c r="G5" s="299">
        <v>13564</v>
      </c>
    </row>
    <row r="6" spans="1:7" ht="15" x14ac:dyDescent="0.2">
      <c r="A6" s="300" t="s">
        <v>388</v>
      </c>
      <c r="B6" s="300" t="s">
        <v>159</v>
      </c>
      <c r="C6" s="126">
        <v>383</v>
      </c>
      <c r="D6" s="299">
        <v>383</v>
      </c>
      <c r="E6" s="299">
        <v>383</v>
      </c>
      <c r="F6" s="299">
        <v>383</v>
      </c>
      <c r="G6" s="299">
        <v>383</v>
      </c>
    </row>
    <row r="7" spans="1:7" ht="15" x14ac:dyDescent="0.2">
      <c r="A7" s="300" t="s">
        <v>27</v>
      </c>
      <c r="B7" s="300" t="s">
        <v>173</v>
      </c>
      <c r="C7" s="126">
        <v>0</v>
      </c>
      <c r="D7" s="299">
        <v>0</v>
      </c>
      <c r="E7" s="299">
        <v>0</v>
      </c>
      <c r="F7" s="299">
        <v>0</v>
      </c>
      <c r="G7" s="299">
        <v>0</v>
      </c>
    </row>
    <row r="8" spans="1:7" ht="15" x14ac:dyDescent="0.2">
      <c r="A8" s="300" t="s">
        <v>29</v>
      </c>
      <c r="B8" s="300" t="s">
        <v>174</v>
      </c>
      <c r="C8" s="126">
        <v>0</v>
      </c>
      <c r="D8" s="299">
        <v>0</v>
      </c>
      <c r="E8" s="299">
        <v>0</v>
      </c>
      <c r="F8" s="299">
        <v>0</v>
      </c>
      <c r="G8" s="299">
        <v>0</v>
      </c>
    </row>
    <row r="9" spans="1:7" ht="15" x14ac:dyDescent="0.2">
      <c r="A9" s="300" t="s">
        <v>24</v>
      </c>
      <c r="B9" s="300" t="s">
        <v>25</v>
      </c>
      <c r="C9" s="126">
        <v>24869</v>
      </c>
      <c r="D9" s="299">
        <v>24869</v>
      </c>
      <c r="E9" s="299">
        <v>24869</v>
      </c>
      <c r="F9" s="299">
        <v>24869</v>
      </c>
      <c r="G9" s="299">
        <v>24869</v>
      </c>
    </row>
    <row r="10" spans="1:7" ht="15" x14ac:dyDescent="0.2">
      <c r="A10" s="300" t="s">
        <v>194</v>
      </c>
      <c r="B10" s="300" t="s">
        <v>176</v>
      </c>
      <c r="C10" s="126">
        <v>7525</v>
      </c>
      <c r="D10" s="299">
        <v>7525</v>
      </c>
      <c r="E10" s="299">
        <v>7525</v>
      </c>
      <c r="F10" s="299">
        <v>7525</v>
      </c>
      <c r="G10" s="299">
        <v>7525</v>
      </c>
    </row>
    <row r="11" spans="1:7" ht="15" x14ac:dyDescent="0.2">
      <c r="A11" s="300" t="s">
        <v>196</v>
      </c>
      <c r="B11" s="300" t="s">
        <v>175</v>
      </c>
      <c r="C11" s="126">
        <v>200</v>
      </c>
      <c r="D11" s="299">
        <v>200</v>
      </c>
      <c r="E11" s="299">
        <v>200</v>
      </c>
      <c r="F11" s="299">
        <v>200</v>
      </c>
      <c r="G11" s="299">
        <v>200</v>
      </c>
    </row>
    <row r="12" spans="1:7" ht="15" x14ac:dyDescent="0.2">
      <c r="A12" s="300" t="s">
        <v>195</v>
      </c>
      <c r="B12" s="300" t="s">
        <v>25</v>
      </c>
      <c r="C12" s="126">
        <v>200</v>
      </c>
      <c r="D12" s="299">
        <v>200</v>
      </c>
      <c r="E12" s="299">
        <v>200</v>
      </c>
      <c r="F12" s="299">
        <v>200</v>
      </c>
      <c r="G12" s="299">
        <v>200</v>
      </c>
    </row>
    <row r="13" spans="1:7" ht="15" x14ac:dyDescent="0.2">
      <c r="A13" s="226" t="s">
        <v>178</v>
      </c>
      <c r="B13" s="227"/>
      <c r="C13" s="228">
        <v>81697</v>
      </c>
      <c r="D13" s="228">
        <v>81697</v>
      </c>
      <c r="E13" s="228">
        <v>81697</v>
      </c>
      <c r="F13" s="228">
        <v>81697</v>
      </c>
      <c r="G13" s="228">
        <v>81697</v>
      </c>
    </row>
    <row r="14" spans="1:7" x14ac:dyDescent="0.2">
      <c r="C14" s="14"/>
      <c r="D14" s="14"/>
    </row>
    <row r="15" spans="1:7" x14ac:dyDescent="0.2">
      <c r="C15" s="14"/>
      <c r="D15" s="14"/>
    </row>
    <row r="16" spans="1:7" x14ac:dyDescent="0.2">
      <c r="C16" s="358"/>
    </row>
    <row r="24" spans="3:4" x14ac:dyDescent="0.2">
      <c r="C24" s="359"/>
    </row>
    <row r="25" spans="3:4" x14ac:dyDescent="0.2">
      <c r="C25" s="359"/>
    </row>
    <row r="26" spans="3:4" x14ac:dyDescent="0.2">
      <c r="C26" s="360"/>
      <c r="D26" s="358"/>
    </row>
    <row r="28" spans="3:4" x14ac:dyDescent="0.2">
      <c r="C28" s="361"/>
      <c r="D28" s="14"/>
    </row>
    <row r="30" spans="3:4" x14ac:dyDescent="0.2">
      <c r="C30" s="14"/>
    </row>
    <row r="32" spans="3:4" x14ac:dyDescent="0.2">
      <c r="C32" s="14"/>
    </row>
    <row r="35" spans="3:3" x14ac:dyDescent="0.2">
      <c r="C35" s="14">
        <f>'Oferta (BRA)'!C14+C32</f>
        <v>0</v>
      </c>
    </row>
  </sheetData>
  <sortState xmlns:xlrd2="http://schemas.microsoft.com/office/spreadsheetml/2017/richdata2" ref="A10:D12">
    <sortCondition ref="A10:A12"/>
  </sortState>
  <mergeCells count="1">
    <mergeCell ref="A1:G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06FC-677E-4853-8410-0C0B3DBEAABC}">
  <sheetPr codeName="Planilha4">
    <tabColor theme="1" tint="0.499984740745262"/>
  </sheetPr>
  <dimension ref="A1:GD21"/>
  <sheetViews>
    <sheetView showGridLines="0" zoomScale="120" zoomScaleNormal="120" workbookViewId="0">
      <selection activeCell="H9" sqref="H9"/>
    </sheetView>
  </sheetViews>
  <sheetFormatPr defaultColWidth="9.140625" defaultRowHeight="15" x14ac:dyDescent="0.25"/>
  <cols>
    <col min="1" max="1" width="28.85546875" style="21" bestFit="1" customWidth="1"/>
    <col min="2" max="2" width="15" style="29" customWidth="1"/>
    <col min="3" max="4" width="10.42578125" style="21" customWidth="1"/>
    <col min="5" max="5" width="10.42578125" style="21" bestFit="1" customWidth="1"/>
    <col min="6" max="6" width="10.140625" style="21" bestFit="1" customWidth="1"/>
    <col min="7" max="7" width="10.7109375" style="21" customWidth="1"/>
    <col min="8" max="16384" width="9.140625" style="21"/>
  </cols>
  <sheetData>
    <row r="1" spans="1:186" x14ac:dyDescent="0.25">
      <c r="A1" s="400" t="s">
        <v>442</v>
      </c>
      <c r="B1" s="401"/>
      <c r="C1" s="401"/>
      <c r="D1" s="401"/>
      <c r="E1" s="401"/>
      <c r="F1" s="401"/>
      <c r="G1" s="401"/>
    </row>
    <row r="2" spans="1:186" s="22" customFormat="1" ht="30" x14ac:dyDescent="0.25">
      <c r="A2" s="229" t="s">
        <v>408</v>
      </c>
      <c r="B2" s="229" t="s">
        <v>30</v>
      </c>
      <c r="C2" s="229">
        <v>2026</v>
      </c>
      <c r="D2" s="229">
        <v>2027</v>
      </c>
      <c r="E2" s="229">
        <v>2028</v>
      </c>
      <c r="F2" s="229">
        <v>2029</v>
      </c>
      <c r="G2" s="229">
        <v>2030</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row>
    <row r="3" spans="1:186" s="25" customFormat="1" x14ac:dyDescent="0.25">
      <c r="A3" s="23" t="s">
        <v>160</v>
      </c>
      <c r="B3" s="24" t="s">
        <v>32</v>
      </c>
      <c r="C3" s="126">
        <v>668</v>
      </c>
      <c r="D3" s="299">
        <v>668</v>
      </c>
      <c r="E3" s="299">
        <v>668</v>
      </c>
      <c r="F3" s="299">
        <v>668</v>
      </c>
      <c r="G3" s="299">
        <v>668</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row>
    <row r="4" spans="1:186" s="26" customFormat="1" x14ac:dyDescent="0.25">
      <c r="A4" s="23" t="s">
        <v>161</v>
      </c>
      <c r="B4" s="24" t="s">
        <v>32</v>
      </c>
      <c r="C4" s="126">
        <v>1824</v>
      </c>
      <c r="D4" s="299">
        <v>1824</v>
      </c>
      <c r="E4" s="299">
        <v>1824</v>
      </c>
      <c r="F4" s="299">
        <v>1824</v>
      </c>
      <c r="G4" s="299">
        <v>1824</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row>
    <row r="5" spans="1:186" s="25" customFormat="1" x14ac:dyDescent="0.25">
      <c r="A5" s="23" t="s">
        <v>162</v>
      </c>
      <c r="B5" s="24" t="s">
        <v>32</v>
      </c>
      <c r="C5" s="126">
        <v>3002</v>
      </c>
      <c r="D5" s="299">
        <v>3002</v>
      </c>
      <c r="E5" s="299">
        <v>3002</v>
      </c>
      <c r="F5" s="299">
        <v>3002</v>
      </c>
      <c r="G5" s="299">
        <v>3002</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row>
    <row r="6" spans="1:186" s="26" customFormat="1" x14ac:dyDescent="0.25">
      <c r="A6" s="23" t="s">
        <v>163</v>
      </c>
      <c r="B6" s="24" t="s">
        <v>32</v>
      </c>
      <c r="C6" s="126">
        <v>351</v>
      </c>
      <c r="D6" s="299">
        <v>351</v>
      </c>
      <c r="E6" s="299">
        <v>351</v>
      </c>
      <c r="F6" s="299">
        <v>351</v>
      </c>
      <c r="G6" s="299">
        <v>351</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row>
    <row r="7" spans="1:186" s="25" customFormat="1" x14ac:dyDescent="0.25">
      <c r="A7" s="23" t="s">
        <v>164</v>
      </c>
      <c r="B7" s="24" t="s">
        <v>33</v>
      </c>
      <c r="C7" s="126">
        <v>17575</v>
      </c>
      <c r="D7" s="299">
        <v>17575</v>
      </c>
      <c r="E7" s="299">
        <v>17575</v>
      </c>
      <c r="F7" s="299">
        <v>17575</v>
      </c>
      <c r="G7" s="299">
        <v>17575</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row>
    <row r="8" spans="1:186" s="26" customFormat="1" x14ac:dyDescent="0.25">
      <c r="A8" s="23" t="s">
        <v>165</v>
      </c>
      <c r="B8" s="24" t="s">
        <v>33</v>
      </c>
      <c r="C8" s="126">
        <v>11227</v>
      </c>
      <c r="D8" s="299">
        <v>11227</v>
      </c>
      <c r="E8" s="299">
        <v>11227</v>
      </c>
      <c r="F8" s="299">
        <v>11227</v>
      </c>
      <c r="G8" s="299">
        <v>11227</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row>
    <row r="9" spans="1:186" s="25" customFormat="1" x14ac:dyDescent="0.25">
      <c r="A9" s="23" t="s">
        <v>166</v>
      </c>
      <c r="B9" s="24" t="s">
        <v>33</v>
      </c>
      <c r="C9" s="126">
        <v>2083</v>
      </c>
      <c r="D9" s="299">
        <v>2083</v>
      </c>
      <c r="E9" s="299">
        <v>2083</v>
      </c>
      <c r="F9" s="299">
        <v>2083</v>
      </c>
      <c r="G9" s="299">
        <v>2083</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row>
    <row r="10" spans="1:186" s="26" customFormat="1" x14ac:dyDescent="0.25">
      <c r="A10" s="23" t="s">
        <v>167</v>
      </c>
      <c r="B10" s="24" t="s">
        <v>33</v>
      </c>
      <c r="C10" s="126">
        <v>340</v>
      </c>
      <c r="D10" s="299">
        <v>340</v>
      </c>
      <c r="E10" s="299">
        <v>340</v>
      </c>
      <c r="F10" s="299">
        <v>340</v>
      </c>
      <c r="G10" s="299">
        <v>340</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row>
    <row r="11" spans="1:186" s="25" customFormat="1" x14ac:dyDescent="0.25">
      <c r="A11" s="23" t="s">
        <v>168</v>
      </c>
      <c r="B11" s="24" t="s">
        <v>33</v>
      </c>
      <c r="C11" s="126">
        <v>2249</v>
      </c>
      <c r="D11" s="299">
        <v>2249</v>
      </c>
      <c r="E11" s="299">
        <v>2249</v>
      </c>
      <c r="F11" s="299">
        <v>2249</v>
      </c>
      <c r="G11" s="299">
        <v>2249</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row>
    <row r="12" spans="1:186" s="26" customFormat="1" x14ac:dyDescent="0.25">
      <c r="A12" s="23" t="s">
        <v>169</v>
      </c>
      <c r="B12" s="24" t="s">
        <v>31</v>
      </c>
      <c r="C12" s="126">
        <v>1161</v>
      </c>
      <c r="D12" s="299">
        <v>1161</v>
      </c>
      <c r="E12" s="299">
        <v>1161</v>
      </c>
      <c r="F12" s="299">
        <v>1161</v>
      </c>
      <c r="G12" s="299">
        <v>1161</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row>
    <row r="13" spans="1:186" s="25" customFormat="1" x14ac:dyDescent="0.25">
      <c r="A13" s="23" t="s">
        <v>170</v>
      </c>
      <c r="B13" s="24" t="s">
        <v>31</v>
      </c>
      <c r="C13" s="126">
        <v>3064</v>
      </c>
      <c r="D13" s="299">
        <v>3064</v>
      </c>
      <c r="E13" s="299">
        <v>3064</v>
      </c>
      <c r="F13" s="299">
        <v>3064</v>
      </c>
      <c r="G13" s="299">
        <v>3064</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row>
    <row r="14" spans="1:186" s="26" customFormat="1" x14ac:dyDescent="0.25">
      <c r="A14" s="23" t="s">
        <v>171</v>
      </c>
      <c r="B14" s="24" t="s">
        <v>31</v>
      </c>
      <c r="C14" s="126">
        <v>9481</v>
      </c>
      <c r="D14" s="299">
        <v>9481</v>
      </c>
      <c r="E14" s="299">
        <v>9481</v>
      </c>
      <c r="F14" s="299">
        <v>9481</v>
      </c>
      <c r="G14" s="299">
        <v>9481</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row>
    <row r="15" spans="1:186" s="25" customFormat="1" x14ac:dyDescent="0.25">
      <c r="A15" s="23" t="s">
        <v>172</v>
      </c>
      <c r="B15" s="24" t="s">
        <v>31</v>
      </c>
      <c r="C15" s="126">
        <v>3920</v>
      </c>
      <c r="D15" s="299">
        <v>3920</v>
      </c>
      <c r="E15" s="299">
        <v>3920</v>
      </c>
      <c r="F15" s="299">
        <v>3920</v>
      </c>
      <c r="G15" s="299">
        <v>3920</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row>
    <row r="16" spans="1:186" s="26" customFormat="1" x14ac:dyDescent="0.25">
      <c r="A16" s="23" t="s">
        <v>199</v>
      </c>
      <c r="B16" s="24"/>
      <c r="C16" s="126">
        <v>0</v>
      </c>
      <c r="D16" s="299">
        <v>0</v>
      </c>
      <c r="E16" s="299">
        <v>0</v>
      </c>
      <c r="F16" s="299">
        <v>0</v>
      </c>
      <c r="G16" s="299">
        <v>0</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row>
    <row r="17" spans="1:186" s="25" customFormat="1" x14ac:dyDescent="0.25">
      <c r="A17" s="23" t="s">
        <v>198</v>
      </c>
      <c r="B17" s="24"/>
      <c r="C17" s="126">
        <v>9703</v>
      </c>
      <c r="D17" s="299">
        <v>9703</v>
      </c>
      <c r="E17" s="299">
        <v>9703</v>
      </c>
      <c r="F17" s="299">
        <v>9703</v>
      </c>
      <c r="G17" s="299">
        <v>9703</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row>
    <row r="18" spans="1:186" s="26" customFormat="1" x14ac:dyDescent="0.25">
      <c r="A18" s="23" t="s">
        <v>197</v>
      </c>
      <c r="B18" s="24"/>
      <c r="C18" s="126">
        <v>200</v>
      </c>
      <c r="D18" s="299">
        <v>200</v>
      </c>
      <c r="E18" s="299">
        <v>200</v>
      </c>
      <c r="F18" s="299">
        <v>200</v>
      </c>
      <c r="G18" s="299">
        <v>200</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row>
    <row r="19" spans="1:186" s="25" customFormat="1" x14ac:dyDescent="0.25">
      <c r="A19" s="27" t="s">
        <v>178</v>
      </c>
      <c r="B19" s="28"/>
      <c r="C19" s="89">
        <v>66848</v>
      </c>
      <c r="D19" s="89">
        <v>66848</v>
      </c>
      <c r="E19" s="89">
        <v>66848</v>
      </c>
      <c r="F19" s="89">
        <v>66848</v>
      </c>
      <c r="G19" s="89">
        <v>66848</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row>
    <row r="20" spans="1:186" s="25" customFormat="1" x14ac:dyDescent="0.25">
      <c r="A20" s="21"/>
      <c r="B20" s="29"/>
      <c r="C20" s="90"/>
      <c r="D20" s="9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row>
    <row r="21" spans="1:186" x14ac:dyDescent="0.25">
      <c r="C21" s="90"/>
    </row>
  </sheetData>
  <sortState xmlns:xlrd2="http://schemas.microsoft.com/office/spreadsheetml/2017/richdata2" ref="A3:D19">
    <sortCondition ref="A16:A19"/>
  </sortState>
  <mergeCells count="1">
    <mergeCell ref="A1:G1"/>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EE94C0A9010240990A4363A5ED286B" ma:contentTypeVersion="11" ma:contentTypeDescription="Create a new document." ma:contentTypeScope="" ma:versionID="1abf01342ef8df9e02b6c77aeeb972aa">
  <xsd:schema xmlns:xsd="http://www.w3.org/2001/XMLSchema" xmlns:xs="http://www.w3.org/2001/XMLSchema" xmlns:p="http://schemas.microsoft.com/office/2006/metadata/properties" xmlns:ns3="9013a8ec-cd0d-4ed2-9eb4-8c9215e056db" xmlns:ns4="9a3f325f-f21d-41c6-a148-0a40bc62e7e3" targetNamespace="http://schemas.microsoft.com/office/2006/metadata/properties" ma:root="true" ma:fieldsID="df10ba2b9b500ee1dd7447e5a061244d" ns3:_="" ns4:_="">
    <xsd:import namespace="9013a8ec-cd0d-4ed2-9eb4-8c9215e056db"/>
    <xsd:import namespace="9a3f325f-f21d-41c6-a148-0a40bc62e7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3a8ec-cd0d-4ed2-9eb4-8c9215e05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3f325f-f21d-41c6-a148-0a40bc62e7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B0B382-BF91-412E-8496-3117C204FF0B}">
  <ds:schemaRefs>
    <ds:schemaRef ds:uri="http://www.w3.org/XML/1998/namespace"/>
    <ds:schemaRef ds:uri="http://schemas.microsoft.com/office/infopath/2007/PartnerControls"/>
    <ds:schemaRef ds:uri="9a3f325f-f21d-41c6-a148-0a40bc62e7e3"/>
    <ds:schemaRef ds:uri="http://purl.org/dc/elements/1.1/"/>
    <ds:schemaRef ds:uri="http://purl.org/dc/dcmitype/"/>
    <ds:schemaRef ds:uri="http://schemas.microsoft.com/office/2006/documentManagement/types"/>
    <ds:schemaRef ds:uri="9013a8ec-cd0d-4ed2-9eb4-8c9215e056db"/>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B0C8CA6-5879-41EA-B962-5FE34E05E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3a8ec-cd0d-4ed2-9eb4-8c9215e056db"/>
    <ds:schemaRef ds:uri="9a3f325f-f21d-41c6-a148-0a40bc62e7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CA2FEC-9D62-4292-B626-2BF4A8523E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41</vt:i4>
      </vt:variant>
    </vt:vector>
  </HeadingPairs>
  <TitlesOfParts>
    <vt:vector size="41" baseType="lpstr">
      <vt:lpstr>Resumo</vt:lpstr>
      <vt:lpstr>Tarifas Finais</vt:lpstr>
      <vt:lpstr>Premissas (BRA)</vt:lpstr>
      <vt:lpstr>Premissas (Legados)</vt:lpstr>
      <vt:lpstr>SELIC</vt:lpstr>
      <vt:lpstr>Conta Regulatória (C.Reg)</vt:lpstr>
      <vt:lpstr>Matriz Distâncias NTS</vt:lpstr>
      <vt:lpstr>Oferta (Legados)</vt:lpstr>
      <vt:lpstr>Demanda (Legados)</vt:lpstr>
      <vt:lpstr>Oferta (BRA)</vt:lpstr>
      <vt:lpstr>Demanda (BRA)</vt:lpstr>
      <vt:lpstr>CWD 2026 BRA (sem desc.)</vt:lpstr>
      <vt:lpstr>CWD 2026 BRA (com desc.)</vt:lpstr>
      <vt:lpstr>Tarifa Ponderada BRA 2026</vt:lpstr>
      <vt:lpstr>CWD 2026 Legados (sem desc.)</vt:lpstr>
      <vt:lpstr>CWD 2026 Legados (com desc.)</vt:lpstr>
      <vt:lpstr>Tarifa Ponderada Legados 2026</vt:lpstr>
      <vt:lpstr>CWD 2027 BRA (sem desc.)</vt:lpstr>
      <vt:lpstr>CWD 2027 BRA (com desc.)</vt:lpstr>
      <vt:lpstr>Tarifa Ponderada BRA 2027</vt:lpstr>
      <vt:lpstr>CWD 2027 Legados (sem desc.)</vt:lpstr>
      <vt:lpstr>CWD 2027 Legados (com desc.)</vt:lpstr>
      <vt:lpstr>Tarifa Ponderada Legados 2027</vt:lpstr>
      <vt:lpstr>CWD 2028 BRA (sem desc.)</vt:lpstr>
      <vt:lpstr>CWD 2028 BRA (com desc.)</vt:lpstr>
      <vt:lpstr>Tarifa Ponderada BRA 2028</vt:lpstr>
      <vt:lpstr>CWD 2028 Legados (sem desc.)</vt:lpstr>
      <vt:lpstr>CWD 2028 Legados (com desc.)</vt:lpstr>
      <vt:lpstr>Tarifa Ponderada Legados 2028</vt:lpstr>
      <vt:lpstr>CWD 2029 BRA (sem desc.)</vt:lpstr>
      <vt:lpstr>CWD 2029 BRA (com desc.)</vt:lpstr>
      <vt:lpstr>Tarifa Ponderada BRA 2029</vt:lpstr>
      <vt:lpstr>CWD 2029 Legados (sem desc.)</vt:lpstr>
      <vt:lpstr>CWD 2029 Legados (com desc.)</vt:lpstr>
      <vt:lpstr>Tarifa Ponderada Legados 2029</vt:lpstr>
      <vt:lpstr>CWD 2030 BRA (sem desc.)</vt:lpstr>
      <vt:lpstr>CWD 2030 BRA (com desc.)</vt:lpstr>
      <vt:lpstr>Tarifa Ponderada BRA 2030</vt:lpstr>
      <vt:lpstr>CWD 2030 Legados (sem desc.)</vt:lpstr>
      <vt:lpstr>CWD 2030 Legado (com desc.)</vt:lpstr>
      <vt:lpstr>Tarifa Ponderada Legados 2030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Luciano Veloso</dc:creator>
  <cp:keywords/>
  <dc:description/>
  <cp:lastModifiedBy>Leonardo Koatz</cp:lastModifiedBy>
  <cp:revision/>
  <dcterms:created xsi:type="dcterms:W3CDTF">2021-08-05T19:07:08Z</dcterms:created>
  <dcterms:modified xsi:type="dcterms:W3CDTF">2025-07-11T15:00:41Z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0x010100EFEE94C0A9010240990A4363A5ED286B</vt:lpwstr>
  </property>
  <property fmtid="{D5CDD505-2E9C-101B-9397-08002B2CF9AE}" pid="3" name="MSIP_Label_85b4b718-af1d-4b64-8dbb-9fabb01a731c_Enabled">
    <vt:lpwstr>true</vt:lpwstr>
  </property>
  <property fmtid="{D5CDD505-2E9C-101B-9397-08002B2CF9AE}" pid="4" name="MSIP_Label_85b4b718-af1d-4b64-8dbb-9fabb01a731c_SetDate">
    <vt:lpwstr>2025-07-03T12:43:54Z</vt:lpwstr>
  </property>
  <property fmtid="{D5CDD505-2E9C-101B-9397-08002B2CF9AE}" pid="5" name="MSIP_Label_85b4b718-af1d-4b64-8dbb-9fabb01a731c_Method">
    <vt:lpwstr>Privileged</vt:lpwstr>
  </property>
  <property fmtid="{D5CDD505-2E9C-101B-9397-08002B2CF9AE}" pid="6" name="MSIP_Label_85b4b718-af1d-4b64-8dbb-9fabb01a731c_Name">
    <vt:lpwstr>Uso Interno</vt:lpwstr>
  </property>
  <property fmtid="{D5CDD505-2E9C-101B-9397-08002B2CF9AE}" pid="7" name="MSIP_Label_85b4b718-af1d-4b64-8dbb-9fabb01a731c_SiteId">
    <vt:lpwstr>7cf0abce-133b-4c38-9c36-6611cdd76242</vt:lpwstr>
  </property>
  <property fmtid="{D5CDD505-2E9C-101B-9397-08002B2CF9AE}" pid="8" name="MSIP_Label_85b4b718-af1d-4b64-8dbb-9fabb01a731c_ActionId">
    <vt:lpwstr>6b93cc4a-bce3-41be-9e52-e43c80f7c6aa</vt:lpwstr>
  </property>
  <property fmtid="{D5CDD505-2E9C-101B-9397-08002B2CF9AE}" pid="9" name="MSIP_Label_85b4b718-af1d-4b64-8dbb-9fabb01a731c_ContentBits">
    <vt:lpwstr>0</vt:lpwstr>
  </property>
  <property fmtid="{D5CDD505-2E9C-101B-9397-08002B2CF9AE}" pid="10" name="MSIP_Label_85b4b718-af1d-4b64-8dbb-9fabb01a731c_Tag">
    <vt:lpwstr>10, 0, 1, 1</vt:lpwstr>
  </property>
</Properties>
</file>