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EstaPastaDeTrabalho"/>
  <mc:AlternateContent xmlns:mc="http://schemas.openxmlformats.org/markup-compatibility/2006">
    <mc:Choice Requires="x15">
      <x15ac:absPath xmlns:x15ac="http://schemas.microsoft.com/office/spreadsheetml/2010/11/ac" url="E:\Karine\SIM-ANP\Consulta Pública Tarifária 2023\"/>
    </mc:Choice>
  </mc:AlternateContent>
  <bookViews>
    <workbookView xWindow="0" yWindow="0" windowWidth="23040" windowHeight="8616" tabRatio="789" firstSheet="7" activeTab="9"/>
  </bookViews>
  <sheets>
    <sheet name="Premissas" sheetId="33" r:id="rId1"/>
    <sheet name="Conta Regulatória (C.Reg)" sheetId="48" r:id="rId2"/>
    <sheet name="Oferta" sheetId="34" r:id="rId3"/>
    <sheet name="Demanda" sheetId="35" r:id="rId4"/>
    <sheet name="Oferta x Demanda" sheetId="36" r:id="rId5"/>
    <sheet name="Matriz Distâncias NTS" sheetId="38" r:id="rId6"/>
    <sheet name="Planilha1" sheetId="43" state="hidden" r:id="rId7"/>
    <sheet name="CWD NTS 2024 (sem desconto)" sheetId="16" r:id="rId8"/>
    <sheet name="CWD NTS 2024 (Final)" sheetId="47" r:id="rId9"/>
    <sheet name="Tarifa Ponderada 2024" sheetId="42" r:id="rId10"/>
    <sheet name="CWD NTS 2025 (sem desconto)" sheetId="49" r:id="rId11"/>
    <sheet name="CWD NTS 2025 (Final)" sheetId="50" r:id="rId12"/>
    <sheet name="Tarifa Ponderada 2025" sheetId="51" r:id="rId13"/>
    <sheet name="CWD NTS 2025 (sem desc e C.Reg)" sheetId="52" r:id="rId14"/>
    <sheet name="CWD NTS 2025 (Final-sem C.Reg)" sheetId="53" r:id="rId15"/>
    <sheet name="Tarifa Ponderada 2025-sem C.Reg" sheetId="54" r:id="rId16"/>
    <sheet name="Consolidado" sheetId="41" r:id="rId17"/>
    <sheet name="Tarifas Finais" sheetId="46" r:id="rId18"/>
    <sheet name="SITGN Redux (2)" sheetId="22" state="hidden" r:id="rId19"/>
  </sheets>
  <externalReferences>
    <externalReference r:id="rId20"/>
    <externalReference r:id="rId21"/>
    <externalReference r:id="rId22"/>
    <externalReference r:id="rId23"/>
  </externalReferences>
  <definedNames>
    <definedName name="_tir2">'[1]T-Bill'!$S$45</definedName>
    <definedName name="A1remlife">'[2]Input (Assets)'!$G$7</definedName>
    <definedName name="A1resid" localSheetId="5">'[2]Input (Assets)'!#REF!</definedName>
    <definedName name="A1resid" localSheetId="4">'[2]Input (Assets)'!#REF!</definedName>
    <definedName name="A1resid">'[2]Input (Assets)'!#REF!</definedName>
    <definedName name="A1stdlife">'[2]Input (Assets)'!$H$7</definedName>
    <definedName name="A1taxremlife">'[2]Input (Assets)'!$J$7</definedName>
    <definedName name="A1taxstdlife">'[2]Input (Assets)'!$K$7</definedName>
    <definedName name="A1taxvalue">'[2]Input (Assets)'!$I$7</definedName>
    <definedName name="A1value">'[2]Input (Assets)'!$F$7</definedName>
    <definedName name="A2remlife">'[2]Input (Assets)'!$G$8</definedName>
    <definedName name="A2resid" localSheetId="5">'[2]Input (Assets)'!#REF!</definedName>
    <definedName name="A2resid" localSheetId="4">'[2]Input (Assets)'!#REF!</definedName>
    <definedName name="A2resid">'[2]Input (Assets)'!#REF!</definedName>
    <definedName name="A2stdlife">'[2]Input (Assets)'!$H$8</definedName>
    <definedName name="A2taxremlife">'[2]Input (Assets)'!$J$8</definedName>
    <definedName name="A2taxstdlife">'[2]Input (Assets)'!$K$8</definedName>
    <definedName name="A2taxvalue">'[2]Input (Assets)'!$I$8</definedName>
    <definedName name="A2value">'[2]Input (Assets)'!$F$8</definedName>
    <definedName name="A3remlife">'[2]Input (Assets)'!$G$9</definedName>
    <definedName name="A3resid" localSheetId="5">'[2]Input (Assets)'!#REF!</definedName>
    <definedName name="A3resid" localSheetId="4">'[2]Input (Assets)'!#REF!</definedName>
    <definedName name="A3resid">'[2]Input (Assets)'!#REF!</definedName>
    <definedName name="A3stdlife">'[2]Input (Assets)'!$H$9</definedName>
    <definedName name="A3taxremlife">'[2]Input (Assets)'!$J$9</definedName>
    <definedName name="A3taxstdlife">'[2]Input (Assets)'!$K$9</definedName>
    <definedName name="A3taxvalue">'[2]Input (Assets)'!$I$9</definedName>
    <definedName name="A3value">'[2]Input (Assets)'!$F$9</definedName>
    <definedName name="Asset_Life" localSheetId="5">[2]Input!#REF!</definedName>
    <definedName name="Asset_Life" localSheetId="4">[2]Input!#REF!</definedName>
    <definedName name="Asset_Life">[2]Input!#REF!</definedName>
    <definedName name="Asset1" localSheetId="5">[2]Input!#REF!</definedName>
    <definedName name="Asset1" localSheetId="4">[2]Input!#REF!</definedName>
    <definedName name="Asset1">[2]Input!#REF!</definedName>
    <definedName name="Asset2" localSheetId="4">[2]Input!#REF!</definedName>
    <definedName name="Asset2">[2]Input!#REF!</definedName>
    <definedName name="Ba">[2]Input!$C$15</definedName>
    <definedName name="Bd">[2]Input!$C$14</definedName>
    <definedName name="Be" localSheetId="5">'[2]Input (Assets)'!#REF!</definedName>
    <definedName name="Be" localSheetId="4">'[2]Input (Assets)'!#REF!</definedName>
    <definedName name="Be">'[2]Input (Assets)'!#REF!</definedName>
    <definedName name="Depreciação" localSheetId="5">'[2]Input (Assets)'!#REF!</definedName>
    <definedName name="Depreciação" localSheetId="4">'[2]Input (Assets)'!#REF!</definedName>
    <definedName name="Depreciação">'[2]Input (Assets)'!#REF!</definedName>
    <definedName name="dm">[2]Input!$C$10</definedName>
    <definedName name="equity">'[1]T-Bill'!$S$45</definedName>
    <definedName name="EV">[2]Input!$C$13</definedName>
    <definedName name="Fut_Exc_Rate">[3]Premissas!#REF!</definedName>
    <definedName name="Future_Exchange_Rate">[4]Premissas!#REF!</definedName>
    <definedName name="g">[2]Input!$C$12</definedName>
    <definedName name="ICB">[2]Input!$C$4</definedName>
    <definedName name="MRP">[2]Input!$C$11</definedName>
    <definedName name="OpenSolver_ChosenSolver" localSheetId="18" hidden="1">CBC</definedName>
    <definedName name="OpenSolver_DualsNewSheet" localSheetId="18" hidden="1">0</definedName>
    <definedName name="OpenSolver_LinearityCheck" localSheetId="18" hidden="1">1</definedName>
    <definedName name="OpenSolver_UpdateSensitivity" localSheetId="18" hidden="1">1</definedName>
    <definedName name="PERIOD" localSheetId="5">#REF!</definedName>
    <definedName name="PERIOD" localSheetId="4">#REF!</definedName>
    <definedName name="PERIOD">#REF!</definedName>
    <definedName name="Rf">[2]Input!$C$8</definedName>
    <definedName name="RiskCollectDistributionSamples">2</definedName>
    <definedName name="RiskFixedSeed">1</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rf">[2]Input!$C$9</definedName>
    <definedName name="solver_adj" localSheetId="18" hidden="1">'SITGN Redux (2)'!$H$8:$H$247</definedName>
    <definedName name="solver_cvg" localSheetId="18" hidden="1">0.0001</definedName>
    <definedName name="solver_drv" localSheetId="18" hidden="1">1</definedName>
    <definedName name="solver_eng" localSheetId="18" hidden="1">2</definedName>
    <definedName name="solver_est" localSheetId="18" hidden="1">1</definedName>
    <definedName name="solver_itr" localSheetId="18" hidden="1">1000</definedName>
    <definedName name="solver_lhs1" localSheetId="18" hidden="1">'SITGN Redux (2)'!$H$8:$H$247</definedName>
    <definedName name="solver_lhs2" localSheetId="18" hidden="1">'SITGN Redux (2)'!$H$8:$H$247</definedName>
    <definedName name="solver_lhs3" localSheetId="18" hidden="1">'SITGN Redux (2)'!#REF!</definedName>
    <definedName name="solver_lhs4" localSheetId="18" hidden="1">'SITGN Redux (2)'!$R$8:$R$68</definedName>
    <definedName name="solver_lhs5" localSheetId="18" hidden="1">'SITGN Redux (2)'!#REF!</definedName>
    <definedName name="solver_lhs6" localSheetId="18" hidden="1">'SITGN Redux (2)'!$J$8:$J$144</definedName>
    <definedName name="solver_lin" localSheetId="18" hidden="1">1</definedName>
    <definedName name="solver_mip" localSheetId="18" hidden="1">2147483647</definedName>
    <definedName name="solver_mni" localSheetId="18" hidden="1">30</definedName>
    <definedName name="solver_mrt" localSheetId="18" hidden="1">0.075</definedName>
    <definedName name="solver_msl" localSheetId="18" hidden="1">2</definedName>
    <definedName name="solver_neg" localSheetId="18" hidden="1">1</definedName>
    <definedName name="solver_nod" localSheetId="18" hidden="1">2147483647</definedName>
    <definedName name="solver_num" localSheetId="18" hidden="1">3</definedName>
    <definedName name="solver_nwt" localSheetId="18" hidden="1">1</definedName>
    <definedName name="solver_opt" localSheetId="18" hidden="1">'SITGN Redux (2)'!#REF!</definedName>
    <definedName name="solver_pre" localSheetId="18" hidden="1">0.0001</definedName>
    <definedName name="solver_rbv" localSheetId="18" hidden="1">1</definedName>
    <definedName name="solver_rel1" localSheetId="18" hidden="1">1</definedName>
    <definedName name="solver_rel2" localSheetId="18" hidden="1">3</definedName>
    <definedName name="solver_rel3" localSheetId="18" hidden="1">3</definedName>
    <definedName name="solver_rel4" localSheetId="18" hidden="1">3</definedName>
    <definedName name="solver_rel5" localSheetId="18" hidden="1">1</definedName>
    <definedName name="solver_rel6" localSheetId="18" hidden="1">1</definedName>
    <definedName name="solver_rhs1" localSheetId="18" hidden="1">'SITGN Redux (2)'!$I$8:$I$247</definedName>
    <definedName name="solver_rhs2" localSheetId="18" hidden="1">0</definedName>
    <definedName name="solver_rhs3" localSheetId="18" hidden="1">'SITGN Redux (2)'!#REF!</definedName>
    <definedName name="solver_rhs4" localSheetId="18" hidden="1">0</definedName>
    <definedName name="solver_rhs5" localSheetId="18" hidden="1">0</definedName>
    <definedName name="solver_rhs6" localSheetId="18" hidden="1">'SITGN Redux (2)'!$K$8:$K$144</definedName>
    <definedName name="solver_rlx" localSheetId="18" hidden="1">2</definedName>
    <definedName name="solver_rsd" localSheetId="18" hidden="1">0</definedName>
    <definedName name="solver_scl" localSheetId="18" hidden="1">2</definedName>
    <definedName name="solver_sho" localSheetId="18" hidden="1">2</definedName>
    <definedName name="solver_ssz" localSheetId="18" hidden="1">100</definedName>
    <definedName name="solver_tim" localSheetId="18" hidden="1">100</definedName>
    <definedName name="solver_tol" localSheetId="18" hidden="1">0.05</definedName>
    <definedName name="solver_typ" localSheetId="18" hidden="1">2</definedName>
    <definedName name="solver_val" localSheetId="18" hidden="1">0</definedName>
    <definedName name="solver_ver" localSheetId="18" hidden="1">3</definedName>
    <definedName name="spider">[1]TIPS!$D$20</definedName>
    <definedName name="tarifa" localSheetId="5">#REF!</definedName>
    <definedName name="tarifa" localSheetId="4">#REF!</definedName>
    <definedName name="tarifa">#REF!</definedName>
    <definedName name="Tax_Life" localSheetId="5">[2]Input!#REF!</definedName>
    <definedName name="Tax_Life" localSheetId="4">[2]Input!#REF!</definedName>
    <definedName name="Tax_Life">[2]Input!#REF!</definedName>
    <definedName name="teste">'[1]T-Bill'!$R$38</definedName>
    <definedName name="teste2">'[1]T-Bill'!$U$48</definedName>
    <definedName name="Time_Horizon">[2]Input!$C$5</definedName>
    <definedName name="tir">'[1]T-Bill'!$Q$37</definedName>
    <definedName name="tir_equity">'[1]T-Bill'!$S$47</definedName>
    <definedName name="tri_equity">'[1]T-Bill'!$S$47</definedName>
    <definedName name="vanilla">[2]WACC!$E$30</definedName>
    <definedName name="VPL" localSheetId="5">#REF!</definedName>
    <definedName name="VPL" localSheetId="4">#REF!</definedName>
    <definedName name="VPL">#REF!</definedName>
    <definedName name="xxx" localSheetId="5">#REF!</definedName>
    <definedName name="xxx" localSheetId="4">#REF!</definedName>
    <definedName name="xxx">#REF!</definedName>
    <definedName name="yyy" localSheetId="5">#REF!</definedName>
    <definedName name="yyy" localSheetId="4">#REF!</definedName>
    <definedName name="yyy">#REF!</definedName>
    <definedName name="βe" localSheetId="5">'[2]Input (Assets)'!#REF!</definedName>
    <definedName name="βe" localSheetId="4">'[2]Input (Assets)'!#REF!</definedName>
    <definedName name="βe">'[2]Input (Assets)'!#REF!</definedName>
  </definedNames>
  <calcPr calcId="162913"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5" l="1"/>
  <c r="F6" i="34"/>
  <c r="L83" i="53" l="1"/>
  <c r="K83" i="53"/>
  <c r="I83" i="53"/>
  <c r="E83" i="53"/>
  <c r="D83" i="53"/>
  <c r="C83" i="53"/>
  <c r="B83" i="53"/>
  <c r="J83" i="53" s="1"/>
  <c r="L82" i="53"/>
  <c r="H82" i="53"/>
  <c r="G82" i="53"/>
  <c r="F82" i="53"/>
  <c r="D82" i="53"/>
  <c r="B82" i="53"/>
  <c r="E82" i="53" s="1"/>
  <c r="I81" i="53"/>
  <c r="B81" i="53"/>
  <c r="H81" i="53" s="1"/>
  <c r="B80" i="53"/>
  <c r="B79" i="53"/>
  <c r="B78" i="53"/>
  <c r="B77" i="53"/>
  <c r="B76" i="53"/>
  <c r="B75" i="53"/>
  <c r="B74" i="53"/>
  <c r="B73" i="53"/>
  <c r="B72" i="53"/>
  <c r="B71" i="53"/>
  <c r="B70" i="53"/>
  <c r="B69" i="53"/>
  <c r="B68" i="53"/>
  <c r="G82" i="52"/>
  <c r="F82" i="52"/>
  <c r="E82" i="52"/>
  <c r="B82" i="52"/>
  <c r="L82" i="52" s="1"/>
  <c r="I81" i="52"/>
  <c r="H81" i="52"/>
  <c r="B81" i="52"/>
  <c r="G81" i="52" s="1"/>
  <c r="L80" i="52"/>
  <c r="K80" i="52"/>
  <c r="H80" i="52"/>
  <c r="E80" i="52"/>
  <c r="D80" i="52"/>
  <c r="C80" i="52"/>
  <c r="B80" i="52"/>
  <c r="J80" i="52" s="1"/>
  <c r="B79" i="52"/>
  <c r="B78" i="52"/>
  <c r="B77" i="52"/>
  <c r="B76" i="52"/>
  <c r="B75" i="52"/>
  <c r="B74" i="52"/>
  <c r="B73" i="52"/>
  <c r="B72" i="52"/>
  <c r="B71" i="52"/>
  <c r="B70" i="52"/>
  <c r="B69" i="52"/>
  <c r="B68" i="52"/>
  <c r="B67" i="52"/>
  <c r="L83" i="50"/>
  <c r="E83" i="50"/>
  <c r="D83" i="50"/>
  <c r="B83" i="50"/>
  <c r="K83" i="50" s="1"/>
  <c r="L82" i="50"/>
  <c r="I82" i="50"/>
  <c r="H82" i="50"/>
  <c r="G82" i="50"/>
  <c r="E82" i="50"/>
  <c r="D82" i="50"/>
  <c r="B82" i="50"/>
  <c r="F82" i="50" s="1"/>
  <c r="B81" i="50"/>
  <c r="I81" i="50" s="1"/>
  <c r="B80" i="50"/>
  <c r="B79" i="50"/>
  <c r="B78" i="50"/>
  <c r="B77" i="50"/>
  <c r="B76" i="50"/>
  <c r="B75" i="50"/>
  <c r="B74" i="50"/>
  <c r="B73" i="50"/>
  <c r="B72" i="50"/>
  <c r="B71" i="50"/>
  <c r="B70" i="50"/>
  <c r="B69" i="50"/>
  <c r="B68" i="50"/>
  <c r="H82" i="49"/>
  <c r="G82" i="49"/>
  <c r="B82" i="49"/>
  <c r="L82" i="49" s="1"/>
  <c r="B81" i="49"/>
  <c r="G81" i="49" s="1"/>
  <c r="K80" i="49"/>
  <c r="H80" i="49"/>
  <c r="F80" i="49"/>
  <c r="E80" i="49"/>
  <c r="C80" i="49"/>
  <c r="B80" i="49"/>
  <c r="J80" i="49" s="1"/>
  <c r="B79" i="49"/>
  <c r="B78" i="49"/>
  <c r="B77" i="49"/>
  <c r="B76" i="49"/>
  <c r="B75" i="49"/>
  <c r="B74" i="49"/>
  <c r="B73" i="49"/>
  <c r="B72" i="49"/>
  <c r="B71" i="49"/>
  <c r="B70" i="49"/>
  <c r="B69" i="49"/>
  <c r="B68" i="49"/>
  <c r="B67" i="49"/>
  <c r="L83" i="47"/>
  <c r="K83" i="47"/>
  <c r="I83" i="47"/>
  <c r="H83" i="47"/>
  <c r="G83" i="47"/>
  <c r="F83" i="47"/>
  <c r="E83" i="47"/>
  <c r="D83" i="47"/>
  <c r="C83" i="47"/>
  <c r="B83" i="47"/>
  <c r="J83" i="47" s="1"/>
  <c r="I82" i="47"/>
  <c r="H82" i="47"/>
  <c r="B82" i="47"/>
  <c r="G82" i="47" s="1"/>
  <c r="L81" i="47"/>
  <c r="K81" i="47"/>
  <c r="E81" i="47"/>
  <c r="D81" i="47"/>
  <c r="C81" i="47"/>
  <c r="B81" i="47"/>
  <c r="J81" i="47" s="1"/>
  <c r="B80" i="47"/>
  <c r="B79" i="47"/>
  <c r="B78" i="47"/>
  <c r="B77" i="47"/>
  <c r="B76" i="47"/>
  <c r="B75" i="47"/>
  <c r="B74" i="47"/>
  <c r="B73" i="47"/>
  <c r="B72" i="47"/>
  <c r="B71" i="47"/>
  <c r="B70" i="47"/>
  <c r="B69" i="47"/>
  <c r="B68" i="47"/>
  <c r="K80" i="16"/>
  <c r="K81" i="16"/>
  <c r="K82" i="16"/>
  <c r="H80" i="16"/>
  <c r="H81" i="16"/>
  <c r="H82" i="16"/>
  <c r="G80" i="16"/>
  <c r="G81" i="16"/>
  <c r="G82" i="16"/>
  <c r="L80" i="16"/>
  <c r="L81" i="16"/>
  <c r="L82" i="16"/>
  <c r="I80" i="16"/>
  <c r="I81" i="16"/>
  <c r="I82" i="16"/>
  <c r="C81" i="53" l="1"/>
  <c r="K81" i="53"/>
  <c r="D81" i="53"/>
  <c r="L81" i="53"/>
  <c r="I82" i="53"/>
  <c r="F83" i="53"/>
  <c r="E81" i="53"/>
  <c r="J82" i="53"/>
  <c r="G83" i="53"/>
  <c r="J81" i="53"/>
  <c r="F81" i="53"/>
  <c r="C82" i="53"/>
  <c r="K82" i="53"/>
  <c r="H83" i="53"/>
  <c r="G81" i="53"/>
  <c r="J81" i="52"/>
  <c r="F80" i="52"/>
  <c r="C81" i="52"/>
  <c r="K81" i="52"/>
  <c r="H82" i="52"/>
  <c r="G80" i="52"/>
  <c r="D81" i="52"/>
  <c r="L81" i="52"/>
  <c r="I82" i="52"/>
  <c r="E81" i="52"/>
  <c r="J82" i="52"/>
  <c r="I80" i="52"/>
  <c r="F81" i="52"/>
  <c r="C82" i="52"/>
  <c r="K82" i="52"/>
  <c r="D82" i="52"/>
  <c r="C81" i="50"/>
  <c r="D81" i="50"/>
  <c r="L81" i="50"/>
  <c r="F83" i="50"/>
  <c r="E81" i="50"/>
  <c r="J82" i="50"/>
  <c r="G83" i="50"/>
  <c r="J81" i="50"/>
  <c r="K81" i="50"/>
  <c r="F81" i="50"/>
  <c r="C82" i="50"/>
  <c r="K82" i="50"/>
  <c r="H83" i="50"/>
  <c r="G81" i="50"/>
  <c r="I83" i="50"/>
  <c r="H81" i="50"/>
  <c r="J83" i="50"/>
  <c r="C83" i="50"/>
  <c r="H81" i="49"/>
  <c r="E82" i="49"/>
  <c r="D80" i="49"/>
  <c r="L80" i="49"/>
  <c r="I81" i="49"/>
  <c r="F82" i="49"/>
  <c r="J81" i="49"/>
  <c r="C81" i="49"/>
  <c r="K81" i="49"/>
  <c r="G80" i="49"/>
  <c r="D81" i="49"/>
  <c r="L81" i="49"/>
  <c r="I82" i="49"/>
  <c r="E81" i="49"/>
  <c r="J82" i="49"/>
  <c r="I80" i="49"/>
  <c r="F81" i="49"/>
  <c r="C82" i="49"/>
  <c r="K82" i="49"/>
  <c r="D82" i="49"/>
  <c r="J82" i="47"/>
  <c r="F81" i="47"/>
  <c r="C82" i="47"/>
  <c r="K82" i="47"/>
  <c r="G81" i="47"/>
  <c r="D82" i="47"/>
  <c r="L82" i="47"/>
  <c r="H81" i="47"/>
  <c r="E82" i="47"/>
  <c r="I81" i="47"/>
  <c r="F82" i="47"/>
  <c r="G35" i="49" l="1"/>
  <c r="C35" i="49"/>
  <c r="C36" i="49" s="1"/>
  <c r="C35" i="47"/>
  <c r="C58" i="47"/>
  <c r="A44" i="41"/>
  <c r="B44" i="41"/>
  <c r="A45" i="41"/>
  <c r="B45" i="41"/>
  <c r="A46" i="41"/>
  <c r="B46" i="41"/>
  <c r="A47" i="41"/>
  <c r="B47" i="41"/>
  <c r="A48" i="41"/>
  <c r="B48" i="41"/>
  <c r="A49" i="41"/>
  <c r="B49" i="41"/>
  <c r="A50" i="41"/>
  <c r="B50" i="41"/>
  <c r="A51" i="41"/>
  <c r="B51" i="41"/>
  <c r="A52" i="41"/>
  <c r="B52" i="41"/>
  <c r="A53" i="41"/>
  <c r="B53" i="41"/>
  <c r="A54" i="41"/>
  <c r="B54" i="41"/>
  <c r="A55" i="41"/>
  <c r="B55" i="41"/>
  <c r="A56" i="41"/>
  <c r="B56" i="41"/>
  <c r="A57" i="41"/>
  <c r="B57" i="41"/>
  <c r="A58" i="41"/>
  <c r="B58" i="41"/>
  <c r="A43" i="41"/>
  <c r="B43" i="41"/>
  <c r="A30" i="54"/>
  <c r="A29" i="54"/>
  <c r="E28" i="54"/>
  <c r="A28" i="54"/>
  <c r="A27" i="54"/>
  <c r="H26" i="54"/>
  <c r="A26" i="54"/>
  <c r="H25" i="54"/>
  <c r="A25" i="54"/>
  <c r="H24" i="54"/>
  <c r="A24" i="54"/>
  <c r="A23" i="54"/>
  <c r="H22" i="54"/>
  <c r="A22" i="54"/>
  <c r="H21" i="54"/>
  <c r="B21" i="54"/>
  <c r="A21" i="54"/>
  <c r="H20" i="54"/>
  <c r="A20" i="54"/>
  <c r="H19" i="54"/>
  <c r="A19" i="54"/>
  <c r="A18" i="54"/>
  <c r="H17" i="54"/>
  <c r="A17" i="54"/>
  <c r="H16" i="54"/>
  <c r="A16" i="54"/>
  <c r="H15" i="54"/>
  <c r="A15" i="54"/>
  <c r="A11" i="54"/>
  <c r="A10" i="54"/>
  <c r="A9" i="54"/>
  <c r="A8" i="54"/>
  <c r="A7" i="54"/>
  <c r="A6" i="54"/>
  <c r="A5" i="54"/>
  <c r="A4" i="54"/>
  <c r="A3" i="54"/>
  <c r="A2" i="54"/>
  <c r="C273" i="53"/>
  <c r="C270" i="53"/>
  <c r="C269" i="53"/>
  <c r="C268" i="53"/>
  <c r="L259" i="53"/>
  <c r="I236" i="53"/>
  <c r="I255" i="53" s="1"/>
  <c r="B24" i="54" s="1"/>
  <c r="H57" i="53"/>
  <c r="G57" i="53"/>
  <c r="B57" i="53"/>
  <c r="H56" i="53"/>
  <c r="G56" i="53"/>
  <c r="B56" i="53"/>
  <c r="H55" i="53"/>
  <c r="G55" i="53"/>
  <c r="B55" i="53"/>
  <c r="I240" i="53" s="1"/>
  <c r="I259" i="53" s="1"/>
  <c r="B28" i="54" s="1"/>
  <c r="L5" i="54" s="1"/>
  <c r="G54" i="53"/>
  <c r="C54" i="53"/>
  <c r="B54" i="53"/>
  <c r="G53" i="53"/>
  <c r="C53" i="53"/>
  <c r="B53" i="53"/>
  <c r="C52" i="53"/>
  <c r="G52" i="53" s="1"/>
  <c r="B52" i="53"/>
  <c r="G51" i="53"/>
  <c r="C51" i="53"/>
  <c r="B51" i="53"/>
  <c r="G50" i="53"/>
  <c r="C50" i="53"/>
  <c r="B50" i="53"/>
  <c r="G49" i="53"/>
  <c r="C49" i="53"/>
  <c r="B49" i="53"/>
  <c r="C48" i="53"/>
  <c r="G48" i="53" s="1"/>
  <c r="B48" i="53"/>
  <c r="I233" i="53" s="1"/>
  <c r="I252" i="53" s="1"/>
  <c r="C47" i="53"/>
  <c r="G47" i="53" s="1"/>
  <c r="B47" i="53"/>
  <c r="C46" i="53"/>
  <c r="G46" i="53" s="1"/>
  <c r="B46" i="53"/>
  <c r="I231" i="53" s="1"/>
  <c r="I250" i="53" s="1"/>
  <c r="B19" i="54" s="1"/>
  <c r="G45" i="53"/>
  <c r="C45" i="53"/>
  <c r="B45" i="53"/>
  <c r="C44" i="53"/>
  <c r="G44" i="53" s="1"/>
  <c r="B44" i="53"/>
  <c r="I229" i="53" s="1"/>
  <c r="I248" i="53" s="1"/>
  <c r="B17" i="54" s="1"/>
  <c r="G43" i="53"/>
  <c r="C43" i="53"/>
  <c r="B43" i="53"/>
  <c r="I228" i="53" s="1"/>
  <c r="I247" i="53" s="1"/>
  <c r="B16" i="54" s="1"/>
  <c r="G42" i="53"/>
  <c r="C42" i="53"/>
  <c r="B42" i="53"/>
  <c r="H34" i="53"/>
  <c r="G34" i="53"/>
  <c r="B34" i="53"/>
  <c r="B236" i="53" s="1"/>
  <c r="B255" i="53" s="1"/>
  <c r="B11" i="54" s="1"/>
  <c r="H33" i="53"/>
  <c r="G33" i="53"/>
  <c r="B33" i="53"/>
  <c r="B235" i="53" s="1"/>
  <c r="B254" i="53" s="1"/>
  <c r="B10" i="54" s="1"/>
  <c r="H32" i="53"/>
  <c r="G32" i="53"/>
  <c r="B32" i="53"/>
  <c r="B234" i="53" s="1"/>
  <c r="B253" i="53" s="1"/>
  <c r="B9" i="54" s="1"/>
  <c r="G31" i="53"/>
  <c r="C31" i="53"/>
  <c r="B31" i="53"/>
  <c r="B233" i="53" s="1"/>
  <c r="B252" i="53" s="1"/>
  <c r="B8" i="54" s="1"/>
  <c r="H30" i="53"/>
  <c r="D30" i="53"/>
  <c r="C30" i="53"/>
  <c r="G30" i="53" s="1"/>
  <c r="B30" i="53"/>
  <c r="B232" i="53" s="1"/>
  <c r="B251" i="53" s="1"/>
  <c r="B7" i="54" s="1"/>
  <c r="D29" i="53"/>
  <c r="H29" i="53" s="1"/>
  <c r="C29" i="53"/>
  <c r="G29" i="53" s="1"/>
  <c r="B29" i="53"/>
  <c r="B231" i="53" s="1"/>
  <c r="B250" i="53" s="1"/>
  <c r="B6" i="54" s="1"/>
  <c r="H28" i="53"/>
  <c r="G28" i="53"/>
  <c r="B28" i="53"/>
  <c r="B230" i="53" s="1"/>
  <c r="B249" i="53" s="1"/>
  <c r="B5" i="54" s="1"/>
  <c r="D27" i="53"/>
  <c r="H27" i="53" s="1"/>
  <c r="C27" i="53"/>
  <c r="G27" i="53" s="1"/>
  <c r="H26" i="53"/>
  <c r="D26" i="53"/>
  <c r="C26" i="53"/>
  <c r="G26" i="53" s="1"/>
  <c r="B26" i="53"/>
  <c r="B228" i="53" s="1"/>
  <c r="B247" i="53" s="1"/>
  <c r="B3" i="54" s="1"/>
  <c r="G25" i="53"/>
  <c r="C25" i="53"/>
  <c r="G22" i="53"/>
  <c r="G39" i="53" s="1"/>
  <c r="C22" i="53"/>
  <c r="C39" i="53" s="1"/>
  <c r="C12" i="53"/>
  <c r="A6" i="53"/>
  <c r="A9" i="53" s="1"/>
  <c r="C272" i="52"/>
  <c r="C269" i="52"/>
  <c r="C268" i="52"/>
  <c r="C267" i="52"/>
  <c r="K264" i="52"/>
  <c r="I254" i="52"/>
  <c r="B227" i="52"/>
  <c r="B246" i="52" s="1"/>
  <c r="G58" i="52"/>
  <c r="C58" i="52"/>
  <c r="H56" i="52"/>
  <c r="D56" i="52"/>
  <c r="C56" i="52"/>
  <c r="G56" i="52" s="1"/>
  <c r="B56" i="52"/>
  <c r="C55" i="52"/>
  <c r="G55" i="52" s="1"/>
  <c r="B55" i="52"/>
  <c r="I240" i="52" s="1"/>
  <c r="I259" i="52" s="1"/>
  <c r="G54" i="52"/>
  <c r="D54" i="52"/>
  <c r="H54" i="52" s="1"/>
  <c r="C54" i="52"/>
  <c r="B54" i="52"/>
  <c r="G53" i="52"/>
  <c r="C53" i="52"/>
  <c r="B53" i="52"/>
  <c r="C52" i="52"/>
  <c r="G52" i="52" s="1"/>
  <c r="B52" i="52"/>
  <c r="C51" i="52"/>
  <c r="G51" i="52" s="1"/>
  <c r="B51" i="52"/>
  <c r="G50" i="52"/>
  <c r="C50" i="52"/>
  <c r="B50" i="52"/>
  <c r="I235" i="52" s="1"/>
  <c r="G49" i="52"/>
  <c r="C49" i="52"/>
  <c r="B49" i="52"/>
  <c r="I234" i="52" s="1"/>
  <c r="I253" i="52" s="1"/>
  <c r="C48" i="52"/>
  <c r="G48" i="52" s="1"/>
  <c r="B48" i="52"/>
  <c r="I233" i="52" s="1"/>
  <c r="I252" i="52" s="1"/>
  <c r="C47" i="52"/>
  <c r="G47" i="52" s="1"/>
  <c r="B47" i="52"/>
  <c r="I232" i="52" s="1"/>
  <c r="I251" i="52" s="1"/>
  <c r="G46" i="52"/>
  <c r="C46" i="52"/>
  <c r="B46" i="52"/>
  <c r="G45" i="52"/>
  <c r="C45" i="52"/>
  <c r="B45" i="52"/>
  <c r="I230" i="52" s="1"/>
  <c r="I249" i="52" s="1"/>
  <c r="C44" i="52"/>
  <c r="G44" i="52" s="1"/>
  <c r="B44" i="52"/>
  <c r="I229" i="52" s="1"/>
  <c r="I248" i="52" s="1"/>
  <c r="C43" i="52"/>
  <c r="C57" i="52" s="1"/>
  <c r="C59" i="52" s="1"/>
  <c r="B43" i="52"/>
  <c r="I228" i="52" s="1"/>
  <c r="I247" i="52" s="1"/>
  <c r="G42" i="52"/>
  <c r="C42" i="52"/>
  <c r="B42" i="52"/>
  <c r="I227" i="52" s="1"/>
  <c r="I246" i="52" s="1"/>
  <c r="G41" i="52"/>
  <c r="C41" i="52"/>
  <c r="B41" i="52"/>
  <c r="I226" i="52" s="1"/>
  <c r="I245" i="52" s="1"/>
  <c r="G38" i="52"/>
  <c r="F36" i="52"/>
  <c r="G35" i="52"/>
  <c r="C35" i="52"/>
  <c r="H33" i="52"/>
  <c r="G33" i="52"/>
  <c r="D33" i="52"/>
  <c r="C33" i="52"/>
  <c r="B33" i="52"/>
  <c r="B235" i="52" s="1"/>
  <c r="B254" i="52" s="1"/>
  <c r="H32" i="52"/>
  <c r="D32" i="52"/>
  <c r="C32" i="52"/>
  <c r="G32" i="52" s="1"/>
  <c r="B32" i="52"/>
  <c r="B234" i="52" s="1"/>
  <c r="B253" i="52" s="1"/>
  <c r="D31" i="52"/>
  <c r="H31" i="52" s="1"/>
  <c r="C31" i="52"/>
  <c r="G31" i="52" s="1"/>
  <c r="B31" i="52"/>
  <c r="B233" i="52" s="1"/>
  <c r="B252" i="52" s="1"/>
  <c r="G30" i="52"/>
  <c r="C30" i="52"/>
  <c r="B30" i="52"/>
  <c r="B232" i="52" s="1"/>
  <c r="B251" i="52" s="1"/>
  <c r="H29" i="52"/>
  <c r="G29" i="52"/>
  <c r="D29" i="52"/>
  <c r="C29" i="52"/>
  <c r="B29" i="52"/>
  <c r="B231" i="52" s="1"/>
  <c r="B250" i="52" s="1"/>
  <c r="H28" i="52"/>
  <c r="C6" i="54" s="1"/>
  <c r="D28" i="52"/>
  <c r="C28" i="52"/>
  <c r="G28" i="52" s="1"/>
  <c r="B28" i="52"/>
  <c r="B230" i="52" s="1"/>
  <c r="B249" i="52" s="1"/>
  <c r="C27" i="52"/>
  <c r="G27" i="52" s="1"/>
  <c r="B27" i="52"/>
  <c r="B229" i="52" s="1"/>
  <c r="B248" i="52" s="1"/>
  <c r="G26" i="52"/>
  <c r="D26" i="52"/>
  <c r="C26" i="52"/>
  <c r="H25" i="52"/>
  <c r="C3" i="54" s="1"/>
  <c r="G25" i="52"/>
  <c r="D25" i="52"/>
  <c r="C25" i="52"/>
  <c r="B25" i="52"/>
  <c r="C24" i="52"/>
  <c r="G24" i="52" s="1"/>
  <c r="G21" i="52"/>
  <c r="C21" i="52"/>
  <c r="C38" i="52" s="1"/>
  <c r="C11" i="52"/>
  <c r="A5" i="52"/>
  <c r="G34" i="52" l="1"/>
  <c r="G36" i="52" s="1"/>
  <c r="C28" i="54"/>
  <c r="J258" i="52"/>
  <c r="C9" i="54"/>
  <c r="H26" i="52"/>
  <c r="I241" i="52"/>
  <c r="I260" i="52" s="1"/>
  <c r="G43" i="52"/>
  <c r="G57" i="52" s="1"/>
  <c r="G59" i="52" s="1"/>
  <c r="C255" i="53"/>
  <c r="A8" i="52"/>
  <c r="I236" i="52"/>
  <c r="I255" i="52" s="1"/>
  <c r="G35" i="53"/>
  <c r="I237" i="52"/>
  <c r="I256" i="52" s="1"/>
  <c r="C30" i="54"/>
  <c r="C11" i="54"/>
  <c r="C251" i="53"/>
  <c r="I234" i="53"/>
  <c r="I253" i="53" s="1"/>
  <c r="B22" i="54" s="1"/>
  <c r="C34" i="52"/>
  <c r="C36" i="52" s="1"/>
  <c r="I231" i="52"/>
  <c r="I250" i="52" s="1"/>
  <c r="I239" i="52"/>
  <c r="I258" i="52" s="1"/>
  <c r="C10" i="54"/>
  <c r="C249" i="52"/>
  <c r="C58" i="53"/>
  <c r="C7" i="54"/>
  <c r="C250" i="52"/>
  <c r="I238" i="52"/>
  <c r="I257" i="52" s="1"/>
  <c r="I227" i="53"/>
  <c r="I246" i="53" s="1"/>
  <c r="B15" i="54" s="1"/>
  <c r="C35" i="53"/>
  <c r="C250" i="53"/>
  <c r="C253" i="53"/>
  <c r="I235" i="53"/>
  <c r="I254" i="53" s="1"/>
  <c r="B23" i="54" s="1"/>
  <c r="I237" i="53"/>
  <c r="I256" i="53" s="1"/>
  <c r="B25" i="54" s="1"/>
  <c r="J259" i="53"/>
  <c r="C249" i="53"/>
  <c r="G58" i="53"/>
  <c r="J261" i="53"/>
  <c r="I230" i="53"/>
  <c r="I249" i="53" s="1"/>
  <c r="B18" i="54" s="1"/>
  <c r="I239" i="53"/>
  <c r="I258" i="53" s="1"/>
  <c r="B27" i="54" s="1"/>
  <c r="I241" i="53"/>
  <c r="I260" i="53" s="1"/>
  <c r="B29" i="54" s="1"/>
  <c r="L6" i="54" s="1"/>
  <c r="I232" i="53"/>
  <c r="I251" i="53" s="1"/>
  <c r="B20" i="54" s="1"/>
  <c r="C254" i="53"/>
  <c r="J260" i="53"/>
  <c r="I238" i="53"/>
  <c r="I257" i="53" s="1"/>
  <c r="B26" i="54" s="1"/>
  <c r="I242" i="53"/>
  <c r="I261" i="53" s="1"/>
  <c r="B30" i="54" s="1"/>
  <c r="L7" i="54" s="1"/>
  <c r="F28" i="54" l="1"/>
  <c r="G28" i="54" s="1"/>
  <c r="D28" i="54"/>
  <c r="D30" i="54"/>
  <c r="C4" i="54"/>
  <c r="H28" i="54" l="1"/>
  <c r="C37" i="54" s="1"/>
  <c r="H57" i="50" l="1"/>
  <c r="G57" i="50"/>
  <c r="H56" i="50"/>
  <c r="G56" i="50"/>
  <c r="H55" i="50"/>
  <c r="G55" i="50"/>
  <c r="G54" i="50"/>
  <c r="G53" i="50"/>
  <c r="G52" i="50"/>
  <c r="G51" i="50"/>
  <c r="G50" i="50"/>
  <c r="G49" i="50"/>
  <c r="G48" i="50"/>
  <c r="G47" i="50"/>
  <c r="G46" i="50"/>
  <c r="G45" i="50"/>
  <c r="G44" i="50"/>
  <c r="G43" i="50"/>
  <c r="G42" i="50"/>
  <c r="H34" i="50"/>
  <c r="G34" i="50"/>
  <c r="H33" i="50"/>
  <c r="G33" i="50"/>
  <c r="H32" i="50"/>
  <c r="G32" i="50"/>
  <c r="G31" i="50"/>
  <c r="H30" i="50"/>
  <c r="G30" i="50"/>
  <c r="H29" i="50"/>
  <c r="G29" i="50"/>
  <c r="H28" i="50"/>
  <c r="G28" i="50"/>
  <c r="H27" i="50"/>
  <c r="G27" i="50"/>
  <c r="H26" i="50"/>
  <c r="G26" i="50"/>
  <c r="G25" i="50"/>
  <c r="D30" i="50"/>
  <c r="D29" i="50"/>
  <c r="D27" i="50"/>
  <c r="D26" i="50"/>
  <c r="B30" i="51"/>
  <c r="A30" i="51"/>
  <c r="B29" i="51"/>
  <c r="L6" i="51" s="1"/>
  <c r="A29" i="51"/>
  <c r="E28" i="51"/>
  <c r="B28" i="51"/>
  <c r="A28" i="51"/>
  <c r="B27" i="51"/>
  <c r="A27" i="51"/>
  <c r="B26" i="51"/>
  <c r="A26" i="51"/>
  <c r="B25" i="51"/>
  <c r="A25" i="51"/>
  <c r="B24" i="51"/>
  <c r="A24" i="51"/>
  <c r="B23" i="51"/>
  <c r="A23" i="51"/>
  <c r="B22" i="51"/>
  <c r="A22" i="51"/>
  <c r="B21" i="51"/>
  <c r="A21" i="51"/>
  <c r="B20" i="51"/>
  <c r="A20" i="51"/>
  <c r="B19" i="51"/>
  <c r="A19" i="51"/>
  <c r="B18" i="51"/>
  <c r="A18" i="51"/>
  <c r="B17" i="51"/>
  <c r="A17" i="51"/>
  <c r="B16" i="51"/>
  <c r="A16" i="51"/>
  <c r="B15" i="51"/>
  <c r="A15" i="51"/>
  <c r="A11" i="51"/>
  <c r="A10" i="51"/>
  <c r="A9" i="51"/>
  <c r="A8" i="51"/>
  <c r="A7" i="51"/>
  <c r="A6" i="51"/>
  <c r="A5" i="51"/>
  <c r="A4" i="51"/>
  <c r="A3" i="51"/>
  <c r="A2" i="51"/>
  <c r="L7" i="51"/>
  <c r="L5" i="51"/>
  <c r="H26" i="51"/>
  <c r="H25" i="51"/>
  <c r="H24" i="51"/>
  <c r="H22" i="51"/>
  <c r="H21" i="51"/>
  <c r="H20" i="51"/>
  <c r="H19" i="51"/>
  <c r="H17" i="51"/>
  <c r="H16" i="51"/>
  <c r="H15" i="51"/>
  <c r="A24" i="41"/>
  <c r="A25" i="41"/>
  <c r="A26" i="41"/>
  <c r="A27" i="41"/>
  <c r="A28" i="41"/>
  <c r="A29" i="41"/>
  <c r="A30" i="41"/>
  <c r="A31" i="41"/>
  <c r="A32" i="41"/>
  <c r="A33" i="41"/>
  <c r="A34" i="41"/>
  <c r="A35" i="41"/>
  <c r="A36" i="41"/>
  <c r="A37" i="41"/>
  <c r="A38" i="41"/>
  <c r="A23" i="41"/>
  <c r="B24" i="41"/>
  <c r="B25" i="41"/>
  <c r="B26" i="41"/>
  <c r="B27" i="41"/>
  <c r="B28" i="41"/>
  <c r="B29" i="41"/>
  <c r="B30" i="41"/>
  <c r="B31" i="41"/>
  <c r="B32" i="41"/>
  <c r="B33" i="41"/>
  <c r="B34" i="41"/>
  <c r="B35" i="41"/>
  <c r="B36" i="41"/>
  <c r="B37" i="41"/>
  <c r="B38" i="41"/>
  <c r="B23" i="41"/>
  <c r="C273" i="50"/>
  <c r="C270" i="50"/>
  <c r="C269" i="50"/>
  <c r="C268" i="50"/>
  <c r="C272" i="49"/>
  <c r="C269" i="49"/>
  <c r="C268" i="49"/>
  <c r="C267" i="49"/>
  <c r="G58" i="49"/>
  <c r="G58" i="16"/>
  <c r="G35" i="16"/>
  <c r="I34" i="36"/>
  <c r="I18" i="36"/>
  <c r="I19" i="36"/>
  <c r="I20" i="36"/>
  <c r="I21" i="36"/>
  <c r="I22" i="36"/>
  <c r="I23" i="36"/>
  <c r="I24" i="36"/>
  <c r="I25" i="36"/>
  <c r="I26" i="36"/>
  <c r="I27" i="36"/>
  <c r="I28" i="36"/>
  <c r="I29" i="36"/>
  <c r="I30" i="36"/>
  <c r="J30" i="36"/>
  <c r="K30" i="36"/>
  <c r="I31" i="36"/>
  <c r="I32" i="36"/>
  <c r="J32" i="36"/>
  <c r="K32" i="36"/>
  <c r="I17" i="36"/>
  <c r="I13" i="36"/>
  <c r="I3" i="36"/>
  <c r="J3" i="36"/>
  <c r="K3" i="36"/>
  <c r="I4" i="36"/>
  <c r="J4" i="36"/>
  <c r="K4" i="36"/>
  <c r="I5" i="36"/>
  <c r="I6" i="36"/>
  <c r="J6" i="36"/>
  <c r="K6" i="36"/>
  <c r="I7" i="36"/>
  <c r="J7" i="36"/>
  <c r="K7" i="36"/>
  <c r="I8" i="36"/>
  <c r="I9" i="36"/>
  <c r="J9" i="36"/>
  <c r="K9" i="36"/>
  <c r="I10" i="36"/>
  <c r="J10" i="36"/>
  <c r="K10" i="36"/>
  <c r="I11" i="36"/>
  <c r="J11" i="36"/>
  <c r="K11" i="36"/>
  <c r="I2" i="36"/>
  <c r="H56" i="49"/>
  <c r="C30" i="51" s="1"/>
  <c r="G56" i="49"/>
  <c r="G55" i="49"/>
  <c r="H54" i="49"/>
  <c r="C28" i="51" s="1"/>
  <c r="F28" i="51" s="1"/>
  <c r="G28" i="51" s="1"/>
  <c r="G54" i="49"/>
  <c r="G53" i="49"/>
  <c r="G52" i="49"/>
  <c r="G51" i="49"/>
  <c r="G50" i="49"/>
  <c r="G49" i="49"/>
  <c r="G48" i="49"/>
  <c r="G47" i="49"/>
  <c r="G46" i="49"/>
  <c r="G45" i="49"/>
  <c r="G44" i="49"/>
  <c r="G43" i="49"/>
  <c r="G42" i="49"/>
  <c r="G41" i="49"/>
  <c r="H33" i="49"/>
  <c r="C11" i="51" s="1"/>
  <c r="G33" i="49"/>
  <c r="H32" i="49"/>
  <c r="C10" i="51" s="1"/>
  <c r="G32" i="49"/>
  <c r="H31" i="49"/>
  <c r="C9" i="51" s="1"/>
  <c r="G31" i="49"/>
  <c r="G30" i="49"/>
  <c r="H29" i="49"/>
  <c r="C7" i="51" s="1"/>
  <c r="G29" i="49"/>
  <c r="H28" i="49"/>
  <c r="C6" i="51" s="1"/>
  <c r="G28" i="49"/>
  <c r="G27" i="49"/>
  <c r="H26" i="49"/>
  <c r="C4" i="51" s="1"/>
  <c r="G26" i="49"/>
  <c r="H25" i="49"/>
  <c r="C3" i="51" s="1"/>
  <c r="G25" i="49"/>
  <c r="G24" i="49"/>
  <c r="I260" i="50"/>
  <c r="L259" i="50"/>
  <c r="I258" i="50"/>
  <c r="I248" i="50"/>
  <c r="I236" i="50"/>
  <c r="I255" i="50" s="1"/>
  <c r="B57" i="50"/>
  <c r="B56" i="50"/>
  <c r="I241" i="50" s="1"/>
  <c r="B55" i="50"/>
  <c r="I240" i="50" s="1"/>
  <c r="I259" i="50" s="1"/>
  <c r="C54" i="50"/>
  <c r="B54" i="50"/>
  <c r="I239" i="50" s="1"/>
  <c r="C53" i="50"/>
  <c r="B53" i="50"/>
  <c r="C52" i="50"/>
  <c r="B52" i="50"/>
  <c r="I237" i="50" s="1"/>
  <c r="I256" i="50" s="1"/>
  <c r="C51" i="50"/>
  <c r="B51" i="50"/>
  <c r="C50" i="50"/>
  <c r="B50" i="50"/>
  <c r="C49" i="50"/>
  <c r="B49" i="50"/>
  <c r="C48" i="50"/>
  <c r="B48" i="50"/>
  <c r="C47" i="50"/>
  <c r="B47" i="50"/>
  <c r="I232" i="50" s="1"/>
  <c r="I251" i="50" s="1"/>
  <c r="C46" i="50"/>
  <c r="B46" i="50"/>
  <c r="I231" i="50" s="1"/>
  <c r="I250" i="50" s="1"/>
  <c r="C45" i="50"/>
  <c r="B45" i="50"/>
  <c r="C44" i="50"/>
  <c r="B44" i="50"/>
  <c r="I229" i="50" s="1"/>
  <c r="C43" i="50"/>
  <c r="B43" i="50"/>
  <c r="C42" i="50"/>
  <c r="B42" i="50"/>
  <c r="B34" i="50"/>
  <c r="B236" i="50" s="1"/>
  <c r="B255" i="50" s="1"/>
  <c r="B11" i="51" s="1"/>
  <c r="B33" i="50"/>
  <c r="B235" i="50" s="1"/>
  <c r="B254" i="50" s="1"/>
  <c r="B10" i="51" s="1"/>
  <c r="B32" i="50"/>
  <c r="B234" i="50" s="1"/>
  <c r="B253" i="50" s="1"/>
  <c r="B9" i="51" s="1"/>
  <c r="C31" i="50"/>
  <c r="B31" i="50"/>
  <c r="B233" i="50" s="1"/>
  <c r="B252" i="50" s="1"/>
  <c r="B8" i="51" s="1"/>
  <c r="C30" i="50"/>
  <c r="B30" i="50"/>
  <c r="B232" i="50" s="1"/>
  <c r="B251" i="50" s="1"/>
  <c r="B7" i="51" s="1"/>
  <c r="C29" i="50"/>
  <c r="B29" i="50"/>
  <c r="B231" i="50" s="1"/>
  <c r="B250" i="50" s="1"/>
  <c r="B6" i="51" s="1"/>
  <c r="B28" i="50"/>
  <c r="B230" i="50" s="1"/>
  <c r="B249" i="50" s="1"/>
  <c r="B5" i="51" s="1"/>
  <c r="C27" i="50"/>
  <c r="C26" i="50"/>
  <c r="B26" i="50"/>
  <c r="B228" i="50" s="1"/>
  <c r="B247" i="50" s="1"/>
  <c r="B3" i="51" s="1"/>
  <c r="C25" i="50"/>
  <c r="G22" i="50"/>
  <c r="G39" i="50" s="1"/>
  <c r="C22" i="50"/>
  <c r="C39" i="50" s="1"/>
  <c r="K264" i="49"/>
  <c r="I233" i="49"/>
  <c r="I252" i="49" s="1"/>
  <c r="B232" i="49"/>
  <c r="B251" i="49" s="1"/>
  <c r="I227" i="49"/>
  <c r="I246" i="49" s="1"/>
  <c r="C58" i="49"/>
  <c r="D56" i="49"/>
  <c r="C56" i="49"/>
  <c r="B56" i="49"/>
  <c r="C55" i="49"/>
  <c r="B55" i="49"/>
  <c r="D54" i="49"/>
  <c r="C54" i="49"/>
  <c r="B54" i="49"/>
  <c r="I239" i="49" s="1"/>
  <c r="I258" i="49" s="1"/>
  <c r="C53" i="49"/>
  <c r="B53" i="49"/>
  <c r="C52" i="49"/>
  <c r="B52" i="49"/>
  <c r="C51" i="49"/>
  <c r="B51" i="49"/>
  <c r="I236" i="49" s="1"/>
  <c r="I255" i="49" s="1"/>
  <c r="C50" i="49"/>
  <c r="B50" i="49"/>
  <c r="C49" i="49"/>
  <c r="B49" i="49"/>
  <c r="I234" i="49" s="1"/>
  <c r="I253" i="49" s="1"/>
  <c r="C48" i="49"/>
  <c r="B48" i="49"/>
  <c r="C47" i="49"/>
  <c r="B47" i="49"/>
  <c r="C46" i="49"/>
  <c r="B46" i="49"/>
  <c r="I231" i="49" s="1"/>
  <c r="I250" i="49" s="1"/>
  <c r="C45" i="49"/>
  <c r="B45" i="49"/>
  <c r="I230" i="49" s="1"/>
  <c r="I249" i="49" s="1"/>
  <c r="C44" i="49"/>
  <c r="B44" i="49"/>
  <c r="C43" i="49"/>
  <c r="B43" i="49"/>
  <c r="I228" i="49" s="1"/>
  <c r="I247" i="49" s="1"/>
  <c r="C42" i="49"/>
  <c r="B42" i="49"/>
  <c r="C41" i="49"/>
  <c r="B41" i="49"/>
  <c r="I226" i="49" s="1"/>
  <c r="I245" i="49" s="1"/>
  <c r="D33" i="49"/>
  <c r="C33" i="49"/>
  <c r="B33" i="49"/>
  <c r="B235" i="49" s="1"/>
  <c r="B254" i="49" s="1"/>
  <c r="D32" i="49"/>
  <c r="C32" i="49"/>
  <c r="B32" i="49"/>
  <c r="B234" i="49" s="1"/>
  <c r="B253" i="49" s="1"/>
  <c r="D31" i="49"/>
  <c r="C31" i="49"/>
  <c r="B31" i="49"/>
  <c r="B233" i="49" s="1"/>
  <c r="B252" i="49" s="1"/>
  <c r="C30" i="49"/>
  <c r="B30" i="49"/>
  <c r="D29" i="49"/>
  <c r="C29" i="49"/>
  <c r="B29" i="49"/>
  <c r="B231" i="49" s="1"/>
  <c r="B250" i="49" s="1"/>
  <c r="D28" i="49"/>
  <c r="C28" i="49"/>
  <c r="B28" i="49"/>
  <c r="B230" i="49" s="1"/>
  <c r="B249" i="49" s="1"/>
  <c r="C27" i="49"/>
  <c r="B27" i="49"/>
  <c r="B229" i="49" s="1"/>
  <c r="B248" i="49" s="1"/>
  <c r="D26" i="49"/>
  <c r="C26" i="49"/>
  <c r="D25" i="49"/>
  <c r="C25" i="49"/>
  <c r="B25" i="49"/>
  <c r="B227" i="49" s="1"/>
  <c r="B246" i="49" s="1"/>
  <c r="C24" i="49"/>
  <c r="G21" i="49"/>
  <c r="G38" i="49" s="1"/>
  <c r="C21" i="49"/>
  <c r="C38" i="49" s="1"/>
  <c r="C250" i="49" l="1"/>
  <c r="D28" i="51"/>
  <c r="D30" i="51"/>
  <c r="C249" i="49"/>
  <c r="G57" i="49"/>
  <c r="G59" i="49" s="1"/>
  <c r="J260" i="50"/>
  <c r="I229" i="49"/>
  <c r="I248" i="49" s="1"/>
  <c r="I230" i="50"/>
  <c r="I249" i="50" s="1"/>
  <c r="I228" i="50"/>
  <c r="I247" i="50" s="1"/>
  <c r="I232" i="49"/>
  <c r="I251" i="49" s="1"/>
  <c r="J258" i="49"/>
  <c r="I240" i="49"/>
  <c r="I259" i="49" s="1"/>
  <c r="G34" i="49"/>
  <c r="G36" i="49" s="1"/>
  <c r="I235" i="49"/>
  <c r="I254" i="49" s="1"/>
  <c r="C57" i="49"/>
  <c r="C59" i="49" s="1"/>
  <c r="I237" i="49"/>
  <c r="I256" i="49" s="1"/>
  <c r="C250" i="50"/>
  <c r="C34" i="49"/>
  <c r="I241" i="49"/>
  <c r="I260" i="49" s="1"/>
  <c r="C251" i="50"/>
  <c r="I227" i="50"/>
  <c r="I246" i="50" s="1"/>
  <c r="I238" i="49"/>
  <c r="I257" i="49" s="1"/>
  <c r="G35" i="50"/>
  <c r="C35" i="50"/>
  <c r="C58" i="50"/>
  <c r="I242" i="50"/>
  <c r="I261" i="50" s="1"/>
  <c r="I238" i="50"/>
  <c r="I257" i="50" s="1"/>
  <c r="G58" i="50"/>
  <c r="I233" i="50"/>
  <c r="I252" i="50" s="1"/>
  <c r="I235" i="50"/>
  <c r="I254" i="50" s="1"/>
  <c r="J261" i="50"/>
  <c r="I234" i="50"/>
  <c r="I253" i="50" s="1"/>
  <c r="J259" i="50"/>
  <c r="H28" i="51" l="1"/>
  <c r="C37" i="51" s="1"/>
  <c r="E32" i="33" l="1"/>
  <c r="E33" i="33"/>
  <c r="E34" i="33"/>
  <c r="E35" i="33"/>
  <c r="E31" i="33"/>
  <c r="B8" i="48"/>
  <c r="E37" i="33" s="1"/>
  <c r="E36" i="33" l="1"/>
  <c r="E38" i="33" s="1"/>
  <c r="E40" i="33" s="1"/>
  <c r="F9" i="33" l="1"/>
  <c r="G43" i="47" l="1"/>
  <c r="G44" i="47"/>
  <c r="G45" i="47"/>
  <c r="G46" i="47"/>
  <c r="G47" i="47"/>
  <c r="G48" i="47"/>
  <c r="G49" i="47"/>
  <c r="G50" i="47"/>
  <c r="G51" i="47"/>
  <c r="G52" i="47"/>
  <c r="G53" i="47"/>
  <c r="G54" i="47"/>
  <c r="G55" i="47"/>
  <c r="H55" i="47"/>
  <c r="G56" i="47"/>
  <c r="H56" i="47"/>
  <c r="G57" i="47"/>
  <c r="H57" i="47"/>
  <c r="G42" i="47"/>
  <c r="G26" i="47"/>
  <c r="H26" i="47"/>
  <c r="G27" i="47"/>
  <c r="G28" i="47"/>
  <c r="H28" i="47"/>
  <c r="G29" i="47"/>
  <c r="H29" i="47"/>
  <c r="G30" i="47"/>
  <c r="H30" i="47"/>
  <c r="G31" i="47"/>
  <c r="G32" i="47"/>
  <c r="H32" i="47"/>
  <c r="G33" i="47"/>
  <c r="H33" i="47"/>
  <c r="G34" i="47"/>
  <c r="H34" i="47"/>
  <c r="G25" i="47"/>
  <c r="G42" i="16"/>
  <c r="G43" i="16"/>
  <c r="G44" i="16"/>
  <c r="G45" i="16"/>
  <c r="G46" i="16"/>
  <c r="G47" i="16"/>
  <c r="G48" i="16"/>
  <c r="G49" i="16"/>
  <c r="G50" i="16"/>
  <c r="G51" i="16"/>
  <c r="G52" i="16"/>
  <c r="G53" i="16"/>
  <c r="G54" i="16"/>
  <c r="H54" i="16"/>
  <c r="G55" i="16"/>
  <c r="G56" i="16"/>
  <c r="G41" i="16"/>
  <c r="G25" i="16"/>
  <c r="H25" i="16"/>
  <c r="G26" i="16"/>
  <c r="G27" i="16"/>
  <c r="G28" i="16"/>
  <c r="H28" i="16"/>
  <c r="G29" i="16"/>
  <c r="H29" i="16"/>
  <c r="G30" i="16"/>
  <c r="G31" i="16"/>
  <c r="G32" i="16"/>
  <c r="H32" i="16"/>
  <c r="G33" i="16"/>
  <c r="H33" i="16"/>
  <c r="G24" i="16"/>
  <c r="G58" i="47" l="1"/>
  <c r="G35" i="47"/>
  <c r="F4" i="35"/>
  <c r="F5" i="35"/>
  <c r="F7" i="35"/>
  <c r="F8" i="35"/>
  <c r="F9" i="35"/>
  <c r="F10" i="35"/>
  <c r="F11" i="35"/>
  <c r="F12" i="35"/>
  <c r="F13" i="35"/>
  <c r="F14" i="35"/>
  <c r="F15" i="35"/>
  <c r="F16" i="35"/>
  <c r="F17" i="35"/>
  <c r="F18" i="35"/>
  <c r="F3" i="35"/>
  <c r="F12" i="34"/>
  <c r="F11" i="34"/>
  <c r="F10" i="34"/>
  <c r="F9" i="34"/>
  <c r="F8" i="34"/>
  <c r="F7" i="34"/>
  <c r="F5" i="34"/>
  <c r="F4" i="34"/>
  <c r="F3" i="34"/>
  <c r="C271" i="53" l="1"/>
  <c r="C270" i="52"/>
  <c r="C271" i="50"/>
  <c r="C270" i="49"/>
  <c r="C271" i="52"/>
  <c r="C272" i="53"/>
  <c r="C272" i="50"/>
  <c r="C271" i="49"/>
  <c r="C271" i="47"/>
  <c r="D32" i="33"/>
  <c r="D33" i="33"/>
  <c r="D34" i="33"/>
  <c r="D35" i="33"/>
  <c r="D31" i="33"/>
  <c r="C9" i="33"/>
  <c r="E9" i="33"/>
  <c r="C270" i="16"/>
  <c r="B18" i="41"/>
  <c r="B17" i="41"/>
  <c r="B16" i="41"/>
  <c r="B15" i="41"/>
  <c r="B14" i="41"/>
  <c r="B13" i="41"/>
  <c r="B12" i="41"/>
  <c r="B11" i="41"/>
  <c r="B10" i="41"/>
  <c r="B9" i="41"/>
  <c r="B8" i="41"/>
  <c r="B7" i="41"/>
  <c r="B6" i="41"/>
  <c r="B5" i="41"/>
  <c r="B4" i="41"/>
  <c r="B3" i="41"/>
  <c r="A18" i="41"/>
  <c r="A4" i="41"/>
  <c r="A5" i="41"/>
  <c r="A6" i="41"/>
  <c r="A7" i="41"/>
  <c r="A8" i="41"/>
  <c r="A9" i="41"/>
  <c r="A10" i="41"/>
  <c r="A11" i="41"/>
  <c r="A12" i="41"/>
  <c r="A13" i="41"/>
  <c r="A14" i="41"/>
  <c r="A15" i="41"/>
  <c r="A16" i="41"/>
  <c r="A17" i="41"/>
  <c r="A3" i="41"/>
  <c r="D36" i="33" l="1"/>
  <c r="D38" i="33" s="1"/>
  <c r="D40" i="33" s="1"/>
  <c r="D4" i="16" s="1"/>
  <c r="E28" i="42"/>
  <c r="B30" i="42"/>
  <c r="A30" i="42"/>
  <c r="B29" i="42"/>
  <c r="A29" i="42"/>
  <c r="B28" i="42"/>
  <c r="A28" i="42"/>
  <c r="B27" i="42"/>
  <c r="A27" i="42"/>
  <c r="B26" i="42"/>
  <c r="A26" i="42"/>
  <c r="B25" i="42"/>
  <c r="A25" i="42"/>
  <c r="B24" i="42"/>
  <c r="A24" i="42"/>
  <c r="B23" i="42"/>
  <c r="A23" i="42"/>
  <c r="B22" i="42"/>
  <c r="A22" i="42"/>
  <c r="B21" i="42"/>
  <c r="A21" i="42"/>
  <c r="B20" i="42"/>
  <c r="A20" i="42"/>
  <c r="B19" i="42"/>
  <c r="A19" i="42"/>
  <c r="B18" i="42"/>
  <c r="A18" i="42"/>
  <c r="B17" i="42"/>
  <c r="A17" i="42"/>
  <c r="B16" i="42"/>
  <c r="A16" i="42"/>
  <c r="B15" i="42"/>
  <c r="A15" i="42"/>
  <c r="A11" i="42"/>
  <c r="A10" i="42"/>
  <c r="A9" i="42"/>
  <c r="A8" i="42"/>
  <c r="A7" i="42"/>
  <c r="A6" i="42"/>
  <c r="A5" i="42"/>
  <c r="A4" i="42"/>
  <c r="A3" i="42"/>
  <c r="A2" i="42"/>
  <c r="L259" i="47"/>
  <c r="C273" i="47" l="1"/>
  <c r="C272" i="47"/>
  <c r="C270" i="47"/>
  <c r="C269" i="47"/>
  <c r="C268" i="47"/>
  <c r="B57" i="47"/>
  <c r="B56" i="47"/>
  <c r="B55" i="47"/>
  <c r="C54" i="47"/>
  <c r="B54" i="47"/>
  <c r="C53" i="47"/>
  <c r="B53" i="47"/>
  <c r="I238" i="47" s="1"/>
  <c r="I257" i="47" s="1"/>
  <c r="C52" i="47"/>
  <c r="B52" i="47"/>
  <c r="C51" i="47"/>
  <c r="B51" i="47"/>
  <c r="C50" i="47"/>
  <c r="B50" i="47"/>
  <c r="I235" i="47" s="1"/>
  <c r="I254" i="47" s="1"/>
  <c r="C49" i="47"/>
  <c r="B49" i="47"/>
  <c r="C48" i="47"/>
  <c r="B48" i="47"/>
  <c r="C47" i="47"/>
  <c r="B47" i="47"/>
  <c r="I232" i="47" s="1"/>
  <c r="I251" i="47" s="1"/>
  <c r="C46" i="47"/>
  <c r="B46" i="47"/>
  <c r="I231" i="47" s="1"/>
  <c r="I250" i="47" s="1"/>
  <c r="C45" i="47"/>
  <c r="B45" i="47"/>
  <c r="I230" i="47" s="1"/>
  <c r="I249" i="47" s="1"/>
  <c r="C44" i="47"/>
  <c r="B44" i="47"/>
  <c r="C43" i="47"/>
  <c r="B43" i="47"/>
  <c r="I228" i="47" s="1"/>
  <c r="I247" i="47" s="1"/>
  <c r="C42" i="47"/>
  <c r="B42" i="47"/>
  <c r="I227" i="47" s="1"/>
  <c r="I246" i="47" s="1"/>
  <c r="B34" i="47"/>
  <c r="B236" i="47" s="1"/>
  <c r="B255" i="47" s="1"/>
  <c r="B11" i="42" s="1"/>
  <c r="B33" i="47"/>
  <c r="B235" i="47" s="1"/>
  <c r="B254" i="47" s="1"/>
  <c r="B10" i="42" s="1"/>
  <c r="B32" i="47"/>
  <c r="B234" i="47" s="1"/>
  <c r="B253" i="47" s="1"/>
  <c r="B9" i="42" s="1"/>
  <c r="C31" i="47"/>
  <c r="B31" i="47"/>
  <c r="B233" i="47" s="1"/>
  <c r="B252" i="47" s="1"/>
  <c r="B8" i="42" s="1"/>
  <c r="D30" i="47"/>
  <c r="C30" i="47"/>
  <c r="B30" i="47"/>
  <c r="B232" i="47" s="1"/>
  <c r="B251" i="47" s="1"/>
  <c r="B7" i="42" s="1"/>
  <c r="D29" i="47"/>
  <c r="C29" i="47"/>
  <c r="B29" i="47"/>
  <c r="B231" i="47" s="1"/>
  <c r="B250" i="47" s="1"/>
  <c r="B6" i="42" s="1"/>
  <c r="C27" i="47"/>
  <c r="D26" i="47"/>
  <c r="C26" i="47"/>
  <c r="B26" i="47"/>
  <c r="B228" i="47" s="1"/>
  <c r="B247" i="47" s="1"/>
  <c r="B3" i="42" s="1"/>
  <c r="C25" i="47"/>
  <c r="G22" i="47"/>
  <c r="G39" i="47" s="1"/>
  <c r="C22" i="47"/>
  <c r="C39" i="47" s="1"/>
  <c r="I234" i="47" l="1"/>
  <c r="I253" i="47" s="1"/>
  <c r="I242" i="47"/>
  <c r="I261" i="47" s="1"/>
  <c r="C251" i="47"/>
  <c r="J259" i="47"/>
  <c r="I229" i="47"/>
  <c r="I248" i="47" s="1"/>
  <c r="I233" i="47"/>
  <c r="I252" i="47" s="1"/>
  <c r="I237" i="47"/>
  <c r="I256" i="47" s="1"/>
  <c r="I241" i="47"/>
  <c r="I260" i="47" s="1"/>
  <c r="I239" i="47"/>
  <c r="I258" i="47" s="1"/>
  <c r="I236" i="47"/>
  <c r="I255" i="47" s="1"/>
  <c r="C250" i="47"/>
  <c r="I240" i="47"/>
  <c r="I259" i="47" s="1"/>
  <c r="C272" i="16"/>
  <c r="C271" i="16"/>
  <c r="C269" i="16"/>
  <c r="C268" i="16"/>
  <c r="C267" i="16"/>
  <c r="E19" i="35" l="1"/>
  <c r="C13" i="34"/>
  <c r="D58" i="52" l="1"/>
  <c r="D58" i="49"/>
  <c r="C25" i="16"/>
  <c r="C26" i="16"/>
  <c r="C27" i="16"/>
  <c r="C28" i="16"/>
  <c r="C29" i="16"/>
  <c r="C30" i="16"/>
  <c r="C31" i="16"/>
  <c r="C32" i="16"/>
  <c r="C33" i="16"/>
  <c r="C19" i="35" l="1"/>
  <c r="H16" i="42"/>
  <c r="H17" i="42"/>
  <c r="H19" i="42"/>
  <c r="H20" i="42"/>
  <c r="H21" i="42"/>
  <c r="H22" i="42"/>
  <c r="H24" i="42"/>
  <c r="H25" i="42"/>
  <c r="H26" i="42"/>
  <c r="H15" i="42"/>
  <c r="A30" i="36"/>
  <c r="A31" i="36"/>
  <c r="A32" i="36"/>
  <c r="U16" i="38"/>
  <c r="V16" i="38"/>
  <c r="W16" i="38"/>
  <c r="X16" i="38"/>
  <c r="Y16" i="38"/>
  <c r="Z16" i="38"/>
  <c r="AA16" i="38"/>
  <c r="AB16" i="38"/>
  <c r="AC16" i="38"/>
  <c r="U17" i="38"/>
  <c r="V17" i="38"/>
  <c r="W17" i="38"/>
  <c r="X17" i="38"/>
  <c r="Y17" i="38"/>
  <c r="Z17" i="38"/>
  <c r="AA17" i="38"/>
  <c r="AB17" i="38"/>
  <c r="AC17" i="38"/>
  <c r="U18" i="38"/>
  <c r="V18" i="38"/>
  <c r="W18" i="38"/>
  <c r="X18" i="38"/>
  <c r="Y18" i="38"/>
  <c r="Z18" i="38"/>
  <c r="AA18" i="38"/>
  <c r="AB18" i="38"/>
  <c r="AC18" i="38"/>
  <c r="T17" i="38"/>
  <c r="T18" i="38"/>
  <c r="T16" i="38"/>
  <c r="S17" i="38"/>
  <c r="S18" i="38"/>
  <c r="S16" i="38"/>
  <c r="C2" i="36"/>
  <c r="D2" i="36"/>
  <c r="E2" i="36"/>
  <c r="F2" i="36"/>
  <c r="D3" i="36"/>
  <c r="E3" i="36"/>
  <c r="F3" i="36"/>
  <c r="C4" i="36"/>
  <c r="D27" i="47" s="1"/>
  <c r="H27" i="47" s="1"/>
  <c r="D4" i="36"/>
  <c r="E4" i="36"/>
  <c r="F4" i="36"/>
  <c r="C5" i="36"/>
  <c r="D5" i="36"/>
  <c r="K5" i="36" s="1"/>
  <c r="E5" i="36"/>
  <c r="F5" i="36"/>
  <c r="D6" i="36"/>
  <c r="E6" i="36"/>
  <c r="F6" i="36"/>
  <c r="D7" i="36"/>
  <c r="E7" i="36"/>
  <c r="F7" i="36"/>
  <c r="D8" i="36"/>
  <c r="E8" i="36"/>
  <c r="F8" i="36"/>
  <c r="D9" i="36"/>
  <c r="E9" i="36"/>
  <c r="F9" i="36"/>
  <c r="D10" i="36"/>
  <c r="E10" i="36"/>
  <c r="F10" i="36"/>
  <c r="D11" i="36"/>
  <c r="E11" i="36"/>
  <c r="F11" i="36"/>
  <c r="B3" i="36"/>
  <c r="B4" i="36"/>
  <c r="B5" i="36"/>
  <c r="B6" i="36"/>
  <c r="B7" i="36"/>
  <c r="B8" i="36"/>
  <c r="B9" i="36"/>
  <c r="B10" i="36"/>
  <c r="B11" i="36"/>
  <c r="B2" i="36"/>
  <c r="A7" i="36"/>
  <c r="D13" i="34"/>
  <c r="B13" i="36" s="1"/>
  <c r="F13" i="34"/>
  <c r="G13" i="34"/>
  <c r="H13" i="34"/>
  <c r="A3" i="36"/>
  <c r="A4" i="36"/>
  <c r="A5" i="36"/>
  <c r="A6" i="36"/>
  <c r="A8" i="36"/>
  <c r="A9" i="36"/>
  <c r="A10" i="36"/>
  <c r="A11" i="36"/>
  <c r="B18" i="36"/>
  <c r="D18" i="36"/>
  <c r="E18" i="36"/>
  <c r="F18" i="36"/>
  <c r="B19" i="36"/>
  <c r="D19" i="36"/>
  <c r="E19" i="36"/>
  <c r="F19" i="36"/>
  <c r="B20" i="36"/>
  <c r="D20" i="36"/>
  <c r="E20" i="36"/>
  <c r="F20" i="36"/>
  <c r="B21" i="36"/>
  <c r="D21" i="36"/>
  <c r="E21" i="36"/>
  <c r="F21" i="36"/>
  <c r="B22" i="36"/>
  <c r="D22" i="36"/>
  <c r="E22" i="36"/>
  <c r="F22" i="36"/>
  <c r="B23" i="36"/>
  <c r="D23" i="36"/>
  <c r="E23" i="36"/>
  <c r="F23" i="36"/>
  <c r="B24" i="36"/>
  <c r="D24" i="36"/>
  <c r="E24" i="36"/>
  <c r="F24" i="36"/>
  <c r="B25" i="36"/>
  <c r="D25" i="36"/>
  <c r="E25" i="36"/>
  <c r="F25" i="36"/>
  <c r="B26" i="36"/>
  <c r="D26" i="36"/>
  <c r="E26" i="36"/>
  <c r="F26" i="36"/>
  <c r="B27" i="36"/>
  <c r="D27" i="36"/>
  <c r="E27" i="36"/>
  <c r="F27" i="36"/>
  <c r="B28" i="36"/>
  <c r="D28" i="36"/>
  <c r="E28" i="36"/>
  <c r="F28" i="36"/>
  <c r="B29" i="36"/>
  <c r="D29" i="36"/>
  <c r="E29" i="36"/>
  <c r="F29" i="36"/>
  <c r="B30" i="36"/>
  <c r="D30" i="36"/>
  <c r="E30" i="36"/>
  <c r="F30" i="36"/>
  <c r="B31" i="36"/>
  <c r="D31" i="36"/>
  <c r="K31" i="36" s="1"/>
  <c r="E31" i="36"/>
  <c r="F31" i="36"/>
  <c r="B32" i="36"/>
  <c r="D32" i="36"/>
  <c r="E32" i="36"/>
  <c r="F32" i="36"/>
  <c r="D17" i="36"/>
  <c r="E17" i="36"/>
  <c r="F17" i="36"/>
  <c r="B17" i="36"/>
  <c r="D19" i="35"/>
  <c r="B34" i="36" s="1"/>
  <c r="D27" i="52" l="1"/>
  <c r="H27" i="52" s="1"/>
  <c r="C5" i="54" s="1"/>
  <c r="J5" i="36"/>
  <c r="D27" i="49"/>
  <c r="H27" i="49" s="1"/>
  <c r="C5" i="51" s="1"/>
  <c r="D44" i="53"/>
  <c r="H44" i="53" s="1"/>
  <c r="K19" i="36"/>
  <c r="D44" i="50"/>
  <c r="H44" i="50" s="1"/>
  <c r="D42" i="53"/>
  <c r="D42" i="50"/>
  <c r="K17" i="36"/>
  <c r="D46" i="53"/>
  <c r="H46" i="53" s="1"/>
  <c r="K21" i="36"/>
  <c r="D46" i="50"/>
  <c r="H46" i="50" s="1"/>
  <c r="D52" i="53"/>
  <c r="H52" i="53" s="1"/>
  <c r="K27" i="36"/>
  <c r="D52" i="50"/>
  <c r="H52" i="50" s="1"/>
  <c r="D50" i="53"/>
  <c r="H50" i="53" s="1"/>
  <c r="D50" i="50"/>
  <c r="H50" i="50" s="1"/>
  <c r="K25" i="36"/>
  <c r="D48" i="53"/>
  <c r="H48" i="53" s="1"/>
  <c r="D48" i="50"/>
  <c r="H48" i="50" s="1"/>
  <c r="K23" i="36"/>
  <c r="D54" i="53"/>
  <c r="H54" i="53" s="1"/>
  <c r="K29" i="36"/>
  <c r="D54" i="50"/>
  <c r="H54" i="50" s="1"/>
  <c r="D53" i="53"/>
  <c r="H53" i="53" s="1"/>
  <c r="D53" i="50"/>
  <c r="H53" i="50" s="1"/>
  <c r="K28" i="36"/>
  <c r="D51" i="53"/>
  <c r="H51" i="53" s="1"/>
  <c r="D51" i="50"/>
  <c r="H51" i="50" s="1"/>
  <c r="K26" i="36"/>
  <c r="D49" i="53"/>
  <c r="H49" i="53" s="1"/>
  <c r="D49" i="50"/>
  <c r="H49" i="50" s="1"/>
  <c r="K24" i="36"/>
  <c r="D47" i="53"/>
  <c r="H47" i="53" s="1"/>
  <c r="K22" i="36"/>
  <c r="D47" i="50"/>
  <c r="H47" i="50" s="1"/>
  <c r="D45" i="53"/>
  <c r="H45" i="53" s="1"/>
  <c r="D45" i="50"/>
  <c r="H45" i="50" s="1"/>
  <c r="K20" i="36"/>
  <c r="D43" i="53"/>
  <c r="H43" i="53" s="1"/>
  <c r="D43" i="50"/>
  <c r="H43" i="50" s="1"/>
  <c r="K18" i="36"/>
  <c r="D31" i="53"/>
  <c r="H31" i="53" s="1"/>
  <c r="D31" i="50"/>
  <c r="H31" i="50" s="1"/>
  <c r="K8" i="36"/>
  <c r="D25" i="47"/>
  <c r="D24" i="52"/>
  <c r="C12" i="36"/>
  <c r="J2" i="36"/>
  <c r="D24" i="49"/>
  <c r="H35" i="52"/>
  <c r="H35" i="49"/>
  <c r="D25" i="53"/>
  <c r="D25" i="50"/>
  <c r="K2" i="36"/>
  <c r="D33" i="36"/>
  <c r="E33" i="36"/>
  <c r="F33" i="36"/>
  <c r="D12" i="36"/>
  <c r="E12" i="36"/>
  <c r="F12" i="36"/>
  <c r="B33" i="36"/>
  <c r="X1" i="38"/>
  <c r="AC1" i="38"/>
  <c r="U1" i="38"/>
  <c r="V1" i="38"/>
  <c r="W1" i="38"/>
  <c r="Y1" i="38"/>
  <c r="Z1" i="38"/>
  <c r="AA1" i="38"/>
  <c r="AB1" i="38"/>
  <c r="T1" i="38"/>
  <c r="J3" i="38"/>
  <c r="J4" i="38"/>
  <c r="J5" i="38"/>
  <c r="J6" i="38"/>
  <c r="J7" i="38"/>
  <c r="J8" i="38"/>
  <c r="J9" i="38"/>
  <c r="J10" i="38"/>
  <c r="J11" i="38"/>
  <c r="J12" i="38"/>
  <c r="J13" i="38"/>
  <c r="J14" i="38"/>
  <c r="J15" i="38"/>
  <c r="J16" i="38"/>
  <c r="J17" i="38"/>
  <c r="J18" i="38"/>
  <c r="J19" i="38"/>
  <c r="T9" i="38" s="1"/>
  <c r="C74" i="53" s="1"/>
  <c r="J20" i="38"/>
  <c r="J21" i="38"/>
  <c r="J22" i="38"/>
  <c r="J25" i="38"/>
  <c r="J24" i="38"/>
  <c r="J23" i="38"/>
  <c r="J26" i="38"/>
  <c r="J27" i="38"/>
  <c r="J28" i="38"/>
  <c r="J34" i="38"/>
  <c r="J29" i="38"/>
  <c r="T10" i="38" s="1"/>
  <c r="C75" i="53" s="1"/>
  <c r="J33" i="38"/>
  <c r="J31" i="38"/>
  <c r="J32" i="38"/>
  <c r="J30" i="38"/>
  <c r="J35" i="38"/>
  <c r="J36" i="38"/>
  <c r="J37" i="38"/>
  <c r="J39" i="38"/>
  <c r="J40" i="38"/>
  <c r="J41" i="38"/>
  <c r="J42" i="38"/>
  <c r="J38" i="38"/>
  <c r="J44" i="38"/>
  <c r="J45" i="38"/>
  <c r="J43" i="38"/>
  <c r="J2" i="38"/>
  <c r="C10" i="36"/>
  <c r="C6" i="36"/>
  <c r="C7" i="36"/>
  <c r="C8" i="36"/>
  <c r="H42" i="50" l="1"/>
  <c r="D58" i="50"/>
  <c r="D10" i="50" s="1"/>
  <c r="H42" i="53"/>
  <c r="H58" i="53" s="1"/>
  <c r="E110" i="53" s="1"/>
  <c r="D58" i="53"/>
  <c r="D10" i="53" s="1"/>
  <c r="E103" i="53"/>
  <c r="D31" i="47"/>
  <c r="H31" i="47" s="1"/>
  <c r="D30" i="52"/>
  <c r="H30" i="52" s="1"/>
  <c r="C8" i="54" s="1"/>
  <c r="J8" i="36"/>
  <c r="D30" i="49"/>
  <c r="H30" i="49" s="1"/>
  <c r="C8" i="51" s="1"/>
  <c r="H25" i="53"/>
  <c r="D35" i="53"/>
  <c r="D7" i="53" s="1"/>
  <c r="H24" i="49"/>
  <c r="D34" i="49"/>
  <c r="D6" i="49" s="1"/>
  <c r="D35" i="52"/>
  <c r="D35" i="49"/>
  <c r="H24" i="52"/>
  <c r="D34" i="52"/>
  <c r="H25" i="50"/>
  <c r="D35" i="50"/>
  <c r="D7" i="50" s="1"/>
  <c r="H25" i="47"/>
  <c r="D35" i="47"/>
  <c r="C74" i="50"/>
  <c r="C73" i="52"/>
  <c r="C75" i="50"/>
  <c r="C74" i="52"/>
  <c r="C75" i="47"/>
  <c r="C74" i="49"/>
  <c r="C74" i="47"/>
  <c r="C73" i="49"/>
  <c r="T6" i="38"/>
  <c r="T15" i="38"/>
  <c r="T13" i="38"/>
  <c r="T14" i="38"/>
  <c r="C79" i="53" s="1"/>
  <c r="T12" i="38"/>
  <c r="C77" i="53" s="1"/>
  <c r="E13" i="34"/>
  <c r="H35" i="16" s="1"/>
  <c r="C3" i="36"/>
  <c r="T3" i="38"/>
  <c r="C68" i="53" s="1"/>
  <c r="T5" i="38"/>
  <c r="C70" i="53" s="1"/>
  <c r="T4" i="38"/>
  <c r="C69" i="53" s="1"/>
  <c r="T11" i="38"/>
  <c r="C76" i="53" s="1"/>
  <c r="T8" i="38"/>
  <c r="C73" i="53" s="1"/>
  <c r="T7" i="38"/>
  <c r="C72" i="53" s="1"/>
  <c r="C9" i="36"/>
  <c r="Y3" i="38"/>
  <c r="U12" i="38"/>
  <c r="D77" i="53" s="1"/>
  <c r="AC12" i="38"/>
  <c r="Y13" i="38"/>
  <c r="Z15" i="38"/>
  <c r="Z13" i="38"/>
  <c r="W4" i="38"/>
  <c r="J69" i="53" s="1"/>
  <c r="W14" i="38"/>
  <c r="J79" i="53" s="1"/>
  <c r="AC10" i="38"/>
  <c r="Y9" i="38"/>
  <c r="W8" i="38"/>
  <c r="J73" i="53" s="1"/>
  <c r="U14" i="38"/>
  <c r="D79" i="53" s="1"/>
  <c r="Z14" i="38"/>
  <c r="AC15" i="38"/>
  <c r="W15" i="38"/>
  <c r="J80" i="53" s="1"/>
  <c r="Y14" i="38"/>
  <c r="AC13" i="38"/>
  <c r="W13" i="38"/>
  <c r="J78" i="53" s="1"/>
  <c r="Y12" i="38"/>
  <c r="AC11" i="38"/>
  <c r="W11" i="38"/>
  <c r="J76" i="53" s="1"/>
  <c r="Y10" i="38"/>
  <c r="AC9" i="38"/>
  <c r="W9" i="38"/>
  <c r="J74" i="53" s="1"/>
  <c r="Y8" i="38"/>
  <c r="AC7" i="38"/>
  <c r="W7" i="38"/>
  <c r="J72" i="53" s="1"/>
  <c r="Y6" i="38"/>
  <c r="AC5" i="38"/>
  <c r="W5" i="38"/>
  <c r="J70" i="53" s="1"/>
  <c r="Y4" i="38"/>
  <c r="AB15" i="38"/>
  <c r="V15" i="38"/>
  <c r="E80" i="53" s="1"/>
  <c r="AB13" i="38"/>
  <c r="V13" i="38"/>
  <c r="E78" i="53" s="1"/>
  <c r="X12" i="38"/>
  <c r="AB11" i="38"/>
  <c r="V11" i="38"/>
  <c r="E76" i="53" s="1"/>
  <c r="X10" i="38"/>
  <c r="AB9" i="38"/>
  <c r="V9" i="38"/>
  <c r="E74" i="53" s="1"/>
  <c r="X8" i="38"/>
  <c r="AB7" i="38"/>
  <c r="V7" i="38"/>
  <c r="E72" i="53" s="1"/>
  <c r="X6" i="38"/>
  <c r="AB5" i="38"/>
  <c r="V5" i="38"/>
  <c r="E70" i="53" s="1"/>
  <c r="X4" i="38"/>
  <c r="X14" i="38"/>
  <c r="AA15" i="38"/>
  <c r="U15" i="38"/>
  <c r="D80" i="53" s="1"/>
  <c r="AA13" i="38"/>
  <c r="U13" i="38"/>
  <c r="D78" i="53" s="1"/>
  <c r="AA11" i="38"/>
  <c r="U11" i="38"/>
  <c r="D76" i="53" s="1"/>
  <c r="AA9" i="38"/>
  <c r="U9" i="38"/>
  <c r="D74" i="53" s="1"/>
  <c r="AA7" i="38"/>
  <c r="U7" i="38"/>
  <c r="D72" i="53" s="1"/>
  <c r="AA5" i="38"/>
  <c r="U5" i="38"/>
  <c r="D70" i="53" s="1"/>
  <c r="Z5" i="38"/>
  <c r="Z9" i="38"/>
  <c r="AC14" i="38"/>
  <c r="W12" i="38"/>
  <c r="J77" i="53" s="1"/>
  <c r="W10" i="38"/>
  <c r="J75" i="53" s="1"/>
  <c r="Y7" i="38"/>
  <c r="W6" i="38"/>
  <c r="J71" i="53" s="1"/>
  <c r="Y5" i="38"/>
  <c r="AC4" i="38"/>
  <c r="X15" i="38"/>
  <c r="AB14" i="38"/>
  <c r="V14" i="38"/>
  <c r="E79" i="53" s="1"/>
  <c r="X13" i="38"/>
  <c r="AB12" i="38"/>
  <c r="V12" i="38"/>
  <c r="E77" i="53" s="1"/>
  <c r="X11" i="38"/>
  <c r="AB10" i="38"/>
  <c r="V10" i="38"/>
  <c r="E75" i="53" s="1"/>
  <c r="X9" i="38"/>
  <c r="AB8" i="38"/>
  <c r="V8" i="38"/>
  <c r="E73" i="53" s="1"/>
  <c r="X7" i="38"/>
  <c r="AB6" i="38"/>
  <c r="V6" i="38"/>
  <c r="E71" i="53" s="1"/>
  <c r="X5" i="38"/>
  <c r="AB4" i="38"/>
  <c r="V4" i="38"/>
  <c r="E69" i="53" s="1"/>
  <c r="Y15" i="38"/>
  <c r="Y11" i="38"/>
  <c r="AC8" i="38"/>
  <c r="AC6" i="38"/>
  <c r="AA14" i="38"/>
  <c r="AA12" i="38"/>
  <c r="AA10" i="38"/>
  <c r="U10" i="38"/>
  <c r="D75" i="53" s="1"/>
  <c r="AA8" i="38"/>
  <c r="U8" i="38"/>
  <c r="D73" i="53" s="1"/>
  <c r="AA6" i="38"/>
  <c r="U6" i="38"/>
  <c r="D71" i="53" s="1"/>
  <c r="AA4" i="38"/>
  <c r="U4" i="38"/>
  <c r="D69" i="53" s="1"/>
  <c r="Z11" i="38"/>
  <c r="Z7" i="38"/>
  <c r="Z12" i="38"/>
  <c r="Z10" i="38"/>
  <c r="Z8" i="38"/>
  <c r="Z6" i="38"/>
  <c r="Z4" i="38"/>
  <c r="AC3" i="38"/>
  <c r="W3" i="38"/>
  <c r="J68" i="53" s="1"/>
  <c r="AB3" i="38"/>
  <c r="V3" i="38"/>
  <c r="E68" i="53" s="1"/>
  <c r="AA3" i="38"/>
  <c r="U3" i="38"/>
  <c r="D68" i="53" s="1"/>
  <c r="Z3" i="38"/>
  <c r="X3" i="38"/>
  <c r="H35" i="47" l="1"/>
  <c r="H58" i="50"/>
  <c r="E100" i="50" s="1"/>
  <c r="E100" i="53"/>
  <c r="F10" i="53"/>
  <c r="E114" i="53"/>
  <c r="E115" i="53"/>
  <c r="E113" i="53"/>
  <c r="E111" i="53"/>
  <c r="E104" i="53"/>
  <c r="E102" i="53"/>
  <c r="E107" i="53"/>
  <c r="E112" i="53"/>
  <c r="E108" i="53"/>
  <c r="E105" i="53"/>
  <c r="E109" i="53"/>
  <c r="E101" i="53"/>
  <c r="E106" i="53"/>
  <c r="D36" i="49"/>
  <c r="D6" i="52"/>
  <c r="D36" i="52"/>
  <c r="C2" i="54"/>
  <c r="H34" i="52"/>
  <c r="H99" i="52" s="1"/>
  <c r="C2" i="51"/>
  <c r="H34" i="49"/>
  <c r="H35" i="50"/>
  <c r="H100" i="50" s="1"/>
  <c r="H35" i="53"/>
  <c r="H100" i="53" s="1"/>
  <c r="B100" i="53"/>
  <c r="H71" i="52"/>
  <c r="H72" i="53"/>
  <c r="G73" i="52"/>
  <c r="G74" i="53"/>
  <c r="I72" i="52"/>
  <c r="I73" i="53"/>
  <c r="F68" i="53"/>
  <c r="K68" i="53"/>
  <c r="F71" i="53"/>
  <c r="K71" i="53"/>
  <c r="L70" i="52"/>
  <c r="L71" i="53"/>
  <c r="I70" i="52"/>
  <c r="I71" i="53"/>
  <c r="H69" i="52"/>
  <c r="H70" i="53"/>
  <c r="H77" i="52"/>
  <c r="H78" i="53"/>
  <c r="G70" i="52"/>
  <c r="G71" i="53"/>
  <c r="L75" i="52"/>
  <c r="L76" i="53"/>
  <c r="G77" i="52"/>
  <c r="G78" i="53"/>
  <c r="H67" i="52"/>
  <c r="H68" i="53"/>
  <c r="I77" i="52"/>
  <c r="I78" i="53"/>
  <c r="H72" i="52"/>
  <c r="H73" i="53"/>
  <c r="L74" i="52"/>
  <c r="L75" i="53"/>
  <c r="F73" i="53"/>
  <c r="K73" i="53"/>
  <c r="H70" i="52"/>
  <c r="H71" i="53"/>
  <c r="L72" i="52"/>
  <c r="L73" i="53"/>
  <c r="I76" i="52"/>
  <c r="I77" i="53"/>
  <c r="G71" i="52"/>
  <c r="G72" i="53"/>
  <c r="I71" i="52"/>
  <c r="I72" i="53"/>
  <c r="G76" i="52"/>
  <c r="G77" i="53"/>
  <c r="L76" i="52"/>
  <c r="L77" i="53"/>
  <c r="I67" i="52"/>
  <c r="I68" i="53"/>
  <c r="F72" i="53"/>
  <c r="K72" i="53"/>
  <c r="I78" i="52"/>
  <c r="I79" i="53"/>
  <c r="L78" i="52"/>
  <c r="L79" i="53"/>
  <c r="H73" i="52"/>
  <c r="H74" i="53"/>
  <c r="I73" i="52"/>
  <c r="I74" i="53"/>
  <c r="I79" i="52"/>
  <c r="I80" i="53"/>
  <c r="G78" i="52"/>
  <c r="G79" i="53"/>
  <c r="C77" i="52"/>
  <c r="C78" i="53"/>
  <c r="K75" i="53"/>
  <c r="F75" i="53"/>
  <c r="G79" i="52"/>
  <c r="G80" i="53"/>
  <c r="G67" i="52"/>
  <c r="G68" i="53"/>
  <c r="F76" i="53"/>
  <c r="K76" i="53"/>
  <c r="H74" i="52"/>
  <c r="H75" i="53"/>
  <c r="I68" i="52"/>
  <c r="I69" i="53"/>
  <c r="F74" i="53"/>
  <c r="K74" i="53"/>
  <c r="G68" i="52"/>
  <c r="G69" i="53"/>
  <c r="L73" i="52"/>
  <c r="L74" i="53"/>
  <c r="C79" i="52"/>
  <c r="C80" i="53"/>
  <c r="G75" i="52"/>
  <c r="G76" i="53"/>
  <c r="K77" i="53"/>
  <c r="F77" i="53"/>
  <c r="G72" i="52"/>
  <c r="G73" i="53"/>
  <c r="L67" i="52"/>
  <c r="L68" i="53"/>
  <c r="H76" i="52"/>
  <c r="H77" i="53"/>
  <c r="I74" i="52"/>
  <c r="I75" i="53"/>
  <c r="L68" i="52"/>
  <c r="L69" i="53"/>
  <c r="F70" i="53"/>
  <c r="K70" i="53"/>
  <c r="H75" i="52"/>
  <c r="H76" i="53"/>
  <c r="I69" i="52"/>
  <c r="I70" i="53"/>
  <c r="G74" i="52"/>
  <c r="G75" i="53"/>
  <c r="L79" i="52"/>
  <c r="L80" i="53"/>
  <c r="F78" i="53"/>
  <c r="K78" i="53"/>
  <c r="C70" i="52"/>
  <c r="C71" i="53"/>
  <c r="H79" i="52"/>
  <c r="H80" i="53"/>
  <c r="L71" i="52"/>
  <c r="L72" i="53"/>
  <c r="L77" i="52"/>
  <c r="L78" i="53"/>
  <c r="K69" i="53"/>
  <c r="F69" i="53"/>
  <c r="H68" i="52"/>
  <c r="H69" i="53"/>
  <c r="H78" i="52"/>
  <c r="H79" i="53"/>
  <c r="G69" i="52"/>
  <c r="G70" i="53"/>
  <c r="I75" i="52"/>
  <c r="I76" i="53"/>
  <c r="L69" i="52"/>
  <c r="L70" i="53"/>
  <c r="F79" i="53"/>
  <c r="K79" i="53"/>
  <c r="K80" i="53"/>
  <c r="F80" i="53"/>
  <c r="D71" i="50"/>
  <c r="D70" i="52"/>
  <c r="D73" i="50"/>
  <c r="D72" i="52"/>
  <c r="J75" i="50"/>
  <c r="J74" i="52"/>
  <c r="J78" i="50"/>
  <c r="J77" i="52"/>
  <c r="D77" i="50"/>
  <c r="D76" i="52"/>
  <c r="C68" i="50"/>
  <c r="C67" i="52"/>
  <c r="E68" i="50"/>
  <c r="E67" i="52"/>
  <c r="F76" i="52"/>
  <c r="K76" i="52"/>
  <c r="E79" i="50"/>
  <c r="E78" i="52"/>
  <c r="J77" i="50"/>
  <c r="J76" i="52"/>
  <c r="D74" i="50"/>
  <c r="D73" i="52"/>
  <c r="E74" i="50"/>
  <c r="E73" i="52"/>
  <c r="E80" i="50"/>
  <c r="E79" i="52"/>
  <c r="E73" i="50"/>
  <c r="E72" i="52"/>
  <c r="K71" i="52"/>
  <c r="F71" i="52"/>
  <c r="J74" i="50"/>
  <c r="J73" i="52"/>
  <c r="K75" i="52"/>
  <c r="F75" i="52"/>
  <c r="E75" i="50"/>
  <c r="E74" i="52"/>
  <c r="F73" i="52"/>
  <c r="K73" i="52"/>
  <c r="D76" i="50"/>
  <c r="D75" i="52"/>
  <c r="E70" i="50"/>
  <c r="E69" i="52"/>
  <c r="J80" i="50"/>
  <c r="J79" i="52"/>
  <c r="J69" i="50"/>
  <c r="J68" i="52"/>
  <c r="C72" i="50"/>
  <c r="C71" i="52"/>
  <c r="C79" i="50"/>
  <c r="C78" i="52"/>
  <c r="F70" i="52"/>
  <c r="K70" i="52"/>
  <c r="J71" i="50"/>
  <c r="J70" i="52"/>
  <c r="F74" i="52"/>
  <c r="K74" i="52"/>
  <c r="E69" i="50"/>
  <c r="E68" i="52"/>
  <c r="D69" i="50"/>
  <c r="D68" i="52"/>
  <c r="K69" i="52"/>
  <c r="F69" i="52"/>
  <c r="E76" i="50"/>
  <c r="E75" i="52"/>
  <c r="J70" i="50"/>
  <c r="J69" i="52"/>
  <c r="K77" i="52"/>
  <c r="F77" i="52"/>
  <c r="C73" i="50"/>
  <c r="C72" i="52"/>
  <c r="K67" i="52"/>
  <c r="F67" i="52"/>
  <c r="E77" i="50"/>
  <c r="E76" i="52"/>
  <c r="D75" i="50"/>
  <c r="D74" i="52"/>
  <c r="J79" i="50"/>
  <c r="J78" i="52"/>
  <c r="J68" i="50"/>
  <c r="J67" i="52"/>
  <c r="F68" i="52"/>
  <c r="K68" i="52"/>
  <c r="E71" i="50"/>
  <c r="E70" i="52"/>
  <c r="D70" i="50"/>
  <c r="D69" i="52"/>
  <c r="D78" i="50"/>
  <c r="D77" i="52"/>
  <c r="J76" i="50"/>
  <c r="J75" i="52"/>
  <c r="K78" i="52"/>
  <c r="F78" i="52"/>
  <c r="K79" i="52"/>
  <c r="F79" i="52"/>
  <c r="C76" i="50"/>
  <c r="C75" i="52"/>
  <c r="C69" i="50"/>
  <c r="C68" i="52"/>
  <c r="E72" i="50"/>
  <c r="E71" i="52"/>
  <c r="D79" i="50"/>
  <c r="D78" i="52"/>
  <c r="D68" i="50"/>
  <c r="D67" i="52"/>
  <c r="K72" i="52"/>
  <c r="F72" i="52"/>
  <c r="D72" i="50"/>
  <c r="D71" i="52"/>
  <c r="D80" i="50"/>
  <c r="D79" i="52"/>
  <c r="E78" i="50"/>
  <c r="E77" i="52"/>
  <c r="J72" i="50"/>
  <c r="J71" i="52"/>
  <c r="J73" i="50"/>
  <c r="J72" i="52"/>
  <c r="C70" i="50"/>
  <c r="C69" i="52"/>
  <c r="C77" i="50"/>
  <c r="C76" i="52"/>
  <c r="I70" i="49"/>
  <c r="I71" i="50"/>
  <c r="H77" i="49"/>
  <c r="H78" i="50"/>
  <c r="G70" i="49"/>
  <c r="G71" i="50"/>
  <c r="F73" i="50"/>
  <c r="K73" i="50"/>
  <c r="I76" i="49"/>
  <c r="I77" i="50"/>
  <c r="G71" i="49"/>
  <c r="G72" i="50"/>
  <c r="I71" i="49"/>
  <c r="I72" i="50"/>
  <c r="G76" i="49"/>
  <c r="G77" i="50"/>
  <c r="L76" i="49"/>
  <c r="L77" i="50"/>
  <c r="C79" i="49"/>
  <c r="C80" i="50"/>
  <c r="C77" i="49"/>
  <c r="C78" i="50"/>
  <c r="F75" i="50"/>
  <c r="K75" i="50"/>
  <c r="G75" i="49"/>
  <c r="G76" i="50"/>
  <c r="H71" i="49"/>
  <c r="H72" i="50"/>
  <c r="H79" i="49"/>
  <c r="H80" i="50"/>
  <c r="I77" i="49"/>
  <c r="I78" i="50"/>
  <c r="L71" i="49"/>
  <c r="L72" i="50"/>
  <c r="G73" i="49"/>
  <c r="G74" i="50"/>
  <c r="C70" i="49"/>
  <c r="C71" i="50"/>
  <c r="H67" i="49"/>
  <c r="H68" i="50"/>
  <c r="H72" i="49"/>
  <c r="H73" i="50"/>
  <c r="I72" i="49"/>
  <c r="I73" i="50"/>
  <c r="G72" i="49"/>
  <c r="G73" i="50"/>
  <c r="L77" i="49"/>
  <c r="L78" i="50"/>
  <c r="L74" i="49"/>
  <c r="L75" i="50"/>
  <c r="G67" i="49"/>
  <c r="G68" i="50"/>
  <c r="L70" i="49"/>
  <c r="L71" i="50"/>
  <c r="K77" i="50"/>
  <c r="F77" i="50"/>
  <c r="G79" i="49"/>
  <c r="G80" i="50"/>
  <c r="I67" i="49"/>
  <c r="I68" i="50"/>
  <c r="K72" i="50"/>
  <c r="F72" i="50"/>
  <c r="I78" i="49"/>
  <c r="I79" i="50"/>
  <c r="L78" i="49"/>
  <c r="L79" i="50"/>
  <c r="H73" i="49"/>
  <c r="H74" i="50"/>
  <c r="I73" i="49"/>
  <c r="I74" i="50"/>
  <c r="I79" i="49"/>
  <c r="I80" i="50"/>
  <c r="G78" i="49"/>
  <c r="G79" i="50"/>
  <c r="F68" i="50"/>
  <c r="K68" i="50"/>
  <c r="L72" i="49"/>
  <c r="L73" i="50"/>
  <c r="F76" i="50"/>
  <c r="K76" i="50"/>
  <c r="H74" i="49"/>
  <c r="H75" i="50"/>
  <c r="I68" i="49"/>
  <c r="I69" i="50"/>
  <c r="K74" i="50"/>
  <c r="F74" i="50"/>
  <c r="G68" i="49"/>
  <c r="G69" i="50"/>
  <c r="L73" i="49"/>
  <c r="L74" i="50"/>
  <c r="F71" i="50"/>
  <c r="K71" i="50"/>
  <c r="G77" i="49"/>
  <c r="G78" i="50"/>
  <c r="H70" i="49"/>
  <c r="H71" i="50"/>
  <c r="L67" i="49"/>
  <c r="L68" i="50"/>
  <c r="H76" i="49"/>
  <c r="H77" i="50"/>
  <c r="I74" i="49"/>
  <c r="I75" i="50"/>
  <c r="L68" i="49"/>
  <c r="L69" i="50"/>
  <c r="K70" i="50"/>
  <c r="F70" i="50"/>
  <c r="H75" i="49"/>
  <c r="H76" i="50"/>
  <c r="I69" i="49"/>
  <c r="I70" i="50"/>
  <c r="G74" i="49"/>
  <c r="G75" i="50"/>
  <c r="L79" i="49"/>
  <c r="L80" i="50"/>
  <c r="K78" i="50"/>
  <c r="F78" i="50"/>
  <c r="H69" i="49"/>
  <c r="H70" i="50"/>
  <c r="L75" i="49"/>
  <c r="L76" i="50"/>
  <c r="K69" i="50"/>
  <c r="F69" i="50"/>
  <c r="H68" i="49"/>
  <c r="H69" i="50"/>
  <c r="H78" i="49"/>
  <c r="H79" i="50"/>
  <c r="G69" i="49"/>
  <c r="G70" i="50"/>
  <c r="I75" i="49"/>
  <c r="I76" i="50"/>
  <c r="L69" i="49"/>
  <c r="L70" i="50"/>
  <c r="F79" i="50"/>
  <c r="K79" i="50"/>
  <c r="K80" i="50"/>
  <c r="F80" i="50"/>
  <c r="E73" i="47"/>
  <c r="E72" i="49"/>
  <c r="J78" i="47"/>
  <c r="J77" i="49"/>
  <c r="E68" i="47"/>
  <c r="E67" i="49"/>
  <c r="F76" i="49"/>
  <c r="K76" i="49"/>
  <c r="E79" i="47"/>
  <c r="E78" i="49"/>
  <c r="J77" i="47"/>
  <c r="J76" i="49"/>
  <c r="D74" i="47"/>
  <c r="D73" i="49"/>
  <c r="E74" i="47"/>
  <c r="E73" i="49"/>
  <c r="E80" i="47"/>
  <c r="E79" i="49"/>
  <c r="K74" i="49"/>
  <c r="F74" i="49"/>
  <c r="J75" i="47"/>
  <c r="J74" i="49"/>
  <c r="D77" i="47"/>
  <c r="D76" i="49"/>
  <c r="K71" i="49"/>
  <c r="F71" i="49"/>
  <c r="J68" i="47"/>
  <c r="J67" i="49"/>
  <c r="F75" i="49"/>
  <c r="K75" i="49"/>
  <c r="E75" i="47"/>
  <c r="E74" i="49"/>
  <c r="F73" i="49"/>
  <c r="K73" i="49"/>
  <c r="D76" i="47"/>
  <c r="D75" i="49"/>
  <c r="E70" i="47"/>
  <c r="E69" i="49"/>
  <c r="J80" i="47"/>
  <c r="J79" i="49"/>
  <c r="J69" i="47"/>
  <c r="J68" i="49"/>
  <c r="C72" i="47"/>
  <c r="C71" i="49"/>
  <c r="C77" i="47"/>
  <c r="C76" i="49"/>
  <c r="J79" i="47"/>
  <c r="J78" i="49"/>
  <c r="D69" i="47"/>
  <c r="D68" i="49"/>
  <c r="K69" i="49"/>
  <c r="F69" i="49"/>
  <c r="E76" i="47"/>
  <c r="E75" i="49"/>
  <c r="J70" i="47"/>
  <c r="J69" i="49"/>
  <c r="K77" i="49"/>
  <c r="F77" i="49"/>
  <c r="C73" i="47"/>
  <c r="C72" i="49"/>
  <c r="D73" i="47"/>
  <c r="D72" i="49"/>
  <c r="E69" i="47"/>
  <c r="E68" i="49"/>
  <c r="J74" i="47"/>
  <c r="J73" i="49"/>
  <c r="F68" i="49"/>
  <c r="K68" i="49"/>
  <c r="E71" i="47"/>
  <c r="E70" i="49"/>
  <c r="D70" i="47"/>
  <c r="D69" i="49"/>
  <c r="D78" i="47"/>
  <c r="D77" i="49"/>
  <c r="J76" i="47"/>
  <c r="J75" i="49"/>
  <c r="F78" i="49"/>
  <c r="K78" i="49"/>
  <c r="K79" i="49"/>
  <c r="F79" i="49"/>
  <c r="C76" i="47"/>
  <c r="C75" i="49"/>
  <c r="F67" i="49"/>
  <c r="K67" i="49"/>
  <c r="K70" i="49"/>
  <c r="F70" i="49"/>
  <c r="D71" i="47"/>
  <c r="D70" i="49"/>
  <c r="E77" i="47"/>
  <c r="E76" i="49"/>
  <c r="J71" i="47"/>
  <c r="J70" i="49"/>
  <c r="E72" i="47"/>
  <c r="E71" i="49"/>
  <c r="D79" i="47"/>
  <c r="D78" i="49"/>
  <c r="C69" i="47"/>
  <c r="C68" i="49"/>
  <c r="C68" i="47"/>
  <c r="C67" i="49"/>
  <c r="D75" i="47"/>
  <c r="D74" i="49"/>
  <c r="D68" i="47"/>
  <c r="D67" i="49"/>
  <c r="F72" i="49"/>
  <c r="K72" i="49"/>
  <c r="D72" i="47"/>
  <c r="D71" i="49"/>
  <c r="D80" i="47"/>
  <c r="D79" i="49"/>
  <c r="E78" i="47"/>
  <c r="E77" i="49"/>
  <c r="J72" i="47"/>
  <c r="J71" i="49"/>
  <c r="J73" i="47"/>
  <c r="J72" i="49"/>
  <c r="C70" i="47"/>
  <c r="C69" i="49"/>
  <c r="C79" i="47"/>
  <c r="C78" i="49"/>
  <c r="L70" i="16"/>
  <c r="L71" i="47"/>
  <c r="G77" i="16"/>
  <c r="G78" i="47"/>
  <c r="K72" i="16"/>
  <c r="K73" i="47"/>
  <c r="F73" i="47"/>
  <c r="H70" i="16"/>
  <c r="H71" i="47"/>
  <c r="L72" i="16"/>
  <c r="L73" i="47"/>
  <c r="I76" i="16"/>
  <c r="I77" i="47"/>
  <c r="G71" i="16"/>
  <c r="G72" i="47"/>
  <c r="I71" i="16"/>
  <c r="I72" i="47"/>
  <c r="G76" i="16"/>
  <c r="G77" i="47"/>
  <c r="L76" i="16"/>
  <c r="L77" i="47"/>
  <c r="H67" i="16"/>
  <c r="H68" i="47"/>
  <c r="H71" i="16"/>
  <c r="H72" i="47"/>
  <c r="I77" i="16"/>
  <c r="I78" i="47"/>
  <c r="G73" i="16"/>
  <c r="G74" i="47"/>
  <c r="H72" i="16"/>
  <c r="H73" i="47"/>
  <c r="I72" i="16"/>
  <c r="I73" i="47"/>
  <c r="G72" i="16"/>
  <c r="G73" i="47"/>
  <c r="L77" i="16"/>
  <c r="L78" i="47"/>
  <c r="L74" i="16"/>
  <c r="L75" i="47"/>
  <c r="G67" i="16"/>
  <c r="G68" i="47"/>
  <c r="K76" i="16"/>
  <c r="F77" i="47"/>
  <c r="K77" i="47"/>
  <c r="G79" i="16"/>
  <c r="G80" i="47"/>
  <c r="I67" i="16"/>
  <c r="I68" i="47"/>
  <c r="K71" i="16"/>
  <c r="F72" i="47"/>
  <c r="K72" i="47"/>
  <c r="I78" i="16"/>
  <c r="I79" i="47"/>
  <c r="L78" i="16"/>
  <c r="L79" i="47"/>
  <c r="H73" i="16"/>
  <c r="H74" i="47"/>
  <c r="I73" i="16"/>
  <c r="I74" i="47"/>
  <c r="I79" i="16"/>
  <c r="I80" i="47"/>
  <c r="G78" i="16"/>
  <c r="G79" i="47"/>
  <c r="C78" i="47"/>
  <c r="K70" i="16"/>
  <c r="K71" i="47"/>
  <c r="F71" i="47"/>
  <c r="L75" i="16"/>
  <c r="L76" i="47"/>
  <c r="I68" i="16"/>
  <c r="I69" i="47"/>
  <c r="K73" i="16"/>
  <c r="K74" i="47"/>
  <c r="F74" i="47"/>
  <c r="G68" i="16"/>
  <c r="G69" i="47"/>
  <c r="L73" i="16"/>
  <c r="L74" i="47"/>
  <c r="C80" i="47"/>
  <c r="H69" i="16"/>
  <c r="H70" i="47"/>
  <c r="G70" i="16"/>
  <c r="G71" i="47"/>
  <c r="K74" i="16"/>
  <c r="F75" i="47"/>
  <c r="K75" i="47"/>
  <c r="G75" i="16"/>
  <c r="G76" i="47"/>
  <c r="H74" i="16"/>
  <c r="H75" i="47"/>
  <c r="L67" i="16"/>
  <c r="L68" i="47"/>
  <c r="H76" i="16"/>
  <c r="H77" i="47"/>
  <c r="I74" i="16"/>
  <c r="I75" i="47"/>
  <c r="L68" i="16"/>
  <c r="L69" i="47"/>
  <c r="K69" i="16"/>
  <c r="K70" i="47"/>
  <c r="F70" i="47"/>
  <c r="H75" i="16"/>
  <c r="H76" i="47"/>
  <c r="I69" i="16"/>
  <c r="I70" i="47"/>
  <c r="G74" i="16"/>
  <c r="G75" i="47"/>
  <c r="L79" i="16"/>
  <c r="L80" i="47"/>
  <c r="K77" i="16"/>
  <c r="K78" i="47"/>
  <c r="F78" i="47"/>
  <c r="C71" i="47"/>
  <c r="K67" i="16"/>
  <c r="F68" i="47"/>
  <c r="K68" i="47"/>
  <c r="I70" i="16"/>
  <c r="I71" i="47"/>
  <c r="H77" i="16"/>
  <c r="H78" i="47"/>
  <c r="H79" i="16"/>
  <c r="H80" i="47"/>
  <c r="L71" i="16"/>
  <c r="L72" i="47"/>
  <c r="K75" i="16"/>
  <c r="K76" i="47"/>
  <c r="F76" i="47"/>
  <c r="K68" i="16"/>
  <c r="F69" i="47"/>
  <c r="K69" i="47"/>
  <c r="H68" i="16"/>
  <c r="H69" i="47"/>
  <c r="H78" i="16"/>
  <c r="H79" i="47"/>
  <c r="G69" i="16"/>
  <c r="G70" i="47"/>
  <c r="I75" i="16"/>
  <c r="I76" i="47"/>
  <c r="L69" i="16"/>
  <c r="L70" i="47"/>
  <c r="K78" i="16"/>
  <c r="K79" i="47"/>
  <c r="F79" i="47"/>
  <c r="K79" i="16"/>
  <c r="F80" i="47"/>
  <c r="K80" i="47"/>
  <c r="D7" i="47"/>
  <c r="B106" i="47"/>
  <c r="AB4" i="43"/>
  <c r="AB5" i="43"/>
  <c r="AB6" i="43"/>
  <c r="AB7" i="43"/>
  <c r="AB8" i="43"/>
  <c r="AB9" i="43"/>
  <c r="AB10" i="43"/>
  <c r="AB11" i="43"/>
  <c r="AB12" i="43"/>
  <c r="AB13" i="43"/>
  <c r="AB14" i="43"/>
  <c r="AB15" i="43"/>
  <c r="AB16" i="43"/>
  <c r="AB17" i="43"/>
  <c r="AB18" i="43"/>
  <c r="AB19" i="43"/>
  <c r="AB20" i="43"/>
  <c r="AB21" i="43"/>
  <c r="AB22" i="43"/>
  <c r="AB23" i="43"/>
  <c r="AB24" i="43"/>
  <c r="AB25" i="43"/>
  <c r="AB26" i="43"/>
  <c r="AB27" i="43"/>
  <c r="AB28" i="43"/>
  <c r="AB29" i="43"/>
  <c r="AB30" i="43"/>
  <c r="AB31" i="43"/>
  <c r="AB32" i="43"/>
  <c r="AB33" i="43"/>
  <c r="AB34" i="43"/>
  <c r="AB35" i="43"/>
  <c r="AB36" i="43"/>
  <c r="AB37" i="43"/>
  <c r="AB38" i="43"/>
  <c r="AB39" i="43"/>
  <c r="AB40" i="43"/>
  <c r="AB41" i="43"/>
  <c r="AB42" i="43"/>
  <c r="AB43" i="43"/>
  <c r="AB44" i="43"/>
  <c r="AB45" i="43"/>
  <c r="AB46" i="43"/>
  <c r="AB47" i="43"/>
  <c r="AB48" i="43"/>
  <c r="AB49" i="43"/>
  <c r="AB3" i="43"/>
  <c r="AA7" i="43"/>
  <c r="AA41" i="43"/>
  <c r="AA49" i="43"/>
  <c r="AA48" i="43"/>
  <c r="AA6" i="43"/>
  <c r="AA16" i="43"/>
  <c r="AA15" i="43"/>
  <c r="AA31" i="43"/>
  <c r="AA9" i="43"/>
  <c r="AA25" i="43"/>
  <c r="AA38" i="43"/>
  <c r="AA4" i="43"/>
  <c r="AA5" i="43"/>
  <c r="AA8" i="43"/>
  <c r="AA10" i="43"/>
  <c r="AA11" i="43"/>
  <c r="AA12" i="43"/>
  <c r="AA13" i="43"/>
  <c r="AA14" i="43"/>
  <c r="AA17" i="43"/>
  <c r="AA18" i="43"/>
  <c r="AA19" i="43"/>
  <c r="AA20" i="43"/>
  <c r="AA21" i="43"/>
  <c r="AA22" i="43"/>
  <c r="AA23" i="43"/>
  <c r="AA24" i="43"/>
  <c r="AA26" i="43"/>
  <c r="AA27" i="43"/>
  <c r="AA28" i="43"/>
  <c r="AA29" i="43"/>
  <c r="AA30" i="43"/>
  <c r="AA32" i="43"/>
  <c r="AA33" i="43"/>
  <c r="AA34" i="43"/>
  <c r="AA35" i="43"/>
  <c r="AA36" i="43"/>
  <c r="AA37" i="43"/>
  <c r="AA39" i="43"/>
  <c r="AA40" i="43"/>
  <c r="AA42" i="43"/>
  <c r="AA43" i="43"/>
  <c r="AA44" i="43"/>
  <c r="AA45" i="43"/>
  <c r="AA46" i="43"/>
  <c r="AA47" i="43"/>
  <c r="AA3" i="43"/>
  <c r="AB100" i="43"/>
  <c r="AB101" i="43"/>
  <c r="AB102" i="43"/>
  <c r="AB103" i="43"/>
  <c r="AB104" i="43"/>
  <c r="AB105" i="43"/>
  <c r="AB106" i="43"/>
  <c r="AB107" i="43"/>
  <c r="AB108" i="43"/>
  <c r="AB109" i="43"/>
  <c r="AB110" i="43"/>
  <c r="AB111" i="43"/>
  <c r="AB112" i="43"/>
  <c r="AB113" i="43"/>
  <c r="AB114" i="43"/>
  <c r="AB115" i="43"/>
  <c r="AB116" i="43"/>
  <c r="AB117" i="43"/>
  <c r="AB118" i="43"/>
  <c r="AB119" i="43"/>
  <c r="AB120" i="43"/>
  <c r="AB121" i="43"/>
  <c r="Z4" i="43"/>
  <c r="Z5" i="43"/>
  <c r="Z6" i="43"/>
  <c r="Z7" i="43"/>
  <c r="Z8" i="43"/>
  <c r="Z9" i="43"/>
  <c r="Z10" i="43"/>
  <c r="Z11" i="43"/>
  <c r="Z12" i="43"/>
  <c r="Z13" i="43"/>
  <c r="Z14" i="43"/>
  <c r="Z15" i="43"/>
  <c r="Z16" i="43"/>
  <c r="Z17" i="43"/>
  <c r="Z18" i="43"/>
  <c r="Z19" i="43"/>
  <c r="Z20" i="43"/>
  <c r="Z21" i="43"/>
  <c r="Z22" i="43"/>
  <c r="Z23" i="43"/>
  <c r="Z24" i="43"/>
  <c r="Z25" i="43"/>
  <c r="Z26" i="43"/>
  <c r="Z27" i="43"/>
  <c r="Z28" i="43"/>
  <c r="Z29" i="43"/>
  <c r="Z30" i="43"/>
  <c r="Z31" i="43"/>
  <c r="Z32" i="43"/>
  <c r="Z33" i="43"/>
  <c r="Z34" i="43"/>
  <c r="Z35" i="43"/>
  <c r="Z36" i="43"/>
  <c r="Z37" i="43"/>
  <c r="Z38" i="43"/>
  <c r="Z39" i="43"/>
  <c r="Z40" i="43"/>
  <c r="Z41" i="43"/>
  <c r="Z42" i="43"/>
  <c r="Z43" i="43"/>
  <c r="Z44" i="43"/>
  <c r="Z45" i="43"/>
  <c r="Z46" i="43"/>
  <c r="Z47" i="43"/>
  <c r="Z48" i="43"/>
  <c r="Z49" i="43"/>
  <c r="Z3" i="43"/>
  <c r="Y4" i="43"/>
  <c r="Y5" i="43"/>
  <c r="Y6" i="43"/>
  <c r="Y7" i="43"/>
  <c r="Y8" i="43"/>
  <c r="Y9" i="43"/>
  <c r="Y10" i="43"/>
  <c r="Y11" i="43"/>
  <c r="Y12" i="43"/>
  <c r="Y13" i="43"/>
  <c r="Y14" i="43"/>
  <c r="Y15" i="43"/>
  <c r="Y16" i="43"/>
  <c r="Y17" i="43"/>
  <c r="Y18" i="43"/>
  <c r="Y19" i="43"/>
  <c r="Y20" i="43"/>
  <c r="Y21" i="43"/>
  <c r="Y22" i="43"/>
  <c r="Y23" i="43"/>
  <c r="Y24" i="43"/>
  <c r="Y25" i="43"/>
  <c r="Y26" i="43"/>
  <c r="Y27" i="43"/>
  <c r="Y28" i="43"/>
  <c r="Y29" i="43"/>
  <c r="Y30" i="43"/>
  <c r="Y31" i="43"/>
  <c r="Y32" i="43"/>
  <c r="Y33" i="43"/>
  <c r="Y34" i="43"/>
  <c r="Y35" i="43"/>
  <c r="Y36" i="43"/>
  <c r="Y37" i="43"/>
  <c r="Y38" i="43"/>
  <c r="Y39" i="43"/>
  <c r="Y40" i="43"/>
  <c r="Y41" i="43"/>
  <c r="Y42" i="43"/>
  <c r="Y43" i="43"/>
  <c r="Y44" i="43"/>
  <c r="Y45" i="43"/>
  <c r="Y46" i="43"/>
  <c r="Y47" i="43"/>
  <c r="Y48" i="43"/>
  <c r="Y49" i="43"/>
  <c r="Y3" i="43"/>
  <c r="X4" i="43"/>
  <c r="X5" i="43"/>
  <c r="X6" i="43"/>
  <c r="X7" i="43"/>
  <c r="X8" i="43"/>
  <c r="X9" i="43"/>
  <c r="X10" i="43"/>
  <c r="X11" i="43"/>
  <c r="X12" i="43"/>
  <c r="X13" i="43"/>
  <c r="X14" i="43"/>
  <c r="X15" i="43"/>
  <c r="X16" i="43"/>
  <c r="X17" i="43"/>
  <c r="X18" i="43"/>
  <c r="X19" i="43"/>
  <c r="X20" i="43"/>
  <c r="X21" i="43"/>
  <c r="X22" i="43"/>
  <c r="X23" i="43"/>
  <c r="X24" i="43"/>
  <c r="X25" i="43"/>
  <c r="X26" i="43"/>
  <c r="X27" i="43"/>
  <c r="X28" i="43"/>
  <c r="X29" i="43"/>
  <c r="X30" i="43"/>
  <c r="X31" i="43"/>
  <c r="X32" i="43"/>
  <c r="X33" i="43"/>
  <c r="X34" i="43"/>
  <c r="X35" i="43"/>
  <c r="X36" i="43"/>
  <c r="X37" i="43"/>
  <c r="X38" i="43"/>
  <c r="X39" i="43"/>
  <c r="X40" i="43"/>
  <c r="X41" i="43"/>
  <c r="X42" i="43"/>
  <c r="X43" i="43"/>
  <c r="X44" i="43"/>
  <c r="X45" i="43"/>
  <c r="X46" i="43"/>
  <c r="X47" i="43"/>
  <c r="X48" i="43"/>
  <c r="X49" i="43"/>
  <c r="X3" i="43"/>
  <c r="W4" i="43"/>
  <c r="W5" i="43"/>
  <c r="W6" i="43"/>
  <c r="W7" i="43"/>
  <c r="W8" i="43"/>
  <c r="W9" i="43"/>
  <c r="W10" i="43"/>
  <c r="W11" i="43"/>
  <c r="W12" i="43"/>
  <c r="W13" i="43"/>
  <c r="W14" i="43"/>
  <c r="W15" i="43"/>
  <c r="W16" i="43"/>
  <c r="W17" i="43"/>
  <c r="W18" i="43"/>
  <c r="W19" i="43"/>
  <c r="W20" i="43"/>
  <c r="W21" i="43"/>
  <c r="W22" i="43"/>
  <c r="W23" i="43"/>
  <c r="W24" i="43"/>
  <c r="W25" i="43"/>
  <c r="W26" i="43"/>
  <c r="W27" i="43"/>
  <c r="W28" i="43"/>
  <c r="W29" i="43"/>
  <c r="W30" i="43"/>
  <c r="W31" i="43"/>
  <c r="W32" i="43"/>
  <c r="W33" i="43"/>
  <c r="W34" i="43"/>
  <c r="W35" i="43"/>
  <c r="W36" i="43"/>
  <c r="W37" i="43"/>
  <c r="W38" i="43"/>
  <c r="W39" i="43"/>
  <c r="W40" i="43"/>
  <c r="W41" i="43"/>
  <c r="W42" i="43"/>
  <c r="W43" i="43"/>
  <c r="W44" i="43"/>
  <c r="W45" i="43"/>
  <c r="W46" i="43"/>
  <c r="W47" i="43"/>
  <c r="W48" i="43"/>
  <c r="W3" i="43"/>
  <c r="V4" i="43"/>
  <c r="V5" i="43"/>
  <c r="V6" i="43"/>
  <c r="V7" i="43"/>
  <c r="V8" i="43"/>
  <c r="V9" i="43"/>
  <c r="V10" i="43"/>
  <c r="V11" i="43"/>
  <c r="V12" i="43"/>
  <c r="V13" i="43"/>
  <c r="V14" i="43"/>
  <c r="V15" i="43"/>
  <c r="V16" i="43"/>
  <c r="V17" i="43"/>
  <c r="V18" i="43"/>
  <c r="V19" i="43"/>
  <c r="V20" i="43"/>
  <c r="V21" i="43"/>
  <c r="V22" i="43"/>
  <c r="V23" i="43"/>
  <c r="V24" i="43"/>
  <c r="V25" i="43"/>
  <c r="V26" i="43"/>
  <c r="V27" i="43"/>
  <c r="V28" i="43"/>
  <c r="V29" i="43"/>
  <c r="V30" i="43"/>
  <c r="V31" i="43"/>
  <c r="V32" i="43"/>
  <c r="V33" i="43"/>
  <c r="V34" i="43"/>
  <c r="V35" i="43"/>
  <c r="V36" i="43"/>
  <c r="V37" i="43"/>
  <c r="V38" i="43"/>
  <c r="V39" i="43"/>
  <c r="V40" i="43"/>
  <c r="V41" i="43"/>
  <c r="V42" i="43"/>
  <c r="V43" i="43"/>
  <c r="V44" i="43"/>
  <c r="V45" i="43"/>
  <c r="V46" i="43"/>
  <c r="V47" i="43"/>
  <c r="V48" i="43"/>
  <c r="V49" i="43"/>
  <c r="V3" i="43"/>
  <c r="U4" i="43"/>
  <c r="U5" i="43"/>
  <c r="U6" i="43"/>
  <c r="U7" i="43"/>
  <c r="U8" i="43"/>
  <c r="U9" i="43"/>
  <c r="U10" i="43"/>
  <c r="U11" i="43"/>
  <c r="U12" i="43"/>
  <c r="U13" i="43"/>
  <c r="U14" i="43"/>
  <c r="U15" i="43"/>
  <c r="U16" i="43"/>
  <c r="U17" i="43"/>
  <c r="U18" i="43"/>
  <c r="U19" i="43"/>
  <c r="U20" i="43"/>
  <c r="U21" i="43"/>
  <c r="U22" i="43"/>
  <c r="U23" i="43"/>
  <c r="U24" i="43"/>
  <c r="U25" i="43"/>
  <c r="U26" i="43"/>
  <c r="U27" i="43"/>
  <c r="U28" i="43"/>
  <c r="U29" i="43"/>
  <c r="U30" i="43"/>
  <c r="U31" i="43"/>
  <c r="U32" i="43"/>
  <c r="U33" i="43"/>
  <c r="U34" i="43"/>
  <c r="U35" i="43"/>
  <c r="U36" i="43"/>
  <c r="U37" i="43"/>
  <c r="U38" i="43"/>
  <c r="U39" i="43"/>
  <c r="U40" i="43"/>
  <c r="U41" i="43"/>
  <c r="U42" i="43"/>
  <c r="U43" i="43"/>
  <c r="U44" i="43"/>
  <c r="U45" i="43"/>
  <c r="U46" i="43"/>
  <c r="U47" i="43"/>
  <c r="U48" i="43"/>
  <c r="U49" i="43"/>
  <c r="U3" i="43"/>
  <c r="T4" i="43"/>
  <c r="T5" i="43"/>
  <c r="T6" i="43"/>
  <c r="T7" i="43"/>
  <c r="T8" i="43"/>
  <c r="T9" i="43"/>
  <c r="T10" i="43"/>
  <c r="T11" i="43"/>
  <c r="T12" i="43"/>
  <c r="T13" i="43"/>
  <c r="T14" i="43"/>
  <c r="T15" i="43"/>
  <c r="T16" i="43"/>
  <c r="T17" i="43"/>
  <c r="T18" i="43"/>
  <c r="T19" i="43"/>
  <c r="T20" i="43"/>
  <c r="T21" i="43"/>
  <c r="T22" i="43"/>
  <c r="T23" i="43"/>
  <c r="T24" i="43"/>
  <c r="T25" i="43"/>
  <c r="T26" i="43"/>
  <c r="T27" i="43"/>
  <c r="T28" i="43"/>
  <c r="T29" i="43"/>
  <c r="T30" i="43"/>
  <c r="T31" i="43"/>
  <c r="T32" i="43"/>
  <c r="T33" i="43"/>
  <c r="T34" i="43"/>
  <c r="T35" i="43"/>
  <c r="T36" i="43"/>
  <c r="T37" i="43"/>
  <c r="T38" i="43"/>
  <c r="T39" i="43"/>
  <c r="T40" i="43"/>
  <c r="T41" i="43"/>
  <c r="T42" i="43"/>
  <c r="T43" i="43"/>
  <c r="T44" i="43"/>
  <c r="T45" i="43"/>
  <c r="T46" i="43"/>
  <c r="T47" i="43"/>
  <c r="T48" i="43"/>
  <c r="T49" i="43"/>
  <c r="T3" i="43"/>
  <c r="S4" i="43"/>
  <c r="S5" i="43"/>
  <c r="S6" i="43"/>
  <c r="S7" i="43"/>
  <c r="S8" i="43"/>
  <c r="S9" i="43"/>
  <c r="S10" i="43"/>
  <c r="S11" i="43"/>
  <c r="S12" i="43"/>
  <c r="S13" i="43"/>
  <c r="S14" i="43"/>
  <c r="S15" i="43"/>
  <c r="S16" i="43"/>
  <c r="S17" i="43"/>
  <c r="S18" i="43"/>
  <c r="S19" i="43"/>
  <c r="S20" i="43"/>
  <c r="S21" i="43"/>
  <c r="S22" i="43"/>
  <c r="S23" i="43"/>
  <c r="S24" i="43"/>
  <c r="S25" i="43"/>
  <c r="S26" i="43"/>
  <c r="S27" i="43"/>
  <c r="S28" i="43"/>
  <c r="S29" i="43"/>
  <c r="S30" i="43"/>
  <c r="S31" i="43"/>
  <c r="S32" i="43"/>
  <c r="S33" i="43"/>
  <c r="S34" i="43"/>
  <c r="S35" i="43"/>
  <c r="S36" i="43"/>
  <c r="S37" i="43"/>
  <c r="S38" i="43"/>
  <c r="S39" i="43"/>
  <c r="S40" i="43"/>
  <c r="S41" i="43"/>
  <c r="S42" i="43"/>
  <c r="S43" i="43"/>
  <c r="S44" i="43"/>
  <c r="S45" i="43"/>
  <c r="S46" i="43"/>
  <c r="S47" i="43"/>
  <c r="S48" i="43"/>
  <c r="S49" i="43"/>
  <c r="S3" i="43"/>
  <c r="R4" i="43"/>
  <c r="R5" i="43"/>
  <c r="R6" i="43"/>
  <c r="R7" i="43"/>
  <c r="R8" i="43"/>
  <c r="R9" i="43"/>
  <c r="R10" i="43"/>
  <c r="R11" i="43"/>
  <c r="R12" i="43"/>
  <c r="R13" i="43"/>
  <c r="R14" i="43"/>
  <c r="R15" i="43"/>
  <c r="R16" i="43"/>
  <c r="R17" i="43"/>
  <c r="R18" i="43"/>
  <c r="R19" i="43"/>
  <c r="R20" i="43"/>
  <c r="R21" i="43"/>
  <c r="R22" i="43"/>
  <c r="R23" i="43"/>
  <c r="R24" i="43"/>
  <c r="R25" i="43"/>
  <c r="R26" i="43"/>
  <c r="R27" i="43"/>
  <c r="R28" i="43"/>
  <c r="R29" i="43"/>
  <c r="R30" i="43"/>
  <c r="R31" i="43"/>
  <c r="R32" i="43"/>
  <c r="R33" i="43"/>
  <c r="R34" i="43"/>
  <c r="R35" i="43"/>
  <c r="R36" i="43"/>
  <c r="R37" i="43"/>
  <c r="R38" i="43"/>
  <c r="R39" i="43"/>
  <c r="R40" i="43"/>
  <c r="R41" i="43"/>
  <c r="R42" i="43"/>
  <c r="R43" i="43"/>
  <c r="R44" i="43"/>
  <c r="R45" i="43"/>
  <c r="R46" i="43"/>
  <c r="R47" i="43"/>
  <c r="R48" i="43"/>
  <c r="R49" i="43"/>
  <c r="R3" i="43"/>
  <c r="W49" i="43"/>
  <c r="B99" i="52" l="1"/>
  <c r="E116" i="53"/>
  <c r="E106" i="50"/>
  <c r="E113" i="50"/>
  <c r="E115" i="50"/>
  <c r="E114" i="50"/>
  <c r="F10" i="50"/>
  <c r="E103" i="50"/>
  <c r="B134" i="50" s="1"/>
  <c r="E104" i="50"/>
  <c r="E111" i="50"/>
  <c r="E102" i="50"/>
  <c r="E110" i="50"/>
  <c r="E101" i="50"/>
  <c r="E109" i="50"/>
  <c r="E107" i="50"/>
  <c r="E108" i="50"/>
  <c r="E112" i="50"/>
  <c r="E105" i="50"/>
  <c r="M100" i="53"/>
  <c r="B109" i="53"/>
  <c r="L100" i="53"/>
  <c r="Q100" i="53"/>
  <c r="B108" i="53"/>
  <c r="P100" i="53"/>
  <c r="B103" i="53"/>
  <c r="B102" i="53"/>
  <c r="O100" i="53"/>
  <c r="B107" i="53"/>
  <c r="F7" i="53"/>
  <c r="B106" i="53"/>
  <c r="B101" i="53"/>
  <c r="I100" i="53"/>
  <c r="E140" i="53" s="1"/>
  <c r="B105" i="53"/>
  <c r="K100" i="53"/>
  <c r="B104" i="53"/>
  <c r="J100" i="53"/>
  <c r="N100" i="53"/>
  <c r="B101" i="49"/>
  <c r="B107" i="49"/>
  <c r="P99" i="49"/>
  <c r="B106" i="49"/>
  <c r="H36" i="49"/>
  <c r="J99" i="49"/>
  <c r="B103" i="49"/>
  <c r="B102" i="49"/>
  <c r="B100" i="49"/>
  <c r="B105" i="49"/>
  <c r="L99" i="49"/>
  <c r="O99" i="49"/>
  <c r="K99" i="49"/>
  <c r="F6" i="49"/>
  <c r="M99" i="49"/>
  <c r="N99" i="49"/>
  <c r="B104" i="49"/>
  <c r="B108" i="49"/>
  <c r="I99" i="49"/>
  <c r="Q99" i="49"/>
  <c r="B100" i="50"/>
  <c r="K99" i="52"/>
  <c r="B104" i="52"/>
  <c r="B100" i="52"/>
  <c r="N99" i="52"/>
  <c r="B101" i="52"/>
  <c r="B103" i="52"/>
  <c r="J99" i="52"/>
  <c r="L99" i="52"/>
  <c r="B102" i="52"/>
  <c r="O99" i="52"/>
  <c r="B108" i="52"/>
  <c r="M99" i="52"/>
  <c r="I99" i="52"/>
  <c r="B105" i="52"/>
  <c r="Q99" i="52"/>
  <c r="B107" i="52"/>
  <c r="F6" i="52"/>
  <c r="P99" i="52"/>
  <c r="B106" i="52"/>
  <c r="H36" i="52"/>
  <c r="Q100" i="50"/>
  <c r="J100" i="50"/>
  <c r="M100" i="50"/>
  <c r="B105" i="50"/>
  <c r="B103" i="50"/>
  <c r="K100" i="50"/>
  <c r="B109" i="50"/>
  <c r="B107" i="50"/>
  <c r="L100" i="50"/>
  <c r="E132" i="50" s="1"/>
  <c r="B106" i="50"/>
  <c r="P100" i="50"/>
  <c r="B108" i="50"/>
  <c r="B102" i="50"/>
  <c r="F7" i="50"/>
  <c r="I100" i="50"/>
  <c r="O100" i="50"/>
  <c r="B101" i="50"/>
  <c r="B104" i="50"/>
  <c r="N100" i="50"/>
  <c r="H99" i="49"/>
  <c r="B99" i="49"/>
  <c r="E143" i="53"/>
  <c r="B136" i="53"/>
  <c r="E132" i="53"/>
  <c r="B133" i="53"/>
  <c r="B139" i="53"/>
  <c r="B135" i="53"/>
  <c r="B137" i="53"/>
  <c r="B134" i="53"/>
  <c r="E135" i="53"/>
  <c r="E133" i="53"/>
  <c r="B131" i="53"/>
  <c r="B132" i="53"/>
  <c r="B140" i="53"/>
  <c r="B138" i="53"/>
  <c r="E133" i="50"/>
  <c r="N100" i="47"/>
  <c r="B104" i="47"/>
  <c r="L100" i="47"/>
  <c r="B108" i="47"/>
  <c r="B101" i="47"/>
  <c r="H100" i="47"/>
  <c r="B100" i="47"/>
  <c r="M100" i="47"/>
  <c r="F7" i="47"/>
  <c r="I100" i="47"/>
  <c r="K100" i="47"/>
  <c r="Q100" i="47"/>
  <c r="B102" i="47"/>
  <c r="B109" i="47"/>
  <c r="O100" i="47"/>
  <c r="B103" i="47"/>
  <c r="B105" i="47"/>
  <c r="P100" i="47"/>
  <c r="B107" i="47"/>
  <c r="J100" i="47"/>
  <c r="B139" i="50" l="1"/>
  <c r="B138" i="50"/>
  <c r="E116" i="50"/>
  <c r="B132" i="50"/>
  <c r="B131" i="50"/>
  <c r="B136" i="50"/>
  <c r="B140" i="50"/>
  <c r="B133" i="50"/>
  <c r="B135" i="50"/>
  <c r="B137" i="50"/>
  <c r="E142" i="49"/>
  <c r="E139" i="49"/>
  <c r="E136" i="52"/>
  <c r="B110" i="53"/>
  <c r="E142" i="50"/>
  <c r="E131" i="52"/>
  <c r="R100" i="50"/>
  <c r="B109" i="52"/>
  <c r="E140" i="52"/>
  <c r="E141" i="50"/>
  <c r="E134" i="52"/>
  <c r="E135" i="52"/>
  <c r="E145" i="53"/>
  <c r="E136" i="50"/>
  <c r="E135" i="50"/>
  <c r="E137" i="50"/>
  <c r="E140" i="50"/>
  <c r="E131" i="53"/>
  <c r="E133" i="52"/>
  <c r="E141" i="53"/>
  <c r="R99" i="49"/>
  <c r="E143" i="49"/>
  <c r="E144" i="49"/>
  <c r="E145" i="49"/>
  <c r="E143" i="52"/>
  <c r="E146" i="53"/>
  <c r="E131" i="50"/>
  <c r="B109" i="49"/>
  <c r="E140" i="49"/>
  <c r="E138" i="52"/>
  <c r="E137" i="52"/>
  <c r="E137" i="53"/>
  <c r="E145" i="52"/>
  <c r="R100" i="53"/>
  <c r="E134" i="49"/>
  <c r="E144" i="53"/>
  <c r="E130" i="49"/>
  <c r="E143" i="50"/>
  <c r="E137" i="49"/>
  <c r="E136" i="53"/>
  <c r="E134" i="53"/>
  <c r="E141" i="52"/>
  <c r="E144" i="52"/>
  <c r="E145" i="50"/>
  <c r="E139" i="50"/>
  <c r="E135" i="49"/>
  <c r="E138" i="50"/>
  <c r="E141" i="49"/>
  <c r="E139" i="52"/>
  <c r="E139" i="53"/>
  <c r="E138" i="53"/>
  <c r="E132" i="52"/>
  <c r="R99" i="52"/>
  <c r="E144" i="50"/>
  <c r="E134" i="50"/>
  <c r="E132" i="49"/>
  <c r="E133" i="49"/>
  <c r="E130" i="52"/>
  <c r="E142" i="53"/>
  <c r="B110" i="50"/>
  <c r="E146" i="50"/>
  <c r="E138" i="49"/>
  <c r="E131" i="49"/>
  <c r="E136" i="49"/>
  <c r="E142" i="52"/>
  <c r="B167" i="53"/>
  <c r="B165" i="53"/>
  <c r="B163" i="53"/>
  <c r="B166" i="53"/>
  <c r="B168" i="53"/>
  <c r="B172" i="53"/>
  <c r="B169" i="53"/>
  <c r="B171" i="53"/>
  <c r="B170" i="53"/>
  <c r="B164" i="53"/>
  <c r="E139" i="47"/>
  <c r="E131" i="47"/>
  <c r="E133" i="47"/>
  <c r="B110" i="47"/>
  <c r="E142" i="47"/>
  <c r="E137" i="47"/>
  <c r="E135" i="47"/>
  <c r="E143" i="47"/>
  <c r="E136" i="47"/>
  <c r="E140" i="47"/>
  <c r="E141" i="47"/>
  <c r="E134" i="47"/>
  <c r="E144" i="47"/>
  <c r="E146" i="47"/>
  <c r="R100" i="47"/>
  <c r="E145" i="47"/>
  <c r="E132" i="47"/>
  <c r="E138" i="47"/>
  <c r="C253" i="47"/>
  <c r="C11" i="36"/>
  <c r="K264" i="16"/>
  <c r="C30" i="36"/>
  <c r="C18" i="36"/>
  <c r="C19" i="36"/>
  <c r="C20" i="36"/>
  <c r="C21" i="36"/>
  <c r="C22" i="36"/>
  <c r="C23" i="36"/>
  <c r="C24" i="36"/>
  <c r="C25" i="36"/>
  <c r="C27" i="36"/>
  <c r="C28" i="36"/>
  <c r="C29" i="36"/>
  <c r="C32" i="36"/>
  <c r="E173" i="53" l="1"/>
  <c r="B169" i="50"/>
  <c r="B172" i="50"/>
  <c r="B171" i="50"/>
  <c r="B165" i="50"/>
  <c r="B170" i="50"/>
  <c r="E176" i="50"/>
  <c r="D54" i="47"/>
  <c r="H54" i="47" s="1"/>
  <c r="D53" i="52"/>
  <c r="H53" i="52" s="1"/>
  <c r="J29" i="36"/>
  <c r="D53" i="49"/>
  <c r="H53" i="49" s="1"/>
  <c r="D45" i="47"/>
  <c r="H45" i="47" s="1"/>
  <c r="D44" i="52"/>
  <c r="H44" i="52" s="1"/>
  <c r="D44" i="49"/>
  <c r="H44" i="49" s="1"/>
  <c r="J20" i="36"/>
  <c r="B164" i="50"/>
  <c r="D46" i="47"/>
  <c r="H46" i="47" s="1"/>
  <c r="D45" i="52"/>
  <c r="H45" i="52" s="1"/>
  <c r="J21" i="36"/>
  <c r="D45" i="49"/>
  <c r="H45" i="49" s="1"/>
  <c r="B168" i="50"/>
  <c r="D44" i="47"/>
  <c r="H44" i="47" s="1"/>
  <c r="D43" i="52"/>
  <c r="H43" i="52" s="1"/>
  <c r="J19" i="36"/>
  <c r="D43" i="49"/>
  <c r="H43" i="49" s="1"/>
  <c r="D52" i="47"/>
  <c r="H52" i="47" s="1"/>
  <c r="D51" i="52"/>
  <c r="H51" i="52" s="1"/>
  <c r="J27" i="36"/>
  <c r="D51" i="49"/>
  <c r="H51" i="49" s="1"/>
  <c r="D43" i="47"/>
  <c r="H43" i="47" s="1"/>
  <c r="D42" i="52"/>
  <c r="H42" i="52" s="1"/>
  <c r="C16" i="54" s="1"/>
  <c r="J18" i="36"/>
  <c r="D42" i="49"/>
  <c r="H42" i="49" s="1"/>
  <c r="C16" i="51" s="1"/>
  <c r="B163" i="50"/>
  <c r="B166" i="50"/>
  <c r="E175" i="53"/>
  <c r="D48" i="47"/>
  <c r="H48" i="47" s="1"/>
  <c r="D47" i="52"/>
  <c r="H47" i="52" s="1"/>
  <c r="D47" i="49"/>
  <c r="H47" i="49" s="1"/>
  <c r="J23" i="36"/>
  <c r="D47" i="47"/>
  <c r="H47" i="47" s="1"/>
  <c r="D46" i="52"/>
  <c r="H46" i="52" s="1"/>
  <c r="D46" i="49"/>
  <c r="H46" i="49" s="1"/>
  <c r="J22" i="36"/>
  <c r="D50" i="47"/>
  <c r="H50" i="47" s="1"/>
  <c r="D49" i="52"/>
  <c r="H49" i="52" s="1"/>
  <c r="D49" i="49"/>
  <c r="H49" i="49" s="1"/>
  <c r="J25" i="36"/>
  <c r="B167" i="50"/>
  <c r="E164" i="53"/>
  <c r="E176" i="53"/>
  <c r="E174" i="53"/>
  <c r="D53" i="47"/>
  <c r="H53" i="47" s="1"/>
  <c r="D52" i="52"/>
  <c r="H52" i="52" s="1"/>
  <c r="J28" i="36"/>
  <c r="D52" i="49"/>
  <c r="H52" i="49" s="1"/>
  <c r="D49" i="47"/>
  <c r="H49" i="47" s="1"/>
  <c r="D48" i="52"/>
  <c r="H48" i="52" s="1"/>
  <c r="J24" i="36"/>
  <c r="D48" i="49"/>
  <c r="H48" i="49" s="1"/>
  <c r="E178" i="50"/>
  <c r="E166" i="50"/>
  <c r="E166" i="53"/>
  <c r="E177" i="50"/>
  <c r="E171" i="50"/>
  <c r="E173" i="50"/>
  <c r="E163" i="50"/>
  <c r="E172" i="50"/>
  <c r="E171" i="53"/>
  <c r="E165" i="53"/>
  <c r="E178" i="53"/>
  <c r="E170" i="50"/>
  <c r="E169" i="50"/>
  <c r="E167" i="53"/>
  <c r="E177" i="53"/>
  <c r="E168" i="50"/>
  <c r="E165" i="50"/>
  <c r="E175" i="50"/>
  <c r="E174" i="50"/>
  <c r="E164" i="50"/>
  <c r="E168" i="53"/>
  <c r="E163" i="53"/>
  <c r="E167" i="50"/>
  <c r="E170" i="53"/>
  <c r="E172" i="53"/>
  <c r="E169" i="53"/>
  <c r="B173" i="53"/>
  <c r="C254" i="47"/>
  <c r="J260" i="47"/>
  <c r="C255" i="47"/>
  <c r="J261" i="47"/>
  <c r="C31" i="36"/>
  <c r="C17" i="36"/>
  <c r="C26" i="36"/>
  <c r="B173" i="50" l="1"/>
  <c r="D55" i="52"/>
  <c r="H55" i="52" s="1"/>
  <c r="C29" i="54" s="1"/>
  <c r="D29" i="54" s="1"/>
  <c r="J31" i="36"/>
  <c r="D55" i="49"/>
  <c r="H55" i="49" s="1"/>
  <c r="C29" i="51" s="1"/>
  <c r="D29" i="51" s="1"/>
  <c r="C22" i="54"/>
  <c r="C20" i="51"/>
  <c r="C18" i="54"/>
  <c r="C17" i="51"/>
  <c r="C26" i="51"/>
  <c r="C19" i="54"/>
  <c r="C27" i="51"/>
  <c r="C25" i="54"/>
  <c r="C18" i="51"/>
  <c r="C23" i="51"/>
  <c r="C21" i="51"/>
  <c r="C17" i="54"/>
  <c r="C20" i="54"/>
  <c r="C19" i="51"/>
  <c r="C26" i="54"/>
  <c r="C23" i="54"/>
  <c r="C21" i="54"/>
  <c r="C27" i="54"/>
  <c r="C25" i="51"/>
  <c r="D51" i="47"/>
  <c r="H51" i="47" s="1"/>
  <c r="D50" i="52"/>
  <c r="H50" i="52" s="1"/>
  <c r="J26" i="36"/>
  <c r="D50" i="49"/>
  <c r="H50" i="49" s="1"/>
  <c r="D42" i="47"/>
  <c r="D41" i="52"/>
  <c r="D41" i="49"/>
  <c r="J17" i="36"/>
  <c r="C22" i="51"/>
  <c r="E179" i="50"/>
  <c r="E179" i="53"/>
  <c r="C24" i="16"/>
  <c r="D23" i="51" l="1"/>
  <c r="D57" i="52"/>
  <c r="H41" i="52"/>
  <c r="D23" i="54"/>
  <c r="C24" i="54"/>
  <c r="D27" i="54" s="1"/>
  <c r="E171" i="52"/>
  <c r="H42" i="47"/>
  <c r="H58" i="47" s="1"/>
  <c r="D58" i="47"/>
  <c r="D10" i="47" s="1"/>
  <c r="C24" i="51"/>
  <c r="D27" i="51" s="1"/>
  <c r="H41" i="49"/>
  <c r="E171" i="49" s="1"/>
  <c r="D57" i="49"/>
  <c r="C34" i="16"/>
  <c r="E167" i="47" l="1"/>
  <c r="E166" i="47"/>
  <c r="D9" i="49"/>
  <c r="D59" i="49"/>
  <c r="E174" i="47"/>
  <c r="E177" i="47"/>
  <c r="E164" i="47"/>
  <c r="E163" i="47"/>
  <c r="E165" i="47"/>
  <c r="C15" i="54"/>
  <c r="H57" i="52"/>
  <c r="E174" i="52"/>
  <c r="E164" i="52"/>
  <c r="E176" i="52"/>
  <c r="E163" i="52"/>
  <c r="E173" i="52"/>
  <c r="E168" i="52"/>
  <c r="E170" i="52"/>
  <c r="E162" i="52"/>
  <c r="E166" i="52"/>
  <c r="E165" i="52"/>
  <c r="E175" i="52"/>
  <c r="E177" i="52"/>
  <c r="E167" i="52"/>
  <c r="E172" i="52"/>
  <c r="E169" i="52"/>
  <c r="E175" i="47"/>
  <c r="E172" i="47"/>
  <c r="E176" i="47"/>
  <c r="E168" i="47"/>
  <c r="E170" i="47"/>
  <c r="C15" i="51"/>
  <c r="H57" i="49"/>
  <c r="E99" i="49" s="1"/>
  <c r="E162" i="49"/>
  <c r="E163" i="49"/>
  <c r="E169" i="49"/>
  <c r="E165" i="49"/>
  <c r="E168" i="49"/>
  <c r="E177" i="49"/>
  <c r="E170" i="49"/>
  <c r="E164" i="49"/>
  <c r="E174" i="49"/>
  <c r="E172" i="49"/>
  <c r="E176" i="49"/>
  <c r="E175" i="49"/>
  <c r="E173" i="49"/>
  <c r="E166" i="49"/>
  <c r="E167" i="49"/>
  <c r="E173" i="47"/>
  <c r="E171" i="47"/>
  <c r="D9" i="52"/>
  <c r="D59" i="52"/>
  <c r="E169" i="47"/>
  <c r="E178" i="47"/>
  <c r="E100" i="47"/>
  <c r="F10" i="47"/>
  <c r="E114" i="47"/>
  <c r="E113" i="47"/>
  <c r="E115" i="47"/>
  <c r="E102" i="47"/>
  <c r="E111" i="47"/>
  <c r="E101" i="47"/>
  <c r="E112" i="47"/>
  <c r="E108" i="47"/>
  <c r="E103" i="47"/>
  <c r="E110" i="47"/>
  <c r="E107" i="47"/>
  <c r="E106" i="47"/>
  <c r="E105" i="47"/>
  <c r="E104" i="47"/>
  <c r="E109" i="47"/>
  <c r="G34" i="16"/>
  <c r="C42" i="16"/>
  <c r="C43" i="16"/>
  <c r="C44" i="16"/>
  <c r="C45" i="16"/>
  <c r="C46" i="16"/>
  <c r="C47" i="16"/>
  <c r="C48" i="16"/>
  <c r="C49" i="16"/>
  <c r="C50" i="16"/>
  <c r="C51" i="16"/>
  <c r="C52" i="16"/>
  <c r="C53" i="16"/>
  <c r="C54" i="16"/>
  <c r="C55" i="16"/>
  <c r="C56" i="16"/>
  <c r="C41" i="16"/>
  <c r="G21" i="16"/>
  <c r="G38" i="16" s="1"/>
  <c r="C21" i="16"/>
  <c r="C38" i="16" s="1"/>
  <c r="H18" i="36"/>
  <c r="O18" i="36" s="1"/>
  <c r="H19" i="36"/>
  <c r="O19" i="36" s="1"/>
  <c r="H20" i="36"/>
  <c r="O20" i="36" s="1"/>
  <c r="H21" i="36"/>
  <c r="O21" i="36" s="1"/>
  <c r="H22" i="36"/>
  <c r="O22" i="36" s="1"/>
  <c r="H23" i="36"/>
  <c r="O23" i="36" s="1"/>
  <c r="H24" i="36"/>
  <c r="O24" i="36" s="1"/>
  <c r="H25" i="36"/>
  <c r="O25" i="36" s="1"/>
  <c r="H26" i="36"/>
  <c r="O26" i="36" s="1"/>
  <c r="H27" i="36"/>
  <c r="O27" i="36" s="1"/>
  <c r="H28" i="36"/>
  <c r="O28" i="36" s="1"/>
  <c r="H29" i="36"/>
  <c r="O29" i="36" s="1"/>
  <c r="H30" i="36"/>
  <c r="O30" i="36" s="1"/>
  <c r="H31" i="36"/>
  <c r="O31" i="36" s="1"/>
  <c r="H32" i="36"/>
  <c r="O32" i="36" s="1"/>
  <c r="H17" i="36"/>
  <c r="O17" i="36" s="1"/>
  <c r="E13" i="36"/>
  <c r="L13" i="36" s="1"/>
  <c r="S13" i="36" s="1"/>
  <c r="F13" i="36"/>
  <c r="M13" i="36" s="1"/>
  <c r="T13" i="36" s="1"/>
  <c r="A18" i="36"/>
  <c r="P18" i="36" s="1"/>
  <c r="A19" i="36"/>
  <c r="L19" i="36" s="1"/>
  <c r="S19" i="36" s="1"/>
  <c r="A20" i="36"/>
  <c r="P20" i="36" s="1"/>
  <c r="A21" i="36"/>
  <c r="R21" i="36" s="1"/>
  <c r="A22" i="36"/>
  <c r="P22" i="36" s="1"/>
  <c r="A23" i="36"/>
  <c r="P23" i="36" s="1"/>
  <c r="A24" i="36"/>
  <c r="L24" i="36" s="1"/>
  <c r="S24" i="36" s="1"/>
  <c r="A25" i="36"/>
  <c r="P25" i="36" s="1"/>
  <c r="A26" i="36"/>
  <c r="Q26" i="36" s="1"/>
  <c r="A27" i="36"/>
  <c r="M27" i="36" s="1"/>
  <c r="T27" i="36" s="1"/>
  <c r="A28" i="36"/>
  <c r="P28" i="36" s="1"/>
  <c r="A29" i="36"/>
  <c r="M29" i="36" s="1"/>
  <c r="T29" i="36" s="1"/>
  <c r="P30" i="36"/>
  <c r="R31" i="36"/>
  <c r="P32" i="36"/>
  <c r="A17" i="36"/>
  <c r="M17" i="36" s="1"/>
  <c r="T17" i="36" s="1"/>
  <c r="C13" i="36"/>
  <c r="D13" i="36"/>
  <c r="A2" i="36"/>
  <c r="E179" i="47" l="1"/>
  <c r="D18" i="51"/>
  <c r="D31" i="51" s="1"/>
  <c r="C31" i="51"/>
  <c r="E178" i="49"/>
  <c r="E178" i="52"/>
  <c r="E100" i="52"/>
  <c r="E114" i="52"/>
  <c r="E112" i="52"/>
  <c r="E113" i="52"/>
  <c r="F9" i="52"/>
  <c r="E107" i="52"/>
  <c r="E105" i="52"/>
  <c r="E109" i="52"/>
  <c r="E101" i="52"/>
  <c r="E110" i="52"/>
  <c r="E106" i="52"/>
  <c r="E104" i="52"/>
  <c r="E103" i="52"/>
  <c r="E102" i="52"/>
  <c r="E111" i="52"/>
  <c r="E108" i="52"/>
  <c r="E99" i="52"/>
  <c r="E100" i="49"/>
  <c r="F9" i="49"/>
  <c r="E112" i="49"/>
  <c r="E114" i="49"/>
  <c r="E113" i="49"/>
  <c r="E104" i="49"/>
  <c r="E101" i="49"/>
  <c r="E109" i="49"/>
  <c r="E110" i="49"/>
  <c r="E103" i="49"/>
  <c r="E102" i="49"/>
  <c r="E107" i="49"/>
  <c r="E111" i="49"/>
  <c r="E105" i="49"/>
  <c r="E106" i="49"/>
  <c r="E108" i="49"/>
  <c r="C31" i="54"/>
  <c r="D18" i="54"/>
  <c r="D31" i="54" s="1"/>
  <c r="K13" i="36"/>
  <c r="R13" i="36" s="1"/>
  <c r="J13" i="36"/>
  <c r="Q13" i="36" s="1"/>
  <c r="E116" i="47"/>
  <c r="B133" i="47"/>
  <c r="B139" i="47"/>
  <c r="B138" i="47"/>
  <c r="B134" i="47"/>
  <c r="B136" i="47"/>
  <c r="B140" i="47"/>
  <c r="B137" i="47"/>
  <c r="B135" i="47"/>
  <c r="B131" i="47"/>
  <c r="B132" i="47"/>
  <c r="B12" i="36"/>
  <c r="P13" i="36"/>
  <c r="C35" i="16"/>
  <c r="B42" i="16"/>
  <c r="B68" i="16" s="1"/>
  <c r="B44" i="16"/>
  <c r="B70" i="16" s="1"/>
  <c r="B52" i="16"/>
  <c r="B78" i="16" s="1"/>
  <c r="B51" i="16"/>
  <c r="B77" i="16" s="1"/>
  <c r="B50" i="16"/>
  <c r="B76" i="16" s="1"/>
  <c r="B49" i="16"/>
  <c r="B75" i="16" s="1"/>
  <c r="B56" i="16"/>
  <c r="B82" i="16" s="1"/>
  <c r="B48" i="16"/>
  <c r="B74" i="16" s="1"/>
  <c r="B55" i="16"/>
  <c r="B81" i="16" s="1"/>
  <c r="B47" i="16"/>
  <c r="B73" i="16" s="1"/>
  <c r="B54" i="16"/>
  <c r="B80" i="16" s="1"/>
  <c r="B46" i="16"/>
  <c r="B72" i="16" s="1"/>
  <c r="B53" i="16"/>
  <c r="B79" i="16" s="1"/>
  <c r="B45" i="16"/>
  <c r="B71" i="16" s="1"/>
  <c r="H4" i="36"/>
  <c r="O4" i="36" s="1"/>
  <c r="H6" i="36"/>
  <c r="O6" i="36" s="1"/>
  <c r="B28" i="16" s="1"/>
  <c r="H11" i="36"/>
  <c r="O11" i="36" s="1"/>
  <c r="B33" i="16" s="1"/>
  <c r="H5" i="36"/>
  <c r="O5" i="36" s="1"/>
  <c r="H9" i="36"/>
  <c r="O9" i="36" s="1"/>
  <c r="B31" i="16" s="1"/>
  <c r="H3" i="36"/>
  <c r="O3" i="36" s="1"/>
  <c r="B25" i="16" s="1"/>
  <c r="H8" i="36"/>
  <c r="O8" i="36" s="1"/>
  <c r="B30" i="16" s="1"/>
  <c r="H10" i="36"/>
  <c r="O10" i="36" s="1"/>
  <c r="B32" i="16" s="1"/>
  <c r="H7" i="36"/>
  <c r="O7" i="36" s="1"/>
  <c r="B29" i="16" s="1"/>
  <c r="B43" i="16"/>
  <c r="B69" i="16" s="1"/>
  <c r="B41" i="16"/>
  <c r="B67" i="16" s="1"/>
  <c r="D50" i="16"/>
  <c r="P31" i="36"/>
  <c r="L29" i="36"/>
  <c r="S29" i="36" s="1"/>
  <c r="L27" i="36"/>
  <c r="S27" i="36" s="1"/>
  <c r="L21" i="36"/>
  <c r="S21" i="36" s="1"/>
  <c r="M30" i="36"/>
  <c r="T30" i="36" s="1"/>
  <c r="M24" i="36"/>
  <c r="T24" i="36" s="1"/>
  <c r="P21" i="36"/>
  <c r="M32" i="36"/>
  <c r="T32" i="36" s="1"/>
  <c r="L30" i="36"/>
  <c r="S30" i="36" s="1"/>
  <c r="R24" i="36"/>
  <c r="R27" i="36"/>
  <c r="R32" i="36"/>
  <c r="R29" i="36"/>
  <c r="L23" i="36"/>
  <c r="S23" i="36" s="1"/>
  <c r="L32" i="36"/>
  <c r="S32" i="36" s="1"/>
  <c r="L31" i="36"/>
  <c r="S31" i="36" s="1"/>
  <c r="P29" i="36"/>
  <c r="M22" i="36"/>
  <c r="T22" i="36" s="1"/>
  <c r="P26" i="36"/>
  <c r="R30" i="36"/>
  <c r="M28" i="36"/>
  <c r="T28" i="36" s="1"/>
  <c r="L25" i="36"/>
  <c r="S25" i="36" s="1"/>
  <c r="P24" i="36"/>
  <c r="R22" i="36"/>
  <c r="M20" i="36"/>
  <c r="T20" i="36" s="1"/>
  <c r="P17" i="36"/>
  <c r="M25" i="36"/>
  <c r="T25" i="36" s="1"/>
  <c r="L22" i="36"/>
  <c r="S22" i="36" s="1"/>
  <c r="R19" i="36"/>
  <c r="R17" i="36"/>
  <c r="M31" i="36"/>
  <c r="T31" i="36" s="1"/>
  <c r="L28" i="36"/>
  <c r="S28" i="36" s="1"/>
  <c r="P27" i="36"/>
  <c r="R25" i="36"/>
  <c r="M23" i="36"/>
  <c r="T23" i="36" s="1"/>
  <c r="L20" i="36"/>
  <c r="S20" i="36" s="1"/>
  <c r="P19" i="36"/>
  <c r="L17" i="36"/>
  <c r="S17" i="36" s="1"/>
  <c r="R28" i="36"/>
  <c r="M26" i="36"/>
  <c r="T26" i="36" s="1"/>
  <c r="R20" i="36"/>
  <c r="M18" i="36"/>
  <c r="T18" i="36" s="1"/>
  <c r="L26" i="36"/>
  <c r="S26" i="36" s="1"/>
  <c r="R23" i="36"/>
  <c r="M21" i="36"/>
  <c r="T21" i="36" s="1"/>
  <c r="L18" i="36"/>
  <c r="S18" i="36" s="1"/>
  <c r="R26" i="36"/>
  <c r="R18" i="36"/>
  <c r="M19" i="36"/>
  <c r="T19" i="36" s="1"/>
  <c r="F19" i="35"/>
  <c r="D34" i="36" s="1"/>
  <c r="G19" i="35"/>
  <c r="E34" i="36" s="1"/>
  <c r="L34" i="36" s="1"/>
  <c r="S34" i="36" s="1"/>
  <c r="H19" i="35"/>
  <c r="F34" i="36" s="1"/>
  <c r="M34" i="36" s="1"/>
  <c r="T34" i="36" s="1"/>
  <c r="P34" i="36"/>
  <c r="E115" i="49" l="1"/>
  <c r="B138" i="49"/>
  <c r="B139" i="49"/>
  <c r="B136" i="49"/>
  <c r="B133" i="49"/>
  <c r="B137" i="49"/>
  <c r="E115" i="52"/>
  <c r="B136" i="52"/>
  <c r="B130" i="52"/>
  <c r="B138" i="52"/>
  <c r="B135" i="52"/>
  <c r="B132" i="52"/>
  <c r="B131" i="52"/>
  <c r="B133" i="52"/>
  <c r="B139" i="52"/>
  <c r="B134" i="52"/>
  <c r="B137" i="52"/>
  <c r="K34" i="36"/>
  <c r="R34" i="36" s="1"/>
  <c r="B135" i="49"/>
  <c r="B130" i="49"/>
  <c r="B132" i="49"/>
  <c r="B134" i="49"/>
  <c r="B131" i="49"/>
  <c r="B27" i="53"/>
  <c r="B229" i="53" s="1"/>
  <c r="B248" i="53" s="1"/>
  <c r="B4" i="54" s="1"/>
  <c r="B26" i="52"/>
  <c r="B228" i="52" s="1"/>
  <c r="B247" i="52" s="1"/>
  <c r="B26" i="16"/>
  <c r="B27" i="50"/>
  <c r="B229" i="50" s="1"/>
  <c r="B248" i="50" s="1"/>
  <c r="B4" i="51" s="1"/>
  <c r="B26" i="49"/>
  <c r="B228" i="49" s="1"/>
  <c r="B247" i="49" s="1"/>
  <c r="B27" i="47"/>
  <c r="B229" i="47" s="1"/>
  <c r="B248" i="47" s="1"/>
  <c r="B4" i="42" s="1"/>
  <c r="H50" i="16"/>
  <c r="C24" i="42" s="1"/>
  <c r="B27" i="16"/>
  <c r="B28" i="47"/>
  <c r="B230" i="47" s="1"/>
  <c r="B249" i="47" s="1"/>
  <c r="B5" i="42" s="1"/>
  <c r="B166" i="47"/>
  <c r="B167" i="47"/>
  <c r="B169" i="47"/>
  <c r="B172" i="47"/>
  <c r="B168" i="47"/>
  <c r="B170" i="47"/>
  <c r="B164" i="47"/>
  <c r="B171" i="47"/>
  <c r="B163" i="47"/>
  <c r="B165" i="47"/>
  <c r="J72" i="16"/>
  <c r="F72" i="16"/>
  <c r="J77" i="16"/>
  <c r="F77" i="16"/>
  <c r="J78" i="16"/>
  <c r="F78" i="16"/>
  <c r="J70" i="16"/>
  <c r="F70" i="16"/>
  <c r="F68" i="16"/>
  <c r="J68" i="16"/>
  <c r="F80" i="16"/>
  <c r="J80" i="16"/>
  <c r="F73" i="16"/>
  <c r="J73" i="16"/>
  <c r="F69" i="16"/>
  <c r="J69" i="16"/>
  <c r="F81" i="16"/>
  <c r="J81" i="16"/>
  <c r="F67" i="16"/>
  <c r="J67" i="16"/>
  <c r="J74" i="16"/>
  <c r="F74" i="16"/>
  <c r="F82" i="16"/>
  <c r="J82" i="16"/>
  <c r="J71" i="16"/>
  <c r="F71" i="16"/>
  <c r="J75" i="16"/>
  <c r="F75" i="16"/>
  <c r="J79" i="16"/>
  <c r="F79" i="16"/>
  <c r="F76" i="16"/>
  <c r="J76" i="16"/>
  <c r="C79" i="16"/>
  <c r="E79" i="16"/>
  <c r="D79" i="16"/>
  <c r="D72" i="16"/>
  <c r="C72" i="16"/>
  <c r="E72" i="16"/>
  <c r="C67" i="16"/>
  <c r="E67" i="16"/>
  <c r="D67" i="16"/>
  <c r="C70" i="16"/>
  <c r="E70" i="16"/>
  <c r="D70" i="16"/>
  <c r="C68" i="16"/>
  <c r="D68" i="16"/>
  <c r="E68" i="16"/>
  <c r="C74" i="16"/>
  <c r="E74" i="16"/>
  <c r="D74" i="16"/>
  <c r="C76" i="16"/>
  <c r="D76" i="16"/>
  <c r="E76" i="16"/>
  <c r="C77" i="16"/>
  <c r="E77" i="16"/>
  <c r="D77" i="16"/>
  <c r="C78" i="16"/>
  <c r="D78" i="16"/>
  <c r="E78" i="16"/>
  <c r="C73" i="16"/>
  <c r="E73" i="16"/>
  <c r="D73" i="16"/>
  <c r="C69" i="16"/>
  <c r="D69" i="16"/>
  <c r="E69" i="16"/>
  <c r="D71" i="16"/>
  <c r="E71" i="16"/>
  <c r="C71" i="16"/>
  <c r="E75" i="16"/>
  <c r="C75" i="16"/>
  <c r="D75" i="16"/>
  <c r="C81" i="16"/>
  <c r="E81" i="16"/>
  <c r="D81" i="16"/>
  <c r="C82" i="16"/>
  <c r="E82" i="16"/>
  <c r="D82" i="16"/>
  <c r="E80" i="16"/>
  <c r="D80" i="16"/>
  <c r="C80" i="16"/>
  <c r="I12" i="36"/>
  <c r="D27" i="16"/>
  <c r="D26" i="16"/>
  <c r="D30" i="16"/>
  <c r="D24" i="16"/>
  <c r="H24" i="16" s="1"/>
  <c r="D33" i="16"/>
  <c r="D28" i="16"/>
  <c r="C6" i="42" s="1"/>
  <c r="D25" i="16"/>
  <c r="C3" i="42" s="1"/>
  <c r="D31" i="16"/>
  <c r="D29" i="16"/>
  <c r="C7" i="42" s="1"/>
  <c r="D32" i="16"/>
  <c r="C10" i="42" s="1"/>
  <c r="C58" i="16"/>
  <c r="P33" i="36"/>
  <c r="P35" i="36" s="1"/>
  <c r="Q24" i="36"/>
  <c r="D48" i="16"/>
  <c r="Q22" i="36"/>
  <c r="D46" i="16"/>
  <c r="Q23" i="36"/>
  <c r="D47" i="16"/>
  <c r="Q29" i="36"/>
  <c r="D53" i="16"/>
  <c r="Q31" i="36"/>
  <c r="D55" i="16"/>
  <c r="H55" i="16" s="1"/>
  <c r="Q27" i="36"/>
  <c r="D51" i="16"/>
  <c r="T33" i="36"/>
  <c r="T35" i="36" s="1"/>
  <c r="Q32" i="36"/>
  <c r="D56" i="16"/>
  <c r="H56" i="16" s="1"/>
  <c r="Q21" i="36"/>
  <c r="D45" i="16"/>
  <c r="Q20" i="36"/>
  <c r="D44" i="16"/>
  <c r="Q19" i="36"/>
  <c r="D43" i="16"/>
  <c r="Q17" i="36"/>
  <c r="D41" i="16"/>
  <c r="H41" i="16" s="1"/>
  <c r="Q30" i="36"/>
  <c r="D54" i="16"/>
  <c r="Q25" i="36"/>
  <c r="D49" i="16"/>
  <c r="C34" i="36"/>
  <c r="D58" i="16"/>
  <c r="Q18" i="36"/>
  <c r="D42" i="16"/>
  <c r="H42" i="16" s="1"/>
  <c r="Q28" i="36"/>
  <c r="D52" i="16"/>
  <c r="S33" i="36"/>
  <c r="S35" i="36" s="1"/>
  <c r="R33" i="36"/>
  <c r="H58" i="52" s="1"/>
  <c r="H59" i="52" s="1"/>
  <c r="M33" i="36"/>
  <c r="M35" i="36" s="1"/>
  <c r="I33" i="36"/>
  <c r="I35" i="36" s="1"/>
  <c r="L33" i="36"/>
  <c r="L35" i="36" s="1"/>
  <c r="K33" i="36"/>
  <c r="K35" i="36" s="1"/>
  <c r="E35" i="36"/>
  <c r="F35" i="36"/>
  <c r="D35" i="36"/>
  <c r="B35" i="36"/>
  <c r="C33" i="36"/>
  <c r="F14" i="36"/>
  <c r="E14" i="36"/>
  <c r="B14" i="36"/>
  <c r="D14" i="36"/>
  <c r="B166" i="49" l="1"/>
  <c r="B171" i="52"/>
  <c r="B169" i="52"/>
  <c r="B162" i="52"/>
  <c r="B163" i="49"/>
  <c r="B166" i="52"/>
  <c r="B168" i="52"/>
  <c r="B164" i="49"/>
  <c r="B165" i="52"/>
  <c r="B169" i="49"/>
  <c r="B165" i="49"/>
  <c r="J34" i="36"/>
  <c r="Q34" i="36" s="1"/>
  <c r="B167" i="49"/>
  <c r="B164" i="52"/>
  <c r="B168" i="49"/>
  <c r="B162" i="49"/>
  <c r="B167" i="52"/>
  <c r="B171" i="49"/>
  <c r="B163" i="52"/>
  <c r="B170" i="52"/>
  <c r="B170" i="49"/>
  <c r="H30" i="16"/>
  <c r="C8" i="42" s="1"/>
  <c r="R35" i="36"/>
  <c r="H58" i="49"/>
  <c r="H51" i="16"/>
  <c r="C25" i="42" s="1"/>
  <c r="H52" i="16"/>
  <c r="C26" i="42" s="1"/>
  <c r="H43" i="16"/>
  <c r="C17" i="42" s="1"/>
  <c r="H53" i="16"/>
  <c r="C27" i="42" s="1"/>
  <c r="H44" i="16"/>
  <c r="C18" i="42" s="1"/>
  <c r="H47" i="16"/>
  <c r="C21" i="42" s="1"/>
  <c r="H45" i="16"/>
  <c r="C19" i="42" s="1"/>
  <c r="H46" i="16"/>
  <c r="C20" i="42" s="1"/>
  <c r="H49" i="16"/>
  <c r="C23" i="42" s="1"/>
  <c r="H48" i="16"/>
  <c r="C22" i="42" s="1"/>
  <c r="H31" i="16"/>
  <c r="C9" i="42" s="1"/>
  <c r="H27" i="16"/>
  <c r="C5" i="42" s="1"/>
  <c r="H26" i="16"/>
  <c r="C4" i="42" s="1"/>
  <c r="B173" i="47"/>
  <c r="C30" i="42"/>
  <c r="D30" i="42" s="1"/>
  <c r="C28" i="42"/>
  <c r="D28" i="42" s="1"/>
  <c r="C29" i="42"/>
  <c r="D29" i="42" s="1"/>
  <c r="C11" i="42"/>
  <c r="D34" i="16"/>
  <c r="D6" i="16" s="1"/>
  <c r="C2" i="42"/>
  <c r="C16" i="42"/>
  <c r="C15" i="42"/>
  <c r="C35" i="36"/>
  <c r="C14" i="36"/>
  <c r="D35" i="16"/>
  <c r="Q33" i="36"/>
  <c r="J33" i="36"/>
  <c r="J35" i="36" l="1"/>
  <c r="B172" i="49"/>
  <c r="B172" i="52"/>
  <c r="H59" i="49"/>
  <c r="D23" i="42"/>
  <c r="D27" i="42"/>
  <c r="Q35" i="36"/>
  <c r="H57" i="16"/>
  <c r="E99" i="16" s="1"/>
  <c r="D18" i="42"/>
  <c r="C31" i="42"/>
  <c r="H58" i="16"/>
  <c r="B235" i="16"/>
  <c r="B234" i="16"/>
  <c r="B233" i="16"/>
  <c r="M3" i="36"/>
  <c r="L3" i="36"/>
  <c r="Q8" i="36"/>
  <c r="M8" i="36"/>
  <c r="L8" i="36"/>
  <c r="M7" i="36"/>
  <c r="L7" i="36"/>
  <c r="B231" i="16"/>
  <c r="M6" i="36"/>
  <c r="L6" i="36"/>
  <c r="B230" i="16"/>
  <c r="M5" i="36"/>
  <c r="L5" i="36"/>
  <c r="B229" i="16"/>
  <c r="M4" i="36"/>
  <c r="L4" i="36"/>
  <c r="Q3" i="36"/>
  <c r="M2" i="36"/>
  <c r="T2" i="36" s="1"/>
  <c r="L2" i="36"/>
  <c r="S2" i="36" s="1"/>
  <c r="R2" i="36"/>
  <c r="Q2" i="36"/>
  <c r="H2" i="36"/>
  <c r="O2" i="36" s="1"/>
  <c r="C18" i="33"/>
  <c r="D18" i="33" s="1"/>
  <c r="E18" i="33" s="1"/>
  <c r="F18" i="33" s="1"/>
  <c r="G18" i="33" s="1"/>
  <c r="F14" i="33"/>
  <c r="E14" i="33"/>
  <c r="D14" i="33"/>
  <c r="C14" i="33"/>
  <c r="B14" i="33"/>
  <c r="D9" i="33"/>
  <c r="B9" i="33"/>
  <c r="C5" i="33"/>
  <c r="B24" i="52" l="1"/>
  <c r="B226" i="52" s="1"/>
  <c r="B245" i="52" s="1"/>
  <c r="B25" i="53"/>
  <c r="B227" i="53" s="1"/>
  <c r="B246" i="53" s="1"/>
  <c r="B2" i="54" s="1"/>
  <c r="B25" i="47"/>
  <c r="B227" i="47" s="1"/>
  <c r="B246" i="47" s="1"/>
  <c r="B2" i="42" s="1"/>
  <c r="B24" i="49"/>
  <c r="B226" i="49" s="1"/>
  <c r="B245" i="49" s="1"/>
  <c r="B25" i="50"/>
  <c r="B227" i="50" s="1"/>
  <c r="B246" i="50" s="1"/>
  <c r="B2" i="51" s="1"/>
  <c r="D31" i="42"/>
  <c r="H59" i="16"/>
  <c r="T3" i="36"/>
  <c r="R6" i="36"/>
  <c r="R4" i="36"/>
  <c r="S6" i="36"/>
  <c r="T4" i="36"/>
  <c r="R3" i="36"/>
  <c r="S7" i="36"/>
  <c r="S3" i="36"/>
  <c r="B227" i="16"/>
  <c r="B24" i="16"/>
  <c r="B226" i="16" s="1"/>
  <c r="Q4" i="36"/>
  <c r="T5" i="36"/>
  <c r="R7" i="36"/>
  <c r="B228" i="16"/>
  <c r="S4" i="36"/>
  <c r="Q6" i="36"/>
  <c r="T7" i="36"/>
  <c r="Q5" i="36"/>
  <c r="T6" i="36"/>
  <c r="R8" i="36"/>
  <c r="R5" i="36"/>
  <c r="B232" i="16"/>
  <c r="S8" i="36"/>
  <c r="S5" i="36"/>
  <c r="Q7" i="36"/>
  <c r="T8" i="36"/>
  <c r="D5" i="33"/>
  <c r="B1" i="36" s="1"/>
  <c r="B16" i="36" s="1"/>
  <c r="Q11" i="36"/>
  <c r="Q9" i="36"/>
  <c r="P5" i="36"/>
  <c r="P6" i="36"/>
  <c r="M11" i="36"/>
  <c r="T11" i="36" s="1"/>
  <c r="R11" i="36"/>
  <c r="Q10" i="36"/>
  <c r="R10" i="36"/>
  <c r="R9" i="36"/>
  <c r="H18" i="33"/>
  <c r="G19" i="33"/>
  <c r="P3" i="36"/>
  <c r="P2" i="36"/>
  <c r="P11" i="36"/>
  <c r="P10" i="36"/>
  <c r="P9" i="36"/>
  <c r="E5" i="33" l="1"/>
  <c r="C1" i="36" s="1"/>
  <c r="C16" i="36" s="1"/>
  <c r="J1" i="36" s="1"/>
  <c r="C11" i="16"/>
  <c r="A6" i="47"/>
  <c r="A9" i="47" s="1"/>
  <c r="C12" i="47"/>
  <c r="P7" i="36"/>
  <c r="P8" i="36"/>
  <c r="P4" i="36"/>
  <c r="Q12" i="36"/>
  <c r="Q14" i="36" s="1"/>
  <c r="R12" i="36"/>
  <c r="R14" i="36" s="1"/>
  <c r="I1" i="36"/>
  <c r="I16" i="36"/>
  <c r="K12" i="36"/>
  <c r="K14" i="36" s="1"/>
  <c r="I14" i="36"/>
  <c r="J12" i="36"/>
  <c r="J14" i="36" s="1"/>
  <c r="L11" i="36"/>
  <c r="S11" i="36" s="1"/>
  <c r="M10" i="36"/>
  <c r="T10" i="36" s="1"/>
  <c r="I18" i="33"/>
  <c r="H19" i="33"/>
  <c r="E16" i="36"/>
  <c r="J16" i="36" l="1"/>
  <c r="C12" i="50"/>
  <c r="F5" i="33"/>
  <c r="A5" i="16"/>
  <c r="C11" i="49"/>
  <c r="P12" i="36"/>
  <c r="P14" i="36" s="1"/>
  <c r="Q1" i="36"/>
  <c r="Q16" i="36" s="1"/>
  <c r="P1" i="36"/>
  <c r="P16" i="36" s="1"/>
  <c r="L1" i="36"/>
  <c r="L16" i="36"/>
  <c r="L9" i="36"/>
  <c r="S9" i="36" s="1"/>
  <c r="L10" i="36"/>
  <c r="S10" i="36" s="1"/>
  <c r="F16" i="36"/>
  <c r="I19" i="33"/>
  <c r="J18" i="33"/>
  <c r="D1" i="36" l="1"/>
  <c r="D16" i="36" s="1"/>
  <c r="A6" i="50"/>
  <c r="A5" i="49"/>
  <c r="S1" i="36"/>
  <c r="S16" i="36" s="1"/>
  <c r="S12" i="36"/>
  <c r="S14" i="36" s="1"/>
  <c r="M1" i="36"/>
  <c r="M16" i="36"/>
  <c r="L12" i="36"/>
  <c r="L14" i="36" s="1"/>
  <c r="M9" i="36"/>
  <c r="J19" i="33"/>
  <c r="K18" i="33"/>
  <c r="A8" i="49" l="1"/>
  <c r="A9" i="50"/>
  <c r="K16" i="36"/>
  <c r="K1" i="36"/>
  <c r="R1" i="36" s="1"/>
  <c r="R16" i="36" s="1"/>
  <c r="M12" i="36"/>
  <c r="M14" i="36" s="1"/>
  <c r="T9" i="36"/>
  <c r="T12" i="36" s="1"/>
  <c r="T14" i="36" s="1"/>
  <c r="T1" i="36"/>
  <c r="T16" i="36" s="1"/>
  <c r="K19" i="33"/>
  <c r="L18" i="33"/>
  <c r="M18" i="33" l="1"/>
  <c r="L19" i="33"/>
  <c r="N18" i="33" l="1"/>
  <c r="M19" i="33"/>
  <c r="O18" i="33" l="1"/>
  <c r="N19" i="33"/>
  <c r="P18" i="33" l="1"/>
  <c r="O19" i="33"/>
  <c r="P19" i="33" l="1"/>
  <c r="Q18" i="33"/>
  <c r="Q19" i="33" l="1"/>
  <c r="R18" i="33"/>
  <c r="R19" i="33" l="1"/>
  <c r="S18" i="33"/>
  <c r="T18" i="33" l="1"/>
  <c r="S19" i="33"/>
  <c r="U18" i="33" l="1"/>
  <c r="T19" i="33"/>
  <c r="V18" i="33" l="1"/>
  <c r="U19" i="33"/>
  <c r="W18" i="33" l="1"/>
  <c r="V19" i="33"/>
  <c r="X18" i="33" l="1"/>
  <c r="W19" i="33"/>
  <c r="X19" i="33" l="1"/>
  <c r="Y18" i="33"/>
  <c r="Y19" i="33" l="1"/>
  <c r="Z18" i="33"/>
  <c r="Z19" i="33" l="1"/>
  <c r="AA18" i="33"/>
  <c r="AA19" i="33" l="1"/>
  <c r="AB18" i="33"/>
  <c r="AC18" i="33" l="1"/>
  <c r="AB19" i="33"/>
  <c r="AD18" i="33" l="1"/>
  <c r="AC19" i="33"/>
  <c r="AE18" i="33" l="1"/>
  <c r="AD19" i="33"/>
  <c r="AF18" i="33" l="1"/>
  <c r="AF19" i="33" s="1"/>
  <c r="AE19" i="33"/>
  <c r="P50" i="22" l="1"/>
  <c r="C178" i="22"/>
  <c r="D178" i="22"/>
  <c r="O178" i="22" s="1"/>
  <c r="E178" i="22"/>
  <c r="F178" i="22"/>
  <c r="P178" i="22" s="1"/>
  <c r="S178" i="22"/>
  <c r="T178" i="22"/>
  <c r="T247" i="22"/>
  <c r="S247" i="22"/>
  <c r="F247" i="22"/>
  <c r="P246" i="22" s="1"/>
  <c r="E247" i="22"/>
  <c r="D247" i="22"/>
  <c r="C247" i="22"/>
  <c r="T246" i="22"/>
  <c r="S246" i="22"/>
  <c r="F246" i="22"/>
  <c r="E246" i="22"/>
  <c r="D246" i="22"/>
  <c r="O246" i="22" s="1"/>
  <c r="C246" i="22"/>
  <c r="T245" i="22"/>
  <c r="S245" i="22"/>
  <c r="F245" i="22"/>
  <c r="P245" i="22" s="1"/>
  <c r="E245" i="22"/>
  <c r="D245" i="22"/>
  <c r="O245" i="22" s="1"/>
  <c r="C245" i="22"/>
  <c r="T244" i="22"/>
  <c r="S244" i="22"/>
  <c r="G244" i="22"/>
  <c r="Q244" i="22" s="1"/>
  <c r="F244" i="22"/>
  <c r="P244" i="22" s="1"/>
  <c r="E244" i="22"/>
  <c r="D244" i="22"/>
  <c r="O244" i="22" s="1"/>
  <c r="C244" i="22"/>
  <c r="T243" i="22"/>
  <c r="S243" i="22"/>
  <c r="F243" i="22"/>
  <c r="P243" i="22" s="1"/>
  <c r="E243" i="22"/>
  <c r="D243" i="22"/>
  <c r="O243" i="22" s="1"/>
  <c r="C243" i="22"/>
  <c r="T242" i="22"/>
  <c r="S242" i="22"/>
  <c r="F242" i="22"/>
  <c r="P237" i="22" s="1"/>
  <c r="E242" i="22"/>
  <c r="D242" i="22"/>
  <c r="C242" i="22"/>
  <c r="T241" i="22"/>
  <c r="S241" i="22"/>
  <c r="F241" i="22"/>
  <c r="E241" i="22"/>
  <c r="D241" i="22"/>
  <c r="C241" i="22"/>
  <c r="T240" i="22"/>
  <c r="S240" i="22"/>
  <c r="F240" i="22"/>
  <c r="E240" i="22"/>
  <c r="D240" i="22"/>
  <c r="C240" i="22"/>
  <c r="T239" i="22"/>
  <c r="S239" i="22"/>
  <c r="F239" i="22"/>
  <c r="E239" i="22"/>
  <c r="D239" i="22"/>
  <c r="C239" i="22"/>
  <c r="T238" i="22"/>
  <c r="S238" i="22"/>
  <c r="F238" i="22"/>
  <c r="E238" i="22"/>
  <c r="D238" i="22"/>
  <c r="C238" i="22"/>
  <c r="T237" i="22"/>
  <c r="S237" i="22"/>
  <c r="F237" i="22"/>
  <c r="E237" i="22"/>
  <c r="D237" i="22"/>
  <c r="O237" i="22" s="1"/>
  <c r="C237" i="22"/>
  <c r="T236" i="22"/>
  <c r="S236" i="22"/>
  <c r="F236" i="22"/>
  <c r="P236" i="22" s="1"/>
  <c r="E236" i="22"/>
  <c r="D236" i="22"/>
  <c r="O236" i="22" s="1"/>
  <c r="C236" i="22"/>
  <c r="T235" i="22"/>
  <c r="S235" i="22"/>
  <c r="G235" i="22"/>
  <c r="Q235" i="22" s="1"/>
  <c r="F235" i="22"/>
  <c r="P235" i="22" s="1"/>
  <c r="E235" i="22"/>
  <c r="D235" i="22"/>
  <c r="O235" i="22" s="1"/>
  <c r="C235" i="22"/>
  <c r="T234" i="22"/>
  <c r="S234" i="22"/>
  <c r="F234" i="22"/>
  <c r="P234" i="22" s="1"/>
  <c r="E234" i="22"/>
  <c r="D234" i="22"/>
  <c r="O234" i="22" s="1"/>
  <c r="C234" i="22"/>
  <c r="T232" i="22"/>
  <c r="S232" i="22"/>
  <c r="G232" i="22"/>
  <c r="F232" i="22"/>
  <c r="E232" i="22"/>
  <c r="D232" i="22"/>
  <c r="O229" i="22" s="1"/>
  <c r="C232" i="22"/>
  <c r="T231" i="22"/>
  <c r="S231" i="22"/>
  <c r="G231" i="22"/>
  <c r="F231" i="22"/>
  <c r="E231" i="22"/>
  <c r="D231" i="22"/>
  <c r="C231" i="22"/>
  <c r="T230" i="22"/>
  <c r="S230" i="22"/>
  <c r="F230" i="22"/>
  <c r="E230" i="22"/>
  <c r="D230" i="22"/>
  <c r="C230" i="22"/>
  <c r="T229" i="22"/>
  <c r="S229" i="22"/>
  <c r="F229" i="22"/>
  <c r="P229" i="22" s="1"/>
  <c r="E229" i="22"/>
  <c r="D229" i="22"/>
  <c r="C229" i="22"/>
  <c r="T228" i="22"/>
  <c r="S228" i="22"/>
  <c r="F228" i="22"/>
  <c r="E228" i="22"/>
  <c r="D228" i="22"/>
  <c r="O225" i="22" s="1"/>
  <c r="C228" i="22"/>
  <c r="T227" i="22"/>
  <c r="S227" i="22"/>
  <c r="F227" i="22"/>
  <c r="E227" i="22"/>
  <c r="D227" i="22"/>
  <c r="C227" i="22"/>
  <c r="T226" i="22"/>
  <c r="S226" i="22"/>
  <c r="F226" i="22"/>
  <c r="E226" i="22"/>
  <c r="D226" i="22"/>
  <c r="C226" i="22"/>
  <c r="T225" i="22"/>
  <c r="S225" i="22"/>
  <c r="F225" i="22"/>
  <c r="P225" i="22" s="1"/>
  <c r="E225" i="22"/>
  <c r="D225" i="22"/>
  <c r="C225" i="22"/>
  <c r="T224" i="22"/>
  <c r="S224" i="22"/>
  <c r="F224" i="22"/>
  <c r="E224" i="22"/>
  <c r="D224" i="22"/>
  <c r="O221" i="22" s="1"/>
  <c r="C224" i="22"/>
  <c r="T223" i="22"/>
  <c r="S223" i="22"/>
  <c r="F223" i="22"/>
  <c r="E223" i="22"/>
  <c r="D223" i="22"/>
  <c r="C223" i="22"/>
  <c r="T222" i="22"/>
  <c r="S222" i="22"/>
  <c r="F222" i="22"/>
  <c r="E222" i="22"/>
  <c r="D222" i="22"/>
  <c r="C222" i="22"/>
  <c r="T221" i="22"/>
  <c r="S221" i="22"/>
  <c r="F221" i="22"/>
  <c r="P221" i="22" s="1"/>
  <c r="E221" i="22"/>
  <c r="D221" i="22"/>
  <c r="C221" i="22"/>
  <c r="T220" i="22"/>
  <c r="S220" i="22"/>
  <c r="G220" i="22"/>
  <c r="Q220" i="22" s="1"/>
  <c r="F220" i="22"/>
  <c r="P220" i="22" s="1"/>
  <c r="E220" i="22"/>
  <c r="D220" i="22"/>
  <c r="O220" i="22" s="1"/>
  <c r="C220" i="22"/>
  <c r="T219" i="22"/>
  <c r="S219" i="22"/>
  <c r="F219" i="22"/>
  <c r="E219" i="22"/>
  <c r="D219" i="22"/>
  <c r="O218" i="22" s="1"/>
  <c r="C219" i="22"/>
  <c r="T218" i="22"/>
  <c r="S218" i="22"/>
  <c r="F218" i="22"/>
  <c r="P218" i="22" s="1"/>
  <c r="E218" i="22"/>
  <c r="D218" i="22"/>
  <c r="C218" i="22"/>
  <c r="T217" i="22"/>
  <c r="S217" i="22"/>
  <c r="F217" i="22"/>
  <c r="P217" i="22" s="1"/>
  <c r="E217" i="22"/>
  <c r="D217" i="22"/>
  <c r="O217" i="22" s="1"/>
  <c r="C217" i="22"/>
  <c r="T215" i="22"/>
  <c r="S215" i="22"/>
  <c r="G215" i="22"/>
  <c r="Q215" i="22" s="1"/>
  <c r="F215" i="22"/>
  <c r="P215" i="22" s="1"/>
  <c r="E215" i="22"/>
  <c r="D215" i="22"/>
  <c r="O215" i="22" s="1"/>
  <c r="C215" i="22"/>
  <c r="T214" i="22"/>
  <c r="S214" i="22"/>
  <c r="G214" i="22"/>
  <c r="Q214" i="22" s="1"/>
  <c r="F214" i="22"/>
  <c r="P214" i="22" s="1"/>
  <c r="E214" i="22"/>
  <c r="D214" i="22"/>
  <c r="O214" i="22" s="1"/>
  <c r="C214" i="22"/>
  <c r="T213" i="22"/>
  <c r="S213" i="22"/>
  <c r="G213" i="22"/>
  <c r="Q213" i="22" s="1"/>
  <c r="F213" i="22"/>
  <c r="P213" i="22" s="1"/>
  <c r="E213" i="22"/>
  <c r="D213" i="22"/>
  <c r="O213" i="22" s="1"/>
  <c r="C213" i="22"/>
  <c r="T212" i="22"/>
  <c r="S212" i="22"/>
  <c r="G212" i="22"/>
  <c r="Q212" i="22" s="1"/>
  <c r="F212" i="22"/>
  <c r="P212" i="22" s="1"/>
  <c r="E212" i="22"/>
  <c r="D212" i="22"/>
  <c r="O212" i="22" s="1"/>
  <c r="C212" i="22"/>
  <c r="T210" i="22"/>
  <c r="S210" i="22"/>
  <c r="G210" i="22"/>
  <c r="Q210" i="22" s="1"/>
  <c r="F210" i="22"/>
  <c r="P210" i="22" s="1"/>
  <c r="E210" i="22"/>
  <c r="D210" i="22"/>
  <c r="O210" i="22" s="1"/>
  <c r="C210" i="22"/>
  <c r="T209" i="22"/>
  <c r="S209" i="22"/>
  <c r="F209" i="22"/>
  <c r="P208" i="22" s="1"/>
  <c r="E209" i="22"/>
  <c r="D209" i="22"/>
  <c r="C209" i="22"/>
  <c r="T207" i="22"/>
  <c r="S207" i="22"/>
  <c r="F207" i="22"/>
  <c r="P207" i="22" s="1"/>
  <c r="E207" i="22"/>
  <c r="D207" i="22"/>
  <c r="O207" i="22" s="1"/>
  <c r="C207" i="22"/>
  <c r="T202" i="22"/>
  <c r="S202" i="22"/>
  <c r="G202" i="22"/>
  <c r="F202" i="22"/>
  <c r="E202" i="22"/>
  <c r="D202" i="22"/>
  <c r="O201" i="22" s="1"/>
  <c r="C202" i="22"/>
  <c r="T201" i="22"/>
  <c r="S201" i="22"/>
  <c r="F201" i="22"/>
  <c r="P201" i="22" s="1"/>
  <c r="E201" i="22"/>
  <c r="D201" i="22"/>
  <c r="C201" i="22"/>
  <c r="T200" i="22"/>
  <c r="S200" i="22"/>
  <c r="F200" i="22"/>
  <c r="E200" i="22"/>
  <c r="D200" i="22"/>
  <c r="O199" i="22" s="1"/>
  <c r="C200" i="22"/>
  <c r="T199" i="22"/>
  <c r="S199" i="22"/>
  <c r="F199" i="22"/>
  <c r="P199" i="22" s="1"/>
  <c r="E199" i="22"/>
  <c r="D199" i="22"/>
  <c r="C199" i="22"/>
  <c r="T196" i="22"/>
  <c r="S196" i="22"/>
  <c r="F196" i="22"/>
  <c r="P195" i="22" s="1"/>
  <c r="E196" i="22"/>
  <c r="D196" i="22"/>
  <c r="C196" i="22"/>
  <c r="T195" i="22"/>
  <c r="S195" i="22"/>
  <c r="F195" i="22"/>
  <c r="E195" i="22"/>
  <c r="D195" i="22"/>
  <c r="O195" i="22" s="1"/>
  <c r="C195" i="22"/>
  <c r="T188" i="22"/>
  <c r="S188" i="22"/>
  <c r="F188" i="22"/>
  <c r="P187" i="22" s="1"/>
  <c r="E188" i="22"/>
  <c r="D188" i="22"/>
  <c r="C188" i="22"/>
  <c r="T187" i="22"/>
  <c r="S187" i="22"/>
  <c r="G187" i="22"/>
  <c r="F187" i="22"/>
  <c r="E187" i="22"/>
  <c r="D187" i="22"/>
  <c r="O187" i="22" s="1"/>
  <c r="C187" i="22"/>
  <c r="T208" i="22"/>
  <c r="S208" i="22"/>
  <c r="F208" i="22"/>
  <c r="E208" i="22"/>
  <c r="D208" i="22"/>
  <c r="O208" i="22" s="1"/>
  <c r="C208" i="22"/>
  <c r="T206" i="22"/>
  <c r="S206" i="22"/>
  <c r="G206" i="22"/>
  <c r="F206" i="22"/>
  <c r="P205" i="22" s="1"/>
  <c r="E206" i="22"/>
  <c r="D206" i="22"/>
  <c r="C206" i="22"/>
  <c r="T205" i="22"/>
  <c r="S205" i="22"/>
  <c r="F205" i="22"/>
  <c r="E205" i="22"/>
  <c r="D205" i="22"/>
  <c r="O205" i="22" s="1"/>
  <c r="C205" i="22"/>
  <c r="T204" i="22"/>
  <c r="S204" i="22"/>
  <c r="F204" i="22"/>
  <c r="P203" i="22" s="1"/>
  <c r="E204" i="22"/>
  <c r="D204" i="22"/>
  <c r="C204" i="22"/>
  <c r="T203" i="22"/>
  <c r="S203" i="22"/>
  <c r="F203" i="22"/>
  <c r="E203" i="22"/>
  <c r="D203" i="22"/>
  <c r="O203" i="22" s="1"/>
  <c r="C203" i="22"/>
  <c r="T198" i="22"/>
  <c r="S198" i="22"/>
  <c r="F198" i="22"/>
  <c r="P198" i="22" s="1"/>
  <c r="E198" i="22"/>
  <c r="D198" i="22"/>
  <c r="O198" i="22" s="1"/>
  <c r="C198" i="22"/>
  <c r="T197" i="22"/>
  <c r="S197" i="22"/>
  <c r="F197" i="22"/>
  <c r="P197" i="22" s="1"/>
  <c r="E197" i="22"/>
  <c r="D197" i="22"/>
  <c r="O197" i="22" s="1"/>
  <c r="C197" i="22"/>
  <c r="T194" i="22"/>
  <c r="S194" i="22"/>
  <c r="F194" i="22"/>
  <c r="P192" i="22" s="1"/>
  <c r="E194" i="22"/>
  <c r="D194" i="22"/>
  <c r="C194" i="22"/>
  <c r="T193" i="22"/>
  <c r="S193" i="22"/>
  <c r="F193" i="22"/>
  <c r="E193" i="22"/>
  <c r="D193" i="22"/>
  <c r="C193" i="22"/>
  <c r="T192" i="22"/>
  <c r="S192" i="22"/>
  <c r="F192" i="22"/>
  <c r="E192" i="22"/>
  <c r="D192" i="22"/>
  <c r="O192" i="22" s="1"/>
  <c r="C192" i="22"/>
  <c r="T191" i="22"/>
  <c r="S191" i="22"/>
  <c r="F191" i="22"/>
  <c r="P189" i="22" s="1"/>
  <c r="E191" i="22"/>
  <c r="D191" i="22"/>
  <c r="C191" i="22"/>
  <c r="T190" i="22"/>
  <c r="S190" i="22"/>
  <c r="F190" i="22"/>
  <c r="E190" i="22"/>
  <c r="D190" i="22"/>
  <c r="C190" i="22"/>
  <c r="T189" i="22"/>
  <c r="S189" i="22"/>
  <c r="F189" i="22"/>
  <c r="E189" i="22"/>
  <c r="D189" i="22"/>
  <c r="O189" i="22" s="1"/>
  <c r="C189" i="22"/>
  <c r="T184" i="22"/>
  <c r="S184" i="22"/>
  <c r="F184" i="22"/>
  <c r="P184" i="22" s="1"/>
  <c r="E184" i="22"/>
  <c r="D184" i="22"/>
  <c r="O184" i="22" s="1"/>
  <c r="C184" i="22"/>
  <c r="T183" i="22"/>
  <c r="S183" i="22"/>
  <c r="G183" i="22"/>
  <c r="F183" i="22"/>
  <c r="P182" i="22" s="1"/>
  <c r="E183" i="22"/>
  <c r="D183" i="22"/>
  <c r="C183" i="22"/>
  <c r="T182" i="22"/>
  <c r="S182" i="22"/>
  <c r="G182" i="22"/>
  <c r="F182" i="22"/>
  <c r="E182" i="22"/>
  <c r="D182" i="22"/>
  <c r="O182" i="22" s="1"/>
  <c r="C182" i="22"/>
  <c r="T181" i="22"/>
  <c r="S181" i="22"/>
  <c r="G181" i="22"/>
  <c r="Q181" i="22" s="1"/>
  <c r="F181" i="22"/>
  <c r="P181" i="22" s="1"/>
  <c r="E181" i="22"/>
  <c r="D181" i="22"/>
  <c r="O181" i="22" s="1"/>
  <c r="C181" i="22"/>
  <c r="T180" i="22"/>
  <c r="S180" i="22"/>
  <c r="G180" i="22"/>
  <c r="Q180" i="22" s="1"/>
  <c r="F180" i="22"/>
  <c r="P180" i="22" s="1"/>
  <c r="E180" i="22"/>
  <c r="D180" i="22"/>
  <c r="O180" i="22" s="1"/>
  <c r="C180" i="22"/>
  <c r="T179" i="22"/>
  <c r="S179" i="22"/>
  <c r="F179" i="22"/>
  <c r="P179" i="22" s="1"/>
  <c r="E179" i="22"/>
  <c r="D179" i="22"/>
  <c r="O179" i="22" s="1"/>
  <c r="C179" i="22"/>
  <c r="T185" i="22"/>
  <c r="S185" i="22"/>
  <c r="G185" i="22"/>
  <c r="Q185" i="22" s="1"/>
  <c r="D185" i="22"/>
  <c r="O185" i="22" s="1"/>
  <c r="C185" i="22"/>
  <c r="F185" i="22"/>
  <c r="P185" i="22" s="1"/>
  <c r="E185" i="22"/>
  <c r="T177" i="22"/>
  <c r="S177" i="22"/>
  <c r="G177" i="22"/>
  <c r="F177" i="22"/>
  <c r="P173" i="22" s="1"/>
  <c r="E177" i="22"/>
  <c r="D177" i="22"/>
  <c r="O172" i="22" s="1"/>
  <c r="C177" i="22"/>
  <c r="T176" i="22"/>
  <c r="S176" i="22"/>
  <c r="G176" i="22"/>
  <c r="F176" i="22"/>
  <c r="E176" i="22"/>
  <c r="D176" i="22"/>
  <c r="C176" i="22"/>
  <c r="T175" i="22"/>
  <c r="S175" i="22"/>
  <c r="G175" i="22"/>
  <c r="F175" i="22"/>
  <c r="E175" i="22"/>
  <c r="D175" i="22"/>
  <c r="C175" i="22"/>
  <c r="T174" i="22"/>
  <c r="S174" i="22"/>
  <c r="G174" i="22"/>
  <c r="F174" i="22"/>
  <c r="E174" i="22"/>
  <c r="D174" i="22"/>
  <c r="C174" i="22"/>
  <c r="T173" i="22"/>
  <c r="S173" i="22"/>
  <c r="G173" i="22"/>
  <c r="F173" i="22"/>
  <c r="E173" i="22"/>
  <c r="D173" i="22"/>
  <c r="O173" i="22" s="1"/>
  <c r="C173" i="22"/>
  <c r="T172" i="22"/>
  <c r="S172" i="22"/>
  <c r="G172" i="22"/>
  <c r="Q172" i="22" s="1"/>
  <c r="F172" i="22"/>
  <c r="P172" i="22" s="1"/>
  <c r="E172" i="22"/>
  <c r="D172" i="22"/>
  <c r="C172" i="22"/>
  <c r="T171" i="22"/>
  <c r="S171" i="22"/>
  <c r="G171" i="22"/>
  <c r="Q170" i="22" s="1"/>
  <c r="F171" i="22"/>
  <c r="P170" i="22" s="1"/>
  <c r="E171" i="22"/>
  <c r="D171" i="22"/>
  <c r="C171" i="22"/>
  <c r="T170" i="22"/>
  <c r="S170" i="22"/>
  <c r="F170" i="22"/>
  <c r="E170" i="22"/>
  <c r="D170" i="22"/>
  <c r="O170" i="22" s="1"/>
  <c r="C170" i="22"/>
  <c r="T169" i="22"/>
  <c r="S169" i="22"/>
  <c r="G169" i="22"/>
  <c r="Q169" i="22" s="1"/>
  <c r="F169" i="22"/>
  <c r="P169" i="22" s="1"/>
  <c r="E169" i="22"/>
  <c r="D169" i="22"/>
  <c r="O169" i="22" s="1"/>
  <c r="C169" i="22"/>
  <c r="T168" i="22"/>
  <c r="S168" i="22"/>
  <c r="F168" i="22"/>
  <c r="P168" i="22" s="1"/>
  <c r="E168" i="22"/>
  <c r="D168" i="22"/>
  <c r="O168" i="22" s="1"/>
  <c r="C168" i="22"/>
  <c r="T167" i="22"/>
  <c r="S167" i="22"/>
  <c r="G167" i="22"/>
  <c r="F167" i="22"/>
  <c r="P166" i="22" s="1"/>
  <c r="E167" i="22"/>
  <c r="D167" i="22"/>
  <c r="C167" i="22"/>
  <c r="T166" i="22"/>
  <c r="S166" i="22"/>
  <c r="G166" i="22"/>
  <c r="F166" i="22"/>
  <c r="E166" i="22"/>
  <c r="D166" i="22"/>
  <c r="O166" i="22" s="1"/>
  <c r="C166" i="22"/>
  <c r="T165" i="22"/>
  <c r="S165" i="22"/>
  <c r="F165" i="22"/>
  <c r="O165" i="22" s="1"/>
  <c r="E165" i="22"/>
  <c r="D165" i="22"/>
  <c r="P165" i="22" s="1"/>
  <c r="C165" i="22"/>
  <c r="T164" i="22"/>
  <c r="S164" i="22"/>
  <c r="F164" i="22"/>
  <c r="P164" i="22" s="1"/>
  <c r="E164" i="22"/>
  <c r="D164" i="22"/>
  <c r="O164" i="22" s="1"/>
  <c r="C164" i="22"/>
  <c r="T156" i="22"/>
  <c r="S156" i="22"/>
  <c r="F156" i="22"/>
  <c r="P156" i="22" s="1"/>
  <c r="E156" i="22"/>
  <c r="D156" i="22"/>
  <c r="O156" i="22" s="1"/>
  <c r="C156" i="22"/>
  <c r="T157" i="22"/>
  <c r="S157" i="22"/>
  <c r="F157" i="22"/>
  <c r="E157" i="22"/>
  <c r="D157" i="22"/>
  <c r="O157" i="22" s="1"/>
  <c r="C157" i="22"/>
  <c r="T158" i="22"/>
  <c r="S158" i="22"/>
  <c r="F158" i="22"/>
  <c r="E158" i="22"/>
  <c r="D158" i="22"/>
  <c r="C158" i="22"/>
  <c r="T159" i="22"/>
  <c r="S159" i="22"/>
  <c r="F159" i="22"/>
  <c r="E159" i="22"/>
  <c r="D159" i="22"/>
  <c r="C159" i="22"/>
  <c r="T160" i="22"/>
  <c r="S160" i="22"/>
  <c r="F160" i="22"/>
  <c r="P157" i="22" s="1"/>
  <c r="E160" i="22"/>
  <c r="D160" i="22"/>
  <c r="C160" i="22"/>
  <c r="T161" i="22"/>
  <c r="S161" i="22"/>
  <c r="F161" i="22"/>
  <c r="P161" i="22" s="1"/>
  <c r="E161" i="22"/>
  <c r="D161" i="22"/>
  <c r="O161" i="22" s="1"/>
  <c r="C161" i="22"/>
  <c r="T162" i="22"/>
  <c r="S162" i="22"/>
  <c r="F162" i="22"/>
  <c r="P162" i="22" s="1"/>
  <c r="E162" i="22"/>
  <c r="D162" i="22"/>
  <c r="O162" i="22" s="1"/>
  <c r="C162" i="22"/>
  <c r="T155" i="22"/>
  <c r="S155" i="22"/>
  <c r="F155" i="22"/>
  <c r="E155" i="22"/>
  <c r="D155" i="22"/>
  <c r="O153" i="22" s="1"/>
  <c r="C155" i="22"/>
  <c r="T154" i="22"/>
  <c r="S154" i="22"/>
  <c r="F154" i="22"/>
  <c r="E154" i="22"/>
  <c r="D154" i="22"/>
  <c r="C154" i="22"/>
  <c r="T153" i="22"/>
  <c r="S153" i="22"/>
  <c r="F153" i="22"/>
  <c r="P153" i="22" s="1"/>
  <c r="E153" i="22"/>
  <c r="D153" i="22"/>
  <c r="C153" i="22"/>
  <c r="T152" i="22"/>
  <c r="S152" i="22"/>
  <c r="F152" i="22"/>
  <c r="P152" i="22" s="1"/>
  <c r="E152" i="22"/>
  <c r="D152" i="22"/>
  <c r="O152" i="22" s="1"/>
  <c r="C152" i="22"/>
  <c r="T151" i="22"/>
  <c r="S151" i="22"/>
  <c r="G151" i="22"/>
  <c r="F151" i="22"/>
  <c r="E151" i="22"/>
  <c r="D151" i="22"/>
  <c r="O150" i="22" s="1"/>
  <c r="C151" i="22"/>
  <c r="T150" i="22"/>
  <c r="S150" i="22"/>
  <c r="F150" i="22"/>
  <c r="P150" i="22" s="1"/>
  <c r="E150" i="22"/>
  <c r="D150" i="22"/>
  <c r="C150" i="22"/>
  <c r="T148" i="22"/>
  <c r="S148" i="22"/>
  <c r="F148" i="22"/>
  <c r="E148" i="22"/>
  <c r="D148" i="22"/>
  <c r="O146" i="22" s="1"/>
  <c r="C148" i="22"/>
  <c r="T147" i="22"/>
  <c r="S147" i="22"/>
  <c r="F147" i="22"/>
  <c r="E147" i="22"/>
  <c r="D147" i="22"/>
  <c r="C147" i="22"/>
  <c r="T146" i="22"/>
  <c r="S146" i="22"/>
  <c r="F146" i="22"/>
  <c r="P146" i="22" s="1"/>
  <c r="E146" i="22"/>
  <c r="D146" i="22"/>
  <c r="C146" i="22"/>
  <c r="T144" i="22"/>
  <c r="S144" i="22"/>
  <c r="F144" i="22"/>
  <c r="P144" i="22" s="1"/>
  <c r="E144" i="22"/>
  <c r="D144" i="22"/>
  <c r="O144" i="22" s="1"/>
  <c r="C144" i="22"/>
  <c r="T143" i="22"/>
  <c r="S143" i="22"/>
  <c r="G143" i="22"/>
  <c r="Q143" i="22" s="1"/>
  <c r="F143" i="22"/>
  <c r="P143" i="22" s="1"/>
  <c r="E143" i="22"/>
  <c r="D143" i="22"/>
  <c r="O143" i="22" s="1"/>
  <c r="C143" i="22"/>
  <c r="T142" i="22"/>
  <c r="S142" i="22"/>
  <c r="F142" i="22"/>
  <c r="P142" i="22" s="1"/>
  <c r="E142" i="22"/>
  <c r="D142" i="22"/>
  <c r="O142" i="22" s="1"/>
  <c r="C142" i="22"/>
  <c r="T141" i="22"/>
  <c r="S141" i="22"/>
  <c r="F141" i="22"/>
  <c r="P141" i="22" s="1"/>
  <c r="E141" i="22"/>
  <c r="D141" i="22"/>
  <c r="O141" i="22" s="1"/>
  <c r="C141" i="22"/>
  <c r="T140" i="22"/>
  <c r="S140" i="22"/>
  <c r="F140" i="22"/>
  <c r="P140" i="22" s="1"/>
  <c r="E140" i="22"/>
  <c r="D140" i="22"/>
  <c r="O140" i="22" s="1"/>
  <c r="C140" i="22"/>
  <c r="T139" i="22"/>
  <c r="S139" i="22"/>
  <c r="F139" i="22"/>
  <c r="P139" i="22" s="1"/>
  <c r="E139" i="22"/>
  <c r="D139" i="22"/>
  <c r="O139" i="22" s="1"/>
  <c r="C139" i="22"/>
  <c r="T138" i="22"/>
  <c r="S138" i="22"/>
  <c r="F138" i="22"/>
  <c r="P138" i="22" s="1"/>
  <c r="E138" i="22"/>
  <c r="D138" i="22"/>
  <c r="O138" i="22" s="1"/>
  <c r="C138" i="22"/>
  <c r="T136" i="22"/>
  <c r="S136" i="22"/>
  <c r="G136" i="22"/>
  <c r="F136" i="22"/>
  <c r="P135" i="22" s="1"/>
  <c r="E136" i="22"/>
  <c r="D136" i="22"/>
  <c r="C136" i="22"/>
  <c r="T135" i="22"/>
  <c r="S135" i="22"/>
  <c r="F135" i="22"/>
  <c r="E135" i="22"/>
  <c r="D135" i="22"/>
  <c r="O135" i="22" s="1"/>
  <c r="C135" i="22"/>
  <c r="T134" i="22"/>
  <c r="S134" i="22"/>
  <c r="F134" i="22"/>
  <c r="P134" i="22" s="1"/>
  <c r="E134" i="22"/>
  <c r="D134" i="22"/>
  <c r="O134" i="22" s="1"/>
  <c r="C134" i="22"/>
  <c r="T133" i="22"/>
  <c r="S133" i="22"/>
  <c r="F133" i="22"/>
  <c r="P133" i="22" s="1"/>
  <c r="E133" i="22"/>
  <c r="D133" i="22"/>
  <c r="O133" i="22" s="1"/>
  <c r="C133" i="22"/>
  <c r="T132" i="22"/>
  <c r="S132" i="22"/>
  <c r="F132" i="22"/>
  <c r="P132" i="22" s="1"/>
  <c r="E132" i="22"/>
  <c r="D132" i="22"/>
  <c r="O132" i="22" s="1"/>
  <c r="C132" i="22"/>
  <c r="T131" i="22"/>
  <c r="S131" i="22"/>
  <c r="F131" i="22"/>
  <c r="P131" i="22" s="1"/>
  <c r="E131" i="22"/>
  <c r="D131" i="22"/>
  <c r="O131" i="22" s="1"/>
  <c r="C131" i="22"/>
  <c r="T129" i="22"/>
  <c r="S129" i="22"/>
  <c r="G129" i="22"/>
  <c r="Q129" i="22" s="1"/>
  <c r="F129" i="22"/>
  <c r="P129" i="22" s="1"/>
  <c r="E129" i="22"/>
  <c r="D129" i="22"/>
  <c r="O129" i="22" s="1"/>
  <c r="C129" i="22"/>
  <c r="T128" i="22"/>
  <c r="S128" i="22"/>
  <c r="F128" i="22"/>
  <c r="P128" i="22" s="1"/>
  <c r="E128" i="22"/>
  <c r="D128" i="22"/>
  <c r="O128" i="22" s="1"/>
  <c r="C128" i="22"/>
  <c r="T126" i="22"/>
  <c r="S126" i="22"/>
  <c r="F126" i="22"/>
  <c r="P126" i="22" s="1"/>
  <c r="E126" i="22"/>
  <c r="D126" i="22"/>
  <c r="O126" i="22" s="1"/>
  <c r="C126" i="22"/>
  <c r="T125" i="22"/>
  <c r="S125" i="22"/>
  <c r="G125" i="22"/>
  <c r="Q125" i="22" s="1"/>
  <c r="F125" i="22"/>
  <c r="P125" i="22" s="1"/>
  <c r="E125" i="22"/>
  <c r="D125" i="22"/>
  <c r="O125" i="22" s="1"/>
  <c r="C125" i="22"/>
  <c r="T124" i="22"/>
  <c r="S124" i="22"/>
  <c r="F124" i="22"/>
  <c r="P124" i="22" s="1"/>
  <c r="E124" i="22"/>
  <c r="D124" i="22"/>
  <c r="O124" i="22" s="1"/>
  <c r="C124" i="22"/>
  <c r="T122" i="22"/>
  <c r="S122" i="22"/>
  <c r="G122" i="22"/>
  <c r="Q122" i="22" s="1"/>
  <c r="F122" i="22"/>
  <c r="P122" i="22" s="1"/>
  <c r="E122" i="22"/>
  <c r="D122" i="22"/>
  <c r="O122" i="22" s="1"/>
  <c r="C122" i="22"/>
  <c r="T121" i="22"/>
  <c r="S121" i="22"/>
  <c r="G121" i="22"/>
  <c r="Q121" i="22" s="1"/>
  <c r="F121" i="22"/>
  <c r="P121" i="22" s="1"/>
  <c r="E121" i="22"/>
  <c r="D121" i="22"/>
  <c r="O121" i="22" s="1"/>
  <c r="C121" i="22"/>
  <c r="T120" i="22"/>
  <c r="S120" i="22"/>
  <c r="G120" i="22"/>
  <c r="F120" i="22"/>
  <c r="P119" i="22" s="1"/>
  <c r="E120" i="22"/>
  <c r="D120" i="22"/>
  <c r="C120" i="22"/>
  <c r="T119" i="22"/>
  <c r="S119" i="22"/>
  <c r="G119" i="22"/>
  <c r="F119" i="22"/>
  <c r="E119" i="22"/>
  <c r="D119" i="22"/>
  <c r="O119" i="22" s="1"/>
  <c r="C119" i="22"/>
  <c r="T116" i="22"/>
  <c r="S116" i="22"/>
  <c r="G116" i="22"/>
  <c r="Q116" i="22" s="1"/>
  <c r="F116" i="22"/>
  <c r="P116" i="22" s="1"/>
  <c r="E116" i="22"/>
  <c r="D116" i="22"/>
  <c r="O116" i="22" s="1"/>
  <c r="C116" i="22"/>
  <c r="T115" i="22"/>
  <c r="S115" i="22"/>
  <c r="F115" i="22"/>
  <c r="P115" i="22" s="1"/>
  <c r="E115" i="22"/>
  <c r="D115" i="22"/>
  <c r="O115" i="22" s="1"/>
  <c r="C115" i="22"/>
  <c r="T114" i="22"/>
  <c r="S114" i="22"/>
  <c r="F114" i="22"/>
  <c r="E114" i="22"/>
  <c r="D114" i="22"/>
  <c r="O113" i="22" s="1"/>
  <c r="C114" i="22"/>
  <c r="T113" i="22"/>
  <c r="S113" i="22"/>
  <c r="F113" i="22"/>
  <c r="P113" i="22" s="1"/>
  <c r="E113" i="22"/>
  <c r="D113" i="22"/>
  <c r="C113" i="22"/>
  <c r="T112" i="22"/>
  <c r="S112" i="22"/>
  <c r="G112" i="22"/>
  <c r="Q112" i="22" s="1"/>
  <c r="F112" i="22"/>
  <c r="P112" i="22" s="1"/>
  <c r="E112" i="22"/>
  <c r="D112" i="22"/>
  <c r="O112" i="22" s="1"/>
  <c r="C112" i="22"/>
  <c r="T117" i="22"/>
  <c r="S117" i="22"/>
  <c r="F117" i="22"/>
  <c r="P117" i="22" s="1"/>
  <c r="E117" i="22"/>
  <c r="D117" i="22"/>
  <c r="O117" i="22" s="1"/>
  <c r="C117" i="22"/>
  <c r="T110" i="22"/>
  <c r="S110" i="22"/>
  <c r="F110" i="22"/>
  <c r="P110" i="22" s="1"/>
  <c r="E110" i="22"/>
  <c r="D110" i="22"/>
  <c r="O110" i="22" s="1"/>
  <c r="C110" i="22"/>
  <c r="T109" i="22"/>
  <c r="S109" i="22"/>
  <c r="F109" i="22"/>
  <c r="P109" i="22" s="1"/>
  <c r="E109" i="22"/>
  <c r="D109" i="22"/>
  <c r="O109" i="22" s="1"/>
  <c r="C109" i="22"/>
  <c r="T108" i="22"/>
  <c r="S108" i="22"/>
  <c r="F108" i="22"/>
  <c r="P108" i="22" s="1"/>
  <c r="E108" i="22"/>
  <c r="D108" i="22"/>
  <c r="O108" i="22" s="1"/>
  <c r="C108" i="22"/>
  <c r="T107" i="22"/>
  <c r="S107" i="22"/>
  <c r="F107" i="22"/>
  <c r="P107" i="22" s="1"/>
  <c r="E107" i="22"/>
  <c r="D107" i="22"/>
  <c r="O107" i="22" s="1"/>
  <c r="C107" i="22"/>
  <c r="T106" i="22"/>
  <c r="S106" i="22"/>
  <c r="F106" i="22"/>
  <c r="E106" i="22"/>
  <c r="D106" i="22"/>
  <c r="O105" i="22" s="1"/>
  <c r="C106" i="22"/>
  <c r="T105" i="22"/>
  <c r="S105" i="22"/>
  <c r="F105" i="22"/>
  <c r="E105" i="22"/>
  <c r="D105" i="22"/>
  <c r="C105" i="22"/>
  <c r="T104" i="22"/>
  <c r="S104" i="22"/>
  <c r="F104" i="22"/>
  <c r="E104" i="22"/>
  <c r="D104" i="22"/>
  <c r="P105" i="22" s="1"/>
  <c r="C104" i="22"/>
  <c r="T103" i="22"/>
  <c r="S103" i="22"/>
  <c r="F103" i="22"/>
  <c r="P103" i="22" s="1"/>
  <c r="E103" i="22"/>
  <c r="D103" i="22"/>
  <c r="C103" i="22"/>
  <c r="T102" i="22"/>
  <c r="S102" i="22"/>
  <c r="F102" i="22"/>
  <c r="E102" i="22"/>
  <c r="D102" i="22"/>
  <c r="O101" i="22" s="1"/>
  <c r="C102" i="22"/>
  <c r="T101" i="22"/>
  <c r="S101" i="22"/>
  <c r="F101" i="22"/>
  <c r="P101" i="22" s="1"/>
  <c r="E101" i="22"/>
  <c r="D101" i="22"/>
  <c r="C101" i="22"/>
  <c r="T100" i="22"/>
  <c r="S100" i="22"/>
  <c r="F100" i="22"/>
  <c r="P100" i="22" s="1"/>
  <c r="E100" i="22"/>
  <c r="D100" i="22"/>
  <c r="O100" i="22" s="1"/>
  <c r="C100" i="22"/>
  <c r="T98" i="22"/>
  <c r="S98" i="22"/>
  <c r="G98" i="22"/>
  <c r="Q98" i="22" s="1"/>
  <c r="F98" i="22"/>
  <c r="P98" i="22" s="1"/>
  <c r="E98" i="22"/>
  <c r="D98" i="22"/>
  <c r="O98" i="22" s="1"/>
  <c r="C98" i="22"/>
  <c r="T97" i="22"/>
  <c r="S97" i="22"/>
  <c r="G97" i="22"/>
  <c r="Q97" i="22" s="1"/>
  <c r="F97" i="22"/>
  <c r="P97" i="22" s="1"/>
  <c r="E97" i="22"/>
  <c r="D97" i="22"/>
  <c r="O97" i="22" s="1"/>
  <c r="C97" i="22"/>
  <c r="T92" i="22"/>
  <c r="S92" i="22"/>
  <c r="F92" i="22"/>
  <c r="P92" i="22" s="1"/>
  <c r="E92" i="22"/>
  <c r="D92" i="22"/>
  <c r="O92" i="22" s="1"/>
  <c r="C92" i="22"/>
  <c r="T91" i="22"/>
  <c r="S91" i="22"/>
  <c r="F91" i="22"/>
  <c r="P91" i="22" s="1"/>
  <c r="E91" i="22"/>
  <c r="D91" i="22"/>
  <c r="O91" i="22" s="1"/>
  <c r="C91" i="22"/>
  <c r="T90" i="22"/>
  <c r="S90" i="22"/>
  <c r="F90" i="22"/>
  <c r="P88" i="22" s="1"/>
  <c r="E90" i="22"/>
  <c r="D90" i="22"/>
  <c r="C90" i="22"/>
  <c r="T89" i="22"/>
  <c r="S89" i="22"/>
  <c r="F89" i="22"/>
  <c r="E89" i="22"/>
  <c r="D89" i="22"/>
  <c r="C89" i="22"/>
  <c r="T88" i="22"/>
  <c r="S88" i="22"/>
  <c r="F88" i="22"/>
  <c r="E88" i="22"/>
  <c r="D88" i="22"/>
  <c r="O88" i="22" s="1"/>
  <c r="C88" i="22"/>
  <c r="T95" i="22"/>
  <c r="S95" i="22"/>
  <c r="G95" i="22"/>
  <c r="Q95" i="22" s="1"/>
  <c r="F95" i="22"/>
  <c r="P95" i="22" s="1"/>
  <c r="E95" i="22"/>
  <c r="D95" i="22"/>
  <c r="O95" i="22" s="1"/>
  <c r="C95" i="22"/>
  <c r="T94" i="22"/>
  <c r="S94" i="22"/>
  <c r="G94" i="22"/>
  <c r="Q94" i="22" s="1"/>
  <c r="F94" i="22"/>
  <c r="P94" i="22" s="1"/>
  <c r="E94" i="22"/>
  <c r="D94" i="22"/>
  <c r="O94" i="22" s="1"/>
  <c r="C94" i="22"/>
  <c r="T86" i="22"/>
  <c r="S86" i="22"/>
  <c r="G86" i="22"/>
  <c r="Q86" i="22" s="1"/>
  <c r="F86" i="22"/>
  <c r="P86" i="22" s="1"/>
  <c r="E86" i="22"/>
  <c r="D86" i="22"/>
  <c r="O86" i="22" s="1"/>
  <c r="C86" i="22"/>
  <c r="T84" i="22"/>
  <c r="S84" i="22"/>
  <c r="G84" i="22"/>
  <c r="Q84" i="22" s="1"/>
  <c r="F84" i="22"/>
  <c r="P84" i="22" s="1"/>
  <c r="E84" i="22"/>
  <c r="D84" i="22"/>
  <c r="O84" i="22" s="1"/>
  <c r="C84" i="22"/>
  <c r="T74" i="22"/>
  <c r="S74" i="22"/>
  <c r="G74" i="22"/>
  <c r="Q74" i="22" s="1"/>
  <c r="F74" i="22"/>
  <c r="P74" i="22" s="1"/>
  <c r="E74" i="22"/>
  <c r="D74" i="22"/>
  <c r="O74" i="22" s="1"/>
  <c r="C74" i="22"/>
  <c r="T83" i="22"/>
  <c r="S83" i="22"/>
  <c r="F83" i="22"/>
  <c r="P81" i="22" s="1"/>
  <c r="E83" i="22"/>
  <c r="D83" i="22"/>
  <c r="C83" i="22"/>
  <c r="T82" i="22"/>
  <c r="S82" i="22"/>
  <c r="F82" i="22"/>
  <c r="E82" i="22"/>
  <c r="D82" i="22"/>
  <c r="C82" i="22"/>
  <c r="T81" i="22"/>
  <c r="S81" i="22"/>
  <c r="F81" i="22"/>
  <c r="E81" i="22"/>
  <c r="D81" i="22"/>
  <c r="O81" i="22" s="1"/>
  <c r="C81" i="22"/>
  <c r="T80" i="22"/>
  <c r="S80" i="22"/>
  <c r="F80" i="22"/>
  <c r="P78" i="22" s="1"/>
  <c r="E80" i="22"/>
  <c r="D80" i="22"/>
  <c r="C80" i="22"/>
  <c r="T79" i="22"/>
  <c r="S79" i="22"/>
  <c r="F79" i="22"/>
  <c r="E79" i="22"/>
  <c r="D79" i="22"/>
  <c r="C79" i="22"/>
  <c r="T78" i="22"/>
  <c r="S78" i="22"/>
  <c r="F78" i="22"/>
  <c r="E78" i="22"/>
  <c r="D78" i="22"/>
  <c r="O78" i="22" s="1"/>
  <c r="C78" i="22"/>
  <c r="T77" i="22"/>
  <c r="S77" i="22"/>
  <c r="F77" i="22"/>
  <c r="P77" i="22" s="1"/>
  <c r="E77" i="22"/>
  <c r="D77" i="22"/>
  <c r="O77" i="22" s="1"/>
  <c r="C77" i="22"/>
  <c r="T76" i="22"/>
  <c r="S76" i="22"/>
  <c r="F76" i="22"/>
  <c r="P76" i="22" s="1"/>
  <c r="E76" i="22"/>
  <c r="D76" i="22"/>
  <c r="O76" i="22" s="1"/>
  <c r="C76" i="22"/>
  <c r="T75" i="22"/>
  <c r="S75" i="22"/>
  <c r="F75" i="22"/>
  <c r="P75" i="22" s="1"/>
  <c r="E75" i="22"/>
  <c r="D75" i="22"/>
  <c r="O75" i="22" s="1"/>
  <c r="C75" i="22"/>
  <c r="T73" i="22"/>
  <c r="S73" i="22"/>
  <c r="F73" i="22"/>
  <c r="P72" i="22" s="1"/>
  <c r="E73" i="22"/>
  <c r="D73" i="22"/>
  <c r="C73" i="22"/>
  <c r="T72" i="22"/>
  <c r="S72" i="22"/>
  <c r="F72" i="22"/>
  <c r="E72" i="22"/>
  <c r="D72" i="22"/>
  <c r="O72" i="22" s="1"/>
  <c r="C72" i="22"/>
  <c r="T71" i="22"/>
  <c r="S71" i="22"/>
  <c r="F71" i="22"/>
  <c r="P71" i="22" s="1"/>
  <c r="E71" i="22"/>
  <c r="D71" i="22"/>
  <c r="O71" i="22" s="1"/>
  <c r="C71" i="22"/>
  <c r="T70" i="22"/>
  <c r="S70" i="22"/>
  <c r="F70" i="22"/>
  <c r="P70" i="22" s="1"/>
  <c r="E70" i="22"/>
  <c r="D70" i="22"/>
  <c r="O70" i="22" s="1"/>
  <c r="C70" i="22"/>
  <c r="T68" i="22"/>
  <c r="S68" i="22"/>
  <c r="G68" i="22"/>
  <c r="Q68" i="22" s="1"/>
  <c r="F68" i="22"/>
  <c r="P68" i="22" s="1"/>
  <c r="E68" i="22"/>
  <c r="D68" i="22"/>
  <c r="O68" i="22" s="1"/>
  <c r="C68" i="22"/>
  <c r="T67" i="22"/>
  <c r="S67" i="22"/>
  <c r="F67" i="22"/>
  <c r="P67" i="22" s="1"/>
  <c r="E67" i="22"/>
  <c r="D67" i="22"/>
  <c r="O67" i="22" s="1"/>
  <c r="C67" i="22"/>
  <c r="T66" i="22"/>
  <c r="S66" i="22"/>
  <c r="F66" i="22"/>
  <c r="P66" i="22" s="1"/>
  <c r="E66" i="22"/>
  <c r="D66" i="22"/>
  <c r="O66" i="22" s="1"/>
  <c r="C66" i="22"/>
  <c r="T65" i="22"/>
  <c r="S65" i="22"/>
  <c r="F65" i="22"/>
  <c r="P65" i="22" s="1"/>
  <c r="E65" i="22"/>
  <c r="D65" i="22"/>
  <c r="O65" i="22" s="1"/>
  <c r="C65" i="22"/>
  <c r="T64" i="22"/>
  <c r="S64" i="22"/>
  <c r="G64" i="22"/>
  <c r="Q64" i="22" s="1"/>
  <c r="F64" i="22"/>
  <c r="P64" i="22" s="1"/>
  <c r="E64" i="22"/>
  <c r="D64" i="22"/>
  <c r="O64" i="22" s="1"/>
  <c r="C64" i="22"/>
  <c r="T63" i="22"/>
  <c r="S63" i="22"/>
  <c r="F63" i="22"/>
  <c r="P60" i="22" s="1"/>
  <c r="E63" i="22"/>
  <c r="D63" i="22"/>
  <c r="C63" i="22"/>
  <c r="T62" i="22"/>
  <c r="S62" i="22"/>
  <c r="F62" i="22"/>
  <c r="E62" i="22"/>
  <c r="D62" i="22"/>
  <c r="C62" i="22"/>
  <c r="T61" i="22"/>
  <c r="S61" i="22"/>
  <c r="F61" i="22"/>
  <c r="E61" i="22"/>
  <c r="D61" i="22"/>
  <c r="C61" i="22"/>
  <c r="T60" i="22"/>
  <c r="S60" i="22"/>
  <c r="G60" i="22"/>
  <c r="F60" i="22"/>
  <c r="E60" i="22"/>
  <c r="D60" i="22"/>
  <c r="O60" i="22" s="1"/>
  <c r="C60" i="22"/>
  <c r="T58" i="22"/>
  <c r="S58" i="22"/>
  <c r="F58" i="22"/>
  <c r="P58" i="22" s="1"/>
  <c r="E58" i="22"/>
  <c r="D58" i="22"/>
  <c r="O58" i="22" s="1"/>
  <c r="C58" i="22"/>
  <c r="T56" i="22"/>
  <c r="S56" i="22"/>
  <c r="P56" i="22"/>
  <c r="D56" i="22"/>
  <c r="O56" i="22" s="1"/>
  <c r="C56" i="22"/>
  <c r="T55" i="22"/>
  <c r="S55" i="22"/>
  <c r="F55" i="22"/>
  <c r="P55" i="22" s="1"/>
  <c r="E55" i="22"/>
  <c r="O55" i="22"/>
  <c r="T54" i="22"/>
  <c r="S54" i="22"/>
  <c r="F56" i="22"/>
  <c r="E56" i="22"/>
  <c r="D54" i="22"/>
  <c r="C54" i="22"/>
  <c r="T53" i="22"/>
  <c r="S53" i="22"/>
  <c r="F53" i="22"/>
  <c r="E53" i="22"/>
  <c r="D53" i="22"/>
  <c r="C53" i="22"/>
  <c r="T52" i="22"/>
  <c r="S52" i="22"/>
  <c r="F52" i="22"/>
  <c r="E52" i="22"/>
  <c r="D52" i="22"/>
  <c r="C52" i="22"/>
  <c r="T51" i="22"/>
  <c r="S51" i="22"/>
  <c r="F51" i="22"/>
  <c r="E51" i="22"/>
  <c r="D51" i="22"/>
  <c r="C51" i="22"/>
  <c r="T50" i="22"/>
  <c r="S50" i="22"/>
  <c r="F50" i="22"/>
  <c r="E50" i="22"/>
  <c r="D50" i="22"/>
  <c r="O50" i="22" s="1"/>
  <c r="C50" i="22"/>
  <c r="T49" i="22"/>
  <c r="S49" i="22"/>
  <c r="F49" i="22"/>
  <c r="P46" i="22" s="1"/>
  <c r="E49" i="22"/>
  <c r="D49" i="22"/>
  <c r="C49" i="22"/>
  <c r="T48" i="22"/>
  <c r="S48" i="22"/>
  <c r="F48" i="22"/>
  <c r="E48" i="22"/>
  <c r="D48" i="22"/>
  <c r="C48" i="22"/>
  <c r="T47" i="22"/>
  <c r="S47" i="22"/>
  <c r="F47" i="22"/>
  <c r="E47" i="22"/>
  <c r="D47" i="22"/>
  <c r="O46" i="22" s="1"/>
  <c r="C47" i="22"/>
  <c r="T46" i="22"/>
  <c r="S46" i="22"/>
  <c r="F46" i="22"/>
  <c r="E46" i="22"/>
  <c r="D46" i="22"/>
  <c r="C46" i="22"/>
  <c r="T45" i="22"/>
  <c r="S45" i="22"/>
  <c r="F45" i="22"/>
  <c r="P41" i="22" s="1"/>
  <c r="E45" i="22"/>
  <c r="D45" i="22"/>
  <c r="C45" i="22"/>
  <c r="T44" i="22"/>
  <c r="S44" i="22"/>
  <c r="F44" i="22"/>
  <c r="E44" i="22"/>
  <c r="D44" i="22"/>
  <c r="C44" i="22"/>
  <c r="T43" i="22"/>
  <c r="S43" i="22"/>
  <c r="F43" i="22"/>
  <c r="E43" i="22"/>
  <c r="D43" i="22"/>
  <c r="C43" i="22"/>
  <c r="T42" i="22"/>
  <c r="S42" i="22"/>
  <c r="F42" i="22"/>
  <c r="E42" i="22"/>
  <c r="D42" i="22"/>
  <c r="C42" i="22"/>
  <c r="T41" i="22"/>
  <c r="S41" i="22"/>
  <c r="F41" i="22"/>
  <c r="E41" i="22"/>
  <c r="D41" i="22"/>
  <c r="O41" i="22" s="1"/>
  <c r="C41" i="22"/>
  <c r="T40" i="22"/>
  <c r="S40" i="22"/>
  <c r="F40" i="22"/>
  <c r="P40" i="22" s="1"/>
  <c r="E40" i="22"/>
  <c r="D40" i="22"/>
  <c r="O40" i="22" s="1"/>
  <c r="C40" i="22"/>
  <c r="T39" i="22"/>
  <c r="S39" i="22"/>
  <c r="F39" i="22"/>
  <c r="P39" i="22" s="1"/>
  <c r="E39" i="22"/>
  <c r="D39" i="22"/>
  <c r="O39" i="22" s="1"/>
  <c r="C39" i="22"/>
  <c r="T38" i="22"/>
  <c r="S38" i="22"/>
  <c r="F38" i="22"/>
  <c r="P37" i="22" s="1"/>
  <c r="E38" i="22"/>
  <c r="D38" i="22"/>
  <c r="C38" i="22"/>
  <c r="T37" i="22"/>
  <c r="S37" i="22"/>
  <c r="F37" i="22"/>
  <c r="E37" i="22"/>
  <c r="D37" i="22"/>
  <c r="O37" i="22" s="1"/>
  <c r="C37" i="22"/>
  <c r="T36" i="22"/>
  <c r="S36" i="22"/>
  <c r="F36" i="22"/>
  <c r="P33" i="22" s="1"/>
  <c r="E36" i="22"/>
  <c r="D36" i="22"/>
  <c r="C36" i="22"/>
  <c r="T35" i="22"/>
  <c r="S35" i="22"/>
  <c r="F35" i="22"/>
  <c r="E35" i="22"/>
  <c r="D35" i="22"/>
  <c r="C35" i="22"/>
  <c r="T34" i="22"/>
  <c r="S34" i="22"/>
  <c r="F34" i="22"/>
  <c r="E34" i="22"/>
  <c r="D34" i="22"/>
  <c r="C34" i="22"/>
  <c r="T33" i="22"/>
  <c r="S33" i="22"/>
  <c r="F33" i="22"/>
  <c r="E33" i="22"/>
  <c r="D33" i="22"/>
  <c r="O33" i="22" s="1"/>
  <c r="C33" i="22"/>
  <c r="T32" i="22"/>
  <c r="S32" i="22"/>
  <c r="F32" i="22"/>
  <c r="P29" i="22" s="1"/>
  <c r="E32" i="22"/>
  <c r="D32" i="22"/>
  <c r="C32" i="22"/>
  <c r="T31" i="22"/>
  <c r="S31" i="22"/>
  <c r="F31" i="22"/>
  <c r="E31" i="22"/>
  <c r="D31" i="22"/>
  <c r="C31" i="22"/>
  <c r="T30" i="22"/>
  <c r="S30" i="22"/>
  <c r="F30" i="22"/>
  <c r="E30" i="22"/>
  <c r="D30" i="22"/>
  <c r="C30" i="22"/>
  <c r="T29" i="22"/>
  <c r="S29" i="22"/>
  <c r="F29" i="22"/>
  <c r="E29" i="22"/>
  <c r="D29" i="22"/>
  <c r="O29" i="22" s="1"/>
  <c r="C29" i="22"/>
  <c r="T28" i="22"/>
  <c r="S28" i="22"/>
  <c r="F28" i="22"/>
  <c r="P28" i="22" s="1"/>
  <c r="E28" i="22"/>
  <c r="D28" i="22"/>
  <c r="O28" i="22" s="1"/>
  <c r="C28" i="22"/>
  <c r="T27" i="22"/>
  <c r="S27" i="22"/>
  <c r="F27" i="22"/>
  <c r="P25" i="22" s="1"/>
  <c r="E27" i="22"/>
  <c r="D27" i="22"/>
  <c r="C27" i="22"/>
  <c r="T26" i="22"/>
  <c r="S26" i="22"/>
  <c r="F26" i="22"/>
  <c r="E26" i="22"/>
  <c r="D26" i="22"/>
  <c r="C26" i="22"/>
  <c r="T25" i="22"/>
  <c r="S25" i="22"/>
  <c r="F25" i="22"/>
  <c r="E25" i="22"/>
  <c r="D25" i="22"/>
  <c r="O25" i="22" s="1"/>
  <c r="C25" i="22"/>
  <c r="T24" i="22"/>
  <c r="S24" i="22"/>
  <c r="F24" i="22"/>
  <c r="P24" i="22" s="1"/>
  <c r="E24" i="22"/>
  <c r="D24" i="22"/>
  <c r="O24" i="22" s="1"/>
  <c r="C24" i="22"/>
  <c r="T23" i="22"/>
  <c r="S23" i="22"/>
  <c r="F23" i="22"/>
  <c r="P19" i="22" s="1"/>
  <c r="E23" i="22"/>
  <c r="D23" i="22"/>
  <c r="C23" i="22"/>
  <c r="T22" i="22"/>
  <c r="S22" i="22"/>
  <c r="F22" i="22"/>
  <c r="E22" i="22"/>
  <c r="D22" i="22"/>
  <c r="C22" i="22"/>
  <c r="T21" i="22"/>
  <c r="S21" i="22"/>
  <c r="F21" i="22"/>
  <c r="E21" i="22"/>
  <c r="D21" i="22"/>
  <c r="C21" i="22"/>
  <c r="T20" i="22"/>
  <c r="S20" i="22"/>
  <c r="F20" i="22"/>
  <c r="E20" i="22"/>
  <c r="D20" i="22"/>
  <c r="C20" i="22"/>
  <c r="T19" i="22"/>
  <c r="S19" i="22"/>
  <c r="F19" i="22"/>
  <c r="E19" i="22"/>
  <c r="D19" i="22"/>
  <c r="O19" i="22" s="1"/>
  <c r="C19" i="22"/>
  <c r="T18" i="22"/>
  <c r="S18" i="22"/>
  <c r="F18" i="22"/>
  <c r="P12" i="22" s="1"/>
  <c r="E18" i="22"/>
  <c r="D18" i="22"/>
  <c r="C18" i="22"/>
  <c r="T17" i="22"/>
  <c r="S17" i="22"/>
  <c r="F17" i="22"/>
  <c r="E17" i="22"/>
  <c r="D17" i="22"/>
  <c r="C17" i="22"/>
  <c r="T16" i="22"/>
  <c r="S16" i="22"/>
  <c r="F16" i="22"/>
  <c r="E16" i="22"/>
  <c r="D16" i="22"/>
  <c r="C16" i="22"/>
  <c r="T15" i="22"/>
  <c r="S15" i="22"/>
  <c r="F15" i="22"/>
  <c r="E15" i="22"/>
  <c r="D15" i="22"/>
  <c r="C15" i="22"/>
  <c r="T14" i="22"/>
  <c r="S14" i="22"/>
  <c r="F14" i="22"/>
  <c r="E14" i="22"/>
  <c r="D14" i="22"/>
  <c r="C14" i="22"/>
  <c r="T13" i="22"/>
  <c r="S13" i="22"/>
  <c r="F13" i="22"/>
  <c r="E13" i="22"/>
  <c r="D13" i="22"/>
  <c r="C13" i="22"/>
  <c r="T12" i="22"/>
  <c r="S12" i="22"/>
  <c r="F12" i="22"/>
  <c r="E12" i="22"/>
  <c r="D12" i="22"/>
  <c r="O12" i="22" s="1"/>
  <c r="C12" i="22"/>
  <c r="T11" i="22"/>
  <c r="S11" i="22"/>
  <c r="F11" i="22"/>
  <c r="P11" i="22" s="1"/>
  <c r="E11" i="22"/>
  <c r="D11" i="22"/>
  <c r="O11" i="22" s="1"/>
  <c r="C11" i="22"/>
  <c r="T10" i="22"/>
  <c r="S10" i="22"/>
  <c r="F10" i="22"/>
  <c r="P10" i="22" s="1"/>
  <c r="E10" i="22"/>
  <c r="D10" i="22"/>
  <c r="O10" i="22" s="1"/>
  <c r="C10" i="22"/>
  <c r="T9" i="22"/>
  <c r="S9" i="22"/>
  <c r="F9" i="22"/>
  <c r="P9" i="22" s="1"/>
  <c r="E9" i="22"/>
  <c r="D9" i="22"/>
  <c r="O9" i="22" s="1"/>
  <c r="C9" i="22"/>
  <c r="T8" i="22"/>
  <c r="S8" i="22"/>
  <c r="F8" i="22"/>
  <c r="P8" i="22" s="1"/>
  <c r="E8" i="22"/>
  <c r="D8" i="22"/>
  <c r="O8" i="22" s="1"/>
  <c r="C8" i="22"/>
  <c r="Q182" i="22" l="1"/>
  <c r="Q166" i="22"/>
  <c r="Q173" i="22"/>
  <c r="O103" i="22"/>
  <c r="Q119" i="22"/>
  <c r="G203" i="22" l="1"/>
  <c r="G106" i="22" l="1"/>
  <c r="G82" i="22"/>
  <c r="Q82" i="22" s="1"/>
  <c r="G107" i="22"/>
  <c r="Q107" i="22" s="1"/>
  <c r="G79" i="22"/>
  <c r="G81" i="22"/>
  <c r="Q81" i="22" s="1"/>
  <c r="G109" i="22"/>
  <c r="Q109" i="22" s="1"/>
  <c r="G65" i="22"/>
  <c r="Q65" i="22" s="1"/>
  <c r="G104" i="22"/>
  <c r="G92" i="22"/>
  <c r="Q92" i="22" s="1"/>
  <c r="G105" i="22"/>
  <c r="Q105" i="22" s="1"/>
  <c r="G66" i="22"/>
  <c r="Q66" i="22" s="1"/>
  <c r="G103" i="22"/>
  <c r="Q103" i="22" s="1"/>
  <c r="G90" i="22"/>
  <c r="G71" i="22"/>
  <c r="Q71" i="22" s="1"/>
  <c r="G67" i="22"/>
  <c r="Q67" i="22" s="1"/>
  <c r="G102" i="22"/>
  <c r="G89" i="22"/>
  <c r="G83" i="22"/>
  <c r="Q83" i="22" s="1"/>
  <c r="G58" i="22"/>
  <c r="Q58" i="22" s="1"/>
  <c r="G101" i="22"/>
  <c r="Q101" i="22" s="1"/>
  <c r="G88" i="22"/>
  <c r="Q88" i="22" s="1"/>
  <c r="G117" i="22"/>
  <c r="Q117" i="22" s="1"/>
  <c r="G100" i="22"/>
  <c r="Q100" i="22" s="1"/>
  <c r="G91" i="22"/>
  <c r="Q91" i="22" s="1"/>
  <c r="G63" i="22" l="1"/>
  <c r="G78" i="22"/>
  <c r="Q78" i="22" s="1"/>
  <c r="G77" i="22"/>
  <c r="Q77" i="22" s="1"/>
  <c r="G110" i="22"/>
  <c r="Q110" i="22" s="1"/>
  <c r="G72" i="22"/>
  <c r="Q72" i="22" s="1"/>
  <c r="G73" i="22"/>
  <c r="G115" i="22"/>
  <c r="Q115" i="22" s="1"/>
  <c r="G131" i="22"/>
  <c r="Q131" i="22" s="1"/>
  <c r="G124" i="22"/>
  <c r="Q124" i="22" s="1"/>
  <c r="G133" i="22"/>
  <c r="Q133" i="22" s="1"/>
  <c r="G75" i="22"/>
  <c r="Q75" i="22" s="1"/>
  <c r="G108" i="22"/>
  <c r="Q108" i="22" s="1"/>
  <c r="G80" i="22"/>
  <c r="G114" i="22"/>
  <c r="G70" i="22"/>
  <c r="Q70" i="22" s="1"/>
  <c r="G61" i="22"/>
  <c r="Q60" i="22" s="1"/>
  <c r="G128" i="22"/>
  <c r="Q128" i="22" s="1"/>
  <c r="G134" i="22"/>
  <c r="Q134" i="22" s="1"/>
  <c r="G62" i="22"/>
  <c r="G76" i="22"/>
  <c r="Q76" i="22" s="1"/>
  <c r="G135" i="22"/>
  <c r="Q135" i="22" s="1"/>
  <c r="G207" i="22" l="1"/>
  <c r="Q207" i="22" s="1"/>
  <c r="G156" i="22"/>
  <c r="Q156" i="22" s="1"/>
  <c r="G161" i="22"/>
  <c r="Q161" i="22" s="1"/>
  <c r="G208" i="22"/>
  <c r="Q208" i="22" s="1"/>
  <c r="G162" i="22"/>
  <c r="Q162" i="22" s="1"/>
  <c r="G196" i="22"/>
  <c r="Q195" i="22" s="1"/>
  <c r="G195" i="22"/>
  <c r="G188" i="22"/>
  <c r="Q187" i="22" s="1"/>
  <c r="G170" i="22"/>
  <c r="G209" i="22"/>
  <c r="G126" i="22"/>
  <c r="Q126" i="22" s="1"/>
  <c r="G141" i="22" l="1"/>
  <c r="Q141" i="22" s="1"/>
  <c r="G155" i="22"/>
  <c r="I241" i="16"/>
  <c r="I260" i="16" s="1"/>
  <c r="I240" i="16"/>
  <c r="I259" i="16" s="1"/>
  <c r="I239" i="16"/>
  <c r="I258" i="16" s="1"/>
  <c r="I238" i="16"/>
  <c r="I257" i="16" s="1"/>
  <c r="I237" i="16"/>
  <c r="I256" i="16" s="1"/>
  <c r="I236" i="16"/>
  <c r="I255" i="16" s="1"/>
  <c r="I235" i="16"/>
  <c r="I254" i="16" s="1"/>
  <c r="B254" i="16"/>
  <c r="I234" i="16"/>
  <c r="I253" i="16" s="1"/>
  <c r="B253" i="16"/>
  <c r="I233" i="16"/>
  <c r="I252" i="16" s="1"/>
  <c r="B252" i="16"/>
  <c r="I232" i="16"/>
  <c r="I251" i="16" s="1"/>
  <c r="B251" i="16"/>
  <c r="I231" i="16"/>
  <c r="I250" i="16" s="1"/>
  <c r="B250" i="16"/>
  <c r="I230" i="16"/>
  <c r="I249" i="16" s="1"/>
  <c r="B249" i="16"/>
  <c r="I229" i="16"/>
  <c r="I248" i="16" s="1"/>
  <c r="B248" i="16"/>
  <c r="I228" i="16"/>
  <c r="I247" i="16" s="1"/>
  <c r="B247" i="16"/>
  <c r="I227" i="16"/>
  <c r="I246" i="16" s="1"/>
  <c r="B246" i="16"/>
  <c r="I226" i="16"/>
  <c r="I245" i="16" s="1"/>
  <c r="B245" i="16"/>
  <c r="C57" i="16"/>
  <c r="C59" i="16" s="1"/>
  <c r="G57" i="16"/>
  <c r="G59" i="16" s="1"/>
  <c r="C36" i="16"/>
  <c r="A8" i="16"/>
  <c r="L5" i="42" l="1"/>
  <c r="L6" i="42"/>
  <c r="L7" i="42"/>
  <c r="G36" i="16"/>
  <c r="D57" i="16"/>
  <c r="D9" i="16" s="1"/>
  <c r="D59" i="16" l="1"/>
  <c r="E106" i="16" l="1"/>
  <c r="E110" i="16"/>
  <c r="F9" i="16"/>
  <c r="E107" i="16"/>
  <c r="E103" i="16"/>
  <c r="E104" i="16"/>
  <c r="E111" i="16"/>
  <c r="E108" i="16"/>
  <c r="E109" i="16"/>
  <c r="E112" i="16"/>
  <c r="E102" i="16"/>
  <c r="E105" i="16"/>
  <c r="E113" i="16"/>
  <c r="E101" i="16"/>
  <c r="E114" i="16"/>
  <c r="E100" i="16"/>
  <c r="B136" i="16" l="1"/>
  <c r="E115" i="16"/>
  <c r="B130" i="16"/>
  <c r="B132" i="16"/>
  <c r="B134" i="16"/>
  <c r="B135" i="16"/>
  <c r="B133" i="16"/>
  <c r="B131" i="16"/>
  <c r="B139" i="16"/>
  <c r="B138" i="16"/>
  <c r="B137" i="16"/>
  <c r="B165" i="16" l="1"/>
  <c r="B163" i="16"/>
  <c r="B166" i="16"/>
  <c r="B167" i="16"/>
  <c r="B164" i="16"/>
  <c r="B169" i="16"/>
  <c r="B170" i="16"/>
  <c r="B171" i="16"/>
  <c r="B168" i="16"/>
  <c r="G24" i="22"/>
  <c r="Q24" i="22" s="1"/>
  <c r="G49" i="22"/>
  <c r="G25" i="22"/>
  <c r="Q25" i="22" s="1"/>
  <c r="G17" i="22"/>
  <c r="G56" i="22"/>
  <c r="Q56" i="22" s="1"/>
  <c r="G40" i="22"/>
  <c r="Q40" i="22" s="1"/>
  <c r="G32" i="22"/>
  <c r="G54" i="22"/>
  <c r="G22" i="22"/>
  <c r="G14" i="22"/>
  <c r="G53" i="22"/>
  <c r="G45" i="22"/>
  <c r="G21" i="22"/>
  <c r="G44" i="22"/>
  <c r="G36" i="22"/>
  <c r="G28" i="22"/>
  <c r="Q28" i="22" s="1"/>
  <c r="G132" i="22"/>
  <c r="Q132" i="22" s="1"/>
  <c r="G16" i="22" l="1"/>
  <c r="G52" i="22"/>
  <c r="G48" i="22"/>
  <c r="G27" i="22"/>
  <c r="G29" i="22"/>
  <c r="Q29" i="22" s="1"/>
  <c r="G23" i="22"/>
  <c r="G33" i="22"/>
  <c r="Q33" i="22" s="1"/>
  <c r="G35" i="22"/>
  <c r="G31" i="22"/>
  <c r="G9" i="22"/>
  <c r="Q9" i="22" s="1"/>
  <c r="G10" i="22"/>
  <c r="Q10" i="22" s="1"/>
  <c r="G43" i="22"/>
  <c r="G37" i="22"/>
  <c r="Q37" i="22" s="1"/>
  <c r="G46" i="22"/>
  <c r="Q46" i="22" s="1"/>
  <c r="G39" i="22"/>
  <c r="Q39" i="22" s="1"/>
  <c r="G18" i="22"/>
  <c r="G51" i="22"/>
  <c r="G13" i="22"/>
  <c r="G41" i="22"/>
  <c r="Q41" i="22" s="1"/>
  <c r="G26" i="22"/>
  <c r="G12" i="22"/>
  <c r="Q12" i="22" s="1"/>
  <c r="G55" i="22"/>
  <c r="Q55" i="22" s="1"/>
  <c r="G11" i="22"/>
  <c r="Q11" i="22" s="1"/>
  <c r="G19" i="22"/>
  <c r="Q19" i="22" s="1"/>
  <c r="G50" i="22"/>
  <c r="Q50" i="22" s="1"/>
  <c r="G15" i="22"/>
  <c r="G8" i="22"/>
  <c r="Q8" i="22" s="1"/>
  <c r="G144" i="22"/>
  <c r="Q144" i="22" s="1"/>
  <c r="G113" i="22"/>
  <c r="Q113" i="22" s="1"/>
  <c r="G34" i="22" l="1"/>
  <c r="G30" i="22"/>
  <c r="G42" i="22"/>
  <c r="G38" i="22"/>
  <c r="G20" i="22"/>
  <c r="G47" i="22"/>
  <c r="G234" i="22"/>
  <c r="Q234" i="22" s="1"/>
  <c r="G236" i="22" l="1"/>
  <c r="Q236" i="22" s="1"/>
  <c r="G227" i="22" l="1"/>
  <c r="G165" i="22"/>
  <c r="Q165" i="22" s="1"/>
  <c r="G138" i="22"/>
  <c r="Q138" i="22" s="1"/>
  <c r="G223" i="22"/>
  <c r="G222" i="22"/>
  <c r="G200" i="22" l="1"/>
  <c r="G152" i="22"/>
  <c r="Q152" i="22" s="1"/>
  <c r="G199" i="22"/>
  <c r="Q199" i="22" s="1"/>
  <c r="G224" i="22"/>
  <c r="G192" i="22"/>
  <c r="Q192" i="22" s="1"/>
  <c r="G160" i="22"/>
  <c r="G154" i="22"/>
  <c r="G205" i="22"/>
  <c r="Q205" i="22" s="1"/>
  <c r="G219" i="22"/>
  <c r="G201" i="22"/>
  <c r="Q201" i="22" s="1"/>
  <c r="G157" i="22"/>
  <c r="Q157" i="22" s="1"/>
  <c r="G221" i="22"/>
  <c r="Q221" i="22" s="1"/>
  <c r="G217" i="22"/>
  <c r="Q217" i="22" s="1"/>
  <c r="G197" i="22"/>
  <c r="Q197" i="22" s="1"/>
  <c r="G148" i="22"/>
  <c r="G239" i="22"/>
  <c r="G228" i="22"/>
  <c r="G191" i="22"/>
  <c r="G242" i="22"/>
  <c r="G230" i="22"/>
  <c r="G159" i="22"/>
  <c r="G194" i="22"/>
  <c r="G198" i="22"/>
  <c r="Q198" i="22" s="1"/>
  <c r="G147" i="22"/>
  <c r="G189" i="22"/>
  <c r="Q189" i="22" s="1"/>
  <c r="G226" i="22"/>
  <c r="G246" i="22"/>
  <c r="G240" i="22"/>
  <c r="G179" i="22"/>
  <c r="Q179" i="22" s="1"/>
  <c r="G241" i="22"/>
  <c r="G168" i="22"/>
  <c r="Q168" i="22" s="1"/>
  <c r="G153" i="22"/>
  <c r="Q153" i="22" s="1"/>
  <c r="G204" i="22"/>
  <c r="Q203" i="22" s="1"/>
  <c r="G190" i="22"/>
  <c r="G164" i="22" l="1"/>
  <c r="Q164" i="22" s="1"/>
  <c r="G237" i="22"/>
  <c r="Q237" i="22" s="1"/>
  <c r="G146" i="22"/>
  <c r="Q146" i="22" s="1"/>
  <c r="G229" i="22"/>
  <c r="Q229" i="22" s="1"/>
  <c r="G225" i="22"/>
  <c r="Q225" i="22" s="1"/>
  <c r="G142" i="22"/>
  <c r="Q142" i="22" s="1"/>
  <c r="G243" i="22"/>
  <c r="Q243" i="22" s="1"/>
  <c r="G158" i="22"/>
  <c r="G150" i="22"/>
  <c r="Q150" i="22" s="1"/>
  <c r="G218" i="22"/>
  <c r="Q218" i="22" s="1"/>
  <c r="G245" i="22"/>
  <c r="Q245" i="22" s="1"/>
  <c r="G193" i="22"/>
  <c r="G247" i="22"/>
  <c r="Q246" i="22" s="1"/>
  <c r="G238" i="22"/>
  <c r="G184" i="22"/>
  <c r="Q184" i="22" s="1"/>
  <c r="G139" i="22"/>
  <c r="Q139" i="22" s="1"/>
  <c r="G178" i="22"/>
  <c r="Q178" i="22" s="1"/>
  <c r="G140" i="22" l="1"/>
  <c r="Q140" i="22" s="1"/>
  <c r="D36" i="16" l="1"/>
  <c r="B162" i="16" l="1"/>
  <c r="H34" i="16"/>
  <c r="B99" i="16" l="1"/>
  <c r="H99" i="16"/>
  <c r="C249" i="16"/>
  <c r="C250" i="16"/>
  <c r="B172" i="16"/>
  <c r="B104" i="16"/>
  <c r="B103" i="16"/>
  <c r="B102" i="16"/>
  <c r="B100" i="16"/>
  <c r="B105" i="16"/>
  <c r="B106" i="16"/>
  <c r="B101" i="16"/>
  <c r="B107" i="16"/>
  <c r="J99" i="16"/>
  <c r="B108" i="16"/>
  <c r="I99" i="16"/>
  <c r="O99" i="16"/>
  <c r="M99" i="16"/>
  <c r="P99" i="16"/>
  <c r="N99" i="16"/>
  <c r="Q99" i="16"/>
  <c r="L99" i="16"/>
  <c r="K99" i="16"/>
  <c r="H36" i="16"/>
  <c r="F6" i="16"/>
  <c r="B109" i="16" l="1"/>
  <c r="R99" i="16"/>
  <c r="E131" i="16"/>
  <c r="E132" i="16"/>
  <c r="E130" i="16"/>
  <c r="E133" i="16"/>
  <c r="E138" i="16"/>
  <c r="E142" i="16"/>
  <c r="E144" i="16"/>
  <c r="E143" i="16"/>
  <c r="E135" i="16"/>
  <c r="E145" i="16"/>
  <c r="E139" i="16"/>
  <c r="E140" i="16"/>
  <c r="E136" i="16"/>
  <c r="E141" i="16"/>
  <c r="E134" i="16"/>
  <c r="E137" i="16"/>
  <c r="E173" i="16" l="1"/>
  <c r="E174" i="16"/>
  <c r="E165" i="16"/>
  <c r="E177" i="16"/>
  <c r="E176" i="16"/>
  <c r="E175" i="16"/>
  <c r="E164" i="16"/>
  <c r="E167" i="16"/>
  <c r="E163" i="16"/>
  <c r="E171" i="16"/>
  <c r="E169" i="16"/>
  <c r="E172" i="16"/>
  <c r="E166" i="16"/>
  <c r="E168" i="16"/>
  <c r="E170" i="16"/>
  <c r="E162" i="16"/>
  <c r="E178" i="16" l="1"/>
  <c r="F28" i="42" l="1"/>
  <c r="G28" i="42" s="1"/>
  <c r="H28" i="42" s="1"/>
  <c r="C37" i="42" s="1"/>
  <c r="C249" i="47" l="1"/>
  <c r="J258" i="16"/>
  <c r="C255" i="50"/>
  <c r="C249" i="50"/>
  <c r="C253" i="50"/>
  <c r="C254" i="50"/>
  <c r="D4" i="50" l="1"/>
  <c r="D4" i="52"/>
  <c r="D4" i="53"/>
  <c r="D4" i="49"/>
  <c r="D8" i="49" l="1"/>
  <c r="D5" i="49"/>
  <c r="D5" i="52"/>
  <c r="D8" i="52"/>
  <c r="B196" i="52" l="1"/>
  <c r="C229" i="52" s="1"/>
  <c r="C248" i="52" s="1"/>
  <c r="B200" i="52"/>
  <c r="C233" i="52" s="1"/>
  <c r="C252" i="52" s="1"/>
  <c r="B193" i="52"/>
  <c r="B197" i="52"/>
  <c r="C230" i="52" s="1"/>
  <c r="B201" i="52"/>
  <c r="C234" i="52" s="1"/>
  <c r="C253" i="52" s="1"/>
  <c r="B194" i="52"/>
  <c r="C227" i="52" s="1"/>
  <c r="C246" i="52" s="1"/>
  <c r="B198" i="52"/>
  <c r="C231" i="52" s="1"/>
  <c r="B202" i="52"/>
  <c r="C235" i="52" s="1"/>
  <c r="C254" i="52" s="1"/>
  <c r="D7" i="52"/>
  <c r="F7" i="52"/>
  <c r="B195" i="52"/>
  <c r="C228" i="52" s="1"/>
  <c r="C247" i="52" s="1"/>
  <c r="B199" i="52"/>
  <c r="C232" i="52" s="1"/>
  <c r="C251" i="52" s="1"/>
  <c r="D10" i="52"/>
  <c r="E204" i="52"/>
  <c r="J237" i="52" s="1"/>
  <c r="J256" i="52" s="1"/>
  <c r="F10" i="52"/>
  <c r="E196" i="52"/>
  <c r="J229" i="52" s="1"/>
  <c r="J248" i="52" s="1"/>
  <c r="E200" i="52"/>
  <c r="J233" i="52" s="1"/>
  <c r="J252" i="52" s="1"/>
  <c r="E205" i="52"/>
  <c r="J238" i="52" s="1"/>
  <c r="J257" i="52" s="1"/>
  <c r="E206" i="52"/>
  <c r="J239" i="52" s="1"/>
  <c r="E193" i="52"/>
  <c r="E197" i="52"/>
  <c r="J230" i="52" s="1"/>
  <c r="J249" i="52" s="1"/>
  <c r="E201" i="52"/>
  <c r="J234" i="52" s="1"/>
  <c r="J253" i="52" s="1"/>
  <c r="E207" i="52"/>
  <c r="J240" i="52" s="1"/>
  <c r="J259" i="52" s="1"/>
  <c r="E208" i="52"/>
  <c r="J241" i="52" s="1"/>
  <c r="J260" i="52" s="1"/>
  <c r="E194" i="52"/>
  <c r="J227" i="52" s="1"/>
  <c r="J246" i="52" s="1"/>
  <c r="E198" i="52"/>
  <c r="J231" i="52" s="1"/>
  <c r="J250" i="52" s="1"/>
  <c r="E202" i="52"/>
  <c r="J235" i="52" s="1"/>
  <c r="J254" i="52" s="1"/>
  <c r="E195" i="52"/>
  <c r="J228" i="52" s="1"/>
  <c r="J247" i="52" s="1"/>
  <c r="E199" i="52"/>
  <c r="J232" i="52" s="1"/>
  <c r="J251" i="52" s="1"/>
  <c r="E203" i="52"/>
  <c r="J236" i="52" s="1"/>
  <c r="J255" i="52" s="1"/>
  <c r="D7" i="49"/>
  <c r="F7" i="49"/>
  <c r="B196" i="49"/>
  <c r="C229" i="49" s="1"/>
  <c r="C248" i="49" s="1"/>
  <c r="B200" i="49"/>
  <c r="C233" i="49" s="1"/>
  <c r="C252" i="49" s="1"/>
  <c r="B193" i="49"/>
  <c r="B197" i="49"/>
  <c r="C230" i="49" s="1"/>
  <c r="B201" i="49"/>
  <c r="C234" i="49" s="1"/>
  <c r="C253" i="49" s="1"/>
  <c r="B194" i="49"/>
  <c r="C227" i="49" s="1"/>
  <c r="C246" i="49" s="1"/>
  <c r="B198" i="49"/>
  <c r="C231" i="49" s="1"/>
  <c r="B202" i="49"/>
  <c r="C235" i="49" s="1"/>
  <c r="C254" i="49" s="1"/>
  <c r="B199" i="49"/>
  <c r="C232" i="49" s="1"/>
  <c r="C251" i="49" s="1"/>
  <c r="B195" i="49"/>
  <c r="C228" i="49" s="1"/>
  <c r="C247" i="49" s="1"/>
  <c r="D10" i="49"/>
  <c r="F10" i="49"/>
  <c r="E196" i="49"/>
  <c r="J229" i="49" s="1"/>
  <c r="J248" i="49" s="1"/>
  <c r="E200" i="49"/>
  <c r="J233" i="49" s="1"/>
  <c r="J252" i="49" s="1"/>
  <c r="E205" i="49"/>
  <c r="J238" i="49" s="1"/>
  <c r="J257" i="49" s="1"/>
  <c r="E206" i="49"/>
  <c r="J239" i="49" s="1"/>
  <c r="E208" i="49"/>
  <c r="J241" i="49" s="1"/>
  <c r="J260" i="49" s="1"/>
  <c r="E197" i="49"/>
  <c r="J230" i="49" s="1"/>
  <c r="J249" i="49" s="1"/>
  <c r="E204" i="49"/>
  <c r="J237" i="49" s="1"/>
  <c r="J256" i="49" s="1"/>
  <c r="E198" i="49"/>
  <c r="J231" i="49" s="1"/>
  <c r="J250" i="49" s="1"/>
  <c r="E207" i="49"/>
  <c r="J240" i="49" s="1"/>
  <c r="J259" i="49" s="1"/>
  <c r="E199" i="49"/>
  <c r="J232" i="49" s="1"/>
  <c r="J251" i="49" s="1"/>
  <c r="E193" i="49"/>
  <c r="E201" i="49"/>
  <c r="J234" i="49" s="1"/>
  <c r="J253" i="49" s="1"/>
  <c r="E194" i="49"/>
  <c r="J227" i="49" s="1"/>
  <c r="J246" i="49" s="1"/>
  <c r="E202" i="49"/>
  <c r="J235" i="49" s="1"/>
  <c r="J254" i="49" s="1"/>
  <c r="E195" i="49"/>
  <c r="J228" i="49" s="1"/>
  <c r="J247" i="49" s="1"/>
  <c r="E203" i="49"/>
  <c r="J236" i="49" s="1"/>
  <c r="J255" i="49" s="1"/>
  <c r="E249" i="49" l="1"/>
  <c r="D245" i="49"/>
  <c r="D252" i="49"/>
  <c r="E252" i="49" s="1"/>
  <c r="D268" i="49" s="1"/>
  <c r="D248" i="49"/>
  <c r="E248" i="49" s="1"/>
  <c r="D270" i="49" s="1"/>
  <c r="D251" i="49"/>
  <c r="E251" i="49" s="1"/>
  <c r="D247" i="49"/>
  <c r="E247" i="49" s="1"/>
  <c r="E250" i="49"/>
  <c r="D254" i="49"/>
  <c r="E254" i="49" s="1"/>
  <c r="D269" i="49" s="1"/>
  <c r="D246" i="49"/>
  <c r="E246" i="49" s="1"/>
  <c r="D253" i="49"/>
  <c r="E253" i="49" s="1"/>
  <c r="D267" i="49" s="1"/>
  <c r="K247" i="52"/>
  <c r="L247" i="52" s="1"/>
  <c r="K250" i="52"/>
  <c r="L250" i="52" s="1"/>
  <c r="K254" i="52"/>
  <c r="L254" i="52" s="1"/>
  <c r="K257" i="52"/>
  <c r="L257" i="52" s="1"/>
  <c r="K260" i="52"/>
  <c r="L260" i="52" s="1"/>
  <c r="D272" i="52" s="1"/>
  <c r="K246" i="52"/>
  <c r="L246" i="52" s="1"/>
  <c r="K253" i="52"/>
  <c r="L253" i="52" s="1"/>
  <c r="K249" i="52"/>
  <c r="L249" i="52" s="1"/>
  <c r="K255" i="52"/>
  <c r="L255" i="52" s="1"/>
  <c r="L258" i="52"/>
  <c r="K245" i="52"/>
  <c r="K252" i="52"/>
  <c r="L252" i="52" s="1"/>
  <c r="K248" i="52"/>
  <c r="L248" i="52" s="1"/>
  <c r="K251" i="52"/>
  <c r="L251" i="52" s="1"/>
  <c r="K256" i="52"/>
  <c r="L256" i="52" s="1"/>
  <c r="K259" i="52"/>
  <c r="L259" i="52" s="1"/>
  <c r="D271" i="52" s="1"/>
  <c r="E209" i="52"/>
  <c r="J226" i="52"/>
  <c r="J245" i="52" s="1"/>
  <c r="E209" i="49"/>
  <c r="J226" i="49"/>
  <c r="J245" i="49" s="1"/>
  <c r="C226" i="49"/>
  <c r="C245" i="49" s="1"/>
  <c r="B203" i="49"/>
  <c r="B203" i="52"/>
  <c r="C226" i="52"/>
  <c r="C245" i="52" s="1"/>
  <c r="E249" i="52"/>
  <c r="D245" i="52"/>
  <c r="D252" i="52"/>
  <c r="E252" i="52" s="1"/>
  <c r="D268" i="52" s="1"/>
  <c r="D248" i="52"/>
  <c r="E248" i="52" s="1"/>
  <c r="D270" i="52" s="1"/>
  <c r="D251" i="52"/>
  <c r="E251" i="52" s="1"/>
  <c r="D247" i="52"/>
  <c r="E247" i="52" s="1"/>
  <c r="E250" i="52"/>
  <c r="D254" i="52"/>
  <c r="E254" i="52" s="1"/>
  <c r="D269" i="52" s="1"/>
  <c r="D246" i="52"/>
  <c r="E246" i="52" s="1"/>
  <c r="D253" i="52"/>
  <c r="E253" i="52" s="1"/>
  <c r="D267" i="52" s="1"/>
  <c r="K247" i="49"/>
  <c r="L247" i="49" s="1"/>
  <c r="K250" i="49"/>
  <c r="L250" i="49" s="1"/>
  <c r="K254" i="49"/>
  <c r="L254" i="49" s="1"/>
  <c r="K257" i="49"/>
  <c r="L257" i="49" s="1"/>
  <c r="K260" i="49"/>
  <c r="L260" i="49" s="1"/>
  <c r="D272" i="49" s="1"/>
  <c r="K246" i="49"/>
  <c r="L246" i="49" s="1"/>
  <c r="K253" i="49"/>
  <c r="L253" i="49" s="1"/>
  <c r="K249" i="49"/>
  <c r="L249" i="49" s="1"/>
  <c r="K255" i="49"/>
  <c r="L255" i="49" s="1"/>
  <c r="L258" i="49"/>
  <c r="K245" i="49"/>
  <c r="K252" i="49"/>
  <c r="L252" i="49" s="1"/>
  <c r="K248" i="49"/>
  <c r="L248" i="49" s="1"/>
  <c r="K251" i="49"/>
  <c r="L251" i="49" s="1"/>
  <c r="K256" i="49"/>
  <c r="L256" i="49" s="1"/>
  <c r="K259" i="49"/>
  <c r="L259" i="49" s="1"/>
  <c r="D271" i="49" s="1"/>
  <c r="E245" i="49" l="1"/>
  <c r="E272" i="52"/>
  <c r="F272" i="52" s="1"/>
  <c r="D273" i="53"/>
  <c r="E273" i="53" s="1"/>
  <c r="D270" i="50"/>
  <c r="E270" i="50" s="1"/>
  <c r="E269" i="49"/>
  <c r="F269" i="49" s="1"/>
  <c r="E269" i="52"/>
  <c r="F269" i="52" s="1"/>
  <c r="D270" i="53"/>
  <c r="E270" i="53" s="1"/>
  <c r="E271" i="52"/>
  <c r="F271" i="52" s="1"/>
  <c r="D272" i="53"/>
  <c r="E272" i="53" s="1"/>
  <c r="D272" i="50"/>
  <c r="E272" i="50" s="1"/>
  <c r="E271" i="49"/>
  <c r="F271" i="49" s="1"/>
  <c r="E267" i="52"/>
  <c r="F267" i="52" s="1"/>
  <c r="D268" i="53"/>
  <c r="E268" i="53" s="1"/>
  <c r="D268" i="50"/>
  <c r="E268" i="50" s="1"/>
  <c r="E267" i="49"/>
  <c r="F267" i="49" s="1"/>
  <c r="L245" i="52"/>
  <c r="D273" i="50"/>
  <c r="E273" i="50" s="1"/>
  <c r="E272" i="49"/>
  <c r="F272" i="49" s="1"/>
  <c r="E270" i="52"/>
  <c r="F270" i="52" s="1"/>
  <c r="D271" i="53"/>
  <c r="E271" i="53" s="1"/>
  <c r="D269" i="53"/>
  <c r="E269" i="53" s="1"/>
  <c r="E268" i="52"/>
  <c r="F268" i="52" s="1"/>
  <c r="E245" i="52"/>
  <c r="L245" i="49"/>
  <c r="D271" i="50"/>
  <c r="E271" i="50" s="1"/>
  <c r="E270" i="49"/>
  <c r="F270" i="49" s="1"/>
  <c r="D269" i="50"/>
  <c r="E269" i="50" s="1"/>
  <c r="E268" i="49"/>
  <c r="F268" i="49" s="1"/>
  <c r="E249" i="50" l="1"/>
  <c r="F271" i="50"/>
  <c r="L261" i="50"/>
  <c r="E30" i="51" s="1"/>
  <c r="F30" i="51" s="1"/>
  <c r="G30" i="51" s="1"/>
  <c r="H30" i="51" s="1"/>
  <c r="F273" i="50"/>
  <c r="L260" i="53"/>
  <c r="E29" i="54" s="1"/>
  <c r="F29" i="54" s="1"/>
  <c r="G29" i="54" s="1"/>
  <c r="H29" i="54" s="1"/>
  <c r="C52" i="46" s="1"/>
  <c r="D52" i="46" s="1"/>
  <c r="E52" i="46" s="1"/>
  <c r="F272" i="53"/>
  <c r="F273" i="49"/>
  <c r="E255" i="53"/>
  <c r="F270" i="53"/>
  <c r="F268" i="50"/>
  <c r="E254" i="50"/>
  <c r="F269" i="53"/>
  <c r="E253" i="53"/>
  <c r="F268" i="53"/>
  <c r="E254" i="53"/>
  <c r="F271" i="53"/>
  <c r="E249" i="53"/>
  <c r="F273" i="52"/>
  <c r="F270" i="50"/>
  <c r="E255" i="50"/>
  <c r="L261" i="53"/>
  <c r="E30" i="54" s="1"/>
  <c r="F30" i="54" s="1"/>
  <c r="G30" i="54" s="1"/>
  <c r="H30" i="54" s="1"/>
  <c r="C55" i="46" s="1"/>
  <c r="D55" i="46" s="1"/>
  <c r="E55" i="46" s="1"/>
  <c r="F273" i="53"/>
  <c r="E253" i="50"/>
  <c r="F269" i="50"/>
  <c r="L260" i="50"/>
  <c r="E29" i="51" s="1"/>
  <c r="F29" i="51" s="1"/>
  <c r="G29" i="51" s="1"/>
  <c r="H29" i="51" s="1"/>
  <c r="F272" i="50"/>
  <c r="G55" i="46" l="1"/>
  <c r="H55" i="46" s="1"/>
  <c r="I55" i="46" s="1"/>
  <c r="J55" i="46" s="1"/>
  <c r="G52" i="46"/>
  <c r="H52" i="46" s="1"/>
  <c r="I52" i="46" s="1"/>
  <c r="J52" i="46" s="1"/>
  <c r="D9" i="50"/>
  <c r="F11" i="50" s="1"/>
  <c r="L57" i="41"/>
  <c r="L58" i="41"/>
  <c r="L56" i="41"/>
  <c r="D11" i="54"/>
  <c r="J41" i="46" s="1"/>
  <c r="K57" i="41"/>
  <c r="K58" i="41"/>
  <c r="K56" i="41"/>
  <c r="D10" i="54"/>
  <c r="I41" i="46" s="1"/>
  <c r="J38" i="41"/>
  <c r="J36" i="41"/>
  <c r="J37" i="41"/>
  <c r="D9" i="51"/>
  <c r="F274" i="53"/>
  <c r="D6" i="53"/>
  <c r="D9" i="53"/>
  <c r="C38" i="54"/>
  <c r="J58" i="41"/>
  <c r="J56" i="41"/>
  <c r="J57" i="41"/>
  <c r="D9" i="54"/>
  <c r="H41" i="46" s="1"/>
  <c r="L37" i="41"/>
  <c r="L38" i="41"/>
  <c r="L36" i="41"/>
  <c r="D11" i="51"/>
  <c r="C39" i="54"/>
  <c r="K37" i="41"/>
  <c r="K38" i="41"/>
  <c r="K36" i="41"/>
  <c r="D10" i="51"/>
  <c r="C39" i="51"/>
  <c r="C36" i="46"/>
  <c r="D36" i="46" s="1"/>
  <c r="E36" i="46" s="1"/>
  <c r="F274" i="50"/>
  <c r="D6" i="50"/>
  <c r="C33" i="46"/>
  <c r="D33" i="46" s="1"/>
  <c r="E33" i="46" s="1"/>
  <c r="C38" i="51"/>
  <c r="F249" i="53"/>
  <c r="D5" i="54"/>
  <c r="F41" i="46" s="1"/>
  <c r="F249" i="50"/>
  <c r="D5" i="51"/>
  <c r="G36" i="46" l="1"/>
  <c r="H36" i="46" s="1"/>
  <c r="I36" i="46" s="1"/>
  <c r="J36" i="46" s="1"/>
  <c r="G33" i="46"/>
  <c r="H33" i="46" s="1"/>
  <c r="I33" i="46" s="1"/>
  <c r="J33" i="46" s="1"/>
  <c r="H53" i="46"/>
  <c r="H56" i="46"/>
  <c r="J56" i="46"/>
  <c r="J53" i="46"/>
  <c r="I53" i="46"/>
  <c r="I56" i="46"/>
  <c r="E208" i="50"/>
  <c r="J241" i="50" s="1"/>
  <c r="E198" i="50"/>
  <c r="J231" i="50" s="1"/>
  <c r="J250" i="50" s="1"/>
  <c r="E207" i="50"/>
  <c r="J240" i="50" s="1"/>
  <c r="E195" i="50"/>
  <c r="J228" i="50" s="1"/>
  <c r="J247" i="50" s="1"/>
  <c r="D11" i="50"/>
  <c r="E200" i="50"/>
  <c r="J233" i="50" s="1"/>
  <c r="J252" i="50" s="1"/>
  <c r="E196" i="50"/>
  <c r="J229" i="50" s="1"/>
  <c r="J248" i="50" s="1"/>
  <c r="E201" i="50"/>
  <c r="J234" i="50" s="1"/>
  <c r="J253" i="50" s="1"/>
  <c r="E203" i="50"/>
  <c r="J236" i="50" s="1"/>
  <c r="J255" i="50" s="1"/>
  <c r="E194" i="50"/>
  <c r="J227" i="50" s="1"/>
  <c r="J246" i="50" s="1"/>
  <c r="E199" i="50"/>
  <c r="J232" i="50" s="1"/>
  <c r="J251" i="50" s="1"/>
  <c r="E206" i="50"/>
  <c r="J239" i="50" s="1"/>
  <c r="J258" i="50" s="1"/>
  <c r="E205" i="50"/>
  <c r="J238" i="50" s="1"/>
  <c r="J257" i="50" s="1"/>
  <c r="E209" i="50"/>
  <c r="J242" i="50" s="1"/>
  <c r="E197" i="50"/>
  <c r="J230" i="50" s="1"/>
  <c r="J249" i="50" s="1"/>
  <c r="E204" i="50"/>
  <c r="J237" i="50" s="1"/>
  <c r="J256" i="50" s="1"/>
  <c r="E202" i="50"/>
  <c r="J235" i="50" s="1"/>
  <c r="J254" i="50" s="1"/>
  <c r="P5" i="54"/>
  <c r="P7" i="54"/>
  <c r="E5" i="54"/>
  <c r="P6" i="54"/>
  <c r="E209" i="53"/>
  <c r="J242" i="53" s="1"/>
  <c r="E195" i="53"/>
  <c r="J228" i="53" s="1"/>
  <c r="J247" i="53" s="1"/>
  <c r="E199" i="53"/>
  <c r="J232" i="53" s="1"/>
  <c r="J251" i="53" s="1"/>
  <c r="E203" i="53"/>
  <c r="J236" i="53" s="1"/>
  <c r="J255" i="53" s="1"/>
  <c r="E196" i="53"/>
  <c r="J229" i="53" s="1"/>
  <c r="J248" i="53" s="1"/>
  <c r="E200" i="53"/>
  <c r="J233" i="53" s="1"/>
  <c r="J252" i="53" s="1"/>
  <c r="E204" i="53"/>
  <c r="J237" i="53" s="1"/>
  <c r="J256" i="53" s="1"/>
  <c r="D11" i="53"/>
  <c r="E205" i="53"/>
  <c r="J238" i="53" s="1"/>
  <c r="J257" i="53" s="1"/>
  <c r="F11" i="53"/>
  <c r="E197" i="53"/>
  <c r="J230" i="53" s="1"/>
  <c r="J249" i="53" s="1"/>
  <c r="E201" i="53"/>
  <c r="J234" i="53" s="1"/>
  <c r="J253" i="53" s="1"/>
  <c r="E206" i="53"/>
  <c r="J239" i="53" s="1"/>
  <c r="J258" i="53" s="1"/>
  <c r="E207" i="53"/>
  <c r="J240" i="53" s="1"/>
  <c r="E194" i="53"/>
  <c r="E198" i="53"/>
  <c r="J231" i="53" s="1"/>
  <c r="J250" i="53" s="1"/>
  <c r="E202" i="53"/>
  <c r="J235" i="53" s="1"/>
  <c r="J254" i="53" s="1"/>
  <c r="E208" i="53"/>
  <c r="J241" i="53" s="1"/>
  <c r="U6" i="51"/>
  <c r="E10" i="51"/>
  <c r="U5" i="51"/>
  <c r="U7" i="51"/>
  <c r="I22" i="46"/>
  <c r="B195" i="53"/>
  <c r="C228" i="53" s="1"/>
  <c r="C247" i="53" s="1"/>
  <c r="B199" i="53"/>
  <c r="C232" i="53" s="1"/>
  <c r="B203" i="53"/>
  <c r="C236" i="53" s="1"/>
  <c r="D8" i="53"/>
  <c r="F8" i="53"/>
  <c r="B196" i="53"/>
  <c r="C229" i="53" s="1"/>
  <c r="C248" i="53" s="1"/>
  <c r="B200" i="53"/>
  <c r="C233" i="53" s="1"/>
  <c r="C252" i="53" s="1"/>
  <c r="B197" i="53"/>
  <c r="C230" i="53" s="1"/>
  <c r="B201" i="53"/>
  <c r="C234" i="53" s="1"/>
  <c r="B194" i="53"/>
  <c r="B198" i="53"/>
  <c r="C231" i="53" s="1"/>
  <c r="B202" i="53"/>
  <c r="C235" i="53" s="1"/>
  <c r="D5" i="53"/>
  <c r="T6" i="51"/>
  <c r="E9" i="51"/>
  <c r="T5" i="51"/>
  <c r="T7" i="51"/>
  <c r="H22" i="46"/>
  <c r="V5" i="51"/>
  <c r="V7" i="51"/>
  <c r="E11" i="51"/>
  <c r="J22" i="46"/>
  <c r="V6" i="51"/>
  <c r="U6" i="54"/>
  <c r="E10" i="54"/>
  <c r="U5" i="54"/>
  <c r="U7" i="54"/>
  <c r="K250" i="50"/>
  <c r="K254" i="50"/>
  <c r="K249" i="50"/>
  <c r="K256" i="50"/>
  <c r="K258" i="50"/>
  <c r="K246" i="50"/>
  <c r="K247" i="50"/>
  <c r="K248" i="50"/>
  <c r="K253" i="50"/>
  <c r="K251" i="50"/>
  <c r="K252" i="50"/>
  <c r="K255" i="50"/>
  <c r="K257" i="50"/>
  <c r="P5" i="51"/>
  <c r="P7" i="51"/>
  <c r="F22" i="46"/>
  <c r="E5" i="51"/>
  <c r="P6" i="51"/>
  <c r="B194" i="50"/>
  <c r="B198" i="50"/>
  <c r="C231" i="50" s="1"/>
  <c r="B202" i="50"/>
  <c r="C235" i="50" s="1"/>
  <c r="D5" i="50"/>
  <c r="B195" i="50"/>
  <c r="C228" i="50" s="1"/>
  <c r="C247" i="50" s="1"/>
  <c r="B199" i="50"/>
  <c r="C232" i="50" s="1"/>
  <c r="B203" i="50"/>
  <c r="C236" i="50" s="1"/>
  <c r="D8" i="50"/>
  <c r="F8" i="50"/>
  <c r="B196" i="50"/>
  <c r="C229" i="50" s="1"/>
  <c r="C248" i="50" s="1"/>
  <c r="B200" i="50"/>
  <c r="C233" i="50" s="1"/>
  <c r="C252" i="50" s="1"/>
  <c r="B197" i="50"/>
  <c r="C230" i="50" s="1"/>
  <c r="B201" i="50"/>
  <c r="C234" i="50" s="1"/>
  <c r="T6" i="54"/>
  <c r="E9" i="54"/>
  <c r="T5" i="54"/>
  <c r="T7" i="54"/>
  <c r="V5" i="54"/>
  <c r="V7" i="54"/>
  <c r="E11" i="54"/>
  <c r="V6" i="54"/>
  <c r="L250" i="50" l="1"/>
  <c r="K27" i="41" s="1"/>
  <c r="L255" i="50"/>
  <c r="L247" i="50"/>
  <c r="M247" i="50" s="1"/>
  <c r="L253" i="50"/>
  <c r="M253" i="50" s="1"/>
  <c r="L248" i="50"/>
  <c r="M248" i="50" s="1"/>
  <c r="L252" i="50"/>
  <c r="L29" i="41" s="1"/>
  <c r="L257" i="50"/>
  <c r="M257" i="50" s="1"/>
  <c r="L258" i="50"/>
  <c r="E27" i="51" s="1"/>
  <c r="F27" i="51" s="1"/>
  <c r="L251" i="50"/>
  <c r="M251" i="50" s="1"/>
  <c r="E210" i="50"/>
  <c r="L256" i="50"/>
  <c r="J33" i="41" s="1"/>
  <c r="L249" i="50"/>
  <c r="L26" i="41" s="1"/>
  <c r="L254" i="50"/>
  <c r="J31" i="41" s="1"/>
  <c r="K249" i="53"/>
  <c r="L249" i="53" s="1"/>
  <c r="K256" i="53"/>
  <c r="L256" i="53" s="1"/>
  <c r="K258" i="53"/>
  <c r="L258" i="53" s="1"/>
  <c r="K246" i="53"/>
  <c r="K247" i="53"/>
  <c r="L247" i="53" s="1"/>
  <c r="K248" i="53"/>
  <c r="L248" i="53" s="1"/>
  <c r="K253" i="53"/>
  <c r="L253" i="53" s="1"/>
  <c r="K251" i="53"/>
  <c r="L251" i="53" s="1"/>
  <c r="K252" i="53"/>
  <c r="L252" i="53" s="1"/>
  <c r="K255" i="53"/>
  <c r="L255" i="53" s="1"/>
  <c r="K257" i="53"/>
  <c r="L257" i="53" s="1"/>
  <c r="K250" i="53"/>
  <c r="L250" i="53" s="1"/>
  <c r="K254" i="53"/>
  <c r="L254" i="53" s="1"/>
  <c r="J34" i="46"/>
  <c r="J37" i="46"/>
  <c r="D252" i="53"/>
  <c r="E252" i="53" s="1"/>
  <c r="E251" i="53"/>
  <c r="E250" i="53"/>
  <c r="D249" i="53"/>
  <c r="D246" i="53"/>
  <c r="D247" i="53"/>
  <c r="E247" i="53" s="1"/>
  <c r="D248" i="53"/>
  <c r="E248" i="53" s="1"/>
  <c r="E210" i="53"/>
  <c r="J227" i="53"/>
  <c r="J246" i="53" s="1"/>
  <c r="L246" i="50"/>
  <c r="H34" i="46"/>
  <c r="H37" i="46"/>
  <c r="D246" i="50"/>
  <c r="D247" i="50"/>
  <c r="E247" i="50" s="1"/>
  <c r="D248" i="50"/>
  <c r="E248" i="50" s="1"/>
  <c r="D252" i="50"/>
  <c r="E252" i="50" s="1"/>
  <c r="E251" i="50"/>
  <c r="E250" i="50"/>
  <c r="D249" i="50"/>
  <c r="B204" i="50"/>
  <c r="C227" i="50"/>
  <c r="C246" i="50" s="1"/>
  <c r="B204" i="53"/>
  <c r="C227" i="53"/>
  <c r="C246" i="53" s="1"/>
  <c r="I34" i="46"/>
  <c r="I37" i="46"/>
  <c r="K32" i="41" l="1"/>
  <c r="E24" i="51"/>
  <c r="F24" i="51" s="1"/>
  <c r="L32" i="41"/>
  <c r="M255" i="50"/>
  <c r="J32" i="41"/>
  <c r="K24" i="41"/>
  <c r="E19" i="51"/>
  <c r="F19" i="51" s="1"/>
  <c r="M250" i="50"/>
  <c r="J27" i="41"/>
  <c r="L27" i="41"/>
  <c r="L24" i="41"/>
  <c r="J24" i="41"/>
  <c r="E16" i="51"/>
  <c r="F16" i="51" s="1"/>
  <c r="E22" i="51"/>
  <c r="F22" i="51" s="1"/>
  <c r="J25" i="41"/>
  <c r="L30" i="41"/>
  <c r="K30" i="41"/>
  <c r="J30" i="41"/>
  <c r="K25" i="41"/>
  <c r="L25" i="41"/>
  <c r="E17" i="51"/>
  <c r="F17" i="51" s="1"/>
  <c r="J34" i="41"/>
  <c r="E21" i="51"/>
  <c r="F21" i="51" s="1"/>
  <c r="M252" i="50"/>
  <c r="J29" i="41"/>
  <c r="K29" i="41"/>
  <c r="L34" i="41"/>
  <c r="K34" i="41"/>
  <c r="E26" i="51"/>
  <c r="F26" i="51" s="1"/>
  <c r="M258" i="50"/>
  <c r="K35" i="41"/>
  <c r="L35" i="41"/>
  <c r="J35" i="41"/>
  <c r="M256" i="50"/>
  <c r="E25" i="51"/>
  <c r="F25" i="51" s="1"/>
  <c r="J26" i="41"/>
  <c r="L28" i="41"/>
  <c r="K28" i="41"/>
  <c r="M249" i="50"/>
  <c r="K26" i="41"/>
  <c r="E18" i="51"/>
  <c r="F18" i="51" s="1"/>
  <c r="F26" i="41"/>
  <c r="K33" i="41"/>
  <c r="L33" i="41"/>
  <c r="J28" i="41"/>
  <c r="E20" i="51"/>
  <c r="F20" i="51" s="1"/>
  <c r="M254" i="50"/>
  <c r="K31" i="41"/>
  <c r="E23" i="51"/>
  <c r="F23" i="51" s="1"/>
  <c r="L31" i="41"/>
  <c r="L246" i="53"/>
  <c r="I43" i="41" s="1"/>
  <c r="E246" i="53"/>
  <c r="C45" i="41" s="1"/>
  <c r="E246" i="50"/>
  <c r="C38" i="41" s="1"/>
  <c r="M254" i="53"/>
  <c r="E23" i="54"/>
  <c r="F23" i="54" s="1"/>
  <c r="L51" i="41"/>
  <c r="K51" i="41"/>
  <c r="J51" i="41"/>
  <c r="I46" i="41"/>
  <c r="I50" i="41"/>
  <c r="I54" i="41"/>
  <c r="I58" i="41"/>
  <c r="I47" i="41"/>
  <c r="I51" i="41"/>
  <c r="I55" i="41"/>
  <c r="I44" i="41"/>
  <c r="I48" i="41"/>
  <c r="I52" i="41"/>
  <c r="I56" i="41"/>
  <c r="I45" i="41"/>
  <c r="I49" i="41"/>
  <c r="I53" i="41"/>
  <c r="I57" i="41"/>
  <c r="F252" i="53"/>
  <c r="D8" i="54"/>
  <c r="G41" i="46" s="1"/>
  <c r="I26" i="41"/>
  <c r="I30" i="41"/>
  <c r="I34" i="41"/>
  <c r="I38" i="41"/>
  <c r="I23" i="41"/>
  <c r="I27" i="41"/>
  <c r="I31" i="41"/>
  <c r="I35" i="41"/>
  <c r="I24" i="41"/>
  <c r="I28" i="41"/>
  <c r="I32" i="41"/>
  <c r="I36" i="41"/>
  <c r="I25" i="41"/>
  <c r="I29" i="41"/>
  <c r="I33" i="41"/>
  <c r="I37" i="41"/>
  <c r="F252" i="50"/>
  <c r="D8" i="51"/>
  <c r="E44" i="41"/>
  <c r="E48" i="41"/>
  <c r="E52" i="41"/>
  <c r="E56" i="41"/>
  <c r="E45" i="41"/>
  <c r="E49" i="41"/>
  <c r="E53" i="41"/>
  <c r="E57" i="41"/>
  <c r="E46" i="41"/>
  <c r="E50" i="41"/>
  <c r="E54" i="41"/>
  <c r="E58" i="41"/>
  <c r="E47" i="41"/>
  <c r="E51" i="41"/>
  <c r="E55" i="41"/>
  <c r="F248" i="53"/>
  <c r="D4" i="54"/>
  <c r="E41" i="46" s="1"/>
  <c r="D25" i="41"/>
  <c r="D29" i="41"/>
  <c r="D33" i="41"/>
  <c r="D37" i="41"/>
  <c r="D26" i="41"/>
  <c r="D30" i="41"/>
  <c r="D34" i="41"/>
  <c r="D38" i="41"/>
  <c r="D23" i="41"/>
  <c r="D27" i="41"/>
  <c r="D31" i="41"/>
  <c r="D35" i="41"/>
  <c r="D24" i="41"/>
  <c r="D28" i="41"/>
  <c r="D32" i="41"/>
  <c r="D36" i="41"/>
  <c r="F247" i="50"/>
  <c r="D3" i="51"/>
  <c r="M252" i="53"/>
  <c r="E21" i="54"/>
  <c r="F21" i="54" s="1"/>
  <c r="L49" i="41"/>
  <c r="K49" i="41"/>
  <c r="J49" i="41"/>
  <c r="M250" i="53"/>
  <c r="E19" i="54"/>
  <c r="F19" i="54" s="1"/>
  <c r="L47" i="41"/>
  <c r="K47" i="41"/>
  <c r="J47" i="41"/>
  <c r="M247" i="53"/>
  <c r="E16" i="54"/>
  <c r="F16" i="54" s="1"/>
  <c r="J44" i="41"/>
  <c r="L44" i="41"/>
  <c r="K44" i="41"/>
  <c r="M246" i="50"/>
  <c r="E15" i="51"/>
  <c r="F15" i="51" s="1"/>
  <c r="L23" i="41"/>
  <c r="K23" i="41"/>
  <c r="J23" i="41"/>
  <c r="D45" i="41"/>
  <c r="D49" i="41"/>
  <c r="D53" i="41"/>
  <c r="D57" i="41"/>
  <c r="D46" i="41"/>
  <c r="D50" i="41"/>
  <c r="D54" i="41"/>
  <c r="D58" i="41"/>
  <c r="D47" i="41"/>
  <c r="D51" i="41"/>
  <c r="D55" i="41"/>
  <c r="D44" i="41"/>
  <c r="D48" i="41"/>
  <c r="D52" i="41"/>
  <c r="D56" i="41"/>
  <c r="F247" i="53"/>
  <c r="D3" i="54"/>
  <c r="D41" i="46" s="1"/>
  <c r="M248" i="53"/>
  <c r="E17" i="54"/>
  <c r="F17" i="54" s="1"/>
  <c r="L45" i="41"/>
  <c r="K45" i="41"/>
  <c r="J45" i="41"/>
  <c r="G23" i="41"/>
  <c r="G27" i="41"/>
  <c r="G31" i="41"/>
  <c r="G35" i="41"/>
  <c r="G24" i="41"/>
  <c r="G28" i="41"/>
  <c r="G32" i="41"/>
  <c r="G36" i="41"/>
  <c r="G25" i="41"/>
  <c r="G29" i="41"/>
  <c r="G33" i="41"/>
  <c r="G37" i="41"/>
  <c r="G26" i="41"/>
  <c r="G30" i="41"/>
  <c r="G34" i="41"/>
  <c r="G38" i="41"/>
  <c r="D6" i="51"/>
  <c r="M251" i="53"/>
  <c r="E20" i="54"/>
  <c r="F20" i="54" s="1"/>
  <c r="J48" i="41"/>
  <c r="L48" i="41"/>
  <c r="K48" i="41"/>
  <c r="H23" i="41"/>
  <c r="H27" i="41"/>
  <c r="H31" i="41"/>
  <c r="H35" i="41"/>
  <c r="H24" i="41"/>
  <c r="H28" i="41"/>
  <c r="H32" i="41"/>
  <c r="H36" i="41"/>
  <c r="H25" i="41"/>
  <c r="H29" i="41"/>
  <c r="H33" i="41"/>
  <c r="H37" i="41"/>
  <c r="H26" i="41"/>
  <c r="H30" i="41"/>
  <c r="H34" i="41"/>
  <c r="H38" i="41"/>
  <c r="D7" i="51"/>
  <c r="M256" i="53"/>
  <c r="E25" i="54"/>
  <c r="F25" i="54" s="1"/>
  <c r="L53" i="41"/>
  <c r="K53" i="41"/>
  <c r="J53" i="41"/>
  <c r="M257" i="53"/>
  <c r="E26" i="54"/>
  <c r="F26" i="54" s="1"/>
  <c r="J54" i="41"/>
  <c r="L54" i="41"/>
  <c r="K54" i="41"/>
  <c r="E24" i="41"/>
  <c r="E28" i="41"/>
  <c r="E32" i="41"/>
  <c r="E36" i="41"/>
  <c r="E25" i="41"/>
  <c r="E29" i="41"/>
  <c r="E33" i="41"/>
  <c r="E37" i="41"/>
  <c r="E26" i="41"/>
  <c r="E30" i="41"/>
  <c r="E34" i="41"/>
  <c r="E38" i="41"/>
  <c r="E23" i="41"/>
  <c r="E27" i="41"/>
  <c r="E31" i="41"/>
  <c r="E35" i="41"/>
  <c r="F248" i="50"/>
  <c r="D4" i="51"/>
  <c r="G47" i="41"/>
  <c r="G51" i="41"/>
  <c r="G55" i="41"/>
  <c r="G44" i="41"/>
  <c r="G48" i="41"/>
  <c r="G52" i="41"/>
  <c r="G56" i="41"/>
  <c r="G45" i="41"/>
  <c r="G49" i="41"/>
  <c r="G53" i="41"/>
  <c r="G57" i="41"/>
  <c r="G46" i="41"/>
  <c r="G50" i="41"/>
  <c r="G54" i="41"/>
  <c r="G58" i="41"/>
  <c r="D6" i="54"/>
  <c r="M249" i="53"/>
  <c r="E18" i="54"/>
  <c r="F18" i="54" s="1"/>
  <c r="J46" i="41"/>
  <c r="L46" i="41"/>
  <c r="K46" i="41"/>
  <c r="F46" i="41"/>
  <c r="M255" i="53"/>
  <c r="E24" i="54"/>
  <c r="F24" i="54" s="1"/>
  <c r="J52" i="41"/>
  <c r="L52" i="41"/>
  <c r="K52" i="41"/>
  <c r="H47" i="41"/>
  <c r="H51" i="41"/>
  <c r="H55" i="41"/>
  <c r="H44" i="41"/>
  <c r="H48" i="41"/>
  <c r="H52" i="41"/>
  <c r="H56" i="41"/>
  <c r="H45" i="41"/>
  <c r="H49" i="41"/>
  <c r="H53" i="41"/>
  <c r="H57" i="41"/>
  <c r="H46" i="41"/>
  <c r="H50" i="41"/>
  <c r="H54" i="41"/>
  <c r="H58" i="41"/>
  <c r="D7" i="54"/>
  <c r="M253" i="53"/>
  <c r="E22" i="54"/>
  <c r="F22" i="54" s="1"/>
  <c r="J50" i="41"/>
  <c r="L50" i="41"/>
  <c r="K50" i="41"/>
  <c r="M258" i="53"/>
  <c r="E27" i="54"/>
  <c r="F27" i="54" s="1"/>
  <c r="L55" i="41"/>
  <c r="K55" i="41"/>
  <c r="J55" i="41"/>
  <c r="E53" i="46" l="1"/>
  <c r="E56" i="46"/>
  <c r="G53" i="46"/>
  <c r="G56" i="46"/>
  <c r="D56" i="46"/>
  <c r="D53" i="46"/>
  <c r="G27" i="51"/>
  <c r="H27" i="51" s="1"/>
  <c r="C27" i="46" s="1"/>
  <c r="D27" i="46" s="1"/>
  <c r="E27" i="46" s="1"/>
  <c r="G23" i="51"/>
  <c r="H23" i="51" s="1"/>
  <c r="C30" i="46" s="1"/>
  <c r="D30" i="46" s="1"/>
  <c r="E30" i="46" s="1"/>
  <c r="G30" i="46" s="1"/>
  <c r="M260" i="50"/>
  <c r="E15" i="54"/>
  <c r="F15" i="54" s="1"/>
  <c r="G18" i="54" s="1"/>
  <c r="M246" i="53"/>
  <c r="M260" i="53" s="1"/>
  <c r="G43" i="41"/>
  <c r="J43" i="41"/>
  <c r="K43" i="41"/>
  <c r="H43" i="41"/>
  <c r="L43" i="41"/>
  <c r="D43" i="41"/>
  <c r="E43" i="41"/>
  <c r="C54" i="41"/>
  <c r="C48" i="41"/>
  <c r="C58" i="41"/>
  <c r="C50" i="41"/>
  <c r="C53" i="41"/>
  <c r="D2" i="54"/>
  <c r="F246" i="53"/>
  <c r="F254" i="53" s="1"/>
  <c r="C56" i="41"/>
  <c r="C52" i="41"/>
  <c r="C57" i="41"/>
  <c r="C55" i="41"/>
  <c r="C49" i="41"/>
  <c r="C51" i="41"/>
  <c r="D2" i="51"/>
  <c r="C22" i="46" s="1"/>
  <c r="C47" i="41"/>
  <c r="C35" i="41"/>
  <c r="C26" i="41"/>
  <c r="C37" i="41"/>
  <c r="C27" i="41"/>
  <c r="C34" i="41"/>
  <c r="C44" i="41"/>
  <c r="C46" i="41"/>
  <c r="C43" i="41"/>
  <c r="C29" i="41"/>
  <c r="C32" i="41"/>
  <c r="F246" i="50"/>
  <c r="F254" i="50" s="1"/>
  <c r="C24" i="41"/>
  <c r="C28" i="41"/>
  <c r="C30" i="41"/>
  <c r="C31" i="41"/>
  <c r="C33" i="41"/>
  <c r="C23" i="41"/>
  <c r="C25" i="41"/>
  <c r="C36" i="41"/>
  <c r="G27" i="54"/>
  <c r="H27" i="54" s="1"/>
  <c r="C46" i="46" s="1"/>
  <c r="D46" i="46" s="1"/>
  <c r="E46" i="46" s="1"/>
  <c r="G46" i="46" s="1"/>
  <c r="O5" i="51"/>
  <c r="O7" i="51"/>
  <c r="E4" i="51"/>
  <c r="E22" i="46"/>
  <c r="O6" i="51"/>
  <c r="S6" i="54"/>
  <c r="E8" i="54"/>
  <c r="S5" i="54"/>
  <c r="S7" i="54"/>
  <c r="E6" i="54"/>
  <c r="Q5" i="54"/>
  <c r="Q7" i="54"/>
  <c r="Q6" i="54"/>
  <c r="G18" i="51"/>
  <c r="F31" i="51"/>
  <c r="N5" i="51"/>
  <c r="N7" i="51"/>
  <c r="D22" i="46"/>
  <c r="N6" i="51"/>
  <c r="E3" i="51"/>
  <c r="R6" i="54"/>
  <c r="R5" i="54"/>
  <c r="R7" i="54"/>
  <c r="E7" i="54"/>
  <c r="N5" i="54"/>
  <c r="N7" i="54"/>
  <c r="N6" i="54"/>
  <c r="E3" i="54"/>
  <c r="O5" i="54"/>
  <c r="O7" i="54"/>
  <c r="E4" i="54"/>
  <c r="O6" i="54"/>
  <c r="E6" i="51"/>
  <c r="Q5" i="51"/>
  <c r="Q7" i="51"/>
  <c r="Q6" i="51"/>
  <c r="R6" i="51"/>
  <c r="R5" i="51"/>
  <c r="R7" i="51"/>
  <c r="E7" i="51"/>
  <c r="G23" i="54"/>
  <c r="H23" i="54" s="1"/>
  <c r="C49" i="46" s="1"/>
  <c r="D49" i="46" s="1"/>
  <c r="E49" i="46" s="1"/>
  <c r="G49" i="46" s="1"/>
  <c r="S6" i="51"/>
  <c r="E8" i="51"/>
  <c r="S5" i="51"/>
  <c r="S7" i="51"/>
  <c r="G22" i="46"/>
  <c r="G27" i="46" l="1"/>
  <c r="H27" i="46" s="1"/>
  <c r="D47" i="46"/>
  <c r="D50" i="46"/>
  <c r="E50" i="46"/>
  <c r="M7" i="54"/>
  <c r="C41" i="46"/>
  <c r="E47" i="46"/>
  <c r="C36" i="51"/>
  <c r="O4" i="51" s="1"/>
  <c r="C35" i="51"/>
  <c r="R3" i="51" s="1"/>
  <c r="F31" i="54"/>
  <c r="F276" i="50"/>
  <c r="F277" i="50" s="1"/>
  <c r="M5" i="54"/>
  <c r="E2" i="54"/>
  <c r="E12" i="54" s="1"/>
  <c r="M6" i="54"/>
  <c r="M7" i="51"/>
  <c r="M5" i="51"/>
  <c r="M6" i="51"/>
  <c r="E2" i="51"/>
  <c r="E12" i="51" s="1"/>
  <c r="G34" i="46"/>
  <c r="G37" i="46"/>
  <c r="C35" i="54"/>
  <c r="F276" i="53"/>
  <c r="F277" i="53" s="1"/>
  <c r="H18" i="54"/>
  <c r="G31" i="54"/>
  <c r="H30" i="46"/>
  <c r="E28" i="46"/>
  <c r="E31" i="46"/>
  <c r="E34" i="46"/>
  <c r="E37" i="46"/>
  <c r="H18" i="51"/>
  <c r="G31" i="51"/>
  <c r="C28" i="46"/>
  <c r="C31" i="46"/>
  <c r="C34" i="46"/>
  <c r="C37" i="46"/>
  <c r="D28" i="46"/>
  <c r="D31" i="46"/>
  <c r="D34" i="46"/>
  <c r="D37" i="46"/>
  <c r="C36" i="54"/>
  <c r="G28" i="46" l="1"/>
  <c r="H28" i="46"/>
  <c r="I27" i="46"/>
  <c r="J27" i="46" s="1"/>
  <c r="J28" i="46" s="1"/>
  <c r="Q3" i="51"/>
  <c r="E43" i="46"/>
  <c r="E44" i="46" s="1"/>
  <c r="D43" i="46"/>
  <c r="D44" i="46" s="1"/>
  <c r="F43" i="46"/>
  <c r="F44" i="46" s="1"/>
  <c r="G43" i="46"/>
  <c r="G44" i="46" s="1"/>
  <c r="H43" i="46"/>
  <c r="H44" i="46" s="1"/>
  <c r="I43" i="46"/>
  <c r="I44" i="46" s="1"/>
  <c r="J43" i="46"/>
  <c r="J44" i="46" s="1"/>
  <c r="C43" i="46"/>
  <c r="C44" i="46" s="1"/>
  <c r="S3" i="51"/>
  <c r="M3" i="51"/>
  <c r="H49" i="46"/>
  <c r="G50" i="46"/>
  <c r="N3" i="51"/>
  <c r="U3" i="51"/>
  <c r="V3" i="51"/>
  <c r="O3" i="51"/>
  <c r="C47" i="46"/>
  <c r="C56" i="46"/>
  <c r="C50" i="46"/>
  <c r="C53" i="46"/>
  <c r="H46" i="46"/>
  <c r="G47" i="46"/>
  <c r="S4" i="51"/>
  <c r="U4" i="51"/>
  <c r="R4" i="51"/>
  <c r="N4" i="51"/>
  <c r="M4" i="51"/>
  <c r="Q4" i="51"/>
  <c r="T4" i="51"/>
  <c r="P4" i="51"/>
  <c r="V4" i="51"/>
  <c r="T3" i="51"/>
  <c r="P3" i="51"/>
  <c r="P3" i="54"/>
  <c r="T3" i="54"/>
  <c r="U3" i="54"/>
  <c r="V3" i="54"/>
  <c r="M3" i="54"/>
  <c r="Q3" i="54"/>
  <c r="R3" i="54"/>
  <c r="S3" i="54"/>
  <c r="N3" i="54"/>
  <c r="O3" i="54"/>
  <c r="T4" i="54"/>
  <c r="V4" i="54"/>
  <c r="U4" i="54"/>
  <c r="P4" i="54"/>
  <c r="R4" i="54"/>
  <c r="S4" i="54"/>
  <c r="N4" i="54"/>
  <c r="O4" i="54"/>
  <c r="Q4" i="54"/>
  <c r="M4" i="54"/>
  <c r="G31" i="46"/>
  <c r="I30" i="46"/>
  <c r="H31" i="46"/>
  <c r="C34" i="54"/>
  <c r="J24" i="46"/>
  <c r="J25" i="46" s="1"/>
  <c r="C24" i="46"/>
  <c r="C25" i="46" s="1"/>
  <c r="D24" i="46"/>
  <c r="D25" i="46" s="1"/>
  <c r="E24" i="46"/>
  <c r="E25" i="46" s="1"/>
  <c r="C34" i="51"/>
  <c r="F24" i="46"/>
  <c r="F25" i="46" s="1"/>
  <c r="G24" i="46"/>
  <c r="G25" i="46" s="1"/>
  <c r="H24" i="46"/>
  <c r="H25" i="46" s="1"/>
  <c r="I24" i="46"/>
  <c r="I25" i="46" s="1"/>
  <c r="I28" i="46" l="1"/>
  <c r="I46" i="46"/>
  <c r="H47" i="46"/>
  <c r="I49" i="46"/>
  <c r="H50" i="46"/>
  <c r="U2" i="54"/>
  <c r="V2" i="54"/>
  <c r="T2" i="54"/>
  <c r="P2" i="54"/>
  <c r="R2" i="54"/>
  <c r="S2" i="54"/>
  <c r="N2" i="54"/>
  <c r="O2" i="54"/>
  <c r="Q2" i="54"/>
  <c r="M2" i="54"/>
  <c r="V2" i="51"/>
  <c r="U2" i="51"/>
  <c r="T2" i="51"/>
  <c r="P2" i="51"/>
  <c r="S2" i="51"/>
  <c r="N2" i="51"/>
  <c r="M2" i="51"/>
  <c r="Q2" i="51"/>
  <c r="O2" i="51"/>
  <c r="R2" i="51"/>
  <c r="J30" i="46"/>
  <c r="J31" i="46" s="1"/>
  <c r="I31" i="46"/>
  <c r="J49" i="46" l="1"/>
  <c r="J50" i="46" s="1"/>
  <c r="I50" i="46"/>
  <c r="J46" i="46"/>
  <c r="J47" i="46" s="1"/>
  <c r="I47" i="46"/>
  <c r="D5" i="16"/>
  <c r="D8" i="16"/>
  <c r="D4" i="47"/>
  <c r="E206" i="16" l="1"/>
  <c r="J239" i="16" s="1"/>
  <c r="E193" i="16"/>
  <c r="E197" i="16"/>
  <c r="J230" i="16" s="1"/>
  <c r="J249" i="16" s="1"/>
  <c r="E201" i="16"/>
  <c r="J234" i="16" s="1"/>
  <c r="J253" i="16" s="1"/>
  <c r="E207" i="16"/>
  <c r="J240" i="16" s="1"/>
  <c r="J259" i="16" s="1"/>
  <c r="E208" i="16"/>
  <c r="J241" i="16" s="1"/>
  <c r="J260" i="16" s="1"/>
  <c r="E194" i="16"/>
  <c r="J227" i="16" s="1"/>
  <c r="J246" i="16" s="1"/>
  <c r="E198" i="16"/>
  <c r="J231" i="16" s="1"/>
  <c r="J250" i="16" s="1"/>
  <c r="E202" i="16"/>
  <c r="J235" i="16" s="1"/>
  <c r="J254" i="16" s="1"/>
  <c r="E195" i="16"/>
  <c r="J228" i="16" s="1"/>
  <c r="J247" i="16" s="1"/>
  <c r="E199" i="16"/>
  <c r="J232" i="16" s="1"/>
  <c r="J251" i="16" s="1"/>
  <c r="E203" i="16"/>
  <c r="J236" i="16" s="1"/>
  <c r="J255" i="16" s="1"/>
  <c r="D10" i="16"/>
  <c r="E204" i="16"/>
  <c r="J237" i="16" s="1"/>
  <c r="J256" i="16" s="1"/>
  <c r="E205" i="16"/>
  <c r="J238" i="16" s="1"/>
  <c r="J257" i="16" s="1"/>
  <c r="E200" i="16"/>
  <c r="J233" i="16" s="1"/>
  <c r="J252" i="16" s="1"/>
  <c r="F10" i="16"/>
  <c r="E196" i="16"/>
  <c r="J229" i="16" s="1"/>
  <c r="J248" i="16" s="1"/>
  <c r="B193" i="16"/>
  <c r="B197" i="16"/>
  <c r="C230" i="16" s="1"/>
  <c r="B201" i="16"/>
  <c r="C234" i="16" s="1"/>
  <c r="C253" i="16" s="1"/>
  <c r="B194" i="16"/>
  <c r="C227" i="16" s="1"/>
  <c r="C246" i="16" s="1"/>
  <c r="B198" i="16"/>
  <c r="C231" i="16" s="1"/>
  <c r="B202" i="16"/>
  <c r="C235" i="16" s="1"/>
  <c r="C254" i="16" s="1"/>
  <c r="D7" i="16"/>
  <c r="F7" i="16"/>
  <c r="B195" i="16"/>
  <c r="C228" i="16" s="1"/>
  <c r="C247" i="16" s="1"/>
  <c r="B199" i="16"/>
  <c r="C232" i="16" s="1"/>
  <c r="C251" i="16" s="1"/>
  <c r="B196" i="16"/>
  <c r="C229" i="16" s="1"/>
  <c r="C248" i="16" s="1"/>
  <c r="B200" i="16"/>
  <c r="C233" i="16" s="1"/>
  <c r="C252" i="16" s="1"/>
  <c r="B203" i="16" l="1"/>
  <c r="C226" i="16"/>
  <c r="C245" i="16" s="1"/>
  <c r="E209" i="16"/>
  <c r="J226" i="16"/>
  <c r="J245" i="16" s="1"/>
  <c r="K246" i="16"/>
  <c r="K253" i="16"/>
  <c r="L253" i="16" s="1"/>
  <c r="K249" i="16"/>
  <c r="L249" i="16" s="1"/>
  <c r="K255" i="16"/>
  <c r="L255" i="16" s="1"/>
  <c r="L258" i="16"/>
  <c r="K245" i="16"/>
  <c r="K252" i="16"/>
  <c r="L252" i="16" s="1"/>
  <c r="K248" i="16"/>
  <c r="L248" i="16" s="1"/>
  <c r="K251" i="16"/>
  <c r="L251" i="16" s="1"/>
  <c r="K256" i="16"/>
  <c r="L256" i="16" s="1"/>
  <c r="K259" i="16"/>
  <c r="L259" i="16" s="1"/>
  <c r="D271" i="16" s="1"/>
  <c r="K247" i="16"/>
  <c r="L247" i="16" s="1"/>
  <c r="K250" i="16"/>
  <c r="L250" i="16" s="1"/>
  <c r="K254" i="16"/>
  <c r="L254" i="16" s="1"/>
  <c r="K260" i="16"/>
  <c r="L260" i="16" s="1"/>
  <c r="D272" i="16" s="1"/>
  <c r="K257" i="16"/>
  <c r="L257" i="16" s="1"/>
  <c r="D248" i="16"/>
  <c r="E248" i="16" s="1"/>
  <c r="D270" i="16" s="1"/>
  <c r="D251" i="16"/>
  <c r="E251" i="16" s="1"/>
  <c r="D247" i="16"/>
  <c r="E247" i="16" s="1"/>
  <c r="E250" i="16"/>
  <c r="D254" i="16"/>
  <c r="E254" i="16" s="1"/>
  <c r="D269" i="16" s="1"/>
  <c r="D246" i="16"/>
  <c r="E246" i="16" s="1"/>
  <c r="D253" i="16"/>
  <c r="E253" i="16" s="1"/>
  <c r="D267" i="16" s="1"/>
  <c r="E249" i="16"/>
  <c r="D252" i="16"/>
  <c r="E252" i="16" s="1"/>
  <c r="D268" i="16" s="1"/>
  <c r="D245" i="16"/>
  <c r="L246" i="16"/>
  <c r="L245" i="16" l="1"/>
  <c r="E245" i="16"/>
  <c r="E270" i="16"/>
  <c r="F270" i="16" s="1"/>
  <c r="D271" i="47"/>
  <c r="E271" i="47" s="1"/>
  <c r="E268" i="16"/>
  <c r="F268" i="16" s="1"/>
  <c r="D269" i="47"/>
  <c r="E269" i="47" s="1"/>
  <c r="D272" i="47"/>
  <c r="E272" i="47" s="1"/>
  <c r="E271" i="16"/>
  <c r="F271" i="16" s="1"/>
  <c r="E267" i="16"/>
  <c r="F267" i="16" s="1"/>
  <c r="D268" i="47"/>
  <c r="E268" i="47" s="1"/>
  <c r="E272" i="16"/>
  <c r="F272" i="16" s="1"/>
  <c r="D273" i="47"/>
  <c r="E273" i="47" s="1"/>
  <c r="E269" i="16"/>
  <c r="F269" i="16" s="1"/>
  <c r="D270" i="47"/>
  <c r="E270" i="47" s="1"/>
  <c r="F273" i="16" l="1"/>
  <c r="E254" i="47"/>
  <c r="F268" i="47"/>
  <c r="L260" i="47"/>
  <c r="E29" i="42" s="1"/>
  <c r="F29" i="42" s="1"/>
  <c r="G29" i="42" s="1"/>
  <c r="F272" i="47"/>
  <c r="F269" i="47"/>
  <c r="E253" i="47"/>
  <c r="E255" i="47"/>
  <c r="F270" i="47"/>
  <c r="E249" i="47"/>
  <c r="F271" i="47"/>
  <c r="L261" i="47"/>
  <c r="E30" i="42" s="1"/>
  <c r="F30" i="42" s="1"/>
  <c r="G30" i="42" s="1"/>
  <c r="F273" i="47"/>
  <c r="H29" i="42" l="1"/>
  <c r="C38" i="42" s="1"/>
  <c r="H30" i="42"/>
  <c r="C39" i="42" s="1"/>
  <c r="L17" i="41"/>
  <c r="L18" i="41"/>
  <c r="D11" i="42"/>
  <c r="L16" i="41"/>
  <c r="J18" i="41"/>
  <c r="J16" i="41"/>
  <c r="D9" i="42"/>
  <c r="J17" i="41"/>
  <c r="D9" i="47"/>
  <c r="F274" i="47"/>
  <c r="D6" i="47"/>
  <c r="D5" i="42"/>
  <c r="F249" i="47"/>
  <c r="K17" i="41"/>
  <c r="D10" i="42"/>
  <c r="K18" i="41"/>
  <c r="K16" i="41"/>
  <c r="C14" i="46" l="1"/>
  <c r="D14" i="46" s="1"/>
  <c r="E14" i="46" s="1"/>
  <c r="G14" i="46" s="1"/>
  <c r="C17" i="46"/>
  <c r="D17" i="46" s="1"/>
  <c r="E17" i="46" s="1"/>
  <c r="G17" i="46" s="1"/>
  <c r="E196" i="47"/>
  <c r="J229" i="47" s="1"/>
  <c r="J248" i="47" s="1"/>
  <c r="E200" i="47"/>
  <c r="J233" i="47" s="1"/>
  <c r="J252" i="47" s="1"/>
  <c r="E204" i="47"/>
  <c r="J237" i="47" s="1"/>
  <c r="J256" i="47" s="1"/>
  <c r="D11" i="47"/>
  <c r="E205" i="47"/>
  <c r="J238" i="47" s="1"/>
  <c r="J257" i="47" s="1"/>
  <c r="F11" i="47"/>
  <c r="E197" i="47"/>
  <c r="J230" i="47" s="1"/>
  <c r="J249" i="47" s="1"/>
  <c r="E201" i="47"/>
  <c r="J234" i="47" s="1"/>
  <c r="J253" i="47" s="1"/>
  <c r="E206" i="47"/>
  <c r="J239" i="47" s="1"/>
  <c r="J258" i="47" s="1"/>
  <c r="E207" i="47"/>
  <c r="J240" i="47" s="1"/>
  <c r="E194" i="47"/>
  <c r="E198" i="47"/>
  <c r="J231" i="47" s="1"/>
  <c r="J250" i="47" s="1"/>
  <c r="E202" i="47"/>
  <c r="J235" i="47" s="1"/>
  <c r="J254" i="47" s="1"/>
  <c r="E208" i="47"/>
  <c r="J241" i="47" s="1"/>
  <c r="E209" i="47"/>
  <c r="J242" i="47" s="1"/>
  <c r="E195" i="47"/>
  <c r="J228" i="47" s="1"/>
  <c r="J247" i="47" s="1"/>
  <c r="E199" i="47"/>
  <c r="J232" i="47" s="1"/>
  <c r="J251" i="47" s="1"/>
  <c r="E203" i="47"/>
  <c r="J236" i="47" s="1"/>
  <c r="J255" i="47" s="1"/>
  <c r="E10" i="42"/>
  <c r="U5" i="42"/>
  <c r="U7" i="42"/>
  <c r="I3" i="46"/>
  <c r="U6" i="42"/>
  <c r="F3" i="46"/>
  <c r="E5" i="42"/>
  <c r="P6" i="42"/>
  <c r="P5" i="42"/>
  <c r="P7" i="42"/>
  <c r="F8" i="47"/>
  <c r="B196" i="47"/>
  <c r="C229" i="47" s="1"/>
  <c r="C248" i="47" s="1"/>
  <c r="B200" i="47"/>
  <c r="C233" i="47" s="1"/>
  <c r="C252" i="47" s="1"/>
  <c r="B197" i="47"/>
  <c r="C230" i="47" s="1"/>
  <c r="B201" i="47"/>
  <c r="C234" i="47" s="1"/>
  <c r="B194" i="47"/>
  <c r="B198" i="47"/>
  <c r="C231" i="47" s="1"/>
  <c r="B202" i="47"/>
  <c r="C235" i="47" s="1"/>
  <c r="D5" i="47"/>
  <c r="B195" i="47"/>
  <c r="C228" i="47" s="1"/>
  <c r="C247" i="47" s="1"/>
  <c r="B199" i="47"/>
  <c r="C232" i="47" s="1"/>
  <c r="B203" i="47"/>
  <c r="C236" i="47" s="1"/>
  <c r="D8" i="47"/>
  <c r="E9" i="42"/>
  <c r="T5" i="42"/>
  <c r="T7" i="42"/>
  <c r="H3" i="46"/>
  <c r="T6" i="42"/>
  <c r="V6" i="42"/>
  <c r="V5" i="42"/>
  <c r="V7" i="42"/>
  <c r="E11" i="42"/>
  <c r="J3" i="46"/>
  <c r="H14" i="46" l="1"/>
  <c r="B204" i="47"/>
  <c r="C227" i="47"/>
  <c r="C246" i="47" s="1"/>
  <c r="K251" i="47"/>
  <c r="L251" i="47" s="1"/>
  <c r="K252" i="47"/>
  <c r="L252" i="47" s="1"/>
  <c r="K255" i="47"/>
  <c r="L255" i="47" s="1"/>
  <c r="K257" i="47"/>
  <c r="L257" i="47" s="1"/>
  <c r="K250" i="47"/>
  <c r="L250" i="47" s="1"/>
  <c r="K254" i="47"/>
  <c r="L254" i="47" s="1"/>
  <c r="K249" i="47"/>
  <c r="L249" i="47" s="1"/>
  <c r="K256" i="47"/>
  <c r="L256" i="47" s="1"/>
  <c r="K258" i="47"/>
  <c r="L258" i="47" s="1"/>
  <c r="K246" i="47"/>
  <c r="K247" i="47"/>
  <c r="L247" i="47" s="1"/>
  <c r="K248" i="47"/>
  <c r="L248" i="47" s="1"/>
  <c r="K253" i="47"/>
  <c r="L253" i="47" s="1"/>
  <c r="E250" i="47"/>
  <c r="D246" i="47"/>
  <c r="D247" i="47"/>
  <c r="E247" i="47" s="1"/>
  <c r="D248" i="47"/>
  <c r="E248" i="47" s="1"/>
  <c r="D252" i="47"/>
  <c r="E252" i="47" s="1"/>
  <c r="E251" i="47"/>
  <c r="J227" i="47"/>
  <c r="J246" i="47" s="1"/>
  <c r="E210" i="47"/>
  <c r="H17" i="46" l="1"/>
  <c r="I17" i="46" s="1"/>
  <c r="I14" i="46"/>
  <c r="H15" i="46"/>
  <c r="L246" i="47"/>
  <c r="G3" i="41" s="1"/>
  <c r="E246" i="47"/>
  <c r="C5" i="41" s="1"/>
  <c r="E26" i="42"/>
  <c r="F26" i="42" s="1"/>
  <c r="M257" i="47"/>
  <c r="K14" i="41"/>
  <c r="J14" i="41"/>
  <c r="L14" i="41"/>
  <c r="E4" i="41"/>
  <c r="E8" i="41"/>
  <c r="E12" i="41"/>
  <c r="E16" i="41"/>
  <c r="E5" i="41"/>
  <c r="E9" i="41"/>
  <c r="E13" i="41"/>
  <c r="E17" i="41"/>
  <c r="E6" i="41"/>
  <c r="E10" i="41"/>
  <c r="E14" i="41"/>
  <c r="E18" i="41"/>
  <c r="F248" i="47"/>
  <c r="D4" i="42"/>
  <c r="E7" i="41"/>
  <c r="E11" i="41"/>
  <c r="E15" i="41"/>
  <c r="E19" i="42"/>
  <c r="F19" i="42" s="1"/>
  <c r="M250" i="47"/>
  <c r="J7" i="41"/>
  <c r="L7" i="41"/>
  <c r="K7" i="41"/>
  <c r="I6" i="41"/>
  <c r="I10" i="41"/>
  <c r="I14" i="41"/>
  <c r="I18" i="41"/>
  <c r="F252" i="47"/>
  <c r="I7" i="41"/>
  <c r="I11" i="41"/>
  <c r="I15" i="41"/>
  <c r="I4" i="41"/>
  <c r="I8" i="41"/>
  <c r="I12" i="41"/>
  <c r="I16" i="41"/>
  <c r="D8" i="42"/>
  <c r="I5" i="41"/>
  <c r="I9" i="41"/>
  <c r="I13" i="41"/>
  <c r="I17" i="41"/>
  <c r="D5" i="41"/>
  <c r="D9" i="41"/>
  <c r="D13" i="41"/>
  <c r="D17" i="41"/>
  <c r="D3" i="42"/>
  <c r="D6" i="41"/>
  <c r="D10" i="41"/>
  <c r="D14" i="41"/>
  <c r="D18" i="41"/>
  <c r="D7" i="41"/>
  <c r="D11" i="41"/>
  <c r="D15" i="41"/>
  <c r="F247" i="47"/>
  <c r="D8" i="41"/>
  <c r="D12" i="41"/>
  <c r="D16" i="41"/>
  <c r="D4" i="41"/>
  <c r="M253" i="47"/>
  <c r="E22" i="42"/>
  <c r="F22" i="42" s="1"/>
  <c r="K10" i="41"/>
  <c r="L10" i="41"/>
  <c r="J10" i="41"/>
  <c r="M255" i="47"/>
  <c r="E24" i="42"/>
  <c r="F24" i="42" s="1"/>
  <c r="K12" i="41"/>
  <c r="J12" i="41"/>
  <c r="L12" i="41"/>
  <c r="M249" i="47"/>
  <c r="E18" i="42"/>
  <c r="F18" i="42" s="1"/>
  <c r="K6" i="41"/>
  <c r="J6" i="41"/>
  <c r="F6" i="41"/>
  <c r="L6" i="41"/>
  <c r="E16" i="42"/>
  <c r="F16" i="42" s="1"/>
  <c r="M247" i="47"/>
  <c r="L4" i="41"/>
  <c r="K4" i="41"/>
  <c r="J4" i="41"/>
  <c r="M252" i="47"/>
  <c r="E21" i="42"/>
  <c r="F21" i="42" s="1"/>
  <c r="L9" i="41"/>
  <c r="J9" i="41"/>
  <c r="K9" i="41"/>
  <c r="G7" i="41"/>
  <c r="G11" i="41"/>
  <c r="G15" i="41"/>
  <c r="G4" i="41"/>
  <c r="G8" i="41"/>
  <c r="G12" i="41"/>
  <c r="G16" i="41"/>
  <c r="G5" i="41"/>
  <c r="G9" i="41"/>
  <c r="G13" i="41"/>
  <c r="G17" i="41"/>
  <c r="D6" i="42"/>
  <c r="G6" i="41"/>
  <c r="G10" i="41"/>
  <c r="G14" i="41"/>
  <c r="G18" i="41"/>
  <c r="E20" i="42"/>
  <c r="F20" i="42" s="1"/>
  <c r="M251" i="47"/>
  <c r="K8" i="41"/>
  <c r="J8" i="41"/>
  <c r="L8" i="41"/>
  <c r="M256" i="47"/>
  <c r="E25" i="42"/>
  <c r="F25" i="42" s="1"/>
  <c r="K13" i="41"/>
  <c r="L13" i="41"/>
  <c r="J13" i="41"/>
  <c r="H7" i="41"/>
  <c r="H11" i="41"/>
  <c r="H15" i="41"/>
  <c r="D7" i="42"/>
  <c r="H4" i="41"/>
  <c r="H8" i="41"/>
  <c r="H12" i="41"/>
  <c r="H16" i="41"/>
  <c r="H5" i="41"/>
  <c r="H9" i="41"/>
  <c r="H13" i="41"/>
  <c r="H17" i="41"/>
  <c r="H6" i="41"/>
  <c r="H18" i="41"/>
  <c r="H14" i="41"/>
  <c r="H10" i="41"/>
  <c r="E23" i="42"/>
  <c r="F23" i="42" s="1"/>
  <c r="M254" i="47"/>
  <c r="J11" i="41"/>
  <c r="L11" i="41"/>
  <c r="K11" i="41"/>
  <c r="M248" i="47"/>
  <c r="E17" i="42"/>
  <c r="F17" i="42" s="1"/>
  <c r="L5" i="41"/>
  <c r="J5" i="41"/>
  <c r="K5" i="41"/>
  <c r="M258" i="47"/>
  <c r="E27" i="42"/>
  <c r="F27" i="42" s="1"/>
  <c r="J15" i="41"/>
  <c r="L15" i="41"/>
  <c r="K15" i="41"/>
  <c r="H18" i="46" l="1"/>
  <c r="J17" i="46"/>
  <c r="J18" i="46" s="1"/>
  <c r="I18" i="46"/>
  <c r="J14" i="46"/>
  <c r="J15" i="46" s="1"/>
  <c r="I15" i="46"/>
  <c r="M246" i="47"/>
  <c r="M260" i="47" s="1"/>
  <c r="J3" i="41"/>
  <c r="K3" i="41"/>
  <c r="L3" i="41"/>
  <c r="E15" i="42"/>
  <c r="F15" i="42" s="1"/>
  <c r="F31" i="42" s="1"/>
  <c r="H3" i="41"/>
  <c r="I3" i="41"/>
  <c r="C17" i="41"/>
  <c r="C7" i="41"/>
  <c r="C8" i="41"/>
  <c r="C18" i="41"/>
  <c r="C9" i="41"/>
  <c r="C4" i="41"/>
  <c r="C14" i="41"/>
  <c r="C16" i="41"/>
  <c r="D2" i="42"/>
  <c r="C3" i="46" s="1"/>
  <c r="C10" i="41"/>
  <c r="C15" i="41"/>
  <c r="F246" i="47"/>
  <c r="F254" i="47" s="1"/>
  <c r="C6" i="41"/>
  <c r="C11" i="41"/>
  <c r="C13" i="41"/>
  <c r="C12" i="41"/>
  <c r="C3" i="41"/>
  <c r="E3" i="41"/>
  <c r="D3" i="41"/>
  <c r="Q6" i="42"/>
  <c r="E6" i="42"/>
  <c r="Q7" i="42"/>
  <c r="Q5" i="42"/>
  <c r="N6" i="42"/>
  <c r="E3" i="42"/>
  <c r="N5" i="42"/>
  <c r="N7" i="42"/>
  <c r="D3" i="46"/>
  <c r="R5" i="42"/>
  <c r="R7" i="42"/>
  <c r="E7" i="42"/>
  <c r="R6" i="42"/>
  <c r="S5" i="42"/>
  <c r="S7" i="42"/>
  <c r="G3" i="46"/>
  <c r="S6" i="42"/>
  <c r="E8" i="42"/>
  <c r="O6" i="42"/>
  <c r="O5" i="42"/>
  <c r="O7" i="42"/>
  <c r="E4" i="42"/>
  <c r="E3" i="46"/>
  <c r="G27" i="42"/>
  <c r="G23" i="42"/>
  <c r="G18" i="42" l="1"/>
  <c r="G31" i="42" s="1"/>
  <c r="M5" i="42"/>
  <c r="M6" i="42"/>
  <c r="M7" i="42"/>
  <c r="E2" i="42"/>
  <c r="E12" i="42" s="1"/>
  <c r="H27" i="42"/>
  <c r="C36" i="42" s="1"/>
  <c r="H23" i="42"/>
  <c r="C35" i="42" s="1"/>
  <c r="F276" i="47"/>
  <c r="F277" i="47" s="1"/>
  <c r="C15" i="46"/>
  <c r="C18" i="46"/>
  <c r="G15" i="46"/>
  <c r="G18" i="46"/>
  <c r="D15" i="46"/>
  <c r="D18" i="46"/>
  <c r="E15" i="46"/>
  <c r="E18" i="46"/>
  <c r="H18" i="42" l="1"/>
  <c r="I5" i="46" s="1"/>
  <c r="I6" i="46" s="1"/>
  <c r="C8" i="46"/>
  <c r="D8" i="46" s="1"/>
  <c r="E8" i="46" s="1"/>
  <c r="G8" i="46" s="1"/>
  <c r="H8" i="46" s="1"/>
  <c r="I8" i="46" s="1"/>
  <c r="J8" i="46" s="1"/>
  <c r="C11" i="46"/>
  <c r="D11" i="46" s="1"/>
  <c r="E11" i="46" s="1"/>
  <c r="G11" i="46" s="1"/>
  <c r="T3" i="42"/>
  <c r="V3" i="42"/>
  <c r="U3" i="42"/>
  <c r="P3" i="42"/>
  <c r="Q3" i="42"/>
  <c r="S3" i="42"/>
  <c r="R3" i="42"/>
  <c r="M3" i="42"/>
  <c r="O3" i="42"/>
  <c r="N3" i="42"/>
  <c r="U4" i="42"/>
  <c r="V4" i="42"/>
  <c r="T4" i="42"/>
  <c r="P4" i="42"/>
  <c r="R4" i="42"/>
  <c r="O4" i="42"/>
  <c r="M4" i="42"/>
  <c r="S4" i="42"/>
  <c r="N4" i="42"/>
  <c r="Q4" i="42"/>
  <c r="F5" i="46" l="1"/>
  <c r="F6" i="46" s="1"/>
  <c r="C34" i="42"/>
  <c r="V2" i="42" s="1"/>
  <c r="H5" i="46"/>
  <c r="H6" i="46" s="1"/>
  <c r="G5" i="46"/>
  <c r="G6" i="46" s="1"/>
  <c r="E5" i="46"/>
  <c r="E6" i="46" s="1"/>
  <c r="J5" i="46"/>
  <c r="J6" i="46" s="1"/>
  <c r="C5" i="46"/>
  <c r="C6" i="46" s="1"/>
  <c r="D5" i="46"/>
  <c r="D6" i="46" s="1"/>
  <c r="C9" i="46"/>
  <c r="D9" i="46"/>
  <c r="E9" i="46"/>
  <c r="C12" i="46"/>
  <c r="E12" i="46"/>
  <c r="D12" i="46"/>
  <c r="S2" i="42" l="1"/>
  <c r="R2" i="42"/>
  <c r="Q2" i="42"/>
  <c r="N2" i="42"/>
  <c r="O2" i="42"/>
  <c r="T2" i="42"/>
  <c r="U2" i="42"/>
  <c r="P2" i="42"/>
  <c r="M2" i="42"/>
  <c r="G9" i="46"/>
  <c r="H9" i="46"/>
  <c r="H11" i="46" l="1"/>
  <c r="G12" i="46"/>
  <c r="J9" i="46"/>
  <c r="I9" i="46"/>
  <c r="I11" i="46" l="1"/>
  <c r="H12" i="46"/>
  <c r="J11" i="46" l="1"/>
  <c r="J12" i="46" s="1"/>
  <c r="I12" i="46"/>
</calcChain>
</file>

<file path=xl/sharedStrings.xml><?xml version="1.0" encoding="utf-8"?>
<sst xmlns="http://schemas.openxmlformats.org/spreadsheetml/2006/main" count="3030" uniqueCount="525">
  <si>
    <t xml:space="preserve"> PREMISSAS</t>
  </si>
  <si>
    <t>1- Inicio (ano)</t>
  </si>
  <si>
    <t>2-  Fatores CWD</t>
  </si>
  <si>
    <t>% Postal</t>
  </si>
  <si>
    <t>% CWD</t>
  </si>
  <si>
    <t>3-  Alocação na entrada e saída</t>
  </si>
  <si>
    <t>Alocação Entrada</t>
  </si>
  <si>
    <t>Alocação saída</t>
  </si>
  <si>
    <t>4. Outros</t>
  </si>
  <si>
    <t>Fator de conversão (mil m³/MMBtu)</t>
  </si>
  <si>
    <t>Dias Operacionais (dias)</t>
  </si>
  <si>
    <t>5. Escolher Cenários</t>
  </si>
  <si>
    <t xml:space="preserve">Capacidade </t>
  </si>
  <si>
    <t>Tarifa</t>
  </si>
  <si>
    <t>Mil m³/dia</t>
  </si>
  <si>
    <t>R$/MMBtu</t>
  </si>
  <si>
    <t>Mil R$/Ano</t>
  </si>
  <si>
    <t>Malhas SE</t>
  </si>
  <si>
    <t>Malhas II</t>
  </si>
  <si>
    <t>Paulínia-Jacutinga</t>
  </si>
  <si>
    <t>GASDUC III</t>
  </si>
  <si>
    <t>GASTAU</t>
  </si>
  <si>
    <t>Poder Calorífico de Referência (MMBtu/m³)</t>
  </si>
  <si>
    <t>Duto / Estação</t>
  </si>
  <si>
    <t>PR-TECAB</t>
  </si>
  <si>
    <t>TECAB</t>
  </si>
  <si>
    <t>PR-GNLBGB</t>
  </si>
  <si>
    <t>PR-REDUC</t>
  </si>
  <si>
    <t>PR-CARAGUATATUBA</t>
  </si>
  <si>
    <t>PR-RPBC</t>
  </si>
  <si>
    <t>PR-GUAPIMIRIM</t>
  </si>
  <si>
    <t>Área de Concessão</t>
  </si>
  <si>
    <t>Comgás</t>
  </si>
  <si>
    <t>Gasmig</t>
  </si>
  <si>
    <t>Naturgy-RJ (CEG)</t>
  </si>
  <si>
    <t>Demanda em mil m3/dia - Saída</t>
  </si>
  <si>
    <t>Demanda em MMBtu/ano - Entrada</t>
  </si>
  <si>
    <t>Demanda em MMBtu/ano - Saída</t>
  </si>
  <si>
    <t>UF</t>
  </si>
  <si>
    <t>PONTOS DE ENTREGA</t>
  </si>
  <si>
    <t>ZONA</t>
  </si>
  <si>
    <t>EX1</t>
  </si>
  <si>
    <t>EX2</t>
  </si>
  <si>
    <t>EX3</t>
  </si>
  <si>
    <t>EX4</t>
  </si>
  <si>
    <t>EX5</t>
  </si>
  <si>
    <t>EX6</t>
  </si>
  <si>
    <t>EX7</t>
  </si>
  <si>
    <t>EX8</t>
  </si>
  <si>
    <t>EX9</t>
  </si>
  <si>
    <t>EX10</t>
  </si>
  <si>
    <t>EX11</t>
  </si>
  <si>
    <t>EX12</t>
  </si>
  <si>
    <t>EX13</t>
  </si>
  <si>
    <t>EX14</t>
  </si>
  <si>
    <t>EX15</t>
  </si>
  <si>
    <t>EX16</t>
  </si>
  <si>
    <t>Canoas</t>
  </si>
  <si>
    <t>MG</t>
  </si>
  <si>
    <t>PE-UTEJDF</t>
  </si>
  <si>
    <t>PE-JDF</t>
  </si>
  <si>
    <t>PE-BARBACE</t>
  </si>
  <si>
    <t>PE-SAOBRS2</t>
  </si>
  <si>
    <t>PE-BRUMADI</t>
  </si>
  <si>
    <t>PE-BETIM</t>
  </si>
  <si>
    <t>PE-REGAP</t>
  </si>
  <si>
    <t>PE-REGAP2</t>
  </si>
  <si>
    <t>PE-UTEIBIR</t>
  </si>
  <si>
    <t>PE-JACUTIN</t>
  </si>
  <si>
    <t>RJ</t>
  </si>
  <si>
    <t>PE-DCAXIAS</t>
  </si>
  <si>
    <t>PE-TERMOR2</t>
  </si>
  <si>
    <t>PE-TERMORJ</t>
  </si>
  <si>
    <t>PE-GUAPIMI</t>
  </si>
  <si>
    <t>PE-UTEMM</t>
  </si>
  <si>
    <t>PE-UTENF</t>
  </si>
  <si>
    <t>PE-JAPERI</t>
  </si>
  <si>
    <t>PE-JAPERI2</t>
  </si>
  <si>
    <t>PE-UTEBFLU</t>
  </si>
  <si>
    <t>PE-BMANSA2</t>
  </si>
  <si>
    <t>PE-CDACO</t>
  </si>
  <si>
    <t>PE-PARACAM</t>
  </si>
  <si>
    <t>PE-PIRAI</t>
  </si>
  <si>
    <t>PE-VREDOND</t>
  </si>
  <si>
    <t>PE-RESEND2</t>
  </si>
  <si>
    <t>PE-RIOFLOR</t>
  </si>
  <si>
    <t>PE-REDUC-H</t>
  </si>
  <si>
    <t>SP (NTS)</t>
  </si>
  <si>
    <t>PE-BRAGSP</t>
  </si>
  <si>
    <t>PE-CACAPAV</t>
  </si>
  <si>
    <t>PE-PINDA2</t>
  </si>
  <si>
    <t>PE-GUARATI</t>
  </si>
  <si>
    <t>PE-LORENA</t>
  </si>
  <si>
    <t>PE-CRUZEIR</t>
  </si>
  <si>
    <t>PE-TAUBATE</t>
  </si>
  <si>
    <t>PE-REVAP2</t>
  </si>
  <si>
    <t>PE-SJC</t>
  </si>
  <si>
    <t>PE-SUZANO</t>
  </si>
  <si>
    <t>PE-CAPUAVA</t>
  </si>
  <si>
    <t>PE-RECAP2</t>
  </si>
  <si>
    <t>PE-SBC2</t>
  </si>
  <si>
    <t>PE-SBCAMPO</t>
  </si>
  <si>
    <t>PE-CUBATAO</t>
  </si>
  <si>
    <t>PE-UTECUBA</t>
  </si>
  <si>
    <t>PE-RPBC</t>
  </si>
  <si>
    <t>SE</t>
  </si>
  <si>
    <t>AL</t>
  </si>
  <si>
    <t>PB</t>
  </si>
  <si>
    <t>Cálculo da Tarifa de Entrada-Saída (Postal)</t>
  </si>
  <si>
    <t>Ano</t>
  </si>
  <si>
    <t>Receita Total</t>
  </si>
  <si>
    <t>Milhões de Reais</t>
  </si>
  <si>
    <t>Receita Alocada para Entrada</t>
  </si>
  <si>
    <t>Milhões de Reais/ano</t>
  </si>
  <si>
    <t>Total da Reserva de Capacidade de Entrada Anual</t>
  </si>
  <si>
    <r>
      <t>Mil de m</t>
    </r>
    <r>
      <rPr>
        <vertAlign val="superscript"/>
        <sz val="11"/>
        <color theme="1"/>
        <rFont val="Calibri"/>
        <family val="2"/>
        <scheme val="minor"/>
      </rPr>
      <t>3</t>
    </r>
  </si>
  <si>
    <t>MMBTU</t>
  </si>
  <si>
    <t>Tarifa de Entrada Postal</t>
  </si>
  <si>
    <r>
      <t>R$/m</t>
    </r>
    <r>
      <rPr>
        <vertAlign val="superscript"/>
        <sz val="11"/>
        <color theme="1"/>
        <rFont val="Calibri"/>
        <family val="2"/>
        <scheme val="minor"/>
      </rPr>
      <t>3</t>
    </r>
  </si>
  <si>
    <t>Receita Alocada para Saída</t>
  </si>
  <si>
    <t>Total da Reserva de Capacidade de Saída Anual</t>
  </si>
  <si>
    <t>Tarifa de Saída Postal</t>
  </si>
  <si>
    <t>Proporção Postal:</t>
  </si>
  <si>
    <t>Step 1</t>
  </si>
  <si>
    <t>Define technical capacity at each entry and exit point; define forecasted booked capacity at each entry and exit point; [define (ex ante) the share of revenue to be collected from entry points and the share of revenue to be collected from exit points].</t>
  </si>
  <si>
    <t>Variable</t>
  </si>
  <si>
    <t>Description</t>
  </si>
  <si>
    <t>Capacity at entry entry point i</t>
  </si>
  <si>
    <t>Capacity at exit entry point j</t>
  </si>
  <si>
    <t>Forecasted Booked Capacity at entry point i</t>
  </si>
  <si>
    <t>Forecasted Booked Capacity at exit point j</t>
  </si>
  <si>
    <t>Code</t>
  </si>
  <si>
    <t>Entrada</t>
  </si>
  <si>
    <t>EN 02</t>
  </si>
  <si>
    <t>EN 03</t>
  </si>
  <si>
    <t>EN 04</t>
  </si>
  <si>
    <t>EN 05</t>
  </si>
  <si>
    <t>EN 07</t>
  </si>
  <si>
    <t>EN 09</t>
  </si>
  <si>
    <t>EN 10</t>
  </si>
  <si>
    <t>Zonas Saídas</t>
  </si>
  <si>
    <t>Step 2</t>
  </si>
  <si>
    <t>Calculate distance between each entry point and each exit point in the system</t>
  </si>
  <si>
    <t>Matrix of the distances from entrry i to exit j</t>
  </si>
  <si>
    <t>Step 3</t>
  </si>
  <si>
    <t>Proportion factor of entry point i</t>
  </si>
  <si>
    <t>Proportion factor of  exit zone j</t>
  </si>
  <si>
    <t>Formula:</t>
  </si>
  <si>
    <t>Value</t>
  </si>
  <si>
    <t>Step 4</t>
  </si>
  <si>
    <t>Capacity weighted average distance from entry i</t>
  </si>
  <si>
    <t>Capacity weighted average distance from entry j</t>
  </si>
  <si>
    <t>Step 5</t>
  </si>
  <si>
    <t>Is the weight of entry point i</t>
  </si>
  <si>
    <t>Is the weight of exit point j</t>
  </si>
  <si>
    <t>Step 6</t>
  </si>
  <si>
    <t>Allocate entry cost (respectively exit costs) by multiplying the total revenue to be collected from entry points by the weight of each entry point (respectively exit point)</t>
  </si>
  <si>
    <t>Is the revenue to be collected from entry point i</t>
  </si>
  <si>
    <t>Is the revenue to be collected from exit point j</t>
  </si>
  <si>
    <t>Step 7</t>
  </si>
  <si>
    <t>Determine tariffs by dividing revenue to be collected from a point by its forecasted booked capacity</t>
  </si>
  <si>
    <t>Is the tariff at entry point i</t>
  </si>
  <si>
    <t>Is the tariff at exit point j</t>
  </si>
  <si>
    <t>Ponto de Entrada</t>
  </si>
  <si>
    <t>Zona de Saída</t>
  </si>
  <si>
    <t>Desconto na(s) Interconexão(ões)</t>
  </si>
  <si>
    <t>TEN1</t>
  </si>
  <si>
    <t>TEN2</t>
  </si>
  <si>
    <t>TEN3</t>
  </si>
  <si>
    <t>TEN4</t>
  </si>
  <si>
    <t>TEN5</t>
  </si>
  <si>
    <t>TEN6</t>
  </si>
  <si>
    <t>TEN7</t>
  </si>
  <si>
    <t>TEN8</t>
  </si>
  <si>
    <t>TEN9</t>
  </si>
  <si>
    <t>TEN10</t>
  </si>
  <si>
    <t>DE</t>
  </si>
  <si>
    <t>PARA</t>
  </si>
  <si>
    <t>Distância (km)</t>
  </si>
  <si>
    <t>Fluxo 1</t>
  </si>
  <si>
    <t>Capac. 1</t>
  </si>
  <si>
    <t>Fluxo2</t>
  </si>
  <si>
    <t>Capac. 2</t>
  </si>
  <si>
    <t>Limite Capac.</t>
  </si>
  <si>
    <t>ID_ARCO</t>
  </si>
  <si>
    <t>ID_NÓ</t>
  </si>
  <si>
    <t>MS 1</t>
  </si>
  <si>
    <t>SP 1</t>
  </si>
  <si>
    <t>SP 2</t>
  </si>
  <si>
    <t>SP 3</t>
  </si>
  <si>
    <t>SP 4</t>
  </si>
  <si>
    <t>PR 1</t>
  </si>
  <si>
    <t>SC 1</t>
  </si>
  <si>
    <t>SC 2</t>
  </si>
  <si>
    <t>RS 1</t>
  </si>
  <si>
    <t>MG 4</t>
  </si>
  <si>
    <t/>
  </si>
  <si>
    <t>RJ 4</t>
  </si>
  <si>
    <t>RJ 2</t>
  </si>
  <si>
    <t>RJ 3</t>
  </si>
  <si>
    <t>MG 3</t>
  </si>
  <si>
    <t>MG 2</t>
  </si>
  <si>
    <t>MG 1</t>
  </si>
  <si>
    <t>RJ 5</t>
  </si>
  <si>
    <t>RJ 1</t>
  </si>
  <si>
    <t>ES1</t>
  </si>
  <si>
    <t>ES3</t>
  </si>
  <si>
    <t>ES2</t>
  </si>
  <si>
    <t>BA1</t>
  </si>
  <si>
    <t>BA5</t>
  </si>
  <si>
    <t>BA4</t>
  </si>
  <si>
    <t>BA3</t>
  </si>
  <si>
    <t>BA2</t>
  </si>
  <si>
    <t>PE1</t>
  </si>
  <si>
    <t>PE2</t>
  </si>
  <si>
    <t>RN1</t>
  </si>
  <si>
    <t>RN2</t>
  </si>
  <si>
    <t>RN3</t>
  </si>
  <si>
    <t>CE1</t>
  </si>
  <si>
    <t>CE2</t>
  </si>
  <si>
    <t>Cenário 1 - Referência</t>
  </si>
  <si>
    <t>INTERCONEXÃO NTS-TAG (TECAB)</t>
  </si>
  <si>
    <t>INTERCONEXÃO NTS-TBG (REPLAN)</t>
  </si>
  <si>
    <t>INTERCONEXÃO NTS-TAG (GUARAREMA)</t>
  </si>
  <si>
    <t>GASPAJ</t>
  </si>
  <si>
    <t>Capacidade Técnica</t>
  </si>
  <si>
    <t>NTS MG 1</t>
  </si>
  <si>
    <t>NTS MG 2</t>
  </si>
  <si>
    <t>NTS MG 3</t>
  </si>
  <si>
    <t>NTS MG 4</t>
  </si>
  <si>
    <t>NTS RJ 1</t>
  </si>
  <si>
    <t>NTS RJ 2</t>
  </si>
  <si>
    <t>NTS RJ 3</t>
  </si>
  <si>
    <t>NTS RJ 4</t>
  </si>
  <si>
    <t>NTS RJ 5</t>
  </si>
  <si>
    <t>NTS SP 1</t>
  </si>
  <si>
    <t>NTS SP 2</t>
  </si>
  <si>
    <t>NTS SP 3</t>
  </si>
  <si>
    <t>NTS SP 4</t>
  </si>
  <si>
    <t>REDUC</t>
  </si>
  <si>
    <t>RPBC</t>
  </si>
  <si>
    <t>REPLAN</t>
  </si>
  <si>
    <t>GUARAREMA</t>
  </si>
  <si>
    <t>CAMPOS ELÍSEOS</t>
  </si>
  <si>
    <t>Total</t>
  </si>
  <si>
    <t>RECEITAS - NTS</t>
  </si>
  <si>
    <t>[Base diária]</t>
  </si>
  <si>
    <t>[Base anual]</t>
  </si>
  <si>
    <t>EN 01</t>
  </si>
  <si>
    <t>EN 06</t>
  </si>
  <si>
    <t>EN 08</t>
  </si>
  <si>
    <t>E-RD-6711</t>
  </si>
  <si>
    <t>PR-REPLAN</t>
  </si>
  <si>
    <t>PR-GASPAJ</t>
  </si>
  <si>
    <t>PR-CARAGUA</t>
  </si>
  <si>
    <t>PR-GUARARE</t>
  </si>
  <si>
    <t>GUAPIMIRIM</t>
  </si>
  <si>
    <t>JAPERI</t>
  </si>
  <si>
    <t>GASINF</t>
  </si>
  <si>
    <t>CABIUNAS</t>
  </si>
  <si>
    <t>R-RD-6711</t>
  </si>
  <si>
    <t>PR-CARAGUA-TATUBA</t>
  </si>
  <si>
    <t>BC
[MMBTU]</t>
  </si>
  <si>
    <t>T</t>
  </si>
  <si>
    <t>BC total UF</t>
  </si>
  <si>
    <t>R</t>
  </si>
  <si>
    <t>R total UF</t>
  </si>
  <si>
    <t>Tponderada</t>
  </si>
  <si>
    <t>SP</t>
  </si>
  <si>
    <t>Matriz de distâncias do traçado</t>
  </si>
  <si>
    <t>PE-GD3CEL</t>
  </si>
  <si>
    <t>PR-GD3CEL</t>
  </si>
  <si>
    <t>PE-GUARARE</t>
  </si>
  <si>
    <t>PE-REPLAN</t>
  </si>
  <si>
    <t>PR-GUARAREMA (INTERCONEXÃO)</t>
  </si>
  <si>
    <t>PR-TECAB (INTERCONEXÃO)</t>
  </si>
  <si>
    <t>PR-REPLAN (INTERCONEXÃO)</t>
  </si>
  <si>
    <t>PE-TECAB (INTERCONEXÃO)</t>
  </si>
  <si>
    <t>PE-REPLAN (INTERCONEXÃO)</t>
  </si>
  <si>
    <t>PE-GUARAREMA (INTERCONEXÃO)</t>
  </si>
  <si>
    <r>
      <t>R</t>
    </r>
    <r>
      <rPr>
        <i/>
        <vertAlign val="subscript"/>
        <sz val="11"/>
        <color theme="1"/>
        <rFont val="Calibri"/>
        <family val="2"/>
        <scheme val="minor"/>
      </rPr>
      <t>total</t>
    </r>
  </si>
  <si>
    <r>
      <t>R</t>
    </r>
    <r>
      <rPr>
        <i/>
        <vertAlign val="subscript"/>
        <sz val="11"/>
        <color theme="1"/>
        <rFont val="Calibri"/>
        <family val="2"/>
        <scheme val="minor"/>
      </rPr>
      <t>en</t>
    </r>
  </si>
  <si>
    <r>
      <t>BC</t>
    </r>
    <r>
      <rPr>
        <i/>
        <vertAlign val="subscript"/>
        <sz val="11"/>
        <color theme="1"/>
        <rFont val="Calibri"/>
        <family val="2"/>
        <scheme val="minor"/>
      </rPr>
      <t>∑En</t>
    </r>
  </si>
  <si>
    <r>
      <t>T</t>
    </r>
    <r>
      <rPr>
        <i/>
        <vertAlign val="subscript"/>
        <sz val="11"/>
        <color theme="1"/>
        <rFont val="Calibri"/>
        <family val="2"/>
        <scheme val="minor"/>
      </rPr>
      <t>en</t>
    </r>
  </si>
  <si>
    <r>
      <t>R</t>
    </r>
    <r>
      <rPr>
        <i/>
        <vertAlign val="subscript"/>
        <sz val="11"/>
        <color theme="1"/>
        <rFont val="Calibri"/>
        <family val="2"/>
        <scheme val="minor"/>
      </rPr>
      <t>ex</t>
    </r>
  </si>
  <si>
    <r>
      <t>BC</t>
    </r>
    <r>
      <rPr>
        <i/>
        <vertAlign val="subscript"/>
        <sz val="11"/>
        <color theme="1"/>
        <rFont val="Calibri"/>
        <family val="2"/>
        <scheme val="minor"/>
      </rPr>
      <t>∑Ex</t>
    </r>
  </si>
  <si>
    <r>
      <t>T</t>
    </r>
    <r>
      <rPr>
        <i/>
        <vertAlign val="subscript"/>
        <sz val="11"/>
        <color theme="1"/>
        <rFont val="Calibri"/>
        <family val="2"/>
        <scheme val="minor"/>
      </rPr>
      <t>ex</t>
    </r>
  </si>
  <si>
    <r>
      <t>CEN</t>
    </r>
    <r>
      <rPr>
        <vertAlign val="subscript"/>
        <sz val="11"/>
        <color theme="1"/>
        <rFont val="Calibri"/>
        <family val="2"/>
        <scheme val="minor"/>
      </rPr>
      <t>i</t>
    </r>
  </si>
  <si>
    <r>
      <t>CEX</t>
    </r>
    <r>
      <rPr>
        <vertAlign val="subscript"/>
        <sz val="11"/>
        <color theme="1"/>
        <rFont val="Calibri"/>
        <family val="2"/>
        <scheme val="minor"/>
      </rPr>
      <t>j</t>
    </r>
  </si>
  <si>
    <r>
      <t>BCEN</t>
    </r>
    <r>
      <rPr>
        <vertAlign val="subscript"/>
        <sz val="11"/>
        <color theme="1"/>
        <rFont val="Calibri"/>
        <family val="2"/>
        <scheme val="minor"/>
      </rPr>
      <t>i</t>
    </r>
  </si>
  <si>
    <r>
      <t>BCEX</t>
    </r>
    <r>
      <rPr>
        <vertAlign val="subscript"/>
        <sz val="11"/>
        <color theme="1"/>
        <rFont val="Calibri"/>
        <family val="2"/>
        <scheme val="minor"/>
      </rPr>
      <t>j</t>
    </r>
  </si>
  <si>
    <r>
      <t>CEN</t>
    </r>
    <r>
      <rPr>
        <vertAlign val="subscript"/>
        <sz val="12"/>
        <color theme="0"/>
        <rFont val="Calibri"/>
        <family val="2"/>
        <scheme val="minor"/>
      </rPr>
      <t>i</t>
    </r>
    <r>
      <rPr>
        <sz val="12"/>
        <color theme="0"/>
        <rFont val="Calibri"/>
        <family val="2"/>
        <scheme val="minor"/>
      </rPr>
      <t xml:space="preserve">
[mil m³@9.400]</t>
    </r>
  </si>
  <si>
    <r>
      <t>BCEN</t>
    </r>
    <r>
      <rPr>
        <vertAlign val="subscript"/>
        <sz val="12"/>
        <color theme="0"/>
        <rFont val="Calibri"/>
        <family val="2"/>
        <scheme val="minor"/>
      </rPr>
      <t>i</t>
    </r>
    <r>
      <rPr>
        <sz val="12"/>
        <color theme="0"/>
        <rFont val="Calibri"/>
        <family val="2"/>
        <scheme val="minor"/>
      </rPr>
      <t xml:space="preserve">
[mil m³@9.400]</t>
    </r>
  </si>
  <si>
    <r>
      <t>CEN</t>
    </r>
    <r>
      <rPr>
        <vertAlign val="subscript"/>
        <sz val="12"/>
        <color theme="0"/>
        <rFont val="Calibri"/>
        <family val="2"/>
        <scheme val="minor"/>
      </rPr>
      <t>i</t>
    </r>
    <r>
      <rPr>
        <sz val="12"/>
        <color theme="0"/>
        <rFont val="Calibri"/>
        <family val="2"/>
        <scheme val="minor"/>
      </rPr>
      <t xml:space="preserve">
[MMBTU]</t>
    </r>
  </si>
  <si>
    <r>
      <t>BCEN</t>
    </r>
    <r>
      <rPr>
        <vertAlign val="subscript"/>
        <sz val="12"/>
        <color theme="0"/>
        <rFont val="Calibri"/>
        <family val="2"/>
        <scheme val="minor"/>
      </rPr>
      <t>i</t>
    </r>
    <r>
      <rPr>
        <sz val="12"/>
        <color theme="0"/>
        <rFont val="Calibri"/>
        <family val="2"/>
        <scheme val="minor"/>
      </rPr>
      <t xml:space="preserve">
[MMBTU]</t>
    </r>
  </si>
  <si>
    <r>
      <t>CEX</t>
    </r>
    <r>
      <rPr>
        <vertAlign val="subscript"/>
        <sz val="12"/>
        <color theme="0"/>
        <rFont val="Calibri"/>
        <family val="2"/>
        <scheme val="minor"/>
      </rPr>
      <t>i</t>
    </r>
    <r>
      <rPr>
        <sz val="12"/>
        <color theme="0"/>
        <rFont val="Calibri"/>
        <family val="2"/>
        <scheme val="minor"/>
      </rPr>
      <t xml:space="preserve">
[mil m³@9.400]</t>
    </r>
  </si>
  <si>
    <r>
      <t>BCEX</t>
    </r>
    <r>
      <rPr>
        <vertAlign val="subscript"/>
        <sz val="12"/>
        <color theme="0"/>
        <rFont val="Calibri"/>
        <family val="2"/>
        <scheme val="minor"/>
      </rPr>
      <t>i</t>
    </r>
    <r>
      <rPr>
        <sz val="12"/>
        <color theme="0"/>
        <rFont val="Calibri"/>
        <family val="2"/>
        <scheme val="minor"/>
      </rPr>
      <t xml:space="preserve">
[ml m³@9.400]</t>
    </r>
  </si>
  <si>
    <r>
      <t>CEX</t>
    </r>
    <r>
      <rPr>
        <vertAlign val="subscript"/>
        <sz val="12"/>
        <color theme="0"/>
        <rFont val="Calibri"/>
        <family val="2"/>
        <scheme val="minor"/>
      </rPr>
      <t>i</t>
    </r>
    <r>
      <rPr>
        <sz val="12"/>
        <color theme="0"/>
        <rFont val="Calibri"/>
        <family val="2"/>
        <scheme val="minor"/>
      </rPr>
      <t xml:space="preserve">
[MMBTU]</t>
    </r>
  </si>
  <si>
    <r>
      <t>BCEX</t>
    </r>
    <r>
      <rPr>
        <vertAlign val="subscript"/>
        <sz val="12"/>
        <color theme="0"/>
        <rFont val="Calibri"/>
        <family val="2"/>
        <scheme val="minor"/>
      </rPr>
      <t>i</t>
    </r>
    <r>
      <rPr>
        <sz val="12"/>
        <color theme="0"/>
        <rFont val="Calibri"/>
        <family val="2"/>
        <scheme val="minor"/>
      </rPr>
      <t xml:space="preserve">
[MMBTU]</t>
    </r>
  </si>
  <si>
    <r>
      <t>[DEN</t>
    </r>
    <r>
      <rPr>
        <vertAlign val="subscript"/>
        <sz val="11"/>
        <color theme="1"/>
        <rFont val="Calibri"/>
        <family val="2"/>
        <scheme val="minor"/>
      </rPr>
      <t>i</t>
    </r>
    <r>
      <rPr>
        <sz val="11"/>
        <color theme="1"/>
        <rFont val="Calibri"/>
        <family val="2"/>
        <scheme val="minor"/>
      </rPr>
      <t>EX</t>
    </r>
    <r>
      <rPr>
        <vertAlign val="subscript"/>
        <sz val="11"/>
        <color theme="1"/>
        <rFont val="Calibri"/>
        <family val="2"/>
        <scheme val="minor"/>
      </rPr>
      <t>j</t>
    </r>
    <r>
      <rPr>
        <sz val="11"/>
        <color theme="1"/>
        <rFont val="Calibri"/>
        <family val="2"/>
        <scheme val="minor"/>
      </rPr>
      <t>]</t>
    </r>
  </si>
  <si>
    <r>
      <t>PEN</t>
    </r>
    <r>
      <rPr>
        <vertAlign val="subscript"/>
        <sz val="11"/>
        <color theme="1"/>
        <rFont val="Calibri"/>
        <family val="2"/>
        <scheme val="minor"/>
      </rPr>
      <t>i</t>
    </r>
  </si>
  <si>
    <r>
      <t>PEX</t>
    </r>
    <r>
      <rPr>
        <vertAlign val="subscript"/>
        <sz val="11"/>
        <color theme="1"/>
        <rFont val="Calibri"/>
        <family val="2"/>
        <scheme val="minor"/>
      </rPr>
      <t xml:space="preserve"> j</t>
    </r>
  </si>
  <si>
    <r>
      <t>[PEN</t>
    </r>
    <r>
      <rPr>
        <vertAlign val="subscript"/>
        <sz val="11"/>
        <color rgb="FFFFFFFF"/>
        <rFont val="Calibri"/>
        <family val="2"/>
      </rPr>
      <t>i</t>
    </r>
    <r>
      <rPr>
        <sz val="11"/>
        <color rgb="FFFFFFFF"/>
        <rFont val="Calibri"/>
        <family val="2"/>
      </rPr>
      <t>]</t>
    </r>
  </si>
  <si>
    <r>
      <t>[PEX</t>
    </r>
    <r>
      <rPr>
        <vertAlign val="subscript"/>
        <sz val="11"/>
        <color rgb="FFFFFFFF"/>
        <rFont val="Calibri"/>
        <family val="2"/>
      </rPr>
      <t>j</t>
    </r>
    <r>
      <rPr>
        <sz val="11"/>
        <color rgb="FFFFFFFF"/>
        <rFont val="Calibri"/>
        <family val="2"/>
      </rPr>
      <t>]</t>
    </r>
  </si>
  <si>
    <r>
      <t>PEN</t>
    </r>
    <r>
      <rPr>
        <vertAlign val="subscript"/>
        <sz val="11"/>
        <color theme="1"/>
        <rFont val="Calibri"/>
        <family val="2"/>
        <scheme val="minor"/>
      </rPr>
      <t>1</t>
    </r>
  </si>
  <si>
    <r>
      <t>PEN</t>
    </r>
    <r>
      <rPr>
        <vertAlign val="subscript"/>
        <sz val="11"/>
        <color theme="1"/>
        <rFont val="Calibri"/>
        <family val="2"/>
        <scheme val="minor"/>
      </rPr>
      <t>2</t>
    </r>
    <r>
      <rPr>
        <sz val="11"/>
        <color theme="1"/>
        <rFont val="Calibri"/>
        <family val="2"/>
        <scheme val="minor"/>
      </rPr>
      <t/>
    </r>
  </si>
  <si>
    <r>
      <t>PEN</t>
    </r>
    <r>
      <rPr>
        <vertAlign val="subscript"/>
        <sz val="11"/>
        <color theme="1"/>
        <rFont val="Calibri"/>
        <family val="2"/>
        <scheme val="minor"/>
      </rPr>
      <t>3</t>
    </r>
    <r>
      <rPr>
        <sz val="11"/>
        <color theme="1"/>
        <rFont val="Calibri"/>
        <family val="2"/>
        <scheme val="minor"/>
      </rPr>
      <t/>
    </r>
  </si>
  <si>
    <r>
      <t>PEN</t>
    </r>
    <r>
      <rPr>
        <vertAlign val="subscript"/>
        <sz val="11"/>
        <color theme="1"/>
        <rFont val="Calibri"/>
        <family val="2"/>
        <scheme val="minor"/>
      </rPr>
      <t>4</t>
    </r>
    <r>
      <rPr>
        <sz val="11"/>
        <color theme="1"/>
        <rFont val="Calibri"/>
        <family val="2"/>
        <scheme val="minor"/>
      </rPr>
      <t/>
    </r>
  </si>
  <si>
    <r>
      <t>PEN</t>
    </r>
    <r>
      <rPr>
        <vertAlign val="subscript"/>
        <sz val="11"/>
        <color theme="1"/>
        <rFont val="Calibri"/>
        <family val="2"/>
        <scheme val="minor"/>
      </rPr>
      <t>5</t>
    </r>
    <r>
      <rPr>
        <sz val="11"/>
        <color theme="1"/>
        <rFont val="Calibri"/>
        <family val="2"/>
        <scheme val="minor"/>
      </rPr>
      <t/>
    </r>
  </si>
  <si>
    <r>
      <t>PEN</t>
    </r>
    <r>
      <rPr>
        <vertAlign val="subscript"/>
        <sz val="11"/>
        <color theme="1"/>
        <rFont val="Calibri"/>
        <family val="2"/>
        <scheme val="minor"/>
      </rPr>
      <t>6</t>
    </r>
    <r>
      <rPr>
        <sz val="11"/>
        <color theme="1"/>
        <rFont val="Calibri"/>
        <family val="2"/>
        <scheme val="minor"/>
      </rPr>
      <t/>
    </r>
  </si>
  <si>
    <r>
      <t>PEN</t>
    </r>
    <r>
      <rPr>
        <vertAlign val="subscript"/>
        <sz val="11"/>
        <color theme="1"/>
        <rFont val="Calibri"/>
        <family val="2"/>
        <scheme val="minor"/>
      </rPr>
      <t>7</t>
    </r>
    <r>
      <rPr>
        <sz val="11"/>
        <color theme="1"/>
        <rFont val="Calibri"/>
        <family val="2"/>
        <scheme val="minor"/>
      </rPr>
      <t/>
    </r>
  </si>
  <si>
    <r>
      <t>PEN</t>
    </r>
    <r>
      <rPr>
        <vertAlign val="subscript"/>
        <sz val="11"/>
        <color theme="1"/>
        <rFont val="Calibri"/>
        <family val="2"/>
        <scheme val="minor"/>
      </rPr>
      <t>8</t>
    </r>
    <r>
      <rPr>
        <sz val="11"/>
        <color theme="1"/>
        <rFont val="Calibri"/>
        <family val="2"/>
        <scheme val="minor"/>
      </rPr>
      <t/>
    </r>
  </si>
  <si>
    <r>
      <t>PEN</t>
    </r>
    <r>
      <rPr>
        <vertAlign val="subscript"/>
        <sz val="11"/>
        <color theme="1"/>
        <rFont val="Calibri"/>
        <family val="2"/>
        <scheme val="minor"/>
      </rPr>
      <t>9</t>
    </r>
    <r>
      <rPr>
        <sz val="11"/>
        <color theme="1"/>
        <rFont val="Calibri"/>
        <family val="2"/>
        <scheme val="minor"/>
      </rPr>
      <t/>
    </r>
  </si>
  <si>
    <r>
      <t>PEN</t>
    </r>
    <r>
      <rPr>
        <vertAlign val="subscript"/>
        <sz val="11"/>
        <color theme="1"/>
        <rFont val="Calibri"/>
        <family val="2"/>
        <scheme val="minor"/>
      </rPr>
      <t>10</t>
    </r>
    <r>
      <rPr>
        <sz val="11"/>
        <color theme="1"/>
        <rFont val="Calibri"/>
        <family val="2"/>
        <scheme val="minor"/>
      </rPr>
      <t/>
    </r>
  </si>
  <si>
    <r>
      <t>PEX</t>
    </r>
    <r>
      <rPr>
        <vertAlign val="subscript"/>
        <sz val="11"/>
        <color theme="1"/>
        <rFont val="Calibri"/>
        <family val="2"/>
        <scheme val="minor"/>
      </rPr>
      <t>1</t>
    </r>
  </si>
  <si>
    <r>
      <t>PEX</t>
    </r>
    <r>
      <rPr>
        <vertAlign val="subscript"/>
        <sz val="11"/>
        <color theme="1"/>
        <rFont val="Calibri"/>
        <family val="2"/>
        <scheme val="minor"/>
      </rPr>
      <t>2</t>
    </r>
    <r>
      <rPr>
        <sz val="11"/>
        <color theme="1"/>
        <rFont val="Calibri"/>
        <family val="2"/>
        <scheme val="minor"/>
      </rPr>
      <t/>
    </r>
  </si>
  <si>
    <r>
      <t>PEX</t>
    </r>
    <r>
      <rPr>
        <vertAlign val="subscript"/>
        <sz val="11"/>
        <color theme="1"/>
        <rFont val="Calibri"/>
        <family val="2"/>
        <scheme val="minor"/>
      </rPr>
      <t>3</t>
    </r>
    <r>
      <rPr>
        <sz val="11"/>
        <color theme="1"/>
        <rFont val="Calibri"/>
        <family val="2"/>
        <scheme val="minor"/>
      </rPr>
      <t/>
    </r>
  </si>
  <si>
    <r>
      <t>PEX</t>
    </r>
    <r>
      <rPr>
        <vertAlign val="subscript"/>
        <sz val="11"/>
        <color theme="1"/>
        <rFont val="Calibri"/>
        <family val="2"/>
        <scheme val="minor"/>
      </rPr>
      <t>4</t>
    </r>
    <r>
      <rPr>
        <sz val="11"/>
        <color theme="1"/>
        <rFont val="Calibri"/>
        <family val="2"/>
        <scheme val="minor"/>
      </rPr>
      <t/>
    </r>
  </si>
  <si>
    <r>
      <t>PEX</t>
    </r>
    <r>
      <rPr>
        <vertAlign val="subscript"/>
        <sz val="11"/>
        <color theme="1"/>
        <rFont val="Calibri"/>
        <family val="2"/>
        <scheme val="minor"/>
      </rPr>
      <t>5</t>
    </r>
    <r>
      <rPr>
        <sz val="11"/>
        <color theme="1"/>
        <rFont val="Calibri"/>
        <family val="2"/>
        <scheme val="minor"/>
      </rPr>
      <t/>
    </r>
  </si>
  <si>
    <r>
      <t>PEX</t>
    </r>
    <r>
      <rPr>
        <vertAlign val="subscript"/>
        <sz val="11"/>
        <color theme="1"/>
        <rFont val="Calibri"/>
        <family val="2"/>
        <scheme val="minor"/>
      </rPr>
      <t>6</t>
    </r>
    <r>
      <rPr>
        <sz val="11"/>
        <color theme="1"/>
        <rFont val="Calibri"/>
        <family val="2"/>
        <scheme val="minor"/>
      </rPr>
      <t/>
    </r>
  </si>
  <si>
    <r>
      <t>PEX</t>
    </r>
    <r>
      <rPr>
        <vertAlign val="subscript"/>
        <sz val="11"/>
        <color theme="1"/>
        <rFont val="Calibri"/>
        <family val="2"/>
        <scheme val="minor"/>
      </rPr>
      <t>7</t>
    </r>
    <r>
      <rPr>
        <sz val="11"/>
        <color theme="1"/>
        <rFont val="Calibri"/>
        <family val="2"/>
        <scheme val="minor"/>
      </rPr>
      <t/>
    </r>
  </si>
  <si>
    <r>
      <t>PEX</t>
    </r>
    <r>
      <rPr>
        <vertAlign val="subscript"/>
        <sz val="11"/>
        <color theme="1"/>
        <rFont val="Calibri"/>
        <family val="2"/>
        <scheme val="minor"/>
      </rPr>
      <t>8</t>
    </r>
    <r>
      <rPr>
        <sz val="11"/>
        <color theme="1"/>
        <rFont val="Calibri"/>
        <family val="2"/>
        <scheme val="minor"/>
      </rPr>
      <t/>
    </r>
  </si>
  <si>
    <r>
      <t>PEX</t>
    </r>
    <r>
      <rPr>
        <vertAlign val="subscript"/>
        <sz val="11"/>
        <color theme="1"/>
        <rFont val="Calibri"/>
        <family val="2"/>
        <scheme val="minor"/>
      </rPr>
      <t>9</t>
    </r>
    <r>
      <rPr>
        <sz val="11"/>
        <color theme="1"/>
        <rFont val="Calibri"/>
        <family val="2"/>
        <scheme val="minor"/>
      </rPr>
      <t/>
    </r>
  </si>
  <si>
    <r>
      <t>PEX</t>
    </r>
    <r>
      <rPr>
        <vertAlign val="subscript"/>
        <sz val="11"/>
        <color theme="1"/>
        <rFont val="Calibri"/>
        <family val="2"/>
        <scheme val="minor"/>
      </rPr>
      <t>10</t>
    </r>
    <r>
      <rPr>
        <sz val="11"/>
        <color theme="1"/>
        <rFont val="Calibri"/>
        <family val="2"/>
        <scheme val="minor"/>
      </rPr>
      <t/>
    </r>
  </si>
  <si>
    <r>
      <t>PEX</t>
    </r>
    <r>
      <rPr>
        <vertAlign val="subscript"/>
        <sz val="11"/>
        <color theme="1"/>
        <rFont val="Calibri"/>
        <family val="2"/>
        <scheme val="minor"/>
      </rPr>
      <t>11</t>
    </r>
    <r>
      <rPr>
        <sz val="11"/>
        <color theme="1"/>
        <rFont val="Calibri"/>
        <family val="2"/>
        <scheme val="minor"/>
      </rPr>
      <t/>
    </r>
  </si>
  <si>
    <r>
      <t>PEX</t>
    </r>
    <r>
      <rPr>
        <vertAlign val="subscript"/>
        <sz val="11"/>
        <color theme="1"/>
        <rFont val="Calibri"/>
        <family val="2"/>
        <scheme val="minor"/>
      </rPr>
      <t>12</t>
    </r>
    <r>
      <rPr>
        <sz val="11"/>
        <color theme="1"/>
        <rFont val="Calibri"/>
        <family val="2"/>
        <scheme val="minor"/>
      </rPr>
      <t/>
    </r>
  </si>
  <si>
    <r>
      <t>PEX</t>
    </r>
    <r>
      <rPr>
        <vertAlign val="subscript"/>
        <sz val="11"/>
        <color theme="1"/>
        <rFont val="Calibri"/>
        <family val="2"/>
        <scheme val="minor"/>
      </rPr>
      <t>13</t>
    </r>
    <r>
      <rPr>
        <sz val="11"/>
        <color theme="1"/>
        <rFont val="Calibri"/>
        <family val="2"/>
        <scheme val="minor"/>
      </rPr>
      <t/>
    </r>
  </si>
  <si>
    <r>
      <t>PEX</t>
    </r>
    <r>
      <rPr>
        <vertAlign val="subscript"/>
        <sz val="11"/>
        <color theme="1"/>
        <rFont val="Calibri"/>
        <family val="2"/>
        <scheme val="minor"/>
      </rPr>
      <t>14</t>
    </r>
    <r>
      <rPr>
        <sz val="11"/>
        <color theme="1"/>
        <rFont val="Calibri"/>
        <family val="2"/>
        <scheme val="minor"/>
      </rPr>
      <t/>
    </r>
  </si>
  <si>
    <r>
      <t>PEX</t>
    </r>
    <r>
      <rPr>
        <vertAlign val="subscript"/>
        <sz val="11"/>
        <color theme="1"/>
        <rFont val="Calibri"/>
        <family val="2"/>
        <scheme val="minor"/>
      </rPr>
      <t>15</t>
    </r>
    <r>
      <rPr>
        <sz val="11"/>
        <color theme="1"/>
        <rFont val="Calibri"/>
        <family val="2"/>
        <scheme val="minor"/>
      </rPr>
      <t/>
    </r>
  </si>
  <si>
    <r>
      <t>PEX</t>
    </r>
    <r>
      <rPr>
        <vertAlign val="subscript"/>
        <sz val="11"/>
        <color theme="1"/>
        <rFont val="Calibri"/>
        <family val="2"/>
        <scheme val="minor"/>
      </rPr>
      <t>16</t>
    </r>
    <r>
      <rPr>
        <sz val="11"/>
        <color theme="1"/>
        <rFont val="Calibri"/>
        <family val="2"/>
        <scheme val="minor"/>
      </rPr>
      <t/>
    </r>
  </si>
  <si>
    <r>
      <t>ADEN</t>
    </r>
    <r>
      <rPr>
        <vertAlign val="subscript"/>
        <sz val="11"/>
        <color theme="1"/>
        <rFont val="Calibri"/>
        <family val="2"/>
        <scheme val="minor"/>
      </rPr>
      <t>i</t>
    </r>
  </si>
  <si>
    <r>
      <t>ADEX</t>
    </r>
    <r>
      <rPr>
        <vertAlign val="subscript"/>
        <sz val="11"/>
        <color theme="1"/>
        <rFont val="Calibri"/>
        <family val="2"/>
        <scheme val="minor"/>
      </rPr>
      <t>j</t>
    </r>
  </si>
  <si>
    <r>
      <t>[ADEN</t>
    </r>
    <r>
      <rPr>
        <vertAlign val="subscript"/>
        <sz val="11"/>
        <color rgb="FFFFFFFF"/>
        <rFont val="Calibri"/>
        <family val="2"/>
      </rPr>
      <t>i</t>
    </r>
    <r>
      <rPr>
        <sz val="11"/>
        <color rgb="FFFFFFFF"/>
        <rFont val="Calibri"/>
        <family val="2"/>
      </rPr>
      <t>]</t>
    </r>
  </si>
  <si>
    <r>
      <t>[ADEX</t>
    </r>
    <r>
      <rPr>
        <vertAlign val="subscript"/>
        <sz val="11"/>
        <color rgb="FFFFFFFF"/>
        <rFont val="Calibri"/>
        <family val="2"/>
      </rPr>
      <t>i</t>
    </r>
    <r>
      <rPr>
        <sz val="11"/>
        <color rgb="FFFFFFFF"/>
        <rFont val="Calibri"/>
        <family val="2"/>
      </rPr>
      <t>]</t>
    </r>
  </si>
  <si>
    <r>
      <t>ADEN</t>
    </r>
    <r>
      <rPr>
        <vertAlign val="subscript"/>
        <sz val="11"/>
        <color theme="1"/>
        <rFont val="Calibri"/>
        <family val="2"/>
        <scheme val="minor"/>
      </rPr>
      <t>1</t>
    </r>
  </si>
  <si>
    <r>
      <t>ADEX</t>
    </r>
    <r>
      <rPr>
        <vertAlign val="subscript"/>
        <sz val="11"/>
        <color theme="1"/>
        <rFont val="Calibri"/>
        <family val="2"/>
        <scheme val="minor"/>
      </rPr>
      <t>1</t>
    </r>
  </si>
  <si>
    <r>
      <t>ADEN</t>
    </r>
    <r>
      <rPr>
        <vertAlign val="subscript"/>
        <sz val="11"/>
        <color theme="1"/>
        <rFont val="Calibri"/>
        <family val="2"/>
        <scheme val="minor"/>
      </rPr>
      <t>2</t>
    </r>
    <r>
      <rPr>
        <sz val="11"/>
        <color theme="1"/>
        <rFont val="Calibri"/>
        <family val="2"/>
        <scheme val="minor"/>
      </rPr>
      <t/>
    </r>
  </si>
  <si>
    <r>
      <t>ADEX</t>
    </r>
    <r>
      <rPr>
        <vertAlign val="subscript"/>
        <sz val="11"/>
        <color theme="1"/>
        <rFont val="Calibri"/>
        <family val="2"/>
        <scheme val="minor"/>
      </rPr>
      <t>2</t>
    </r>
    <r>
      <rPr>
        <sz val="11"/>
        <color theme="1"/>
        <rFont val="Calibri"/>
        <family val="2"/>
        <scheme val="minor"/>
      </rPr>
      <t/>
    </r>
  </si>
  <si>
    <r>
      <t>ADEN</t>
    </r>
    <r>
      <rPr>
        <vertAlign val="subscript"/>
        <sz val="11"/>
        <color theme="1"/>
        <rFont val="Calibri"/>
        <family val="2"/>
        <scheme val="minor"/>
      </rPr>
      <t>3</t>
    </r>
    <r>
      <rPr>
        <sz val="11"/>
        <color theme="1"/>
        <rFont val="Calibri"/>
        <family val="2"/>
        <scheme val="minor"/>
      </rPr>
      <t/>
    </r>
  </si>
  <si>
    <r>
      <t>ADEX</t>
    </r>
    <r>
      <rPr>
        <vertAlign val="subscript"/>
        <sz val="11"/>
        <color theme="1"/>
        <rFont val="Calibri"/>
        <family val="2"/>
        <scheme val="minor"/>
      </rPr>
      <t>3</t>
    </r>
    <r>
      <rPr>
        <sz val="11"/>
        <color theme="1"/>
        <rFont val="Calibri"/>
        <family val="2"/>
        <scheme val="minor"/>
      </rPr>
      <t/>
    </r>
  </si>
  <si>
    <r>
      <t>ADEN</t>
    </r>
    <r>
      <rPr>
        <vertAlign val="subscript"/>
        <sz val="11"/>
        <color theme="1"/>
        <rFont val="Calibri"/>
        <family val="2"/>
        <scheme val="minor"/>
      </rPr>
      <t>4</t>
    </r>
    <r>
      <rPr>
        <sz val="11"/>
        <color theme="1"/>
        <rFont val="Calibri"/>
        <family val="2"/>
        <scheme val="minor"/>
      </rPr>
      <t/>
    </r>
  </si>
  <si>
    <r>
      <t>ADEX</t>
    </r>
    <r>
      <rPr>
        <vertAlign val="subscript"/>
        <sz val="11"/>
        <color theme="1"/>
        <rFont val="Calibri"/>
        <family val="2"/>
        <scheme val="minor"/>
      </rPr>
      <t>4</t>
    </r>
    <r>
      <rPr>
        <sz val="11"/>
        <color theme="1"/>
        <rFont val="Calibri"/>
        <family val="2"/>
        <scheme val="minor"/>
      </rPr>
      <t/>
    </r>
  </si>
  <si>
    <r>
      <t>ADEN</t>
    </r>
    <r>
      <rPr>
        <vertAlign val="subscript"/>
        <sz val="11"/>
        <color theme="1"/>
        <rFont val="Calibri"/>
        <family val="2"/>
        <scheme val="minor"/>
      </rPr>
      <t>5</t>
    </r>
    <r>
      <rPr>
        <sz val="11"/>
        <color theme="1"/>
        <rFont val="Calibri"/>
        <family val="2"/>
        <scheme val="minor"/>
      </rPr>
      <t/>
    </r>
  </si>
  <si>
    <r>
      <t>ADEX</t>
    </r>
    <r>
      <rPr>
        <vertAlign val="subscript"/>
        <sz val="11"/>
        <color theme="1"/>
        <rFont val="Calibri"/>
        <family val="2"/>
        <scheme val="minor"/>
      </rPr>
      <t>5</t>
    </r>
    <r>
      <rPr>
        <sz val="11"/>
        <color theme="1"/>
        <rFont val="Calibri"/>
        <family val="2"/>
        <scheme val="minor"/>
      </rPr>
      <t/>
    </r>
  </si>
  <si>
    <r>
      <t>ADEN</t>
    </r>
    <r>
      <rPr>
        <vertAlign val="subscript"/>
        <sz val="11"/>
        <color theme="1"/>
        <rFont val="Calibri"/>
        <family val="2"/>
        <scheme val="minor"/>
      </rPr>
      <t>6</t>
    </r>
    <r>
      <rPr>
        <sz val="11"/>
        <color theme="1"/>
        <rFont val="Calibri"/>
        <family val="2"/>
        <scheme val="minor"/>
      </rPr>
      <t/>
    </r>
  </si>
  <si>
    <r>
      <t>ADEX</t>
    </r>
    <r>
      <rPr>
        <vertAlign val="subscript"/>
        <sz val="11"/>
        <color theme="1"/>
        <rFont val="Calibri"/>
        <family val="2"/>
        <scheme val="minor"/>
      </rPr>
      <t>6</t>
    </r>
    <r>
      <rPr>
        <sz val="11"/>
        <color theme="1"/>
        <rFont val="Calibri"/>
        <family val="2"/>
        <scheme val="minor"/>
      </rPr>
      <t/>
    </r>
  </si>
  <si>
    <r>
      <t>ADEN</t>
    </r>
    <r>
      <rPr>
        <vertAlign val="subscript"/>
        <sz val="11"/>
        <color theme="1"/>
        <rFont val="Calibri"/>
        <family val="2"/>
        <scheme val="minor"/>
      </rPr>
      <t>7</t>
    </r>
    <r>
      <rPr>
        <sz val="11"/>
        <color theme="1"/>
        <rFont val="Calibri"/>
        <family val="2"/>
        <scheme val="minor"/>
      </rPr>
      <t/>
    </r>
  </si>
  <si>
    <r>
      <t>ADEX</t>
    </r>
    <r>
      <rPr>
        <vertAlign val="subscript"/>
        <sz val="11"/>
        <color theme="1"/>
        <rFont val="Calibri"/>
        <family val="2"/>
        <scheme val="minor"/>
      </rPr>
      <t>7</t>
    </r>
    <r>
      <rPr>
        <sz val="11"/>
        <color theme="1"/>
        <rFont val="Calibri"/>
        <family val="2"/>
        <scheme val="minor"/>
      </rPr>
      <t/>
    </r>
  </si>
  <si>
    <r>
      <t>ADEN</t>
    </r>
    <r>
      <rPr>
        <vertAlign val="subscript"/>
        <sz val="11"/>
        <color theme="1"/>
        <rFont val="Calibri"/>
        <family val="2"/>
        <scheme val="minor"/>
      </rPr>
      <t>8</t>
    </r>
    <r>
      <rPr>
        <sz val="11"/>
        <color theme="1"/>
        <rFont val="Calibri"/>
        <family val="2"/>
        <scheme val="minor"/>
      </rPr>
      <t/>
    </r>
  </si>
  <si>
    <r>
      <t>ADEX</t>
    </r>
    <r>
      <rPr>
        <vertAlign val="subscript"/>
        <sz val="11"/>
        <color theme="1"/>
        <rFont val="Calibri"/>
        <family val="2"/>
        <scheme val="minor"/>
      </rPr>
      <t>8</t>
    </r>
    <r>
      <rPr>
        <sz val="11"/>
        <color theme="1"/>
        <rFont val="Calibri"/>
        <family val="2"/>
        <scheme val="minor"/>
      </rPr>
      <t/>
    </r>
  </si>
  <si>
    <r>
      <t>ADEN</t>
    </r>
    <r>
      <rPr>
        <vertAlign val="subscript"/>
        <sz val="11"/>
        <color theme="1"/>
        <rFont val="Calibri"/>
        <family val="2"/>
        <scheme val="minor"/>
      </rPr>
      <t>9</t>
    </r>
    <r>
      <rPr>
        <sz val="11"/>
        <color theme="1"/>
        <rFont val="Calibri"/>
        <family val="2"/>
        <scheme val="minor"/>
      </rPr>
      <t/>
    </r>
  </si>
  <si>
    <r>
      <t>ADEX</t>
    </r>
    <r>
      <rPr>
        <vertAlign val="subscript"/>
        <sz val="11"/>
        <color theme="1"/>
        <rFont val="Calibri"/>
        <family val="2"/>
        <scheme val="minor"/>
      </rPr>
      <t>9</t>
    </r>
    <r>
      <rPr>
        <sz val="11"/>
        <color theme="1"/>
        <rFont val="Calibri"/>
        <family val="2"/>
        <scheme val="minor"/>
      </rPr>
      <t/>
    </r>
  </si>
  <si>
    <r>
      <t>ADEN</t>
    </r>
    <r>
      <rPr>
        <vertAlign val="subscript"/>
        <sz val="11"/>
        <color theme="1"/>
        <rFont val="Calibri"/>
        <family val="2"/>
        <scheme val="minor"/>
      </rPr>
      <t>10</t>
    </r>
    <r>
      <rPr>
        <sz val="11"/>
        <color theme="1"/>
        <rFont val="Calibri"/>
        <family val="2"/>
        <scheme val="minor"/>
      </rPr>
      <t/>
    </r>
  </si>
  <si>
    <r>
      <t>ADEX</t>
    </r>
    <r>
      <rPr>
        <vertAlign val="subscript"/>
        <sz val="11"/>
        <color theme="1"/>
        <rFont val="Calibri"/>
        <family val="2"/>
        <scheme val="minor"/>
      </rPr>
      <t>10</t>
    </r>
    <r>
      <rPr>
        <sz val="11"/>
        <color theme="1"/>
        <rFont val="Calibri"/>
        <family val="2"/>
        <scheme val="minor"/>
      </rPr>
      <t/>
    </r>
  </si>
  <si>
    <r>
      <t>ADEX</t>
    </r>
    <r>
      <rPr>
        <vertAlign val="subscript"/>
        <sz val="11"/>
        <color theme="1"/>
        <rFont val="Calibri"/>
        <family val="2"/>
        <scheme val="minor"/>
      </rPr>
      <t>11</t>
    </r>
    <r>
      <rPr>
        <sz val="11"/>
        <color theme="1"/>
        <rFont val="Calibri"/>
        <family val="2"/>
        <scheme val="minor"/>
      </rPr>
      <t/>
    </r>
  </si>
  <si>
    <r>
      <t>ADEX</t>
    </r>
    <r>
      <rPr>
        <vertAlign val="subscript"/>
        <sz val="11"/>
        <color theme="1"/>
        <rFont val="Calibri"/>
        <family val="2"/>
        <scheme val="minor"/>
      </rPr>
      <t>12</t>
    </r>
    <r>
      <rPr>
        <sz val="11"/>
        <color theme="1"/>
        <rFont val="Calibri"/>
        <family val="2"/>
        <scheme val="minor"/>
      </rPr>
      <t/>
    </r>
  </si>
  <si>
    <r>
      <t>ADEX</t>
    </r>
    <r>
      <rPr>
        <vertAlign val="subscript"/>
        <sz val="11"/>
        <color theme="1"/>
        <rFont val="Calibri"/>
        <family val="2"/>
        <scheme val="minor"/>
      </rPr>
      <t>13</t>
    </r>
    <r>
      <rPr>
        <sz val="11"/>
        <color theme="1"/>
        <rFont val="Calibri"/>
        <family val="2"/>
        <scheme val="minor"/>
      </rPr>
      <t/>
    </r>
  </si>
  <si>
    <r>
      <t>ADEX</t>
    </r>
    <r>
      <rPr>
        <vertAlign val="subscript"/>
        <sz val="11"/>
        <color theme="1"/>
        <rFont val="Calibri"/>
        <family val="2"/>
        <scheme val="minor"/>
      </rPr>
      <t>14</t>
    </r>
    <r>
      <rPr>
        <sz val="11"/>
        <color theme="1"/>
        <rFont val="Calibri"/>
        <family val="2"/>
        <scheme val="minor"/>
      </rPr>
      <t/>
    </r>
  </si>
  <si>
    <r>
      <t>ADEX</t>
    </r>
    <r>
      <rPr>
        <vertAlign val="subscript"/>
        <sz val="11"/>
        <color theme="1"/>
        <rFont val="Calibri"/>
        <family val="2"/>
        <scheme val="minor"/>
      </rPr>
      <t>15</t>
    </r>
    <r>
      <rPr>
        <sz val="11"/>
        <color theme="1"/>
        <rFont val="Calibri"/>
        <family val="2"/>
        <scheme val="minor"/>
      </rPr>
      <t/>
    </r>
  </si>
  <si>
    <r>
      <t>ADEX</t>
    </r>
    <r>
      <rPr>
        <vertAlign val="subscript"/>
        <sz val="11"/>
        <color theme="1"/>
        <rFont val="Calibri"/>
        <family val="2"/>
        <scheme val="minor"/>
      </rPr>
      <t>16</t>
    </r>
    <r>
      <rPr>
        <sz val="11"/>
        <color theme="1"/>
        <rFont val="Calibri"/>
        <family val="2"/>
        <scheme val="minor"/>
      </rPr>
      <t/>
    </r>
  </si>
  <si>
    <r>
      <t>WEN</t>
    </r>
    <r>
      <rPr>
        <vertAlign val="subscript"/>
        <sz val="11"/>
        <color theme="1"/>
        <rFont val="Calibri"/>
        <family val="2"/>
        <scheme val="minor"/>
      </rPr>
      <t>i</t>
    </r>
  </si>
  <si>
    <r>
      <t>WEX</t>
    </r>
    <r>
      <rPr>
        <vertAlign val="subscript"/>
        <sz val="11"/>
        <color theme="1"/>
        <rFont val="Calibri"/>
        <family val="2"/>
        <scheme val="minor"/>
      </rPr>
      <t>j</t>
    </r>
  </si>
  <si>
    <r>
      <t>[WEN</t>
    </r>
    <r>
      <rPr>
        <vertAlign val="subscript"/>
        <sz val="11"/>
        <color rgb="FFFFFFFF"/>
        <rFont val="Calibri"/>
        <family val="2"/>
      </rPr>
      <t>i</t>
    </r>
    <r>
      <rPr>
        <sz val="11"/>
        <color rgb="FFFFFFFF"/>
        <rFont val="Calibri"/>
        <family val="2"/>
      </rPr>
      <t>]</t>
    </r>
  </si>
  <si>
    <r>
      <t>[WEX</t>
    </r>
    <r>
      <rPr>
        <vertAlign val="subscript"/>
        <sz val="11"/>
        <color rgb="FFFFFFFF"/>
        <rFont val="Calibri"/>
        <family val="2"/>
      </rPr>
      <t>i</t>
    </r>
    <r>
      <rPr>
        <sz val="11"/>
        <color rgb="FFFFFFFF"/>
        <rFont val="Calibri"/>
        <family val="2"/>
      </rPr>
      <t>]</t>
    </r>
  </si>
  <si>
    <r>
      <t>WEN</t>
    </r>
    <r>
      <rPr>
        <vertAlign val="subscript"/>
        <sz val="11"/>
        <color theme="1"/>
        <rFont val="Calibri"/>
        <family val="2"/>
        <scheme val="minor"/>
      </rPr>
      <t>1</t>
    </r>
  </si>
  <si>
    <r>
      <t>WEX</t>
    </r>
    <r>
      <rPr>
        <vertAlign val="subscript"/>
        <sz val="11"/>
        <color theme="1"/>
        <rFont val="Calibri"/>
        <family val="2"/>
        <scheme val="minor"/>
      </rPr>
      <t>1</t>
    </r>
  </si>
  <si>
    <r>
      <t>WEN</t>
    </r>
    <r>
      <rPr>
        <vertAlign val="subscript"/>
        <sz val="11"/>
        <color theme="1"/>
        <rFont val="Calibri"/>
        <family val="2"/>
        <scheme val="minor"/>
      </rPr>
      <t>2</t>
    </r>
    <r>
      <rPr>
        <sz val="11"/>
        <color theme="1"/>
        <rFont val="Calibri"/>
        <family val="2"/>
        <scheme val="minor"/>
      </rPr>
      <t/>
    </r>
  </si>
  <si>
    <r>
      <t>WEX</t>
    </r>
    <r>
      <rPr>
        <vertAlign val="subscript"/>
        <sz val="11"/>
        <color theme="1"/>
        <rFont val="Calibri"/>
        <family val="2"/>
        <scheme val="minor"/>
      </rPr>
      <t>2</t>
    </r>
    <r>
      <rPr>
        <sz val="11"/>
        <color theme="1"/>
        <rFont val="Calibri"/>
        <family val="2"/>
        <scheme val="minor"/>
      </rPr>
      <t/>
    </r>
  </si>
  <si>
    <r>
      <t>WEN</t>
    </r>
    <r>
      <rPr>
        <vertAlign val="subscript"/>
        <sz val="11"/>
        <color theme="1"/>
        <rFont val="Calibri"/>
        <family val="2"/>
        <scheme val="minor"/>
      </rPr>
      <t>3</t>
    </r>
    <r>
      <rPr>
        <sz val="11"/>
        <color theme="1"/>
        <rFont val="Calibri"/>
        <family val="2"/>
        <scheme val="minor"/>
      </rPr>
      <t/>
    </r>
  </si>
  <si>
    <r>
      <t>WEX</t>
    </r>
    <r>
      <rPr>
        <vertAlign val="subscript"/>
        <sz val="11"/>
        <color theme="1"/>
        <rFont val="Calibri"/>
        <family val="2"/>
        <scheme val="minor"/>
      </rPr>
      <t>3</t>
    </r>
    <r>
      <rPr>
        <sz val="11"/>
        <color theme="1"/>
        <rFont val="Calibri"/>
        <family val="2"/>
        <scheme val="minor"/>
      </rPr>
      <t/>
    </r>
  </si>
  <si>
    <r>
      <t>WEN</t>
    </r>
    <r>
      <rPr>
        <vertAlign val="subscript"/>
        <sz val="11"/>
        <color theme="1"/>
        <rFont val="Calibri"/>
        <family val="2"/>
        <scheme val="minor"/>
      </rPr>
      <t>4</t>
    </r>
    <r>
      <rPr>
        <sz val="11"/>
        <color theme="1"/>
        <rFont val="Calibri"/>
        <family val="2"/>
        <scheme val="minor"/>
      </rPr>
      <t/>
    </r>
  </si>
  <si>
    <r>
      <t>WEX</t>
    </r>
    <r>
      <rPr>
        <vertAlign val="subscript"/>
        <sz val="11"/>
        <color theme="1"/>
        <rFont val="Calibri"/>
        <family val="2"/>
        <scheme val="minor"/>
      </rPr>
      <t>4</t>
    </r>
    <r>
      <rPr>
        <sz val="11"/>
        <color theme="1"/>
        <rFont val="Calibri"/>
        <family val="2"/>
        <scheme val="minor"/>
      </rPr>
      <t/>
    </r>
  </si>
  <si>
    <r>
      <t>WEN</t>
    </r>
    <r>
      <rPr>
        <vertAlign val="subscript"/>
        <sz val="11"/>
        <color theme="1"/>
        <rFont val="Calibri"/>
        <family val="2"/>
        <scheme val="minor"/>
      </rPr>
      <t>5</t>
    </r>
    <r>
      <rPr>
        <sz val="11"/>
        <color theme="1"/>
        <rFont val="Calibri"/>
        <family val="2"/>
        <scheme val="minor"/>
      </rPr>
      <t/>
    </r>
  </si>
  <si>
    <r>
      <t>WEX</t>
    </r>
    <r>
      <rPr>
        <vertAlign val="subscript"/>
        <sz val="11"/>
        <color theme="1"/>
        <rFont val="Calibri"/>
        <family val="2"/>
        <scheme val="minor"/>
      </rPr>
      <t>5</t>
    </r>
    <r>
      <rPr>
        <sz val="11"/>
        <color theme="1"/>
        <rFont val="Calibri"/>
        <family val="2"/>
        <scheme val="minor"/>
      </rPr>
      <t/>
    </r>
  </si>
  <si>
    <r>
      <t>WEN</t>
    </r>
    <r>
      <rPr>
        <vertAlign val="subscript"/>
        <sz val="11"/>
        <color theme="1"/>
        <rFont val="Calibri"/>
        <family val="2"/>
        <scheme val="minor"/>
      </rPr>
      <t>6</t>
    </r>
    <r>
      <rPr>
        <sz val="11"/>
        <color theme="1"/>
        <rFont val="Calibri"/>
        <family val="2"/>
        <scheme val="minor"/>
      </rPr>
      <t/>
    </r>
  </si>
  <si>
    <r>
      <t>WEX</t>
    </r>
    <r>
      <rPr>
        <vertAlign val="subscript"/>
        <sz val="11"/>
        <color theme="1"/>
        <rFont val="Calibri"/>
        <family val="2"/>
        <scheme val="minor"/>
      </rPr>
      <t>6</t>
    </r>
    <r>
      <rPr>
        <sz val="11"/>
        <color theme="1"/>
        <rFont val="Calibri"/>
        <family val="2"/>
        <scheme val="minor"/>
      </rPr>
      <t/>
    </r>
  </si>
  <si>
    <r>
      <t>WEN</t>
    </r>
    <r>
      <rPr>
        <vertAlign val="subscript"/>
        <sz val="11"/>
        <color theme="1"/>
        <rFont val="Calibri"/>
        <family val="2"/>
        <scheme val="minor"/>
      </rPr>
      <t>7</t>
    </r>
    <r>
      <rPr>
        <sz val="11"/>
        <color theme="1"/>
        <rFont val="Calibri"/>
        <family val="2"/>
        <scheme val="minor"/>
      </rPr>
      <t/>
    </r>
  </si>
  <si>
    <r>
      <t>WEX</t>
    </r>
    <r>
      <rPr>
        <vertAlign val="subscript"/>
        <sz val="11"/>
        <color theme="1"/>
        <rFont val="Calibri"/>
        <family val="2"/>
        <scheme val="minor"/>
      </rPr>
      <t>7</t>
    </r>
    <r>
      <rPr>
        <sz val="11"/>
        <color theme="1"/>
        <rFont val="Calibri"/>
        <family val="2"/>
        <scheme val="minor"/>
      </rPr>
      <t/>
    </r>
  </si>
  <si>
    <r>
      <t>WEN</t>
    </r>
    <r>
      <rPr>
        <vertAlign val="subscript"/>
        <sz val="11"/>
        <color theme="1"/>
        <rFont val="Calibri"/>
        <family val="2"/>
        <scheme val="minor"/>
      </rPr>
      <t>8</t>
    </r>
    <r>
      <rPr>
        <sz val="11"/>
        <color theme="1"/>
        <rFont val="Calibri"/>
        <family val="2"/>
        <scheme val="minor"/>
      </rPr>
      <t/>
    </r>
  </si>
  <si>
    <r>
      <t>WEX</t>
    </r>
    <r>
      <rPr>
        <vertAlign val="subscript"/>
        <sz val="11"/>
        <color theme="1"/>
        <rFont val="Calibri"/>
        <family val="2"/>
        <scheme val="minor"/>
      </rPr>
      <t>8</t>
    </r>
    <r>
      <rPr>
        <sz val="11"/>
        <color theme="1"/>
        <rFont val="Calibri"/>
        <family val="2"/>
        <scheme val="minor"/>
      </rPr>
      <t/>
    </r>
  </si>
  <si>
    <r>
      <t>WEN</t>
    </r>
    <r>
      <rPr>
        <vertAlign val="subscript"/>
        <sz val="11"/>
        <color theme="1"/>
        <rFont val="Calibri"/>
        <family val="2"/>
        <scheme val="minor"/>
      </rPr>
      <t>9</t>
    </r>
    <r>
      <rPr>
        <sz val="11"/>
        <color theme="1"/>
        <rFont val="Calibri"/>
        <family val="2"/>
        <scheme val="minor"/>
      </rPr>
      <t/>
    </r>
  </si>
  <si>
    <r>
      <t>WEX</t>
    </r>
    <r>
      <rPr>
        <vertAlign val="subscript"/>
        <sz val="11"/>
        <color theme="1"/>
        <rFont val="Calibri"/>
        <family val="2"/>
        <scheme val="minor"/>
      </rPr>
      <t>9</t>
    </r>
    <r>
      <rPr>
        <sz val="11"/>
        <color theme="1"/>
        <rFont val="Calibri"/>
        <family val="2"/>
        <scheme val="minor"/>
      </rPr>
      <t/>
    </r>
  </si>
  <si>
    <r>
      <t>WEN</t>
    </r>
    <r>
      <rPr>
        <vertAlign val="subscript"/>
        <sz val="11"/>
        <color theme="1"/>
        <rFont val="Calibri"/>
        <family val="2"/>
        <scheme val="minor"/>
      </rPr>
      <t>10</t>
    </r>
    <r>
      <rPr>
        <sz val="11"/>
        <color theme="1"/>
        <rFont val="Calibri"/>
        <family val="2"/>
        <scheme val="minor"/>
      </rPr>
      <t/>
    </r>
  </si>
  <si>
    <r>
      <t>WEX</t>
    </r>
    <r>
      <rPr>
        <vertAlign val="subscript"/>
        <sz val="11"/>
        <color theme="1"/>
        <rFont val="Calibri"/>
        <family val="2"/>
        <scheme val="minor"/>
      </rPr>
      <t>10</t>
    </r>
    <r>
      <rPr>
        <sz val="11"/>
        <color theme="1"/>
        <rFont val="Calibri"/>
        <family val="2"/>
        <scheme val="minor"/>
      </rPr>
      <t/>
    </r>
  </si>
  <si>
    <r>
      <t>WEX</t>
    </r>
    <r>
      <rPr>
        <vertAlign val="subscript"/>
        <sz val="11"/>
        <color theme="1"/>
        <rFont val="Calibri"/>
        <family val="2"/>
        <scheme val="minor"/>
      </rPr>
      <t>11</t>
    </r>
    <r>
      <rPr>
        <sz val="11"/>
        <color theme="1"/>
        <rFont val="Calibri"/>
        <family val="2"/>
        <scheme val="minor"/>
      </rPr>
      <t/>
    </r>
  </si>
  <si>
    <r>
      <t>WEX</t>
    </r>
    <r>
      <rPr>
        <vertAlign val="subscript"/>
        <sz val="11"/>
        <color theme="1"/>
        <rFont val="Calibri"/>
        <family val="2"/>
        <scheme val="minor"/>
      </rPr>
      <t>12</t>
    </r>
    <r>
      <rPr>
        <sz val="11"/>
        <color theme="1"/>
        <rFont val="Calibri"/>
        <family val="2"/>
        <scheme val="minor"/>
      </rPr>
      <t/>
    </r>
  </si>
  <si>
    <r>
      <t>WEX</t>
    </r>
    <r>
      <rPr>
        <vertAlign val="subscript"/>
        <sz val="11"/>
        <color theme="1"/>
        <rFont val="Calibri"/>
        <family val="2"/>
        <scheme val="minor"/>
      </rPr>
      <t>13</t>
    </r>
    <r>
      <rPr>
        <sz val="11"/>
        <color theme="1"/>
        <rFont val="Calibri"/>
        <family val="2"/>
        <scheme val="minor"/>
      </rPr>
      <t/>
    </r>
  </si>
  <si>
    <r>
      <t>WEX</t>
    </r>
    <r>
      <rPr>
        <vertAlign val="subscript"/>
        <sz val="11"/>
        <color theme="1"/>
        <rFont val="Calibri"/>
        <family val="2"/>
        <scheme val="minor"/>
      </rPr>
      <t>14</t>
    </r>
    <r>
      <rPr>
        <sz val="11"/>
        <color theme="1"/>
        <rFont val="Calibri"/>
        <family val="2"/>
        <scheme val="minor"/>
      </rPr>
      <t/>
    </r>
  </si>
  <si>
    <r>
      <t>WEX</t>
    </r>
    <r>
      <rPr>
        <vertAlign val="subscript"/>
        <sz val="11"/>
        <color theme="1"/>
        <rFont val="Calibri"/>
        <family val="2"/>
        <scheme val="minor"/>
      </rPr>
      <t>15</t>
    </r>
    <r>
      <rPr>
        <sz val="11"/>
        <color theme="1"/>
        <rFont val="Calibri"/>
        <family val="2"/>
        <scheme val="minor"/>
      </rPr>
      <t/>
    </r>
  </si>
  <si>
    <r>
      <t>WEX</t>
    </r>
    <r>
      <rPr>
        <vertAlign val="subscript"/>
        <sz val="11"/>
        <color theme="1"/>
        <rFont val="Calibri"/>
        <family val="2"/>
        <scheme val="minor"/>
      </rPr>
      <t>16</t>
    </r>
    <r>
      <rPr>
        <sz val="11"/>
        <color theme="1"/>
        <rFont val="Calibri"/>
        <family val="2"/>
        <scheme val="minor"/>
      </rPr>
      <t/>
    </r>
  </si>
  <si>
    <r>
      <t>REN</t>
    </r>
    <r>
      <rPr>
        <vertAlign val="subscript"/>
        <sz val="11"/>
        <color theme="1"/>
        <rFont val="Calibri"/>
        <family val="2"/>
        <scheme val="minor"/>
      </rPr>
      <t>i</t>
    </r>
  </si>
  <si>
    <r>
      <t>REX</t>
    </r>
    <r>
      <rPr>
        <vertAlign val="subscript"/>
        <sz val="11"/>
        <color theme="1"/>
        <rFont val="Calibri"/>
        <family val="2"/>
        <scheme val="minor"/>
      </rPr>
      <t>j</t>
    </r>
  </si>
  <si>
    <r>
      <t>REN</t>
    </r>
    <r>
      <rPr>
        <vertAlign val="subscript"/>
        <sz val="11"/>
        <color theme="1"/>
        <rFont val="Calibri"/>
        <family val="2"/>
        <scheme val="minor"/>
      </rPr>
      <t>1</t>
    </r>
  </si>
  <si>
    <r>
      <t>REX</t>
    </r>
    <r>
      <rPr>
        <vertAlign val="subscript"/>
        <sz val="11"/>
        <color theme="1"/>
        <rFont val="Calibri"/>
        <family val="2"/>
        <scheme val="minor"/>
      </rPr>
      <t>1</t>
    </r>
  </si>
  <si>
    <r>
      <t>REN</t>
    </r>
    <r>
      <rPr>
        <vertAlign val="subscript"/>
        <sz val="11"/>
        <color theme="1"/>
        <rFont val="Calibri"/>
        <family val="2"/>
        <scheme val="minor"/>
      </rPr>
      <t>2</t>
    </r>
    <r>
      <rPr>
        <sz val="11"/>
        <color theme="1"/>
        <rFont val="Calibri"/>
        <family val="2"/>
        <scheme val="minor"/>
      </rPr>
      <t/>
    </r>
  </si>
  <si>
    <r>
      <t>REX</t>
    </r>
    <r>
      <rPr>
        <vertAlign val="subscript"/>
        <sz val="11"/>
        <color theme="1"/>
        <rFont val="Calibri"/>
        <family val="2"/>
        <scheme val="minor"/>
      </rPr>
      <t>2</t>
    </r>
    <r>
      <rPr>
        <sz val="11"/>
        <color theme="1"/>
        <rFont val="Calibri"/>
        <family val="2"/>
        <scheme val="minor"/>
      </rPr>
      <t/>
    </r>
  </si>
  <si>
    <r>
      <t>REN</t>
    </r>
    <r>
      <rPr>
        <vertAlign val="subscript"/>
        <sz val="11"/>
        <color theme="1"/>
        <rFont val="Calibri"/>
        <family val="2"/>
        <scheme val="minor"/>
      </rPr>
      <t>3</t>
    </r>
    <r>
      <rPr>
        <sz val="11"/>
        <color theme="1"/>
        <rFont val="Calibri"/>
        <family val="2"/>
        <scheme val="minor"/>
      </rPr>
      <t/>
    </r>
  </si>
  <si>
    <r>
      <t>REX</t>
    </r>
    <r>
      <rPr>
        <vertAlign val="subscript"/>
        <sz val="11"/>
        <color theme="1"/>
        <rFont val="Calibri"/>
        <family val="2"/>
        <scheme val="minor"/>
      </rPr>
      <t>3</t>
    </r>
    <r>
      <rPr>
        <sz val="11"/>
        <color theme="1"/>
        <rFont val="Calibri"/>
        <family val="2"/>
        <scheme val="minor"/>
      </rPr>
      <t/>
    </r>
  </si>
  <si>
    <r>
      <t>REN</t>
    </r>
    <r>
      <rPr>
        <vertAlign val="subscript"/>
        <sz val="11"/>
        <color theme="1"/>
        <rFont val="Calibri"/>
        <family val="2"/>
        <scheme val="minor"/>
      </rPr>
      <t>4</t>
    </r>
    <r>
      <rPr>
        <sz val="11"/>
        <color theme="1"/>
        <rFont val="Calibri"/>
        <family val="2"/>
        <scheme val="minor"/>
      </rPr>
      <t/>
    </r>
  </si>
  <si>
    <r>
      <t>REX</t>
    </r>
    <r>
      <rPr>
        <vertAlign val="subscript"/>
        <sz val="11"/>
        <color theme="1"/>
        <rFont val="Calibri"/>
        <family val="2"/>
        <scheme val="minor"/>
      </rPr>
      <t>4</t>
    </r>
    <r>
      <rPr>
        <sz val="11"/>
        <color theme="1"/>
        <rFont val="Calibri"/>
        <family val="2"/>
        <scheme val="minor"/>
      </rPr>
      <t/>
    </r>
  </si>
  <si>
    <r>
      <t>REN</t>
    </r>
    <r>
      <rPr>
        <vertAlign val="subscript"/>
        <sz val="11"/>
        <color theme="1"/>
        <rFont val="Calibri"/>
        <family val="2"/>
        <scheme val="minor"/>
      </rPr>
      <t>5</t>
    </r>
    <r>
      <rPr>
        <sz val="11"/>
        <color theme="1"/>
        <rFont val="Calibri"/>
        <family val="2"/>
        <scheme val="minor"/>
      </rPr>
      <t/>
    </r>
  </si>
  <si>
    <r>
      <t>REX</t>
    </r>
    <r>
      <rPr>
        <vertAlign val="subscript"/>
        <sz val="11"/>
        <color theme="1"/>
        <rFont val="Calibri"/>
        <family val="2"/>
        <scheme val="minor"/>
      </rPr>
      <t>5</t>
    </r>
    <r>
      <rPr>
        <sz val="11"/>
        <color theme="1"/>
        <rFont val="Calibri"/>
        <family val="2"/>
        <scheme val="minor"/>
      </rPr>
      <t/>
    </r>
  </si>
  <si>
    <r>
      <t>REN</t>
    </r>
    <r>
      <rPr>
        <vertAlign val="subscript"/>
        <sz val="11"/>
        <color theme="1"/>
        <rFont val="Calibri"/>
        <family val="2"/>
        <scheme val="minor"/>
      </rPr>
      <t>6</t>
    </r>
    <r>
      <rPr>
        <sz val="11"/>
        <color theme="1"/>
        <rFont val="Calibri"/>
        <family val="2"/>
        <scheme val="minor"/>
      </rPr>
      <t/>
    </r>
  </si>
  <si>
    <r>
      <t>REX</t>
    </r>
    <r>
      <rPr>
        <vertAlign val="subscript"/>
        <sz val="11"/>
        <color theme="1"/>
        <rFont val="Calibri"/>
        <family val="2"/>
        <scheme val="minor"/>
      </rPr>
      <t>6</t>
    </r>
    <r>
      <rPr>
        <sz val="11"/>
        <color theme="1"/>
        <rFont val="Calibri"/>
        <family val="2"/>
        <scheme val="minor"/>
      </rPr>
      <t/>
    </r>
  </si>
  <si>
    <r>
      <t>REN</t>
    </r>
    <r>
      <rPr>
        <vertAlign val="subscript"/>
        <sz val="11"/>
        <color theme="1"/>
        <rFont val="Calibri"/>
        <family val="2"/>
        <scheme val="minor"/>
      </rPr>
      <t>7</t>
    </r>
    <r>
      <rPr>
        <sz val="11"/>
        <color theme="1"/>
        <rFont val="Calibri"/>
        <family val="2"/>
        <scheme val="minor"/>
      </rPr>
      <t/>
    </r>
  </si>
  <si>
    <r>
      <t>REX</t>
    </r>
    <r>
      <rPr>
        <vertAlign val="subscript"/>
        <sz val="11"/>
        <color theme="1"/>
        <rFont val="Calibri"/>
        <family val="2"/>
        <scheme val="minor"/>
      </rPr>
      <t>7</t>
    </r>
    <r>
      <rPr>
        <sz val="11"/>
        <color theme="1"/>
        <rFont val="Calibri"/>
        <family val="2"/>
        <scheme val="minor"/>
      </rPr>
      <t/>
    </r>
  </si>
  <si>
    <r>
      <t>REN</t>
    </r>
    <r>
      <rPr>
        <vertAlign val="subscript"/>
        <sz val="11"/>
        <color theme="1"/>
        <rFont val="Calibri"/>
        <family val="2"/>
        <scheme val="minor"/>
      </rPr>
      <t>8</t>
    </r>
    <r>
      <rPr>
        <sz val="11"/>
        <color theme="1"/>
        <rFont val="Calibri"/>
        <family val="2"/>
        <scheme val="minor"/>
      </rPr>
      <t/>
    </r>
  </si>
  <si>
    <r>
      <t>REX</t>
    </r>
    <r>
      <rPr>
        <vertAlign val="subscript"/>
        <sz val="11"/>
        <color theme="1"/>
        <rFont val="Calibri"/>
        <family val="2"/>
        <scheme val="minor"/>
      </rPr>
      <t>8</t>
    </r>
    <r>
      <rPr>
        <sz val="11"/>
        <color theme="1"/>
        <rFont val="Calibri"/>
        <family val="2"/>
        <scheme val="minor"/>
      </rPr>
      <t/>
    </r>
  </si>
  <si>
    <r>
      <t>REN</t>
    </r>
    <r>
      <rPr>
        <vertAlign val="subscript"/>
        <sz val="11"/>
        <color theme="1"/>
        <rFont val="Calibri"/>
        <family val="2"/>
        <scheme val="minor"/>
      </rPr>
      <t>9</t>
    </r>
    <r>
      <rPr>
        <sz val="11"/>
        <color theme="1"/>
        <rFont val="Calibri"/>
        <family val="2"/>
        <scheme val="minor"/>
      </rPr>
      <t/>
    </r>
  </si>
  <si>
    <r>
      <t>REX</t>
    </r>
    <r>
      <rPr>
        <vertAlign val="subscript"/>
        <sz val="11"/>
        <color theme="1"/>
        <rFont val="Calibri"/>
        <family val="2"/>
        <scheme val="minor"/>
      </rPr>
      <t>9</t>
    </r>
    <r>
      <rPr>
        <sz val="11"/>
        <color theme="1"/>
        <rFont val="Calibri"/>
        <family val="2"/>
        <scheme val="minor"/>
      </rPr>
      <t/>
    </r>
  </si>
  <si>
    <r>
      <t>REN</t>
    </r>
    <r>
      <rPr>
        <vertAlign val="subscript"/>
        <sz val="11"/>
        <color theme="1"/>
        <rFont val="Calibri"/>
        <family val="2"/>
        <scheme val="minor"/>
      </rPr>
      <t>10</t>
    </r>
    <r>
      <rPr>
        <sz val="11"/>
        <color theme="1"/>
        <rFont val="Calibri"/>
        <family val="2"/>
        <scheme val="minor"/>
      </rPr>
      <t/>
    </r>
  </si>
  <si>
    <r>
      <t>REX</t>
    </r>
    <r>
      <rPr>
        <vertAlign val="subscript"/>
        <sz val="11"/>
        <color theme="1"/>
        <rFont val="Calibri"/>
        <family val="2"/>
        <scheme val="minor"/>
      </rPr>
      <t>10</t>
    </r>
    <r>
      <rPr>
        <sz val="11"/>
        <color theme="1"/>
        <rFont val="Calibri"/>
        <family val="2"/>
        <scheme val="minor"/>
      </rPr>
      <t/>
    </r>
  </si>
  <si>
    <r>
      <t>REX</t>
    </r>
    <r>
      <rPr>
        <vertAlign val="subscript"/>
        <sz val="11"/>
        <color theme="1"/>
        <rFont val="Calibri"/>
        <family val="2"/>
        <scheme val="minor"/>
      </rPr>
      <t>11</t>
    </r>
    <r>
      <rPr>
        <sz val="11"/>
        <color theme="1"/>
        <rFont val="Calibri"/>
        <family val="2"/>
        <scheme val="minor"/>
      </rPr>
      <t/>
    </r>
  </si>
  <si>
    <r>
      <t>REX</t>
    </r>
    <r>
      <rPr>
        <vertAlign val="subscript"/>
        <sz val="11"/>
        <color theme="1"/>
        <rFont val="Calibri"/>
        <family val="2"/>
        <scheme val="minor"/>
      </rPr>
      <t>12</t>
    </r>
    <r>
      <rPr>
        <sz val="11"/>
        <color theme="1"/>
        <rFont val="Calibri"/>
        <family val="2"/>
        <scheme val="minor"/>
      </rPr>
      <t/>
    </r>
  </si>
  <si>
    <r>
      <t>REX</t>
    </r>
    <r>
      <rPr>
        <vertAlign val="subscript"/>
        <sz val="11"/>
        <color theme="1"/>
        <rFont val="Calibri"/>
        <family val="2"/>
        <scheme val="minor"/>
      </rPr>
      <t>13</t>
    </r>
    <r>
      <rPr>
        <sz val="11"/>
        <color theme="1"/>
        <rFont val="Calibri"/>
        <family val="2"/>
        <scheme val="minor"/>
      </rPr>
      <t/>
    </r>
  </si>
  <si>
    <r>
      <t>REX</t>
    </r>
    <r>
      <rPr>
        <vertAlign val="subscript"/>
        <sz val="11"/>
        <color theme="1"/>
        <rFont val="Calibri"/>
        <family val="2"/>
        <scheme val="minor"/>
      </rPr>
      <t>14</t>
    </r>
    <r>
      <rPr>
        <sz val="11"/>
        <color theme="1"/>
        <rFont val="Calibri"/>
        <family val="2"/>
        <scheme val="minor"/>
      </rPr>
      <t/>
    </r>
  </si>
  <si>
    <r>
      <t>REX</t>
    </r>
    <r>
      <rPr>
        <vertAlign val="subscript"/>
        <sz val="11"/>
        <color theme="1"/>
        <rFont val="Calibri"/>
        <family val="2"/>
        <scheme val="minor"/>
      </rPr>
      <t>15</t>
    </r>
    <r>
      <rPr>
        <sz val="11"/>
        <color theme="1"/>
        <rFont val="Calibri"/>
        <family val="2"/>
        <scheme val="minor"/>
      </rPr>
      <t/>
    </r>
  </si>
  <si>
    <r>
      <t>REX</t>
    </r>
    <r>
      <rPr>
        <vertAlign val="subscript"/>
        <sz val="11"/>
        <color theme="1"/>
        <rFont val="Calibri"/>
        <family val="2"/>
        <scheme val="minor"/>
      </rPr>
      <t>16</t>
    </r>
    <r>
      <rPr>
        <sz val="11"/>
        <color theme="1"/>
        <rFont val="Calibri"/>
        <family val="2"/>
        <scheme val="minor"/>
      </rPr>
      <t/>
    </r>
  </si>
  <si>
    <r>
      <t>TEN</t>
    </r>
    <r>
      <rPr>
        <vertAlign val="subscript"/>
        <sz val="11"/>
        <color theme="1"/>
        <rFont val="Calibri"/>
        <family val="2"/>
        <scheme val="minor"/>
      </rPr>
      <t>i</t>
    </r>
  </si>
  <si>
    <r>
      <t>TEX</t>
    </r>
    <r>
      <rPr>
        <vertAlign val="subscript"/>
        <sz val="11"/>
        <color theme="1"/>
        <rFont val="Calibri"/>
        <family val="2"/>
        <scheme val="minor"/>
      </rPr>
      <t>j</t>
    </r>
  </si>
  <si>
    <r>
      <t>[TEN</t>
    </r>
    <r>
      <rPr>
        <vertAlign val="subscript"/>
        <sz val="11"/>
        <color rgb="FFFFFFFF"/>
        <rFont val="Calibri"/>
        <family val="2"/>
      </rPr>
      <t>i</t>
    </r>
    <r>
      <rPr>
        <sz val="11"/>
        <color rgb="FFFFFFFF"/>
        <rFont val="Calibri"/>
        <family val="2"/>
      </rPr>
      <t>]</t>
    </r>
  </si>
  <si>
    <r>
      <t>[TEN</t>
    </r>
    <r>
      <rPr>
        <vertAlign val="subscript"/>
        <sz val="11"/>
        <color rgb="FFFFFFFF"/>
        <rFont val="Calibri"/>
        <family val="2"/>
      </rPr>
      <t>i CWD</t>
    </r>
    <r>
      <rPr>
        <sz val="11"/>
        <color rgb="FFFFFFFF"/>
        <rFont val="Calibri"/>
        <family val="2"/>
      </rPr>
      <t>]</t>
    </r>
  </si>
  <si>
    <r>
      <t>[TEX</t>
    </r>
    <r>
      <rPr>
        <vertAlign val="subscript"/>
        <sz val="11"/>
        <color rgb="FFFFFFFF"/>
        <rFont val="Calibri"/>
        <family val="2"/>
      </rPr>
      <t>j</t>
    </r>
    <r>
      <rPr>
        <sz val="11"/>
        <color rgb="FFFFFFFF"/>
        <rFont val="Calibri"/>
        <family val="2"/>
      </rPr>
      <t>]</t>
    </r>
  </si>
  <si>
    <r>
      <t>[TEX</t>
    </r>
    <r>
      <rPr>
        <vertAlign val="subscript"/>
        <sz val="11"/>
        <color rgb="FFFFFFFF"/>
        <rFont val="Calibri"/>
        <family val="2"/>
      </rPr>
      <t>j CWD</t>
    </r>
    <r>
      <rPr>
        <sz val="11"/>
        <color rgb="FFFFFFFF"/>
        <rFont val="Calibri"/>
        <family val="2"/>
      </rPr>
      <t>]</t>
    </r>
  </si>
  <si>
    <r>
      <t>TEN</t>
    </r>
    <r>
      <rPr>
        <vertAlign val="subscript"/>
        <sz val="11"/>
        <color theme="1"/>
        <rFont val="Calibri"/>
        <family val="2"/>
        <scheme val="minor"/>
      </rPr>
      <t>1</t>
    </r>
  </si>
  <si>
    <r>
      <t>TEX</t>
    </r>
    <r>
      <rPr>
        <vertAlign val="subscript"/>
        <sz val="11"/>
        <color theme="1"/>
        <rFont val="Calibri"/>
        <family val="2"/>
        <scheme val="minor"/>
      </rPr>
      <t>1</t>
    </r>
  </si>
  <si>
    <r>
      <t>TEN</t>
    </r>
    <r>
      <rPr>
        <vertAlign val="subscript"/>
        <sz val="11"/>
        <color theme="1"/>
        <rFont val="Calibri"/>
        <family val="2"/>
        <scheme val="minor"/>
      </rPr>
      <t>2</t>
    </r>
    <r>
      <rPr>
        <sz val="11"/>
        <color theme="1"/>
        <rFont val="Calibri"/>
        <family val="2"/>
        <scheme val="minor"/>
      </rPr>
      <t/>
    </r>
  </si>
  <si>
    <r>
      <t>TEX</t>
    </r>
    <r>
      <rPr>
        <vertAlign val="subscript"/>
        <sz val="11"/>
        <color theme="1"/>
        <rFont val="Calibri"/>
        <family val="2"/>
        <scheme val="minor"/>
      </rPr>
      <t>2</t>
    </r>
    <r>
      <rPr>
        <sz val="11"/>
        <color theme="1"/>
        <rFont val="Calibri"/>
        <family val="2"/>
        <scheme val="minor"/>
      </rPr>
      <t/>
    </r>
  </si>
  <si>
    <r>
      <t>TEN</t>
    </r>
    <r>
      <rPr>
        <vertAlign val="subscript"/>
        <sz val="11"/>
        <color theme="1"/>
        <rFont val="Calibri"/>
        <family val="2"/>
        <scheme val="minor"/>
      </rPr>
      <t>3</t>
    </r>
    <r>
      <rPr>
        <sz val="11"/>
        <color theme="1"/>
        <rFont val="Calibri"/>
        <family val="2"/>
        <scheme val="minor"/>
      </rPr>
      <t/>
    </r>
  </si>
  <si>
    <r>
      <t>TEX</t>
    </r>
    <r>
      <rPr>
        <vertAlign val="subscript"/>
        <sz val="11"/>
        <color theme="1"/>
        <rFont val="Calibri"/>
        <family val="2"/>
        <scheme val="minor"/>
      </rPr>
      <t>3</t>
    </r>
    <r>
      <rPr>
        <sz val="11"/>
        <color theme="1"/>
        <rFont val="Calibri"/>
        <family val="2"/>
        <scheme val="minor"/>
      </rPr>
      <t/>
    </r>
  </si>
  <si>
    <r>
      <t>TEN</t>
    </r>
    <r>
      <rPr>
        <vertAlign val="subscript"/>
        <sz val="11"/>
        <color theme="1"/>
        <rFont val="Calibri"/>
        <family val="2"/>
        <scheme val="minor"/>
      </rPr>
      <t>4</t>
    </r>
    <r>
      <rPr>
        <sz val="11"/>
        <color theme="1"/>
        <rFont val="Calibri"/>
        <family val="2"/>
        <scheme val="minor"/>
      </rPr>
      <t/>
    </r>
  </si>
  <si>
    <r>
      <t>TEX</t>
    </r>
    <r>
      <rPr>
        <vertAlign val="subscript"/>
        <sz val="11"/>
        <color theme="1"/>
        <rFont val="Calibri"/>
        <family val="2"/>
        <scheme val="minor"/>
      </rPr>
      <t>4</t>
    </r>
    <r>
      <rPr>
        <sz val="11"/>
        <color theme="1"/>
        <rFont val="Calibri"/>
        <family val="2"/>
        <scheme val="minor"/>
      </rPr>
      <t/>
    </r>
  </si>
  <si>
    <r>
      <t>TEN</t>
    </r>
    <r>
      <rPr>
        <vertAlign val="subscript"/>
        <sz val="11"/>
        <color theme="1"/>
        <rFont val="Calibri"/>
        <family val="2"/>
        <scheme val="minor"/>
      </rPr>
      <t>5</t>
    </r>
    <r>
      <rPr>
        <sz val="11"/>
        <color theme="1"/>
        <rFont val="Calibri"/>
        <family val="2"/>
        <scheme val="minor"/>
      </rPr>
      <t/>
    </r>
  </si>
  <si>
    <r>
      <t>TEX</t>
    </r>
    <r>
      <rPr>
        <vertAlign val="subscript"/>
        <sz val="11"/>
        <color theme="1"/>
        <rFont val="Calibri"/>
        <family val="2"/>
        <scheme val="minor"/>
      </rPr>
      <t>5</t>
    </r>
    <r>
      <rPr>
        <sz val="11"/>
        <color theme="1"/>
        <rFont val="Calibri"/>
        <family val="2"/>
        <scheme val="minor"/>
      </rPr>
      <t/>
    </r>
  </si>
  <si>
    <r>
      <t>TEN</t>
    </r>
    <r>
      <rPr>
        <vertAlign val="subscript"/>
        <sz val="11"/>
        <color theme="1"/>
        <rFont val="Calibri"/>
        <family val="2"/>
        <scheme val="minor"/>
      </rPr>
      <t>6</t>
    </r>
    <r>
      <rPr>
        <sz val="11"/>
        <color theme="1"/>
        <rFont val="Calibri"/>
        <family val="2"/>
        <scheme val="minor"/>
      </rPr>
      <t/>
    </r>
  </si>
  <si>
    <r>
      <t>TEX</t>
    </r>
    <r>
      <rPr>
        <vertAlign val="subscript"/>
        <sz val="11"/>
        <color theme="1"/>
        <rFont val="Calibri"/>
        <family val="2"/>
        <scheme val="minor"/>
      </rPr>
      <t>6</t>
    </r>
    <r>
      <rPr>
        <sz val="11"/>
        <color theme="1"/>
        <rFont val="Calibri"/>
        <family val="2"/>
        <scheme val="minor"/>
      </rPr>
      <t/>
    </r>
  </si>
  <si>
    <r>
      <t>TEN</t>
    </r>
    <r>
      <rPr>
        <vertAlign val="subscript"/>
        <sz val="11"/>
        <color theme="1"/>
        <rFont val="Calibri"/>
        <family val="2"/>
        <scheme val="minor"/>
      </rPr>
      <t>7</t>
    </r>
    <r>
      <rPr>
        <sz val="11"/>
        <color theme="1"/>
        <rFont val="Calibri"/>
        <family val="2"/>
        <scheme val="minor"/>
      </rPr>
      <t/>
    </r>
  </si>
  <si>
    <r>
      <t>TEX</t>
    </r>
    <r>
      <rPr>
        <vertAlign val="subscript"/>
        <sz val="11"/>
        <color theme="1"/>
        <rFont val="Calibri"/>
        <family val="2"/>
        <scheme val="minor"/>
      </rPr>
      <t>7</t>
    </r>
    <r>
      <rPr>
        <sz val="11"/>
        <color theme="1"/>
        <rFont val="Calibri"/>
        <family val="2"/>
        <scheme val="minor"/>
      </rPr>
      <t/>
    </r>
  </si>
  <si>
    <r>
      <t>TEN</t>
    </r>
    <r>
      <rPr>
        <vertAlign val="subscript"/>
        <sz val="11"/>
        <color theme="1"/>
        <rFont val="Calibri"/>
        <family val="2"/>
        <scheme val="minor"/>
      </rPr>
      <t>8</t>
    </r>
    <r>
      <rPr>
        <sz val="11"/>
        <color theme="1"/>
        <rFont val="Calibri"/>
        <family val="2"/>
        <scheme val="minor"/>
      </rPr>
      <t/>
    </r>
  </si>
  <si>
    <r>
      <t>TEX</t>
    </r>
    <r>
      <rPr>
        <vertAlign val="subscript"/>
        <sz val="11"/>
        <color theme="1"/>
        <rFont val="Calibri"/>
        <family val="2"/>
        <scheme val="minor"/>
      </rPr>
      <t>8</t>
    </r>
    <r>
      <rPr>
        <sz val="11"/>
        <color theme="1"/>
        <rFont val="Calibri"/>
        <family val="2"/>
        <scheme val="minor"/>
      </rPr>
      <t/>
    </r>
  </si>
  <si>
    <r>
      <t>TEN</t>
    </r>
    <r>
      <rPr>
        <vertAlign val="subscript"/>
        <sz val="11"/>
        <color theme="1"/>
        <rFont val="Calibri"/>
        <family val="2"/>
        <scheme val="minor"/>
      </rPr>
      <t>9</t>
    </r>
    <r>
      <rPr>
        <sz val="11"/>
        <color theme="1"/>
        <rFont val="Calibri"/>
        <family val="2"/>
        <scheme val="minor"/>
      </rPr>
      <t/>
    </r>
  </si>
  <si>
    <r>
      <t>TEX</t>
    </r>
    <r>
      <rPr>
        <vertAlign val="subscript"/>
        <sz val="11"/>
        <color theme="1"/>
        <rFont val="Calibri"/>
        <family val="2"/>
        <scheme val="minor"/>
      </rPr>
      <t>9</t>
    </r>
    <r>
      <rPr>
        <sz val="11"/>
        <color theme="1"/>
        <rFont val="Calibri"/>
        <family val="2"/>
        <scheme val="minor"/>
      </rPr>
      <t/>
    </r>
  </si>
  <si>
    <r>
      <t>TEN</t>
    </r>
    <r>
      <rPr>
        <vertAlign val="subscript"/>
        <sz val="11"/>
        <color theme="1"/>
        <rFont val="Calibri"/>
        <family val="2"/>
        <scheme val="minor"/>
      </rPr>
      <t>10</t>
    </r>
    <r>
      <rPr>
        <sz val="11"/>
        <color theme="1"/>
        <rFont val="Calibri"/>
        <family val="2"/>
        <scheme val="minor"/>
      </rPr>
      <t/>
    </r>
  </si>
  <si>
    <r>
      <t>TEX</t>
    </r>
    <r>
      <rPr>
        <vertAlign val="subscript"/>
        <sz val="11"/>
        <color theme="1"/>
        <rFont val="Calibri"/>
        <family val="2"/>
        <scheme val="minor"/>
      </rPr>
      <t>10</t>
    </r>
    <r>
      <rPr>
        <sz val="11"/>
        <color theme="1"/>
        <rFont val="Calibri"/>
        <family val="2"/>
        <scheme val="minor"/>
      </rPr>
      <t/>
    </r>
  </si>
  <si>
    <r>
      <t>TEX</t>
    </r>
    <r>
      <rPr>
        <vertAlign val="subscript"/>
        <sz val="11"/>
        <color theme="1"/>
        <rFont val="Calibri"/>
        <family val="2"/>
        <scheme val="minor"/>
      </rPr>
      <t>11</t>
    </r>
    <r>
      <rPr>
        <sz val="11"/>
        <color theme="1"/>
        <rFont val="Calibri"/>
        <family val="2"/>
        <scheme val="minor"/>
      </rPr>
      <t/>
    </r>
  </si>
  <si>
    <r>
      <t>TEX</t>
    </r>
    <r>
      <rPr>
        <vertAlign val="subscript"/>
        <sz val="11"/>
        <color theme="1"/>
        <rFont val="Calibri"/>
        <family val="2"/>
        <scheme val="minor"/>
      </rPr>
      <t>12</t>
    </r>
    <r>
      <rPr>
        <sz val="11"/>
        <color theme="1"/>
        <rFont val="Calibri"/>
        <family val="2"/>
        <scheme val="minor"/>
      </rPr>
      <t/>
    </r>
  </si>
  <si>
    <r>
      <t>TEX</t>
    </r>
    <r>
      <rPr>
        <vertAlign val="subscript"/>
        <sz val="11"/>
        <color theme="1"/>
        <rFont val="Calibri"/>
        <family val="2"/>
        <scheme val="minor"/>
      </rPr>
      <t>13</t>
    </r>
    <r>
      <rPr>
        <sz val="11"/>
        <color theme="1"/>
        <rFont val="Calibri"/>
        <family val="2"/>
        <scheme val="minor"/>
      </rPr>
      <t/>
    </r>
  </si>
  <si>
    <r>
      <t>TEX</t>
    </r>
    <r>
      <rPr>
        <vertAlign val="subscript"/>
        <sz val="11"/>
        <color theme="1"/>
        <rFont val="Calibri"/>
        <family val="2"/>
        <scheme val="minor"/>
      </rPr>
      <t>14</t>
    </r>
    <r>
      <rPr>
        <sz val="11"/>
        <color theme="1"/>
        <rFont val="Calibri"/>
        <family val="2"/>
        <scheme val="minor"/>
      </rPr>
      <t/>
    </r>
  </si>
  <si>
    <r>
      <t>TEX</t>
    </r>
    <r>
      <rPr>
        <vertAlign val="subscript"/>
        <sz val="11"/>
        <color theme="1"/>
        <rFont val="Calibri"/>
        <family val="2"/>
        <scheme val="minor"/>
      </rPr>
      <t>15</t>
    </r>
    <r>
      <rPr>
        <sz val="11"/>
        <color theme="1"/>
        <rFont val="Calibri"/>
        <family val="2"/>
        <scheme val="minor"/>
      </rPr>
      <t/>
    </r>
  </si>
  <si>
    <r>
      <t>TEX</t>
    </r>
    <r>
      <rPr>
        <vertAlign val="subscript"/>
        <sz val="11"/>
        <color theme="1"/>
        <rFont val="Calibri"/>
        <family val="2"/>
        <scheme val="minor"/>
      </rPr>
      <t>16</t>
    </r>
    <r>
      <rPr>
        <sz val="11"/>
        <color theme="1"/>
        <rFont val="Calibri"/>
        <family val="2"/>
        <scheme val="minor"/>
      </rPr>
      <t/>
    </r>
  </si>
  <si>
    <r>
      <t>[T</t>
    </r>
    <r>
      <rPr>
        <vertAlign val="subscript"/>
        <sz val="11"/>
        <color rgb="FFFFFFFF"/>
        <rFont val="Calibri"/>
        <family val="2"/>
      </rPr>
      <t>EN postal</t>
    </r>
    <r>
      <rPr>
        <sz val="11"/>
        <color rgb="FFFFFFFF"/>
        <rFont val="Calibri"/>
        <family val="2"/>
      </rPr>
      <t>]</t>
    </r>
  </si>
  <si>
    <r>
      <t>[T</t>
    </r>
    <r>
      <rPr>
        <vertAlign val="subscript"/>
        <sz val="11"/>
        <color rgb="FFFFFFFF"/>
        <rFont val="Calibri"/>
        <family val="2"/>
      </rPr>
      <t>EN</t>
    </r>
    <r>
      <rPr>
        <sz val="11"/>
        <color rgb="FFFFFFFF"/>
        <rFont val="Calibri"/>
        <family val="2"/>
      </rPr>
      <t>]</t>
    </r>
  </si>
  <si>
    <r>
      <t>[T</t>
    </r>
    <r>
      <rPr>
        <vertAlign val="subscript"/>
        <sz val="11"/>
        <color rgb="FFFFFFFF"/>
        <rFont val="Calibri"/>
        <family val="2"/>
      </rPr>
      <t>EX postal</t>
    </r>
    <r>
      <rPr>
        <sz val="11"/>
        <color rgb="FFFFFFFF"/>
        <rFont val="Calibri"/>
        <family val="2"/>
      </rPr>
      <t>]</t>
    </r>
  </si>
  <si>
    <r>
      <t>[T</t>
    </r>
    <r>
      <rPr>
        <vertAlign val="subscript"/>
        <sz val="11"/>
        <color rgb="FFFFFFFF"/>
        <rFont val="Calibri"/>
        <family val="2"/>
      </rPr>
      <t>EX</t>
    </r>
    <r>
      <rPr>
        <sz val="11"/>
        <color rgb="FFFFFFFF"/>
        <rFont val="Calibri"/>
        <family val="2"/>
      </rPr>
      <t>]</t>
    </r>
  </si>
  <si>
    <r>
      <t>Poder Calorífico de Referência (kcal/m</t>
    </r>
    <r>
      <rPr>
        <vertAlign val="superscript"/>
        <sz val="10"/>
        <color theme="1"/>
        <rFont val="Calibri Light"/>
        <family val="2"/>
        <scheme val="major"/>
      </rPr>
      <t>3</t>
    </r>
    <r>
      <rPr>
        <sz val="10"/>
        <color theme="1"/>
        <rFont val="Calibri Light"/>
        <family val="2"/>
        <scheme val="major"/>
      </rPr>
      <t>)</t>
    </r>
  </si>
  <si>
    <r>
      <t>Oferta em mil m</t>
    </r>
    <r>
      <rPr>
        <vertAlign val="superscript"/>
        <sz val="12"/>
        <color theme="0"/>
        <rFont val="Calibri Light"/>
        <family val="2"/>
        <scheme val="major"/>
      </rPr>
      <t>3</t>
    </r>
    <r>
      <rPr>
        <sz val="12"/>
        <color theme="0"/>
        <rFont val="Calibri Light"/>
        <family val="2"/>
        <scheme val="major"/>
      </rPr>
      <t>/dia - Entrada</t>
    </r>
  </si>
  <si>
    <r>
      <t>Oferta mil m</t>
    </r>
    <r>
      <rPr>
        <vertAlign val="superscript"/>
        <sz val="12"/>
        <color theme="0"/>
        <rFont val="Calibri Light"/>
        <family val="2"/>
        <scheme val="major"/>
      </rPr>
      <t xml:space="preserve">3 </t>
    </r>
    <r>
      <rPr>
        <sz val="12"/>
        <color theme="0"/>
        <rFont val="Calibri Light"/>
        <family val="2"/>
        <scheme val="major"/>
      </rPr>
      <t>por ano - Entrada</t>
    </r>
  </si>
  <si>
    <r>
      <t>Demanda mil m</t>
    </r>
    <r>
      <rPr>
        <vertAlign val="superscript"/>
        <sz val="12"/>
        <color theme="0"/>
        <rFont val="Calibri Light"/>
        <family val="2"/>
        <scheme val="major"/>
      </rPr>
      <t>3</t>
    </r>
    <r>
      <rPr>
        <sz val="12"/>
        <color theme="0"/>
        <rFont val="Calibri Light"/>
        <family val="2"/>
        <scheme val="major"/>
      </rPr>
      <t xml:space="preserve"> por ano - Saída</t>
    </r>
  </si>
  <si>
    <t>Tarifas de Entrada</t>
  </si>
  <si>
    <t>Interconexão</t>
  </si>
  <si>
    <t>REPLAN - Entrada</t>
  </si>
  <si>
    <t>PE Guararema</t>
  </si>
  <si>
    <t>Cabiunas - Entrada</t>
  </si>
  <si>
    <t>REPLAN - Saida</t>
  </si>
  <si>
    <t>Cabiunas - Saída</t>
  </si>
  <si>
    <t>Tarifas sem Desconto (R$/MMBTu)</t>
  </si>
  <si>
    <t>QDC (mil m³@9.400)</t>
  </si>
  <si>
    <t>Check</t>
  </si>
  <si>
    <t>Receita na entrada já descontada da receita calculada para as interconexões de entrada na aba "CWD NTS (sem desconto)"</t>
  </si>
  <si>
    <t>Receita na saída já descontada da receita calculada para as interconexões de saída na aba "CWD NTS (sem desconto)"</t>
  </si>
  <si>
    <t>Receita  para cálculo do desconto na interconexão</t>
  </si>
  <si>
    <t>Remoção da capacidade nas interconexões</t>
  </si>
  <si>
    <t>Tarifas com Desconto (R$/MMBTu)</t>
  </si>
  <si>
    <t>PR-GASPAJ (INTERCONEXÃO)</t>
  </si>
  <si>
    <t>Cálculo da receita arrecada nas interconexões, já considerando o desconto:</t>
  </si>
  <si>
    <t>Subtraida a receita a ser arrecadada nas interconexões já considerando o desconto para redistribuição dessa "Receita descontada" entre os outros pontos da Rede NTS</t>
  </si>
  <si>
    <t>Receita  (R$)</t>
  </si>
  <si>
    <t>Receita (R$)</t>
  </si>
  <si>
    <t>Receita 2024</t>
  </si>
  <si>
    <t>Receita 2025</t>
  </si>
  <si>
    <t>Penalidades 2022 - cobrança jul/23</t>
  </si>
  <si>
    <t>Excedente Autorizado</t>
  </si>
  <si>
    <t>Excedente Não-Autorizado</t>
  </si>
  <si>
    <t>Multiplicadores Curto Prazo</t>
  </si>
  <si>
    <t>Penalidades 2023 - Extraordinário</t>
  </si>
  <si>
    <t>Receita Legados</t>
  </si>
  <si>
    <t>Tarifas 2024 (R$/MMBTU)</t>
  </si>
  <si>
    <t>Tarifas 2025 (R$/MMBTU)</t>
  </si>
  <si>
    <t>Tarifas E/S por Estado 2024</t>
  </si>
  <si>
    <t>Tarifas E/S por Estado 2025</t>
  </si>
  <si>
    <t>Saldo Parcial da Conta Regulatória</t>
  </si>
  <si>
    <t>Contratos Legados</t>
  </si>
  <si>
    <t>Tarifa Zona de saída MG</t>
  </si>
  <si>
    <t>Tarifa Zona de saída SP</t>
  </si>
  <si>
    <t>Tarifa Zona de saída RJ</t>
  </si>
  <si>
    <t>Tarifa REPLAN (interconexão)</t>
  </si>
  <si>
    <t>Tarifa TECAB (interconexão)</t>
  </si>
  <si>
    <t>Total Entrada + Saída</t>
  </si>
  <si>
    <t>Caraguatatuba</t>
  </si>
  <si>
    <t>Guararema (interconexão)</t>
  </si>
  <si>
    <t>REPLAN (interconexão)</t>
  </si>
  <si>
    <t>TECAB (interconexão)</t>
  </si>
  <si>
    <t>GNL BGB</t>
  </si>
  <si>
    <t>Pontos de Entrada</t>
  </si>
  <si>
    <t>Pontos/Zonas de Saída</t>
  </si>
  <si>
    <t>Cenário de Referência - Entrada (mil m³/dia)</t>
  </si>
  <si>
    <t>Cenário de Referência - Demanda Saída (mil m³/dia)</t>
  </si>
  <si>
    <t>Sem aplicação da Conta Regulatória</t>
  </si>
  <si>
    <t>Tarifas E/S por Estado 2025 (sem aplicação da Conta Regulatória)</t>
  </si>
  <si>
    <t>Tarifas 2025 - sem aplicação da Conta Regulatória (R$/MMBTU)</t>
  </si>
  <si>
    <t>T UF</t>
  </si>
  <si>
    <t>GASIG</t>
  </si>
  <si>
    <t>PR-ITABORAÍ</t>
  </si>
  <si>
    <t>Itaboraí</t>
  </si>
  <si>
    <t>Receitas Legados com abatimento da Conta Regulatória</t>
  </si>
  <si>
    <t>jan/23 a out/23</t>
  </si>
  <si>
    <t>Data-base: Jan/24</t>
  </si>
  <si>
    <t>Determine the weight of each entry point (respectively exit point) as the ratio between the product of its forecasted booked capacity with its average distance and the sums of such products for all entry points (respectively exit point)</t>
  </si>
  <si>
    <t>For each entry point (respectively exit point) , calculate capacity-weighted average distance to all exit points (respectively entry points); average distance is weighted by forecasted booked capacity</t>
  </si>
  <si>
    <t>Calculate the proportion of forecasted booked entry (respectively exit) capacity at each point relative to the total forecasted booked entry (respectively exit) capacity;</t>
  </si>
  <si>
    <t>Valor Líquido (R$)¹</t>
  </si>
  <si>
    <t>¹Valores ainda sem considerar atualização pela SELIC.</t>
  </si>
  <si>
    <t>For each entry point (respectively exit point), calculate capacity-weighted average distance to all exit points (respectively entry points); average distance is weighted by forecasted booked capacity</t>
  </si>
  <si>
    <t>-</t>
  </si>
  <si>
    <t>Paulinia - GASPAJ (interconexão)¹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</si>
</sst>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41" formatCode="_-* #,##0_-;\-* #,##0_-;_-* &quot;-&quot;_-;_-@_-"/>
    <numFmt numFmtId="44" formatCode="_-&quot;R$&quot;\ * #,##0.00_-;\-&quot;R$&quot;\ * #,##0.00_-;_-&quot;R$&quot;\ * &quot;-&quot;??_-;_-@_-"/>
    <numFmt numFmtId="43" formatCode="_-* #,##0.00_-;\-* #,##0.00_-;_-* &quot;-&quot;??_-;_-@_-"/>
    <numFmt numFmtId="164" formatCode="_(* #,##0.00_);_(* \(#,##0.00\);_(* &quot;-&quot;??_);_(@_)"/>
    <numFmt numFmtId="165" formatCode="#,##0_ ;\-#,##0\ "/>
    <numFmt numFmtId="166" formatCode="0.0000"/>
    <numFmt numFmtId="167" formatCode="&quot;R$&quot;#,##0.00"/>
    <numFmt numFmtId="168" formatCode="#,##0.000"/>
    <numFmt numFmtId="169" formatCode="_-* #,##0_-;\-* #,##0_-;_-* &quot;-&quot;??_-;_-@_-"/>
    <numFmt numFmtId="170" formatCode="#,##0.000000000"/>
    <numFmt numFmtId="171" formatCode="_-* #,##0.000000_-;\-* #,##0.000000_-;_-* &quot;-&quot;??????_-;_-@_-"/>
    <numFmt numFmtId="172" formatCode="_-* #,##0.0000_-;\-* #,##0.0000_-;_-* &quot;-&quot;??_-;_-@_-"/>
    <numFmt numFmtId="173" formatCode="_-* #,##0.0000_-;\-* #,##0.0000_-;_-* &quot;-&quot;????_-;_-@_-"/>
    <numFmt numFmtId="174" formatCode="_(* #,##0_);_(* \(#,##0\);_(* &quot;-&quot;??_);_(@_)"/>
    <numFmt numFmtId="175" formatCode="0_);[Red]\(0\)"/>
    <numFmt numFmtId="176" formatCode="#,##0.00000"/>
    <numFmt numFmtId="177" formatCode="_(&quot;R$ &quot;* #,##0.00_);_(&quot;R$ &quot;* \(#,##0.00\);_(&quot;R$ &quot;* &quot;-&quot;??_);_(@_)"/>
    <numFmt numFmtId="178" formatCode="_-* #,##0.00000_-;\-* #,##0.00000_-;_-* &quot;-&quot;?????_-;_-@_-"/>
    <numFmt numFmtId="179" formatCode="_-* #,##0.00000_-;\-* #,##0.00000_-;_-* &quot;-&quot;??_-;_-@_-"/>
    <numFmt numFmtId="180" formatCode="#,##0.0000"/>
    <numFmt numFmtId="181" formatCode="_-* #,##0.0000_-;\-* #,##0.0000_-;_-* &quot;-&quot;_-;_-@_-"/>
    <numFmt numFmtId="182" formatCode="0.000"/>
    <numFmt numFmtId="183" formatCode="0.000000000"/>
    <numFmt numFmtId="184" formatCode="_-* #,##0.0_-;\-* #,##0.0_-;_-* &quot;-&quot;??_-;_-@_-"/>
  </numFmts>
  <fonts count="73" x14ac:knownFonts="1">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11"/>
      <color rgb="FFFF0000"/>
      <name val="Calibri"/>
      <family val="2"/>
      <scheme val="minor"/>
    </font>
    <font>
      <b/>
      <sz val="11"/>
      <name val="Calibri"/>
      <family val="2"/>
      <scheme val="minor"/>
    </font>
    <font>
      <sz val="11"/>
      <name val="Calibri"/>
      <family val="2"/>
      <scheme val="minor"/>
    </font>
    <font>
      <sz val="11"/>
      <color rgb="FFFF0000"/>
      <name val="Calibri"/>
      <family val="2"/>
      <scheme val="minor"/>
    </font>
    <font>
      <sz val="9"/>
      <color rgb="FFFFFFFF"/>
      <name val="Calibri"/>
      <family val="2"/>
    </font>
    <font>
      <sz val="11"/>
      <color theme="1"/>
      <name val="Calibri"/>
      <family val="2"/>
    </font>
    <font>
      <sz val="8"/>
      <color theme="1"/>
      <name val="Calibri"/>
      <family val="2"/>
      <scheme val="minor"/>
    </font>
    <font>
      <sz val="8"/>
      <name val="Calibri"/>
      <family val="2"/>
      <scheme val="minor"/>
    </font>
    <font>
      <b/>
      <u/>
      <sz val="11"/>
      <color theme="1"/>
      <name val="Calibri"/>
      <family val="2"/>
      <scheme val="minor"/>
    </font>
    <font>
      <vertAlign val="superscript"/>
      <sz val="11"/>
      <color theme="1"/>
      <name val="Calibri"/>
      <family val="2"/>
      <scheme val="minor"/>
    </font>
    <font>
      <sz val="11"/>
      <color rgb="FFFF0000"/>
      <name val="Calibri"/>
      <family val="2"/>
    </font>
    <font>
      <u/>
      <sz val="11"/>
      <color theme="10"/>
      <name val="Calibri"/>
      <family val="2"/>
    </font>
    <font>
      <sz val="10"/>
      <color theme="1"/>
      <name val="Arial"/>
      <family val="2"/>
    </font>
    <font>
      <sz val="11"/>
      <color indexed="8"/>
      <name val="Calibri"/>
      <family val="2"/>
    </font>
    <font>
      <u/>
      <sz val="8.5"/>
      <color indexed="12"/>
      <name val="Arial"/>
      <family val="2"/>
    </font>
    <font>
      <sz val="10"/>
      <name val="Calibri Light"/>
      <family val="2"/>
      <scheme val="major"/>
    </font>
    <font>
      <sz val="9"/>
      <color theme="0"/>
      <name val="Arial"/>
      <family val="2"/>
    </font>
    <font>
      <b/>
      <sz val="11"/>
      <color theme="0"/>
      <name val="Calibri Light"/>
      <family val="2"/>
      <scheme val="major"/>
    </font>
    <font>
      <sz val="11"/>
      <name val="Calibri Light"/>
      <family val="2"/>
      <scheme val="major"/>
    </font>
    <font>
      <sz val="11"/>
      <color theme="0"/>
      <name val="Calibri Light"/>
      <family val="2"/>
      <scheme val="major"/>
    </font>
    <font>
      <sz val="11"/>
      <color theme="1"/>
      <name val="Calibri Light"/>
      <family val="2"/>
      <scheme val="major"/>
    </font>
    <font>
      <sz val="11"/>
      <color rgb="FFFFFF00"/>
      <name val="Calibri Light"/>
      <family val="2"/>
      <scheme val="major"/>
    </font>
    <font>
      <b/>
      <sz val="11"/>
      <color theme="1"/>
      <name val="Calibri Light"/>
      <family val="2"/>
      <scheme val="major"/>
    </font>
    <font>
      <b/>
      <sz val="11"/>
      <name val="Calibri Light"/>
      <family val="2"/>
      <scheme val="major"/>
    </font>
    <font>
      <sz val="10"/>
      <color theme="0"/>
      <name val="Calibri Light"/>
      <family val="2"/>
      <scheme val="major"/>
    </font>
    <font>
      <sz val="9"/>
      <color theme="1"/>
      <name val="Calibri Light"/>
      <family val="2"/>
      <scheme val="major"/>
    </font>
    <font>
      <b/>
      <sz val="9"/>
      <color theme="1"/>
      <name val="Calibri Light"/>
      <family val="2"/>
      <scheme val="major"/>
    </font>
    <font>
      <b/>
      <sz val="11"/>
      <color rgb="FF00B050"/>
      <name val="Calibri"/>
      <family val="2"/>
      <scheme val="minor"/>
    </font>
    <font>
      <sz val="11"/>
      <color rgb="FF00B050"/>
      <name val="Calibri"/>
      <family val="2"/>
      <scheme val="minor"/>
    </font>
    <font>
      <sz val="10"/>
      <color theme="1"/>
      <name val="Calibri Light"/>
      <family val="2"/>
      <scheme val="major"/>
    </font>
    <font>
      <b/>
      <sz val="10"/>
      <color theme="1"/>
      <name val="Calibri Light"/>
      <family val="2"/>
      <scheme val="major"/>
    </font>
    <font>
      <sz val="12"/>
      <color theme="0"/>
      <name val="Calibri"/>
      <family val="2"/>
      <scheme val="minor"/>
    </font>
    <font>
      <u/>
      <sz val="11"/>
      <color theme="1"/>
      <name val="Calibri"/>
      <family val="2"/>
      <scheme val="minor"/>
    </font>
    <font>
      <i/>
      <sz val="11"/>
      <color theme="1"/>
      <name val="Calibri"/>
      <family val="2"/>
      <scheme val="minor"/>
    </font>
    <font>
      <i/>
      <vertAlign val="subscript"/>
      <sz val="11"/>
      <color theme="1"/>
      <name val="Calibri"/>
      <family val="2"/>
      <scheme val="minor"/>
    </font>
    <font>
      <vertAlign val="subscript"/>
      <sz val="11"/>
      <color theme="1"/>
      <name val="Calibri"/>
      <family val="2"/>
      <scheme val="minor"/>
    </font>
    <font>
      <vertAlign val="subscript"/>
      <sz val="12"/>
      <color theme="0"/>
      <name val="Calibri"/>
      <family val="2"/>
      <scheme val="minor"/>
    </font>
    <font>
      <sz val="11"/>
      <color rgb="FFFFFFFF"/>
      <name val="Calibri"/>
      <family val="2"/>
    </font>
    <font>
      <vertAlign val="subscript"/>
      <sz val="11"/>
      <color rgb="FFFFFFFF"/>
      <name val="Calibri"/>
      <family val="2"/>
    </font>
    <font>
      <u/>
      <sz val="10"/>
      <color theme="10"/>
      <name val="Calibri Light"/>
      <family val="2"/>
      <scheme val="major"/>
    </font>
    <font>
      <b/>
      <sz val="10"/>
      <color rgb="FFFFFFFF"/>
      <name val="Calibri Light"/>
      <family val="2"/>
      <scheme val="major"/>
    </font>
    <font>
      <b/>
      <sz val="10"/>
      <name val="Calibri Light"/>
      <family val="2"/>
      <scheme val="major"/>
    </font>
    <font>
      <b/>
      <sz val="10"/>
      <color rgb="FF0070C0"/>
      <name val="Calibri Light"/>
      <family val="2"/>
      <scheme val="major"/>
    </font>
    <font>
      <b/>
      <sz val="10"/>
      <color theme="0"/>
      <name val="Calibri Light"/>
      <family val="2"/>
      <scheme val="major"/>
    </font>
    <font>
      <sz val="10"/>
      <color rgb="FF0070C0"/>
      <name val="Calibri Light"/>
      <family val="2"/>
      <scheme val="major"/>
    </font>
    <font>
      <vertAlign val="superscript"/>
      <sz val="10"/>
      <color theme="1"/>
      <name val="Calibri Light"/>
      <family val="2"/>
      <scheme val="major"/>
    </font>
    <font>
      <sz val="10"/>
      <color theme="3"/>
      <name val="Calibri Light"/>
      <family val="2"/>
      <scheme val="major"/>
    </font>
    <font>
      <sz val="10"/>
      <color rgb="FF0066CC"/>
      <name val="Calibri Light"/>
      <family val="2"/>
      <scheme val="major"/>
    </font>
    <font>
      <sz val="10"/>
      <color rgb="FFFFFF00"/>
      <name val="Calibri Light"/>
      <family val="2"/>
      <scheme val="major"/>
    </font>
    <font>
      <sz val="12"/>
      <color theme="0"/>
      <name val="Calibri Light"/>
      <family val="2"/>
      <scheme val="major"/>
    </font>
    <font>
      <vertAlign val="superscript"/>
      <sz val="12"/>
      <color theme="0"/>
      <name val="Calibri Light"/>
      <family val="2"/>
      <scheme val="major"/>
    </font>
    <font>
      <b/>
      <sz val="14"/>
      <color theme="0"/>
      <name val="Calibri"/>
      <family val="2"/>
      <scheme val="minor"/>
    </font>
    <font>
      <sz val="14"/>
      <name val="Calibri"/>
      <family val="2"/>
      <scheme val="minor"/>
    </font>
    <font>
      <sz val="14"/>
      <color rgb="FF000000"/>
      <name val="Calibri"/>
      <family val="2"/>
    </font>
    <font>
      <sz val="14"/>
      <color theme="1"/>
      <name val="Calibri"/>
      <family val="2"/>
      <scheme val="minor"/>
    </font>
    <font>
      <sz val="14"/>
      <name val="Calibri"/>
      <family val="2"/>
    </font>
    <font>
      <b/>
      <sz val="14"/>
      <color rgb="FF000000"/>
      <name val="Calibri"/>
      <family val="2"/>
    </font>
    <font>
      <i/>
      <sz val="11"/>
      <color theme="2" tint="-0.499984740745262"/>
      <name val="Calibri"/>
      <family val="2"/>
      <scheme val="minor"/>
    </font>
    <font>
      <i/>
      <sz val="11"/>
      <color theme="1" tint="0.34998626667073579"/>
      <name val="Calibri"/>
      <family val="2"/>
      <scheme val="minor"/>
    </font>
    <font>
      <b/>
      <i/>
      <sz val="11"/>
      <color theme="1" tint="0.34998626667073579"/>
      <name val="Calibri"/>
      <family val="2"/>
      <scheme val="minor"/>
    </font>
    <font>
      <i/>
      <sz val="11"/>
      <color rgb="FFFF0000"/>
      <name val="Calibri"/>
      <family val="2"/>
      <scheme val="minor"/>
    </font>
    <font>
      <i/>
      <sz val="11"/>
      <color rgb="FFFF0000"/>
      <name val="Calibri"/>
      <family val="2"/>
    </font>
    <font>
      <b/>
      <sz val="11"/>
      <color rgb="FFFFFFFF"/>
      <name val="Calibri Light"/>
      <family val="2"/>
      <scheme val="major"/>
    </font>
    <font>
      <b/>
      <sz val="11"/>
      <color rgb="FF000000"/>
      <name val="Calibri Light"/>
      <family val="2"/>
      <scheme val="major"/>
    </font>
    <font>
      <sz val="11"/>
      <name val="Calibri"/>
      <family val="2"/>
    </font>
    <font>
      <b/>
      <sz val="9"/>
      <color theme="0"/>
      <name val="Calibri Light"/>
      <family val="2"/>
      <scheme val="major"/>
    </font>
  </fonts>
  <fills count="4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bgColor indexed="64"/>
      </patternFill>
    </fill>
    <fill>
      <patternFill patternType="solid">
        <fgColor rgb="FFFFFF00"/>
        <bgColor indexed="64"/>
      </patternFill>
    </fill>
    <fill>
      <patternFill patternType="solid">
        <fgColor theme="8" tint="-0.249977111117893"/>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4"/>
        <bgColor rgb="FF000000"/>
      </patternFill>
    </fill>
    <fill>
      <patternFill patternType="solid">
        <fgColor rgb="FF757171"/>
        <bgColor rgb="FF000000"/>
      </patternFill>
    </fill>
    <fill>
      <patternFill patternType="solid">
        <fgColor theme="4" tint="0.89999084444715716"/>
        <bgColor indexed="64"/>
      </patternFill>
    </fill>
    <fill>
      <patternFill patternType="solid">
        <fgColor rgb="FFFFC000"/>
        <bgColor indexed="64"/>
      </patternFill>
    </fill>
    <fill>
      <patternFill patternType="solid">
        <fgColor indexed="65"/>
        <bgColor indexed="64"/>
      </patternFill>
    </fill>
    <fill>
      <patternFill patternType="solid">
        <fgColor rgb="FF002060"/>
        <bgColor indexed="64"/>
      </patternFill>
    </fill>
    <fill>
      <patternFill patternType="solid">
        <fgColor theme="0"/>
        <bgColor theme="0" tint="-0.14999847407452621"/>
      </patternFill>
    </fill>
    <fill>
      <patternFill patternType="solid">
        <fgColor theme="0" tint="-0.14999847407452621"/>
        <bgColor theme="0" tint="-0.14999847407452621"/>
      </patternFill>
    </fill>
    <fill>
      <patternFill patternType="solid">
        <fgColor theme="3" tint="0.59999389629810485"/>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bgColor theme="0" tint="-0.14999847407452621"/>
      </patternFill>
    </fill>
    <fill>
      <patternFill patternType="solid">
        <fgColor theme="7" tint="0.39997558519241921"/>
        <bgColor indexed="64"/>
      </patternFill>
    </fill>
    <fill>
      <patternFill patternType="solid">
        <fgColor rgb="FF7030A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bgColor indexed="64"/>
      </patternFill>
    </fill>
    <fill>
      <patternFill patternType="solid">
        <fgColor theme="5"/>
        <bgColor indexed="64"/>
      </patternFill>
    </fill>
    <fill>
      <patternFill patternType="solid">
        <fgColor theme="2"/>
        <bgColor indexed="64"/>
      </patternFill>
    </fill>
    <fill>
      <patternFill patternType="solid">
        <fgColor theme="0" tint="-0.249977111117893"/>
        <bgColor indexed="64"/>
      </patternFill>
    </fill>
    <fill>
      <patternFill patternType="solid">
        <fgColor rgb="FF002060"/>
        <bgColor rgb="FF000000"/>
      </patternFill>
    </fill>
  </fills>
  <borders count="5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theme="0"/>
      </right>
      <top/>
      <bottom/>
      <diagonal/>
    </border>
    <border>
      <left style="thin">
        <color theme="0"/>
      </left>
      <right/>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right/>
      <top/>
      <bottom style="thin">
        <color theme="0" tint="-0.499984740745262"/>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rgb="FF000000"/>
      </left>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top/>
      <bottom style="double">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diagonalUp="1">
      <left/>
      <right/>
      <top/>
      <bottom/>
      <diagonal style="thin">
        <color auto="1"/>
      </diagonal>
    </border>
    <border>
      <left style="thin">
        <color indexed="64"/>
      </left>
      <right style="thin">
        <color indexed="64"/>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F3557"/>
      </left>
      <right style="thin">
        <color rgb="FF0F3557"/>
      </right>
      <top style="thin">
        <color rgb="FF0F3557"/>
      </top>
      <bottom style="thin">
        <color rgb="FF0F3557"/>
      </bottom>
      <diagonal/>
    </border>
    <border>
      <left style="thin">
        <color indexed="64"/>
      </left>
      <right/>
      <top style="thin">
        <color indexed="64"/>
      </top>
      <bottom style="thin">
        <color indexed="64"/>
      </bottom>
      <diagonal/>
    </border>
    <border>
      <left style="thin">
        <color rgb="FF0F3557"/>
      </left>
      <right/>
      <top style="thin">
        <color rgb="FF0F3557"/>
      </top>
      <bottom style="thin">
        <color rgb="FF0F3557"/>
      </bottom>
      <diagonal/>
    </border>
    <border>
      <left style="thin">
        <color rgb="FF0F3557"/>
      </left>
      <right style="thin">
        <color rgb="FF0F3557"/>
      </right>
      <top/>
      <bottom style="thin">
        <color rgb="FF0F3557"/>
      </bottom>
      <diagonal/>
    </border>
    <border>
      <left style="thin">
        <color rgb="FF0F3557"/>
      </left>
      <right/>
      <top style="thin">
        <color rgb="FF0F3557"/>
      </top>
      <bottom/>
      <diagonal/>
    </border>
    <border>
      <left style="thin">
        <color rgb="FF0F3557"/>
      </left>
      <right/>
      <top/>
      <bottom/>
      <diagonal/>
    </border>
    <border>
      <left style="thin">
        <color rgb="FF0F3557"/>
      </left>
      <right/>
      <top/>
      <bottom style="thin">
        <color rgb="FF0F3557"/>
      </bottom>
      <diagonal/>
    </border>
    <border>
      <left style="thin">
        <color rgb="FF0F3557"/>
      </left>
      <right style="thin">
        <color rgb="FF0F3557"/>
      </right>
      <top/>
      <bottom/>
      <diagonal/>
    </border>
    <border>
      <left style="thin">
        <color rgb="FF0F3557"/>
      </left>
      <right style="thin">
        <color rgb="FF0F3557"/>
      </right>
      <top style="thin">
        <color rgb="FF0F3557"/>
      </top>
      <bottom/>
      <diagonal/>
    </border>
    <border>
      <left style="thin">
        <color indexed="64"/>
      </left>
      <right/>
      <top/>
      <bottom style="thin">
        <color indexed="64"/>
      </bottom>
      <diagonal/>
    </border>
    <border>
      <left/>
      <right/>
      <top/>
      <bottom style="thin">
        <color rgb="FF0F3557"/>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s>
  <cellStyleXfs count="870">
    <xf numFmtId="0" fontId="0" fillId="0" borderId="0"/>
    <xf numFmtId="43" fontId="2" fillId="0" borderId="0" applyFont="0" applyFill="0" applyBorder="0" applyAlignment="0" applyProtection="0"/>
    <xf numFmtId="0" fontId="6" fillId="0" borderId="0"/>
    <xf numFmtId="0" fontId="2" fillId="0" borderId="0"/>
    <xf numFmtId="0" fontId="2"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8" fillId="0" borderId="0" applyNumberFormat="0" applyFill="0" applyBorder="0" applyAlignment="0" applyProtection="0">
      <alignment vertical="top"/>
      <protection locked="0"/>
    </xf>
    <xf numFmtId="9" fontId="6" fillId="0" borderId="0" applyFont="0" applyFill="0" applyBorder="0" applyAlignment="0" applyProtection="0"/>
    <xf numFmtId="164" fontId="6" fillId="0" borderId="0" applyFont="0" applyFill="0" applyBorder="0" applyAlignment="0" applyProtection="0"/>
    <xf numFmtId="0" fontId="6"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1" fillId="0" borderId="0" applyNumberFormat="0" applyFill="0" applyBorder="0" applyAlignment="0" applyProtection="0">
      <alignment vertical="top"/>
      <protection locked="0"/>
    </xf>
    <xf numFmtId="177" fontId="6" fillId="0" borderId="0" applyFont="0" applyFill="0" applyBorder="0" applyAlignment="0" applyProtection="0"/>
    <xf numFmtId="0" fontId="6" fillId="0" borderId="0"/>
    <xf numFmtId="0" fontId="6" fillId="0" borderId="0"/>
    <xf numFmtId="0" fontId="6" fillId="0" borderId="0"/>
    <xf numFmtId="0" fontId="6" fillId="0" borderId="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77" fontId="6" fillId="0" borderId="0" applyFont="0" applyFill="0" applyBorder="0" applyAlignment="0" applyProtection="0"/>
    <xf numFmtId="0" fontId="1"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43" fontId="6"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9" fillId="0" borderId="0"/>
    <xf numFmtId="43" fontId="19" fillId="0" borderId="0" applyFont="0" applyFill="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9"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0" fontId="1" fillId="20" borderId="21" applyNumberFormat="0" applyFont="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9" fontId="19" fillId="0" borderId="0" applyFont="0" applyFill="0" applyBorder="0" applyAlignment="0" applyProtection="0"/>
    <xf numFmtId="0" fontId="1" fillId="0" borderId="0"/>
    <xf numFmtId="44" fontId="1" fillId="0" borderId="0" applyFont="0" applyFill="0" applyBorder="0" applyAlignment="0" applyProtection="0"/>
  </cellStyleXfs>
  <cellXfs count="395">
    <xf numFmtId="0" fontId="0" fillId="0" borderId="0" xfId="0"/>
    <xf numFmtId="0" fontId="4" fillId="0" borderId="0" xfId="0" applyFont="1"/>
    <xf numFmtId="0" fontId="11" fillId="11" borderId="3" xfId="0" applyFont="1" applyFill="1" applyBorder="1" applyAlignment="1">
      <alignment horizontal="center" vertical="center"/>
    </xf>
    <xf numFmtId="0" fontId="13" fillId="0" borderId="0" xfId="0" applyFont="1"/>
    <xf numFmtId="2" fontId="0" fillId="0" borderId="0" xfId="0" applyNumberFormat="1"/>
    <xf numFmtId="0" fontId="4" fillId="0" borderId="0" xfId="0" applyFont="1" applyAlignment="1">
      <alignment horizontal="center" vertical="center"/>
    </xf>
    <xf numFmtId="4" fontId="9" fillId="0" borderId="0" xfId="0" applyNumberFormat="1" applyFont="1"/>
    <xf numFmtId="4" fontId="9" fillId="0" borderId="0" xfId="0" applyNumberFormat="1" applyFont="1" applyAlignment="1">
      <alignment horizontal="right" vertical="center"/>
    </xf>
    <xf numFmtId="167" fontId="10" fillId="0" borderId="0" xfId="0" applyNumberFormat="1" applyFont="1" applyAlignment="1">
      <alignment horizontal="right" vertical="center"/>
    </xf>
    <xf numFmtId="2" fontId="0" fillId="0" borderId="0" xfId="0" applyNumberFormat="1" applyAlignment="1">
      <alignment vertical="center"/>
    </xf>
    <xf numFmtId="167" fontId="10" fillId="0" borderId="0" xfId="0" applyNumberFormat="1" applyFont="1"/>
    <xf numFmtId="1" fontId="0" fillId="0" borderId="0" xfId="0" applyNumberFormat="1"/>
    <xf numFmtId="166" fontId="0" fillId="13" borderId="10" xfId="0" applyNumberFormat="1" applyFill="1" applyBorder="1" applyAlignment="1">
      <alignment horizontal="center" vertical="center"/>
    </xf>
    <xf numFmtId="1" fontId="0" fillId="0" borderId="0" xfId="0" applyNumberFormat="1" applyAlignment="1">
      <alignment horizontal="center"/>
    </xf>
    <xf numFmtId="2" fontId="0" fillId="0" borderId="0" xfId="0" applyNumberFormat="1" applyAlignment="1">
      <alignment horizontal="center"/>
    </xf>
    <xf numFmtId="2" fontId="5" fillId="0" borderId="1" xfId="0" applyNumberFormat="1" applyFont="1" applyBorder="1"/>
    <xf numFmtId="2" fontId="15" fillId="0" borderId="0" xfId="0" applyNumberFormat="1" applyFont="1"/>
    <xf numFmtId="2" fontId="0" fillId="0" borderId="2" xfId="0" applyNumberFormat="1" applyBorder="1"/>
    <xf numFmtId="2" fontId="0" fillId="14" borderId="0" xfId="0" applyNumberFormat="1" applyFill="1"/>
    <xf numFmtId="2" fontId="15" fillId="0" borderId="0" xfId="0" applyNumberFormat="1" applyFont="1" applyAlignment="1">
      <alignment horizontal="center"/>
    </xf>
    <xf numFmtId="1" fontId="15" fillId="0" borderId="0" xfId="0" applyNumberFormat="1" applyFont="1" applyAlignment="1">
      <alignment horizontal="center"/>
    </xf>
    <xf numFmtId="166" fontId="10" fillId="0" borderId="0" xfId="0" applyNumberFormat="1" applyFont="1"/>
    <xf numFmtId="2" fontId="0" fillId="7" borderId="0" xfId="0" applyNumberFormat="1" applyFill="1"/>
    <xf numFmtId="169" fontId="0" fillId="7" borderId="0" xfId="1" applyNumberFormat="1" applyFont="1" applyFill="1"/>
    <xf numFmtId="169" fontId="10" fillId="0" borderId="0" xfId="1" applyNumberFormat="1" applyFont="1"/>
    <xf numFmtId="2" fontId="0" fillId="0" borderId="0" xfId="0" applyNumberFormat="1" applyAlignment="1">
      <alignment horizontal="left"/>
    </xf>
    <xf numFmtId="169" fontId="10" fillId="0" borderId="0" xfId="1" applyNumberFormat="1" applyFont="1" applyFill="1"/>
    <xf numFmtId="2" fontId="5" fillId="0" borderId="12" xfId="0" applyNumberFormat="1" applyFont="1" applyBorder="1"/>
    <xf numFmtId="169" fontId="0" fillId="0" borderId="0" xfId="1" applyNumberFormat="1" applyFont="1" applyFill="1" applyBorder="1"/>
    <xf numFmtId="169" fontId="10" fillId="0" borderId="0" xfId="1" applyNumberFormat="1" applyFont="1" applyFill="1" applyBorder="1"/>
    <xf numFmtId="2" fontId="5" fillId="0" borderId="0" xfId="0" applyNumberFormat="1" applyFont="1"/>
    <xf numFmtId="2" fontId="0" fillId="0" borderId="13" xfId="0" applyNumberFormat="1" applyBorder="1" applyAlignment="1">
      <alignment vertical="center"/>
    </xf>
    <xf numFmtId="1" fontId="0" fillId="0" borderId="0" xfId="0" applyNumberFormat="1" applyAlignment="1">
      <alignment horizontal="center" vertical="center"/>
    </xf>
    <xf numFmtId="169" fontId="10" fillId="0" borderId="0" xfId="1" applyNumberFormat="1" applyFont="1" applyAlignment="1">
      <alignment vertical="center"/>
    </xf>
    <xf numFmtId="1" fontId="0" fillId="0" borderId="0" xfId="0" applyNumberFormat="1" applyAlignment="1">
      <alignment vertical="center"/>
    </xf>
    <xf numFmtId="2" fontId="0" fillId="0" borderId="13" xfId="0" applyNumberFormat="1" applyBorder="1" applyAlignment="1">
      <alignment horizontal="center" vertical="center"/>
    </xf>
    <xf numFmtId="2" fontId="0" fillId="0" borderId="0" xfId="0" applyNumberFormat="1" applyAlignment="1">
      <alignment horizontal="center" vertical="center"/>
    </xf>
    <xf numFmtId="1" fontId="0" fillId="0" borderId="0" xfId="0" applyNumberFormat="1" applyAlignment="1">
      <alignment horizontal="left" vertical="center"/>
    </xf>
    <xf numFmtId="169" fontId="10" fillId="0" borderId="0" xfId="1" applyNumberFormat="1" applyFont="1" applyAlignment="1">
      <alignment horizontal="center" vertical="center"/>
    </xf>
    <xf numFmtId="2" fontId="0" fillId="0" borderId="0" xfId="0" applyNumberFormat="1" applyAlignment="1">
      <alignment horizontal="left" vertical="center"/>
    </xf>
    <xf numFmtId="3" fontId="0" fillId="0" borderId="0" xfId="0" applyNumberFormat="1" applyAlignment="1">
      <alignment horizontal="center" vertical="center"/>
    </xf>
    <xf numFmtId="41" fontId="22" fillId="0" borderId="0" xfId="2" applyNumberFormat="1" applyFont="1"/>
    <xf numFmtId="165" fontId="22" fillId="0" borderId="0" xfId="2" applyNumberFormat="1" applyFont="1"/>
    <xf numFmtId="41" fontId="12" fillId="0" borderId="1" xfId="0" applyNumberFormat="1" applyFont="1" applyBorder="1" applyAlignment="1">
      <alignment horizontal="center" vertical="center"/>
    </xf>
    <xf numFmtId="1" fontId="23" fillId="3" borderId="1" xfId="2" applyNumberFormat="1" applyFont="1" applyFill="1" applyBorder="1" applyAlignment="1">
      <alignment horizontal="left" vertical="center"/>
    </xf>
    <xf numFmtId="1" fontId="23" fillId="3" borderId="1" xfId="2" applyNumberFormat="1" applyFont="1" applyFill="1" applyBorder="1" applyAlignment="1">
      <alignment horizontal="center" vertical="center" wrapText="1"/>
    </xf>
    <xf numFmtId="41" fontId="17" fillId="0" borderId="0" xfId="0" applyNumberFormat="1" applyFont="1" applyAlignment="1">
      <alignment horizontal="center" vertical="center"/>
    </xf>
    <xf numFmtId="0" fontId="0" fillId="0" borderId="0" xfId="0" applyAlignment="1">
      <alignment horizontal="center" vertical="center"/>
    </xf>
    <xf numFmtId="0" fontId="0" fillId="13" borderId="10" xfId="0" applyFill="1" applyBorder="1" applyAlignment="1">
      <alignment horizontal="center" vertical="center"/>
    </xf>
    <xf numFmtId="0" fontId="0" fillId="13" borderId="10" xfId="0" applyFill="1" applyBorder="1" applyAlignment="1">
      <alignment horizontal="left" vertical="center"/>
    </xf>
    <xf numFmtId="172" fontId="0" fillId="2" borderId="25" xfId="10" applyNumberFormat="1" applyFont="1" applyFill="1" applyBorder="1" applyAlignment="1">
      <alignment horizontal="center"/>
    </xf>
    <xf numFmtId="0" fontId="25" fillId="0" borderId="0" xfId="2" applyFont="1"/>
    <xf numFmtId="0" fontId="24" fillId="19" borderId="0" xfId="2" applyFont="1" applyFill="1"/>
    <xf numFmtId="0" fontId="27" fillId="17" borderId="1" xfId="14" applyFont="1" applyFill="1" applyBorder="1" applyAlignment="1">
      <alignment horizontal="left" vertical="center" indent="1"/>
    </xf>
    <xf numFmtId="43" fontId="27" fillId="17" borderId="1" xfId="14" applyNumberFormat="1" applyFont="1" applyFill="1" applyBorder="1" applyAlignment="1">
      <alignment horizontal="center" vertical="center"/>
    </xf>
    <xf numFmtId="0" fontId="25" fillId="4" borderId="0" xfId="2" applyFont="1" applyFill="1"/>
    <xf numFmtId="0" fontId="25" fillId="5" borderId="0" xfId="2" applyFont="1" applyFill="1"/>
    <xf numFmtId="0" fontId="29" fillId="17" borderId="22" xfId="14" applyFont="1" applyFill="1" applyBorder="1" applyAlignment="1">
      <alignment horizontal="left" vertical="center" indent="1"/>
    </xf>
    <xf numFmtId="43" fontId="29" fillId="17" borderId="22" xfId="14" applyNumberFormat="1" applyFont="1" applyFill="1" applyBorder="1" applyAlignment="1">
      <alignment horizontal="center" vertical="center"/>
    </xf>
    <xf numFmtId="0" fontId="25" fillId="0" borderId="0" xfId="2" applyFont="1" applyAlignment="1">
      <alignment horizontal="center"/>
    </xf>
    <xf numFmtId="41" fontId="28" fillId="6" borderId="1" xfId="13" applyNumberFormat="1" applyFont="1" applyFill="1" applyBorder="1" applyAlignment="1">
      <alignment horizontal="center" vertical="center"/>
    </xf>
    <xf numFmtId="41" fontId="25" fillId="0" borderId="1" xfId="13" applyNumberFormat="1" applyFont="1" applyFill="1" applyBorder="1" applyAlignment="1">
      <alignment horizontal="center" vertical="center"/>
    </xf>
    <xf numFmtId="0" fontId="27" fillId="0" borderId="0" xfId="0" applyFont="1"/>
    <xf numFmtId="41" fontId="32" fillId="0" borderId="0" xfId="0" applyNumberFormat="1" applyFont="1"/>
    <xf numFmtId="0" fontId="32" fillId="0" borderId="0" xfId="0" applyFont="1"/>
    <xf numFmtId="0" fontId="27" fillId="0" borderId="0" xfId="0" applyFont="1" applyAlignment="1">
      <alignment wrapText="1"/>
    </xf>
    <xf numFmtId="0" fontId="32" fillId="0" borderId="0" xfId="0" applyFont="1" applyAlignment="1">
      <alignment horizontal="center"/>
    </xf>
    <xf numFmtId="0" fontId="27" fillId="0" borderId="0" xfId="0" applyFont="1" applyAlignment="1">
      <alignment horizontal="center"/>
    </xf>
    <xf numFmtId="41" fontId="33" fillId="0" borderId="0" xfId="0" applyNumberFormat="1" applyFont="1"/>
    <xf numFmtId="180" fontId="32" fillId="0" borderId="0" xfId="0" applyNumberFormat="1" applyFont="1"/>
    <xf numFmtId="181" fontId="32" fillId="0" borderId="25" xfId="0" applyNumberFormat="1" applyFont="1" applyBorder="1" applyAlignment="1">
      <alignment horizontal="center" vertical="center" wrapText="1"/>
    </xf>
    <xf numFmtId="0" fontId="32" fillId="0" borderId="25" xfId="0" applyFont="1" applyBorder="1" applyAlignment="1">
      <alignment horizontal="center" vertical="center" wrapText="1"/>
    </xf>
    <xf numFmtId="0" fontId="3" fillId="6" borderId="0" xfId="0" applyFont="1" applyFill="1" applyAlignment="1">
      <alignment horizontal="center"/>
    </xf>
    <xf numFmtId="0" fontId="0" fillId="0" borderId="26" xfId="0" applyBorder="1"/>
    <xf numFmtId="0" fontId="4" fillId="36" borderId="0" xfId="0" applyFont="1" applyFill="1" applyAlignment="1">
      <alignment horizontal="center" vertical="center"/>
    </xf>
    <xf numFmtId="0" fontId="7" fillId="36" borderId="0" xfId="0" applyFont="1" applyFill="1" applyAlignment="1">
      <alignment horizontal="center" vertical="center"/>
    </xf>
    <xf numFmtId="0" fontId="8" fillId="36" borderId="0" xfId="0" applyFont="1" applyFill="1"/>
    <xf numFmtId="0" fontId="34" fillId="0" borderId="0" xfId="0" applyFont="1" applyAlignment="1">
      <alignment horizontal="left" vertical="center"/>
    </xf>
    <xf numFmtId="182" fontId="0" fillId="0" borderId="0" xfId="0" applyNumberFormat="1"/>
    <xf numFmtId="182" fontId="35" fillId="0" borderId="0" xfId="0" applyNumberFormat="1" applyFont="1"/>
    <xf numFmtId="0" fontId="4" fillId="36" borderId="0" xfId="0" applyFont="1" applyFill="1"/>
    <xf numFmtId="182" fontId="0" fillId="7" borderId="0" xfId="0" applyNumberFormat="1" applyFill="1"/>
    <xf numFmtId="0" fontId="8" fillId="0" borderId="0" xfId="0" applyFont="1"/>
    <xf numFmtId="182" fontId="9" fillId="0" borderId="0" xfId="0" applyNumberFormat="1" applyFont="1"/>
    <xf numFmtId="0" fontId="0" fillId="0" borderId="0" xfId="0" applyAlignment="1">
      <alignment horizontal="center" wrapText="1"/>
    </xf>
    <xf numFmtId="0" fontId="0" fillId="0" borderId="0" xfId="0" applyAlignment="1">
      <alignment horizontal="center" vertical="center" wrapText="1"/>
    </xf>
    <xf numFmtId="182" fontId="0" fillId="0" borderId="0" xfId="0" applyNumberFormat="1" applyAlignment="1">
      <alignment horizontal="center" wrapText="1"/>
    </xf>
    <xf numFmtId="43" fontId="22" fillId="0" borderId="0" xfId="2" applyNumberFormat="1" applyFont="1"/>
    <xf numFmtId="0" fontId="36" fillId="0" borderId="0" xfId="0" applyFont="1"/>
    <xf numFmtId="0" fontId="37" fillId="0" borderId="1" xfId="0" applyFont="1" applyBorder="1" applyAlignment="1">
      <alignment horizontal="center" vertical="center"/>
    </xf>
    <xf numFmtId="0" fontId="36" fillId="0" borderId="1" xfId="0" applyFont="1" applyBorder="1"/>
    <xf numFmtId="169" fontId="36" fillId="0" borderId="1" xfId="10" applyNumberFormat="1" applyFont="1" applyBorder="1" applyAlignment="1">
      <alignment vertical="center"/>
    </xf>
    <xf numFmtId="169" fontId="37" fillId="0" borderId="23" xfId="10" applyNumberFormat="1" applyFont="1" applyBorder="1"/>
    <xf numFmtId="0" fontId="39" fillId="0" borderId="0" xfId="0" applyFont="1"/>
    <xf numFmtId="0" fontId="5" fillId="6" borderId="1" xfId="0" applyFont="1" applyFill="1" applyBorder="1" applyAlignment="1">
      <alignment horizontal="center"/>
    </xf>
    <xf numFmtId="0" fontId="0" fillId="0" borderId="0" xfId="0" applyAlignment="1">
      <alignment horizontal="center"/>
    </xf>
    <xf numFmtId="3" fontId="0" fillId="0" borderId="0" xfId="0" applyNumberFormat="1" applyAlignment="1">
      <alignment vertical="center"/>
    </xf>
    <xf numFmtId="9" fontId="0" fillId="7" borderId="0" xfId="0" applyNumberFormat="1" applyFill="1" applyAlignment="1">
      <alignment horizontal="center"/>
    </xf>
    <xf numFmtId="0" fontId="0" fillId="10" borderId="0" xfId="0" applyFill="1"/>
    <xf numFmtId="0" fontId="5" fillId="6" borderId="3" xfId="0" applyFont="1" applyFill="1" applyBorder="1"/>
    <xf numFmtId="0" fontId="5" fillId="6" borderId="5" xfId="0" applyFont="1" applyFill="1" applyBorder="1"/>
    <xf numFmtId="0" fontId="5" fillId="0" borderId="6" xfId="0" applyFont="1" applyBorder="1" applyAlignment="1">
      <alignment horizontal="center" vertical="center"/>
    </xf>
    <xf numFmtId="170" fontId="0" fillId="0" borderId="0" xfId="0" applyNumberFormat="1"/>
    <xf numFmtId="0" fontId="5" fillId="6" borderId="7" xfId="0" applyFont="1" applyFill="1" applyBorder="1" applyAlignment="1">
      <alignment horizontal="center" vertical="center"/>
    </xf>
    <xf numFmtId="0" fontId="5" fillId="6" borderId="8" xfId="0" applyFont="1" applyFill="1" applyBorder="1" applyAlignment="1">
      <alignment horizontal="left" vertical="center"/>
    </xf>
    <xf numFmtId="0" fontId="38" fillId="6" borderId="8" xfId="0" applyFont="1" applyFill="1" applyBorder="1" applyAlignment="1">
      <alignment horizontal="center" vertical="center" wrapText="1"/>
    </xf>
    <xf numFmtId="0" fontId="38" fillId="6" borderId="4" xfId="0" applyFont="1" applyFill="1" applyBorder="1" applyAlignment="1">
      <alignment horizontal="center" vertical="center" wrapText="1"/>
    </xf>
    <xf numFmtId="41" fontId="0" fillId="0" borderId="0" xfId="0" applyNumberFormat="1"/>
    <xf numFmtId="41" fontId="0" fillId="0" borderId="0" xfId="0" applyNumberFormat="1" applyAlignment="1">
      <alignment horizontal="center" vertical="center"/>
    </xf>
    <xf numFmtId="0" fontId="0" fillId="2" borderId="0" xfId="0" applyFill="1"/>
    <xf numFmtId="0" fontId="44" fillId="12" borderId="0" xfId="0" applyFont="1" applyFill="1" applyAlignment="1">
      <alignment horizontal="left" vertical="center"/>
    </xf>
    <xf numFmtId="0" fontId="44" fillId="12" borderId="0" xfId="0" applyFont="1" applyFill="1" applyAlignment="1">
      <alignment horizontal="center" vertical="center"/>
    </xf>
    <xf numFmtId="0" fontId="44" fillId="12" borderId="0" xfId="0" applyFont="1" applyFill="1" applyAlignment="1">
      <alignment horizontal="right" vertical="center"/>
    </xf>
    <xf numFmtId="176" fontId="0" fillId="0" borderId="0" xfId="0" applyNumberFormat="1" applyAlignment="1">
      <alignment horizontal="right" vertical="center"/>
    </xf>
    <xf numFmtId="176" fontId="0" fillId="0" borderId="0" xfId="0" applyNumberFormat="1" applyAlignment="1">
      <alignment horizontal="center" vertical="center"/>
    </xf>
    <xf numFmtId="4" fontId="0" fillId="0" borderId="0" xfId="0" applyNumberFormat="1" applyAlignment="1">
      <alignment horizontal="right" vertical="center"/>
    </xf>
    <xf numFmtId="176" fontId="0" fillId="0" borderId="0" xfId="0" applyNumberFormat="1"/>
    <xf numFmtId="2" fontId="0" fillId="0" borderId="0" xfId="0" applyNumberFormat="1" applyAlignment="1">
      <alignment horizontal="right" vertical="center"/>
    </xf>
    <xf numFmtId="178" fontId="0" fillId="0" borderId="0" xfId="0" applyNumberFormat="1" applyAlignment="1">
      <alignment horizontal="right" vertical="center"/>
    </xf>
    <xf numFmtId="4" fontId="0" fillId="0" borderId="0" xfId="0" applyNumberFormat="1"/>
    <xf numFmtId="4" fontId="10" fillId="0" borderId="0" xfId="0" applyNumberFormat="1" applyFont="1"/>
    <xf numFmtId="0" fontId="44" fillId="0" borderId="0" xfId="0" applyFont="1" applyAlignment="1">
      <alignment horizontal="center" vertical="center"/>
    </xf>
    <xf numFmtId="0" fontId="44" fillId="0" borderId="0" xfId="0" applyFont="1" applyAlignment="1">
      <alignment horizontal="left" vertical="center"/>
    </xf>
    <xf numFmtId="0" fontId="44" fillId="0" borderId="0" xfId="0" applyFont="1" applyAlignment="1">
      <alignment horizontal="right" vertical="center"/>
    </xf>
    <xf numFmtId="167" fontId="0" fillId="0" borderId="0" xfId="0" applyNumberFormat="1" applyAlignment="1">
      <alignment horizontal="right" vertical="center"/>
    </xf>
    <xf numFmtId="4" fontId="0" fillId="0" borderId="0" xfId="0" applyNumberFormat="1" applyAlignment="1">
      <alignment horizontal="left" vertical="center"/>
    </xf>
    <xf numFmtId="4" fontId="0" fillId="0" borderId="0" xfId="0" applyNumberFormat="1" applyAlignment="1">
      <alignment horizontal="center" vertical="center"/>
    </xf>
    <xf numFmtId="168" fontId="0" fillId="0" borderId="0" xfId="0" applyNumberFormat="1" applyAlignment="1">
      <alignment horizontal="left"/>
    </xf>
    <xf numFmtId="167" fontId="0" fillId="0" borderId="0" xfId="0" applyNumberFormat="1"/>
    <xf numFmtId="4" fontId="0" fillId="0" borderId="0" xfId="0" applyNumberFormat="1" applyAlignment="1">
      <alignment horizontal="right"/>
    </xf>
    <xf numFmtId="166" fontId="0" fillId="34" borderId="10" xfId="0" applyNumberFormat="1" applyFill="1" applyBorder="1" applyAlignment="1">
      <alignment horizontal="center" vertical="center"/>
    </xf>
    <xf numFmtId="10" fontId="1" fillId="0" borderId="0" xfId="5" applyNumberFormat="1" applyFont="1"/>
    <xf numFmtId="166" fontId="0" fillId="0" borderId="0" xfId="0" applyNumberFormat="1"/>
    <xf numFmtId="172" fontId="0" fillId="0" borderId="0" xfId="0" applyNumberFormat="1"/>
    <xf numFmtId="173" fontId="0" fillId="0" borderId="0" xfId="0" applyNumberFormat="1"/>
    <xf numFmtId="41" fontId="32" fillId="0" borderId="25" xfId="0" applyNumberFormat="1" applyFont="1" applyBorder="1" applyAlignment="1">
      <alignment horizontal="center" vertical="center" wrapText="1"/>
    </xf>
    <xf numFmtId="41" fontId="27" fillId="17" borderId="1" xfId="14" applyNumberFormat="1" applyFont="1" applyFill="1" applyBorder="1" applyAlignment="1">
      <alignment horizontal="left" vertical="center" indent="1"/>
    </xf>
    <xf numFmtId="41" fontId="30" fillId="0" borderId="22" xfId="13" applyNumberFormat="1" applyFont="1" applyFill="1" applyBorder="1" applyAlignment="1">
      <alignment horizontal="center" vertical="center"/>
    </xf>
    <xf numFmtId="41" fontId="25" fillId="0" borderId="0" xfId="2" applyNumberFormat="1" applyFont="1"/>
    <xf numFmtId="0" fontId="46" fillId="4" borderId="0" xfId="11" applyFont="1" applyFill="1" applyBorder="1" applyAlignment="1" applyProtection="1">
      <alignment horizontal="center"/>
    </xf>
    <xf numFmtId="0" fontId="22" fillId="15" borderId="0" xfId="2" applyFont="1" applyFill="1"/>
    <xf numFmtId="0" fontId="46" fillId="2" borderId="0" xfId="11" applyFont="1" applyFill="1" applyBorder="1" applyAlignment="1" applyProtection="1">
      <alignment horizontal="center"/>
    </xf>
    <xf numFmtId="0" fontId="22" fillId="2" borderId="0" xfId="2" applyFont="1" applyFill="1"/>
    <xf numFmtId="0" fontId="48" fillId="2" borderId="0" xfId="2" applyFont="1" applyFill="1"/>
    <xf numFmtId="1" fontId="49" fillId="2" borderId="0" xfId="2" applyNumberFormat="1" applyFont="1" applyFill="1" applyAlignment="1">
      <alignment horizontal="center" vertical="center"/>
    </xf>
    <xf numFmtId="1" fontId="48" fillId="2" borderId="0" xfId="2" applyNumberFormat="1" applyFont="1" applyFill="1" applyAlignment="1">
      <alignment horizontal="center" vertical="center"/>
    </xf>
    <xf numFmtId="0" fontId="22" fillId="0" borderId="0" xfId="2" applyFont="1"/>
    <xf numFmtId="0" fontId="50" fillId="16" borderId="0" xfId="2" applyFont="1" applyFill="1"/>
    <xf numFmtId="0" fontId="22" fillId="16" borderId="0" xfId="2" applyFont="1" applyFill="1"/>
    <xf numFmtId="0" fontId="48" fillId="0" borderId="15" xfId="2" applyFont="1" applyBorder="1" applyAlignment="1">
      <alignment horizontal="left" vertical="center"/>
    </xf>
    <xf numFmtId="9" fontId="51" fillId="0" borderId="15" xfId="12" applyFont="1" applyFill="1" applyBorder="1" applyAlignment="1">
      <alignment horizontal="center" vertical="center"/>
    </xf>
    <xf numFmtId="9" fontId="51" fillId="0" borderId="16" xfId="12" applyFont="1" applyBorder="1" applyAlignment="1">
      <alignment horizontal="center" vertical="center"/>
    </xf>
    <xf numFmtId="9" fontId="22" fillId="0" borderId="15" xfId="12" applyFont="1" applyFill="1" applyBorder="1" applyAlignment="1">
      <alignment horizontal="center" vertical="center"/>
    </xf>
    <xf numFmtId="0" fontId="22" fillId="2" borderId="15" xfId="2" applyFont="1" applyFill="1" applyBorder="1"/>
    <xf numFmtId="9" fontId="22" fillId="0" borderId="15" xfId="12" applyFont="1" applyBorder="1" applyAlignment="1">
      <alignment horizontal="center" vertical="center"/>
    </xf>
    <xf numFmtId="3" fontId="22" fillId="15" borderId="0" xfId="2" applyNumberFormat="1" applyFont="1" applyFill="1"/>
    <xf numFmtId="175" fontId="37" fillId="3" borderId="14" xfId="2" applyNumberFormat="1" applyFont="1" applyFill="1" applyBorder="1" applyAlignment="1">
      <alignment horizontal="center" vertical="center" wrapText="1"/>
    </xf>
    <xf numFmtId="175" fontId="37" fillId="3" borderId="12" xfId="2" applyNumberFormat="1" applyFont="1" applyFill="1" applyBorder="1" applyAlignment="1">
      <alignment horizontal="center" vertical="center" wrapText="1"/>
    </xf>
    <xf numFmtId="0" fontId="36" fillId="0" borderId="24" xfId="2" applyFont="1" applyBorder="1"/>
    <xf numFmtId="1" fontId="51" fillId="0" borderId="1" xfId="13" applyNumberFormat="1" applyFont="1" applyFill="1" applyBorder="1" applyAlignment="1">
      <alignment horizontal="center" vertical="center"/>
    </xf>
    <xf numFmtId="4" fontId="53" fillId="14" borderId="17" xfId="13" applyNumberFormat="1" applyFont="1" applyFill="1" applyBorder="1" applyAlignment="1">
      <alignment horizontal="center" vertical="center"/>
    </xf>
    <xf numFmtId="4" fontId="53" fillId="14" borderId="1" xfId="13" applyNumberFormat="1" applyFont="1" applyFill="1" applyBorder="1" applyAlignment="1">
      <alignment horizontal="center" vertical="center"/>
    </xf>
    <xf numFmtId="0" fontId="36" fillId="0" borderId="24" xfId="2" applyFont="1" applyBorder="1" applyAlignment="1">
      <alignment horizontal="left" vertical="center"/>
    </xf>
    <xf numFmtId="166" fontId="54" fillId="0" borderId="1" xfId="0" applyNumberFormat="1" applyFont="1" applyBorder="1" applyAlignment="1">
      <alignment horizontal="center"/>
    </xf>
    <xf numFmtId="176" fontId="22" fillId="14" borderId="17" xfId="13" applyNumberFormat="1" applyFont="1" applyFill="1" applyBorder="1" applyAlignment="1">
      <alignment horizontal="center" vertical="center"/>
    </xf>
    <xf numFmtId="176" fontId="22" fillId="14" borderId="1" xfId="13" applyNumberFormat="1" applyFont="1" applyFill="1" applyBorder="1" applyAlignment="1">
      <alignment horizontal="center" vertical="center"/>
    </xf>
    <xf numFmtId="0" fontId="22" fillId="14" borderId="17" xfId="2" applyFont="1" applyFill="1" applyBorder="1" applyAlignment="1">
      <alignment horizontal="center" vertical="center"/>
    </xf>
    <xf numFmtId="0" fontId="22" fillId="14" borderId="1" xfId="2" applyFont="1" applyFill="1" applyBorder="1" applyAlignment="1">
      <alignment horizontal="center" vertical="center"/>
    </xf>
    <xf numFmtId="10" fontId="22" fillId="2" borderId="0" xfId="2" applyNumberFormat="1" applyFont="1" applyFill="1" applyAlignment="1">
      <alignment horizontal="center" vertical="center"/>
    </xf>
    <xf numFmtId="0" fontId="50" fillId="16" borderId="18" xfId="2" applyFont="1" applyFill="1" applyBorder="1"/>
    <xf numFmtId="0" fontId="50" fillId="16" borderId="19" xfId="2" applyFont="1" applyFill="1" applyBorder="1" applyAlignment="1">
      <alignment horizontal="center"/>
    </xf>
    <xf numFmtId="0" fontId="22" fillId="0" borderId="1" xfId="2" applyFont="1" applyBorder="1"/>
    <xf numFmtId="179" fontId="22" fillId="2" borderId="0" xfId="2" applyNumberFormat="1" applyFont="1" applyFill="1"/>
    <xf numFmtId="0" fontId="37" fillId="0" borderId="0" xfId="0" applyFont="1"/>
    <xf numFmtId="9" fontId="55" fillId="6" borderId="16" xfId="12" applyFont="1" applyFill="1" applyBorder="1" applyAlignment="1">
      <alignment horizontal="center" vertical="center"/>
    </xf>
    <xf numFmtId="9" fontId="55" fillId="6" borderId="15" xfId="12" applyFont="1" applyFill="1" applyBorder="1" applyAlignment="1">
      <alignment horizontal="center" vertical="center"/>
    </xf>
    <xf numFmtId="1" fontId="56" fillId="8" borderId="1" xfId="2" applyNumberFormat="1" applyFont="1" applyFill="1" applyBorder="1" applyAlignment="1">
      <alignment horizontal="center"/>
    </xf>
    <xf numFmtId="1" fontId="31" fillId="9" borderId="1" xfId="2" applyNumberFormat="1" applyFont="1" applyFill="1" applyBorder="1" applyAlignment="1">
      <alignment horizontal="left"/>
    </xf>
    <xf numFmtId="41" fontId="25" fillId="0" borderId="9" xfId="2" applyNumberFormat="1" applyFont="1" applyBorder="1" applyAlignment="1">
      <alignment horizontal="center" vertical="center"/>
    </xf>
    <xf numFmtId="41" fontId="28" fillId="6" borderId="9" xfId="2" applyNumberFormat="1" applyFont="1" applyFill="1" applyBorder="1" applyAlignment="1">
      <alignment horizontal="center" vertical="center"/>
    </xf>
    <xf numFmtId="9" fontId="22" fillId="0" borderId="0" xfId="12" applyFont="1"/>
    <xf numFmtId="41" fontId="22" fillId="0" borderId="1" xfId="13" applyNumberFormat="1" applyFont="1" applyFill="1" applyBorder="1" applyAlignment="1">
      <alignment horizontal="center" vertical="center"/>
    </xf>
    <xf numFmtId="165" fontId="22" fillId="0" borderId="1" xfId="13" applyNumberFormat="1" applyFont="1" applyFill="1" applyBorder="1" applyAlignment="1">
      <alignment horizontal="center" vertical="center"/>
    </xf>
    <xf numFmtId="43" fontId="22" fillId="0" borderId="1" xfId="13" applyNumberFormat="1" applyFont="1" applyFill="1" applyBorder="1" applyAlignment="1">
      <alignment horizontal="center" vertical="center"/>
    </xf>
    <xf numFmtId="43" fontId="28" fillId="6" borderId="9" xfId="2" applyNumberFormat="1" applyFont="1" applyFill="1" applyBorder="1" applyAlignment="1">
      <alignment horizontal="center" vertical="center"/>
    </xf>
    <xf numFmtId="0" fontId="36" fillId="0" borderId="0" xfId="2" applyFont="1" applyAlignment="1">
      <alignment horizontal="left" vertical="center"/>
    </xf>
    <xf numFmtId="164" fontId="22" fillId="0" borderId="0" xfId="13" applyFont="1"/>
    <xf numFmtId="174" fontId="22" fillId="0" borderId="0" xfId="13" applyNumberFormat="1" applyFont="1"/>
    <xf numFmtId="165" fontId="22" fillId="2" borderId="0" xfId="2" applyNumberFormat="1" applyFont="1" applyFill="1"/>
    <xf numFmtId="0" fontId="26" fillId="35" borderId="12" xfId="2" applyFont="1" applyFill="1" applyBorder="1" applyAlignment="1">
      <alignment horizontal="center" vertical="center" wrapText="1"/>
    </xf>
    <xf numFmtId="0" fontId="26" fillId="35" borderId="1" xfId="2" applyFont="1" applyFill="1" applyBorder="1" applyAlignment="1">
      <alignment horizontal="center" vertical="center" wrapText="1"/>
    </xf>
    <xf numFmtId="43" fontId="26" fillId="35" borderId="1" xfId="2" applyNumberFormat="1" applyFont="1" applyFill="1" applyBorder="1" applyAlignment="1">
      <alignment horizontal="center" vertical="center" wrapText="1"/>
    </xf>
    <xf numFmtId="0" fontId="22" fillId="2" borderId="0" xfId="2" applyFont="1" applyFill="1" applyAlignment="1">
      <alignment wrapText="1"/>
    </xf>
    <xf numFmtId="0" fontId="25" fillId="37" borderId="1" xfId="2" applyFont="1" applyFill="1" applyBorder="1"/>
    <xf numFmtId="0" fontId="25" fillId="37" borderId="1" xfId="2" applyFont="1" applyFill="1" applyBorder="1" applyAlignment="1">
      <alignment horizontal="center"/>
    </xf>
    <xf numFmtId="43" fontId="25" fillId="37" borderId="1" xfId="2" applyNumberFormat="1" applyFont="1" applyFill="1" applyBorder="1" applyAlignment="1">
      <alignment horizontal="center" vertical="center"/>
    </xf>
    <xf numFmtId="43" fontId="25" fillId="37" borderId="1" xfId="2" applyNumberFormat="1" applyFont="1" applyFill="1" applyBorder="1" applyAlignment="1">
      <alignment horizontal="center"/>
    </xf>
    <xf numFmtId="0" fontId="22" fillId="2" borderId="1" xfId="2" applyFont="1" applyFill="1" applyBorder="1" applyAlignment="1">
      <alignment horizontal="center"/>
    </xf>
    <xf numFmtId="0" fontId="25" fillId="2" borderId="1" xfId="2" applyFont="1" applyFill="1" applyBorder="1"/>
    <xf numFmtId="0" fontId="25" fillId="2" borderId="1" xfId="2" applyFont="1" applyFill="1" applyBorder="1" applyAlignment="1">
      <alignment horizontal="center"/>
    </xf>
    <xf numFmtId="43" fontId="25" fillId="2" borderId="1" xfId="2" applyNumberFormat="1" applyFont="1" applyFill="1" applyBorder="1" applyAlignment="1">
      <alignment horizontal="center" vertical="center"/>
    </xf>
    <xf numFmtId="43" fontId="25" fillId="2" borderId="1" xfId="2" applyNumberFormat="1" applyFont="1" applyFill="1" applyBorder="1" applyAlignment="1">
      <alignment horizontal="center"/>
    </xf>
    <xf numFmtId="0" fontId="27" fillId="2" borderId="1" xfId="2" applyFont="1" applyFill="1" applyBorder="1" applyAlignment="1">
      <alignment horizontal="center"/>
    </xf>
    <xf numFmtId="2" fontId="27" fillId="2" borderId="1" xfId="2" applyNumberFormat="1" applyFont="1" applyFill="1" applyBorder="1" applyAlignment="1">
      <alignment horizontal="center" vertical="center"/>
    </xf>
    <xf numFmtId="2" fontId="22" fillId="2" borderId="0" xfId="2" applyNumberFormat="1" applyFont="1" applyFill="1"/>
    <xf numFmtId="0" fontId="22" fillId="2" borderId="0" xfId="2" applyFont="1" applyFill="1" applyAlignment="1">
      <alignment horizontal="center"/>
    </xf>
    <xf numFmtId="0" fontId="22" fillId="2" borderId="0" xfId="2" applyFont="1" applyFill="1" applyAlignment="1">
      <alignment vertical="center"/>
    </xf>
    <xf numFmtId="43" fontId="22" fillId="2" borderId="0" xfId="2" applyNumberFormat="1" applyFont="1" applyFill="1" applyAlignment="1">
      <alignment horizontal="center"/>
    </xf>
    <xf numFmtId="2" fontId="22" fillId="2" borderId="0" xfId="2" applyNumberFormat="1" applyFont="1" applyFill="1" applyAlignment="1">
      <alignment horizontal="center"/>
    </xf>
    <xf numFmtId="0" fontId="0" fillId="0" borderId="12" xfId="0" applyBorder="1" applyAlignment="1">
      <alignment horizontal="center"/>
    </xf>
    <xf numFmtId="10" fontId="0" fillId="0" borderId="29" xfId="0" applyNumberFormat="1" applyBorder="1" applyAlignment="1">
      <alignment horizontal="center" vertical="center"/>
    </xf>
    <xf numFmtId="0" fontId="0" fillId="0" borderId="29" xfId="0" applyBorder="1" applyAlignment="1">
      <alignment vertical="center"/>
    </xf>
    <xf numFmtId="0" fontId="40" fillId="0" borderId="29" xfId="0" applyFont="1" applyBorder="1" applyAlignment="1">
      <alignment horizontal="center" vertical="center"/>
    </xf>
    <xf numFmtId="43" fontId="1" fillId="7" borderId="29" xfId="1" applyFont="1" applyFill="1" applyBorder="1" applyAlignment="1">
      <alignment vertical="center"/>
    </xf>
    <xf numFmtId="0" fontId="0" fillId="0" borderId="29" xfId="0" applyBorder="1" applyAlignment="1">
      <alignment vertical="center" wrapText="1"/>
    </xf>
    <xf numFmtId="0" fontId="0" fillId="0" borderId="29" xfId="0" applyBorder="1"/>
    <xf numFmtId="0" fontId="0" fillId="0" borderId="0" xfId="0" applyAlignment="1">
      <alignment vertical="center" wrapText="1"/>
    </xf>
    <xf numFmtId="0" fontId="40" fillId="0" borderId="0" xfId="0" applyFont="1" applyAlignment="1">
      <alignment horizontal="center" vertical="center"/>
    </xf>
    <xf numFmtId="169" fontId="1" fillId="0" borderId="0" xfId="1" applyNumberFormat="1" applyFont="1" applyBorder="1" applyAlignment="1">
      <alignment vertical="center"/>
    </xf>
    <xf numFmtId="0" fontId="0" fillId="0" borderId="30" xfId="0" applyBorder="1" applyAlignment="1">
      <alignment horizontal="center"/>
    </xf>
    <xf numFmtId="0" fontId="0" fillId="0" borderId="30" xfId="0" applyBorder="1" applyAlignment="1">
      <alignment vertical="center"/>
    </xf>
    <xf numFmtId="0" fontId="40" fillId="0" borderId="30" xfId="0" applyFont="1" applyBorder="1" applyAlignment="1">
      <alignment horizontal="center" vertical="center"/>
    </xf>
    <xf numFmtId="166" fontId="0" fillId="0" borderId="30" xfId="0" applyNumberFormat="1" applyBorder="1" applyAlignment="1">
      <alignment vertical="center"/>
    </xf>
    <xf numFmtId="0" fontId="0" fillId="0" borderId="30" xfId="0" applyBorder="1" applyAlignment="1">
      <alignment vertical="center" wrapText="1"/>
    </xf>
    <xf numFmtId="0" fontId="0" fillId="0" borderId="28" xfId="0" applyBorder="1"/>
    <xf numFmtId="0" fontId="40" fillId="0" borderId="28" xfId="0" applyFont="1" applyBorder="1" applyAlignment="1">
      <alignment vertical="center"/>
    </xf>
    <xf numFmtId="0" fontId="40" fillId="0" borderId="28" xfId="0" applyFont="1" applyBorder="1" applyAlignment="1">
      <alignment horizontal="center" vertical="center"/>
    </xf>
    <xf numFmtId="43" fontId="1" fillId="7" borderId="28" xfId="1" applyFont="1" applyFill="1" applyBorder="1" applyAlignment="1">
      <alignment vertical="center"/>
    </xf>
    <xf numFmtId="0" fontId="0" fillId="0" borderId="28" xfId="0" applyBorder="1" applyAlignment="1">
      <alignment vertical="center" wrapText="1"/>
    </xf>
    <xf numFmtId="0" fontId="0" fillId="0" borderId="30" xfId="0" applyBorder="1"/>
    <xf numFmtId="9" fontId="0" fillId="7" borderId="28" xfId="0" applyNumberFormat="1" applyFill="1" applyBorder="1" applyAlignment="1">
      <alignment horizontal="center"/>
    </xf>
    <xf numFmtId="171" fontId="0" fillId="0" borderId="28" xfId="0" applyNumberFormat="1" applyBorder="1"/>
    <xf numFmtId="0" fontId="0" fillId="0" borderId="30" xfId="0" applyBorder="1" applyAlignment="1">
      <alignment horizontal="center" vertical="center" wrapText="1"/>
    </xf>
    <xf numFmtId="0" fontId="0" fillId="0" borderId="29" xfId="0" applyBorder="1" applyAlignment="1">
      <alignment horizontal="center"/>
    </xf>
    <xf numFmtId="43" fontId="0" fillId="0" borderId="0" xfId="0" applyNumberFormat="1" applyAlignment="1">
      <alignment vertical="center"/>
    </xf>
    <xf numFmtId="43" fontId="0" fillId="0" borderId="29" xfId="0" applyNumberFormat="1" applyBorder="1"/>
    <xf numFmtId="172" fontId="1" fillId="7" borderId="30" xfId="1" applyNumberFormat="1" applyFont="1" applyFill="1" applyBorder="1" applyAlignment="1">
      <alignment vertical="center"/>
    </xf>
    <xf numFmtId="178" fontId="4" fillId="0" borderId="0" xfId="0" applyNumberFormat="1" applyFont="1" applyAlignment="1">
      <alignment horizontal="right" vertical="center"/>
    </xf>
    <xf numFmtId="0" fontId="26" fillId="39" borderId="7" xfId="0" applyFont="1" applyFill="1" applyBorder="1" applyAlignment="1">
      <alignment horizontal="center" vertical="center" wrapText="1"/>
    </xf>
    <xf numFmtId="43" fontId="0" fillId="0" borderId="0" xfId="0" applyNumberFormat="1"/>
    <xf numFmtId="0" fontId="36" fillId="0" borderId="0" xfId="0" applyFont="1" applyAlignment="1">
      <alignment horizontal="right"/>
    </xf>
    <xf numFmtId="0" fontId="4" fillId="42" borderId="1" xfId="0" applyFont="1" applyFill="1" applyBorder="1" applyAlignment="1">
      <alignment horizontal="center" vertical="center" wrapText="1"/>
    </xf>
    <xf numFmtId="0" fontId="0" fillId="34" borderId="1" xfId="0" applyFill="1" applyBorder="1" applyAlignment="1">
      <alignment horizontal="center"/>
    </xf>
    <xf numFmtId="166" fontId="0" fillId="34" borderId="17" xfId="0" applyNumberFormat="1" applyFill="1" applyBorder="1" applyAlignment="1">
      <alignment horizontal="center"/>
    </xf>
    <xf numFmtId="0" fontId="0" fillId="0" borderId="1" xfId="0" applyBorder="1" applyAlignment="1">
      <alignment horizontal="center"/>
    </xf>
    <xf numFmtId="166" fontId="0" fillId="0" borderId="17" xfId="0" applyNumberFormat="1" applyBorder="1" applyAlignment="1">
      <alignment horizontal="center"/>
    </xf>
    <xf numFmtId="0" fontId="4" fillId="41" borderId="1" xfId="0" applyFont="1" applyFill="1" applyBorder="1" applyAlignment="1">
      <alignment horizontal="center"/>
    </xf>
    <xf numFmtId="166" fontId="4" fillId="41" borderId="17" xfId="0" applyNumberFormat="1" applyFont="1" applyFill="1" applyBorder="1" applyAlignment="1">
      <alignment horizontal="center"/>
    </xf>
    <xf numFmtId="166" fontId="4" fillId="41" borderId="1" xfId="0" applyNumberFormat="1" applyFont="1" applyFill="1" applyBorder="1" applyAlignment="1">
      <alignment horizontal="center"/>
    </xf>
    <xf numFmtId="0" fontId="9" fillId="0" borderId="0" xfId="0" applyFont="1"/>
    <xf numFmtId="0" fontId="58" fillId="6" borderId="0" xfId="0" applyFont="1" applyFill="1" applyAlignment="1">
      <alignment horizontal="center" vertical="center"/>
    </xf>
    <xf numFmtId="0" fontId="59" fillId="0" borderId="0" xfId="0" applyFont="1"/>
    <xf numFmtId="0" fontId="59" fillId="0" borderId="0" xfId="0" applyFont="1" applyAlignment="1">
      <alignment horizontal="left" vertical="center"/>
    </xf>
    <xf numFmtId="0" fontId="61" fillId="0" borderId="0" xfId="0" applyFont="1"/>
    <xf numFmtId="41" fontId="17" fillId="34" borderId="9" xfId="0" applyNumberFormat="1" applyFont="1" applyFill="1" applyBorder="1" applyAlignment="1">
      <alignment horizontal="center" vertical="center"/>
    </xf>
    <xf numFmtId="0" fontId="64" fillId="0" borderId="0" xfId="0" applyFont="1"/>
    <xf numFmtId="43" fontId="64" fillId="0" borderId="0" xfId="0" applyNumberFormat="1" applyFont="1"/>
    <xf numFmtId="0" fontId="5" fillId="0" borderId="0" xfId="0" applyFont="1"/>
    <xf numFmtId="166" fontId="5" fillId="0" borderId="0" xfId="0" applyNumberFormat="1" applyFont="1" applyAlignment="1">
      <alignment horizontal="center"/>
    </xf>
    <xf numFmtId="10" fontId="5" fillId="0" borderId="0" xfId="5" applyNumberFormat="1" applyFont="1"/>
    <xf numFmtId="0" fontId="40" fillId="0" borderId="29" xfId="0" applyFont="1" applyBorder="1" applyAlignment="1">
      <alignment vertical="center"/>
    </xf>
    <xf numFmtId="173" fontId="65" fillId="0" borderId="0" xfId="0" applyNumberFormat="1" applyFont="1"/>
    <xf numFmtId="0" fontId="65" fillId="0" borderId="0" xfId="0" applyFont="1"/>
    <xf numFmtId="173" fontId="66" fillId="0" borderId="0" xfId="0" applyNumberFormat="1" applyFont="1"/>
    <xf numFmtId="173" fontId="66" fillId="0" borderId="0" xfId="0" applyNumberFormat="1" applyFont="1" applyAlignment="1">
      <alignment horizontal="right"/>
    </xf>
    <xf numFmtId="0" fontId="10" fillId="0" borderId="0" xfId="0" applyFont="1"/>
    <xf numFmtId="0" fontId="0" fillId="6" borderId="32" xfId="0" applyFill="1" applyBorder="1"/>
    <xf numFmtId="0" fontId="0" fillId="6" borderId="5" xfId="0" applyFill="1" applyBorder="1"/>
    <xf numFmtId="0" fontId="5" fillId="6" borderId="8" xfId="0" applyFont="1" applyFill="1" applyBorder="1" applyAlignment="1">
      <alignment horizontal="center" vertical="center"/>
    </xf>
    <xf numFmtId="0" fontId="58" fillId="6" borderId="0" xfId="0" applyFont="1" applyFill="1" applyAlignment="1">
      <alignment horizontal="center" vertical="center" wrapText="1"/>
    </xf>
    <xf numFmtId="166" fontId="61" fillId="0" borderId="0" xfId="0" applyNumberFormat="1" applyFont="1" applyAlignment="1">
      <alignment horizontal="center"/>
    </xf>
    <xf numFmtId="4" fontId="60" fillId="0" borderId="0" xfId="0" applyNumberFormat="1" applyFont="1" applyAlignment="1">
      <alignment horizontal="center"/>
    </xf>
    <xf numFmtId="3" fontId="63" fillId="0" borderId="31" xfId="0" applyNumberFormat="1" applyFont="1" applyBorder="1" applyAlignment="1">
      <alignment horizontal="center"/>
    </xf>
    <xf numFmtId="180" fontId="62" fillId="34" borderId="0" xfId="0" applyNumberFormat="1" applyFont="1" applyFill="1" applyAlignment="1">
      <alignment horizontal="center"/>
    </xf>
    <xf numFmtId="0" fontId="61" fillId="0" borderId="0" xfId="0" applyFont="1" applyAlignment="1">
      <alignment horizontal="center"/>
    </xf>
    <xf numFmtId="0" fontId="58" fillId="40" borderId="0" xfId="0" applyFont="1" applyFill="1" applyAlignment="1">
      <alignment horizontal="center" vertical="center" wrapText="1"/>
    </xf>
    <xf numFmtId="3" fontId="60" fillId="0" borderId="0" xfId="0" applyNumberFormat="1" applyFont="1" applyAlignment="1">
      <alignment horizontal="center"/>
    </xf>
    <xf numFmtId="2" fontId="27" fillId="0" borderId="1" xfId="2" applyNumberFormat="1" applyFont="1" applyBorder="1" applyAlignment="1">
      <alignment horizontal="center" vertical="center"/>
    </xf>
    <xf numFmtId="0" fontId="67" fillId="0" borderId="29" xfId="0" applyFont="1" applyBorder="1"/>
    <xf numFmtId="41" fontId="68" fillId="0" borderId="0" xfId="0" applyNumberFormat="1" applyFont="1" applyAlignment="1">
      <alignment horizontal="left" vertical="center"/>
    </xf>
    <xf numFmtId="172" fontId="36" fillId="0" borderId="1" xfId="10" applyNumberFormat="1" applyFont="1" applyFill="1" applyBorder="1"/>
    <xf numFmtId="169" fontId="37" fillId="0" borderId="0" xfId="10" applyNumberFormat="1" applyFont="1" applyBorder="1" applyAlignment="1">
      <alignment vertical="center"/>
    </xf>
    <xf numFmtId="0" fontId="37" fillId="0" borderId="17" xfId="0" applyFont="1" applyBorder="1" applyAlignment="1">
      <alignment horizontal="center" vertical="center"/>
    </xf>
    <xf numFmtId="0" fontId="37" fillId="0" borderId="1" xfId="0" applyFont="1" applyBorder="1" applyAlignment="1">
      <alignment horizontal="center" vertical="center" wrapText="1"/>
    </xf>
    <xf numFmtId="179" fontId="36" fillId="0" borderId="1" xfId="10" applyNumberFormat="1" applyFont="1" applyFill="1" applyBorder="1"/>
    <xf numFmtId="169" fontId="36" fillId="0" borderId="1" xfId="10" applyNumberFormat="1" applyFont="1" applyFill="1" applyBorder="1"/>
    <xf numFmtId="169" fontId="22" fillId="2" borderId="0" xfId="2" applyNumberFormat="1" applyFont="1" applyFill="1"/>
    <xf numFmtId="43" fontId="0" fillId="0" borderId="0" xfId="1" applyFont="1"/>
    <xf numFmtId="9" fontId="22" fillId="2" borderId="0" xfId="5" applyFont="1" applyFill="1"/>
    <xf numFmtId="183" fontId="49" fillId="0" borderId="0" xfId="0" applyNumberFormat="1" applyFont="1" applyAlignment="1">
      <alignment horizontal="center"/>
    </xf>
    <xf numFmtId="169" fontId="36" fillId="0" borderId="1" xfId="10" quotePrefix="1" applyNumberFormat="1" applyFont="1" applyFill="1" applyBorder="1"/>
    <xf numFmtId="0" fontId="22" fillId="2" borderId="0" xfId="2" applyFont="1" applyFill="1" applyAlignment="1">
      <alignment horizontal="right"/>
    </xf>
    <xf numFmtId="166" fontId="0" fillId="0" borderId="14" xfId="0" applyNumberFormat="1" applyBorder="1" applyAlignment="1">
      <alignment horizontal="center"/>
    </xf>
    <xf numFmtId="0" fontId="4" fillId="41" borderId="35" xfId="0" applyFont="1" applyFill="1" applyBorder="1" applyAlignment="1">
      <alignment horizontal="center"/>
    </xf>
    <xf numFmtId="166" fontId="4" fillId="41" borderId="36" xfId="0" applyNumberFormat="1" applyFont="1" applyFill="1" applyBorder="1" applyAlignment="1">
      <alignment horizontal="center"/>
    </xf>
    <xf numFmtId="166" fontId="4" fillId="41" borderId="37" xfId="0" applyNumberFormat="1" applyFont="1" applyFill="1" applyBorder="1" applyAlignment="1">
      <alignment horizontal="center"/>
    </xf>
    <xf numFmtId="166" fontId="4" fillId="41" borderId="38" xfId="0" applyNumberFormat="1" applyFont="1" applyFill="1" applyBorder="1" applyAlignment="1">
      <alignment horizontal="center"/>
    </xf>
    <xf numFmtId="166" fontId="4" fillId="41" borderId="39" xfId="0" applyNumberFormat="1" applyFont="1" applyFill="1" applyBorder="1" applyAlignment="1">
      <alignment horizontal="center"/>
    </xf>
    <xf numFmtId="0" fontId="69" fillId="43" borderId="1" xfId="0" applyFont="1" applyFill="1" applyBorder="1" applyAlignment="1">
      <alignment horizontal="center" vertical="center"/>
    </xf>
    <xf numFmtId="0" fontId="27" fillId="0" borderId="1" xfId="0" applyFont="1" applyBorder="1"/>
    <xf numFmtId="44" fontId="27" fillId="0" borderId="1" xfId="869" applyFont="1" applyFill="1" applyBorder="1"/>
    <xf numFmtId="44" fontId="27" fillId="0" borderId="1" xfId="0" applyNumberFormat="1" applyFont="1" applyBorder="1"/>
    <xf numFmtId="0" fontId="70" fillId="0" borderId="1" xfId="0" applyFont="1" applyBorder="1" applyAlignment="1">
      <alignment horizontal="right"/>
    </xf>
    <xf numFmtId="44" fontId="70" fillId="0" borderId="1" xfId="869" applyFont="1" applyFill="1" applyBorder="1"/>
    <xf numFmtId="0" fontId="27" fillId="18" borderId="1" xfId="14" applyFont="1" applyFill="1" applyBorder="1" applyAlignment="1">
      <alignment horizontal="left" vertical="center" indent="1"/>
    </xf>
    <xf numFmtId="0" fontId="27" fillId="18" borderId="1" xfId="14" applyFont="1" applyFill="1" applyBorder="1" applyAlignment="1">
      <alignment horizontal="center" vertical="center"/>
    </xf>
    <xf numFmtId="41" fontId="28" fillId="33" borderId="1" xfId="14" applyNumberFormat="1" applyFont="1" applyFill="1" applyBorder="1" applyAlignment="1">
      <alignment horizontal="left" vertical="center" indent="1"/>
    </xf>
    <xf numFmtId="41" fontId="27" fillId="0" borderId="1" xfId="14" applyNumberFormat="1" applyFont="1" applyBorder="1" applyAlignment="1">
      <alignment horizontal="left" vertical="center" indent="1"/>
    </xf>
    <xf numFmtId="0" fontId="27" fillId="0" borderId="1" xfId="14" applyFont="1" applyBorder="1" applyAlignment="1">
      <alignment horizontal="left" vertical="center" indent="1"/>
    </xf>
    <xf numFmtId="0" fontId="27" fillId="0" borderId="1" xfId="14" applyFont="1" applyBorder="1" applyAlignment="1">
      <alignment horizontal="center" vertical="center"/>
    </xf>
    <xf numFmtId="41" fontId="27" fillId="18" borderId="1" xfId="14" applyNumberFormat="1" applyFont="1" applyFill="1" applyBorder="1" applyAlignment="1">
      <alignment horizontal="left" vertical="center" indent="1"/>
    </xf>
    <xf numFmtId="0" fontId="29" fillId="0" borderId="22" xfId="14" applyFont="1" applyBorder="1" applyAlignment="1">
      <alignment horizontal="left" vertical="center" indent="1"/>
    </xf>
    <xf numFmtId="0" fontId="29" fillId="0" borderId="22" xfId="14" applyFont="1" applyBorder="1" applyAlignment="1">
      <alignment horizontal="center" vertical="center"/>
    </xf>
    <xf numFmtId="41" fontId="29" fillId="0" borderId="22" xfId="14" applyNumberFormat="1" applyFont="1" applyBorder="1" applyAlignment="1">
      <alignment horizontal="center" vertical="center"/>
    </xf>
    <xf numFmtId="41" fontId="27" fillId="0" borderId="22" xfId="14" applyNumberFormat="1" applyFont="1" applyBorder="1" applyAlignment="1">
      <alignment horizontal="center" vertical="center"/>
    </xf>
    <xf numFmtId="1" fontId="24" fillId="16" borderId="1" xfId="2" applyNumberFormat="1" applyFont="1" applyFill="1" applyBorder="1" applyAlignment="1">
      <alignment horizontal="center" vertical="center" wrapText="1"/>
    </xf>
    <xf numFmtId="0" fontId="24" fillId="16" borderId="1" xfId="2" applyFont="1" applyFill="1" applyBorder="1" applyAlignment="1">
      <alignment horizontal="center" vertical="center" wrapText="1"/>
    </xf>
    <xf numFmtId="41" fontId="71" fillId="0" borderId="9" xfId="0" applyNumberFormat="1" applyFont="1" applyBorder="1" applyAlignment="1">
      <alignment horizontal="center" vertical="center"/>
    </xf>
    <xf numFmtId="2" fontId="9" fillId="0" borderId="1" xfId="0" applyNumberFormat="1" applyFont="1" applyBorder="1" applyAlignment="1">
      <alignment horizontal="center"/>
    </xf>
    <xf numFmtId="0" fontId="32" fillId="0" borderId="1" xfId="2" applyFont="1" applyBorder="1" applyAlignment="1">
      <alignment horizontal="center" vertical="center"/>
    </xf>
    <xf numFmtId="41" fontId="71" fillId="34" borderId="9" xfId="0" applyNumberFormat="1" applyFont="1" applyFill="1" applyBorder="1" applyAlignment="1">
      <alignment horizontal="center" vertical="center"/>
    </xf>
    <xf numFmtId="0" fontId="72" fillId="6" borderId="0" xfId="0" applyFont="1" applyFill="1" applyAlignment="1">
      <alignment horizontal="center" vertical="center" wrapText="1"/>
    </xf>
    <xf numFmtId="0" fontId="32" fillId="0" borderId="41" xfId="2" applyFont="1" applyBorder="1" applyAlignment="1">
      <alignment horizontal="center" vertical="center"/>
    </xf>
    <xf numFmtId="41" fontId="32" fillId="0" borderId="40" xfId="0" applyNumberFormat="1" applyFont="1" applyBorder="1"/>
    <xf numFmtId="180" fontId="32" fillId="0" borderId="40" xfId="0" applyNumberFormat="1" applyFont="1" applyBorder="1" applyAlignment="1">
      <alignment wrapText="1"/>
    </xf>
    <xf numFmtId="41" fontId="32" fillId="0" borderId="40" xfId="0" applyNumberFormat="1" applyFont="1" applyBorder="1" applyAlignment="1">
      <alignment wrapText="1"/>
    </xf>
    <xf numFmtId="181" fontId="32" fillId="0" borderId="40" xfId="0" applyNumberFormat="1" applyFont="1" applyBorder="1"/>
    <xf numFmtId="180" fontId="32" fillId="0" borderId="40" xfId="0" applyNumberFormat="1" applyFont="1" applyBorder="1"/>
    <xf numFmtId="41" fontId="32" fillId="38" borderId="40" xfId="0" applyNumberFormat="1" applyFont="1" applyFill="1" applyBorder="1"/>
    <xf numFmtId="181" fontId="32" fillId="38" borderId="40" xfId="0" applyNumberFormat="1" applyFont="1" applyFill="1" applyBorder="1"/>
    <xf numFmtId="180" fontId="32" fillId="38" borderId="40" xfId="0" applyNumberFormat="1" applyFont="1" applyFill="1" applyBorder="1"/>
    <xf numFmtId="0" fontId="32" fillId="0" borderId="40" xfId="0" applyFont="1" applyBorder="1"/>
    <xf numFmtId="41" fontId="32" fillId="0" borderId="42" xfId="0" applyNumberFormat="1" applyFont="1" applyBorder="1"/>
    <xf numFmtId="41" fontId="32" fillId="38" borderId="43" xfId="0" applyNumberFormat="1" applyFont="1" applyFill="1" applyBorder="1"/>
    <xf numFmtId="180" fontId="32" fillId="38" borderId="43" xfId="0" applyNumberFormat="1" applyFont="1" applyFill="1" applyBorder="1"/>
    <xf numFmtId="41" fontId="32" fillId="0" borderId="44" xfId="0" applyNumberFormat="1" applyFont="1" applyBorder="1"/>
    <xf numFmtId="41" fontId="32" fillId="0" borderId="45" xfId="0" applyNumberFormat="1" applyFont="1" applyBorder="1"/>
    <xf numFmtId="41" fontId="32" fillId="0" borderId="46" xfId="0" applyNumberFormat="1" applyFont="1" applyBorder="1"/>
    <xf numFmtId="180" fontId="32" fillId="38" borderId="47" xfId="0" applyNumberFormat="1" applyFont="1" applyFill="1" applyBorder="1"/>
    <xf numFmtId="0" fontId="32" fillId="0" borderId="45" xfId="0" applyFont="1" applyBorder="1"/>
    <xf numFmtId="41" fontId="32" fillId="38" borderId="45" xfId="0" applyNumberFormat="1" applyFont="1" applyFill="1" applyBorder="1"/>
    <xf numFmtId="180" fontId="32" fillId="0" borderId="48" xfId="0" applyNumberFormat="1" applyFont="1" applyBorder="1"/>
    <xf numFmtId="180" fontId="32" fillId="0" borderId="47" xfId="0" applyNumberFormat="1" applyFont="1" applyBorder="1"/>
    <xf numFmtId="180" fontId="32" fillId="0" borderId="43" xfId="0" applyNumberFormat="1" applyFont="1" applyBorder="1"/>
    <xf numFmtId="41" fontId="32" fillId="0" borderId="45" xfId="0" applyNumberFormat="1" applyFont="1" applyBorder="1" applyAlignment="1">
      <alignment horizontal="center"/>
    </xf>
    <xf numFmtId="0" fontId="32" fillId="0" borderId="46" xfId="0" applyFont="1" applyBorder="1"/>
    <xf numFmtId="0" fontId="32" fillId="0" borderId="9" xfId="2" applyFont="1" applyBorder="1" applyAlignment="1">
      <alignment horizontal="center" vertical="center"/>
    </xf>
    <xf numFmtId="0" fontId="32" fillId="0" borderId="49" xfId="2" applyFont="1" applyBorder="1" applyAlignment="1">
      <alignment horizontal="center" vertical="center"/>
    </xf>
    <xf numFmtId="41" fontId="32" fillId="0" borderId="43" xfId="0" applyNumberFormat="1" applyFont="1" applyBorder="1"/>
    <xf numFmtId="180" fontId="32" fillId="0" borderId="43" xfId="0" applyNumberFormat="1" applyFont="1" applyBorder="1" applyAlignment="1">
      <alignment wrapText="1"/>
    </xf>
    <xf numFmtId="41" fontId="32" fillId="0" borderId="43" xfId="0" applyNumberFormat="1" applyFont="1" applyBorder="1" applyAlignment="1">
      <alignment wrapText="1"/>
    </xf>
    <xf numFmtId="0" fontId="72" fillId="6" borderId="50" xfId="0" applyFont="1" applyFill="1" applyBorder="1" applyAlignment="1">
      <alignment horizontal="center" vertical="center" wrapText="1"/>
    </xf>
    <xf numFmtId="0" fontId="72" fillId="6" borderId="50" xfId="0" applyFont="1" applyFill="1" applyBorder="1" applyAlignment="1">
      <alignment horizontal="center" vertical="center"/>
    </xf>
    <xf numFmtId="0" fontId="72" fillId="6" borderId="50" xfId="0" applyFont="1" applyFill="1" applyBorder="1" applyAlignment="1">
      <alignment horizontal="left" vertical="center"/>
    </xf>
    <xf numFmtId="10" fontId="22" fillId="2" borderId="0" xfId="5" applyNumberFormat="1" applyFont="1" applyFill="1"/>
    <xf numFmtId="43" fontId="27" fillId="0" borderId="0" xfId="0" applyNumberFormat="1" applyFont="1"/>
    <xf numFmtId="184" fontId="27" fillId="0" borderId="0" xfId="0" applyNumberFormat="1" applyFont="1"/>
    <xf numFmtId="169" fontId="27" fillId="0" borderId="0" xfId="0" applyNumberFormat="1" applyFont="1"/>
    <xf numFmtId="0" fontId="37" fillId="4" borderId="1" xfId="0" applyFont="1" applyFill="1" applyBorder="1"/>
    <xf numFmtId="169" fontId="36" fillId="4" borderId="1" xfId="10" applyNumberFormat="1" applyFont="1" applyFill="1" applyBorder="1" applyAlignment="1">
      <alignment vertical="center"/>
    </xf>
    <xf numFmtId="172" fontId="36" fillId="4" borderId="1" xfId="10" applyNumberFormat="1" applyFont="1" applyFill="1" applyBorder="1"/>
    <xf numFmtId="169" fontId="37" fillId="4" borderId="1" xfId="10" applyNumberFormat="1" applyFont="1" applyFill="1" applyBorder="1"/>
    <xf numFmtId="0" fontId="37" fillId="38" borderId="1" xfId="0" applyFont="1" applyFill="1" applyBorder="1"/>
    <xf numFmtId="169" fontId="36" fillId="38" borderId="1" xfId="10" applyNumberFormat="1" applyFont="1" applyFill="1" applyBorder="1" applyAlignment="1">
      <alignment vertical="center"/>
    </xf>
    <xf numFmtId="172" fontId="36" fillId="38" borderId="1" xfId="10" applyNumberFormat="1" applyFont="1" applyFill="1" applyBorder="1"/>
    <xf numFmtId="169" fontId="37" fillId="38" borderId="1" xfId="10" applyNumberFormat="1" applyFont="1" applyFill="1" applyBorder="1"/>
    <xf numFmtId="0" fontId="47" fillId="16" borderId="11" xfId="2" applyFont="1" applyFill="1" applyBorder="1" applyAlignment="1">
      <alignment horizontal="center" vertical="center"/>
    </xf>
    <xf numFmtId="0" fontId="47" fillId="16" borderId="0" xfId="2" applyFont="1" applyFill="1" applyAlignment="1">
      <alignment horizontal="center" vertical="center"/>
    </xf>
    <xf numFmtId="0" fontId="37" fillId="0" borderId="1" xfId="0" applyFont="1" applyBorder="1" applyAlignment="1">
      <alignment horizontal="left" vertical="center"/>
    </xf>
    <xf numFmtId="0" fontId="50" fillId="16" borderId="51" xfId="2" applyFont="1" applyFill="1" applyBorder="1" applyAlignment="1">
      <alignment horizontal="center"/>
    </xf>
    <xf numFmtId="0" fontId="50" fillId="16" borderId="52" xfId="2" applyFont="1" applyFill="1" applyBorder="1" applyAlignment="1">
      <alignment horizontal="center"/>
    </xf>
    <xf numFmtId="0" fontId="50" fillId="16" borderId="53" xfId="2" applyFont="1" applyFill="1" applyBorder="1" applyAlignment="1">
      <alignment horizontal="center"/>
    </xf>
    <xf numFmtId="0" fontId="24" fillId="16" borderId="0" xfId="2" applyFont="1" applyFill="1" applyAlignment="1">
      <alignment horizontal="center" vertical="center"/>
    </xf>
    <xf numFmtId="0" fontId="24" fillId="16" borderId="20" xfId="2" applyFont="1" applyFill="1" applyBorder="1" applyAlignment="1">
      <alignment horizontal="center"/>
    </xf>
    <xf numFmtId="0" fontId="24" fillId="16" borderId="2" xfId="2" applyFont="1" applyFill="1" applyBorder="1" applyAlignment="1">
      <alignment horizontal="center"/>
    </xf>
    <xf numFmtId="0" fontId="22" fillId="2" borderId="1" xfId="2" applyFont="1" applyFill="1" applyBorder="1" applyAlignment="1">
      <alignment horizontal="center" vertical="center"/>
    </xf>
    <xf numFmtId="0" fontId="22" fillId="2" borderId="12" xfId="2" applyFont="1" applyFill="1" applyBorder="1" applyAlignment="1">
      <alignment horizontal="center" vertical="center"/>
    </xf>
    <xf numFmtId="0" fontId="22" fillId="2" borderId="27" xfId="2" applyFont="1" applyFill="1" applyBorder="1" applyAlignment="1">
      <alignment horizontal="center" vertical="center"/>
    </xf>
    <xf numFmtId="0" fontId="22" fillId="2" borderId="9" xfId="2" applyFont="1" applyFill="1" applyBorder="1" applyAlignment="1">
      <alignment horizontal="center" vertical="center"/>
    </xf>
    <xf numFmtId="0" fontId="3" fillId="6" borderId="0" xfId="0" applyFont="1" applyFill="1" applyAlignment="1">
      <alignment horizontal="center"/>
    </xf>
    <xf numFmtId="0" fontId="5" fillId="6" borderId="0" xfId="0" applyFont="1" applyFill="1" applyAlignment="1">
      <alignment horizontal="center" vertical="center" wrapText="1"/>
    </xf>
    <xf numFmtId="0" fontId="5" fillId="6" borderId="33"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7" xfId="0" applyFont="1" applyFill="1" applyBorder="1" applyAlignment="1">
      <alignment horizontal="center" vertical="center" wrapText="1"/>
    </xf>
    <xf numFmtId="1" fontId="0" fillId="0" borderId="0" xfId="0" applyNumberFormat="1" applyAlignment="1">
      <alignment horizontal="center"/>
    </xf>
    <xf numFmtId="169" fontId="10" fillId="0" borderId="0" xfId="1" applyNumberFormat="1" applyFont="1" applyFill="1" applyAlignment="1">
      <alignment horizontal="center" vertical="center"/>
    </xf>
    <xf numFmtId="2" fontId="0" fillId="0" borderId="13" xfId="0" applyNumberFormat="1" applyBorder="1" applyAlignment="1">
      <alignment horizontal="center" vertical="center"/>
    </xf>
    <xf numFmtId="169" fontId="10" fillId="0" borderId="0" xfId="1" applyNumberFormat="1" applyFont="1" applyAlignment="1">
      <alignment horizontal="center" vertical="center"/>
    </xf>
    <xf numFmtId="2" fontId="0" fillId="0" borderId="0" xfId="0" applyNumberFormat="1" applyAlignment="1">
      <alignment horizontal="left" vertical="center"/>
    </xf>
    <xf numFmtId="2" fontId="0" fillId="0" borderId="0" xfId="0" applyNumberFormat="1" applyAlignment="1">
      <alignment horizontal="center" vertical="center"/>
    </xf>
    <xf numFmtId="3" fontId="0" fillId="0" borderId="0" xfId="0" applyNumberFormat="1" applyAlignment="1">
      <alignment horizontal="center" vertical="center"/>
    </xf>
    <xf numFmtId="2" fontId="0" fillId="0" borderId="0" xfId="0" applyNumberFormat="1" applyAlignment="1">
      <alignment horizontal="center"/>
    </xf>
    <xf numFmtId="1" fontId="0" fillId="0" borderId="0" xfId="0" applyNumberFormat="1" applyAlignment="1">
      <alignment horizontal="left" vertical="center"/>
    </xf>
    <xf numFmtId="169" fontId="10" fillId="0" borderId="0" xfId="1" applyNumberFormat="1" applyFont="1" applyAlignment="1">
      <alignment horizontal="center"/>
    </xf>
  </cellXfs>
  <cellStyles count="870">
    <cellStyle name="20% - Ênfase1 10" xfId="79"/>
    <cellStyle name="20% - Ênfase1 10 2" xfId="80"/>
    <cellStyle name="20% - Ênfase1 11" xfId="81"/>
    <cellStyle name="20% - Ênfase1 11 2" xfId="82"/>
    <cellStyle name="20% - Ênfase1 12" xfId="83"/>
    <cellStyle name="20% - Ênfase1 12 2" xfId="84"/>
    <cellStyle name="20% - Ênfase1 13" xfId="85"/>
    <cellStyle name="20% - Ênfase1 13 2" xfId="86"/>
    <cellStyle name="20% - Ênfase1 14" xfId="87"/>
    <cellStyle name="20% - Ênfase1 14 2" xfId="88"/>
    <cellStyle name="20% - Ênfase1 15" xfId="89"/>
    <cellStyle name="20% - Ênfase1 15 2" xfId="90"/>
    <cellStyle name="20% - Ênfase1 16" xfId="91"/>
    <cellStyle name="20% - Ênfase1 16 2" xfId="92"/>
    <cellStyle name="20% - Ênfase1 17" xfId="93"/>
    <cellStyle name="20% - Ênfase1 17 2" xfId="94"/>
    <cellStyle name="20% - Ênfase1 18" xfId="95"/>
    <cellStyle name="20% - Ênfase1 18 2" xfId="96"/>
    <cellStyle name="20% - Ênfase1 19" xfId="97"/>
    <cellStyle name="20% - Ênfase1 19 2" xfId="98"/>
    <cellStyle name="20% - Ênfase1 2" xfId="99"/>
    <cellStyle name="20% - Ênfase1 2 2" xfId="100"/>
    <cellStyle name="20% - Ênfase1 20" xfId="101"/>
    <cellStyle name="20% - Ênfase1 20 2" xfId="102"/>
    <cellStyle name="20% - Ênfase1 21" xfId="103"/>
    <cellStyle name="20% - Ênfase1 21 2" xfId="104"/>
    <cellStyle name="20% - Ênfase1 22" xfId="105"/>
    <cellStyle name="20% - Ênfase1 22 2" xfId="106"/>
    <cellStyle name="20% - Ênfase1 23" xfId="107"/>
    <cellStyle name="20% - Ênfase1 23 2" xfId="108"/>
    <cellStyle name="20% - Ênfase1 24" xfId="109"/>
    <cellStyle name="20% - Ênfase1 24 2" xfId="110"/>
    <cellStyle name="20% - Ênfase1 25" xfId="111"/>
    <cellStyle name="20% - Ênfase1 26" xfId="112"/>
    <cellStyle name="20% - Ênfase1 27" xfId="113"/>
    <cellStyle name="20% - Ênfase1 28" xfId="114"/>
    <cellStyle name="20% - Ênfase1 29" xfId="115"/>
    <cellStyle name="20% - Ênfase1 3" xfId="116"/>
    <cellStyle name="20% - Ênfase1 3 2" xfId="117"/>
    <cellStyle name="20% - Ênfase1 30" xfId="118"/>
    <cellStyle name="20% - Ênfase1 31" xfId="119"/>
    <cellStyle name="20% - Ênfase1 32" xfId="120"/>
    <cellStyle name="20% - Ênfase1 33" xfId="121"/>
    <cellStyle name="20% - Ênfase1 34" xfId="122"/>
    <cellStyle name="20% - Ênfase1 35" xfId="123"/>
    <cellStyle name="20% - Ênfase1 36" xfId="124"/>
    <cellStyle name="20% - Ênfase1 4" xfId="125"/>
    <cellStyle name="20% - Ênfase1 4 2" xfId="126"/>
    <cellStyle name="20% - Ênfase1 5" xfId="127"/>
    <cellStyle name="20% - Ênfase1 5 2" xfId="128"/>
    <cellStyle name="20% - Ênfase1 6" xfId="129"/>
    <cellStyle name="20% - Ênfase1 6 2" xfId="130"/>
    <cellStyle name="20% - Ênfase1 7" xfId="131"/>
    <cellStyle name="20% - Ênfase1 7 2" xfId="132"/>
    <cellStyle name="20% - Ênfase1 8" xfId="133"/>
    <cellStyle name="20% - Ênfase1 8 2" xfId="134"/>
    <cellStyle name="20% - Ênfase1 9" xfId="135"/>
    <cellStyle name="20% - Ênfase1 9 2" xfId="136"/>
    <cellStyle name="20% - Ênfase2 10" xfId="137"/>
    <cellStyle name="20% - Ênfase2 10 2" xfId="138"/>
    <cellStyle name="20% - Ênfase2 11" xfId="139"/>
    <cellStyle name="20% - Ênfase2 11 2" xfId="140"/>
    <cellStyle name="20% - Ênfase2 12" xfId="141"/>
    <cellStyle name="20% - Ênfase2 12 2" xfId="142"/>
    <cellStyle name="20% - Ênfase2 13" xfId="143"/>
    <cellStyle name="20% - Ênfase2 13 2" xfId="144"/>
    <cellStyle name="20% - Ênfase2 14" xfId="145"/>
    <cellStyle name="20% - Ênfase2 14 2" xfId="146"/>
    <cellStyle name="20% - Ênfase2 15" xfId="147"/>
    <cellStyle name="20% - Ênfase2 15 2" xfId="148"/>
    <cellStyle name="20% - Ênfase2 16" xfId="149"/>
    <cellStyle name="20% - Ênfase2 16 2" xfId="150"/>
    <cellStyle name="20% - Ênfase2 17" xfId="151"/>
    <cellStyle name="20% - Ênfase2 17 2" xfId="152"/>
    <cellStyle name="20% - Ênfase2 18" xfId="153"/>
    <cellStyle name="20% - Ênfase2 18 2" xfId="154"/>
    <cellStyle name="20% - Ênfase2 19" xfId="155"/>
    <cellStyle name="20% - Ênfase2 19 2" xfId="156"/>
    <cellStyle name="20% - Ênfase2 2" xfId="157"/>
    <cellStyle name="20% - Ênfase2 2 2" xfId="158"/>
    <cellStyle name="20% - Ênfase2 20" xfId="159"/>
    <cellStyle name="20% - Ênfase2 20 2" xfId="160"/>
    <cellStyle name="20% - Ênfase2 21" xfId="161"/>
    <cellStyle name="20% - Ênfase2 21 2" xfId="162"/>
    <cellStyle name="20% - Ênfase2 22" xfId="163"/>
    <cellStyle name="20% - Ênfase2 22 2" xfId="164"/>
    <cellStyle name="20% - Ênfase2 23" xfId="165"/>
    <cellStyle name="20% - Ênfase2 23 2" xfId="166"/>
    <cellStyle name="20% - Ênfase2 24" xfId="167"/>
    <cellStyle name="20% - Ênfase2 24 2" xfId="168"/>
    <cellStyle name="20% - Ênfase2 25" xfId="169"/>
    <cellStyle name="20% - Ênfase2 26" xfId="170"/>
    <cellStyle name="20% - Ênfase2 27" xfId="171"/>
    <cellStyle name="20% - Ênfase2 28" xfId="172"/>
    <cellStyle name="20% - Ênfase2 29" xfId="173"/>
    <cellStyle name="20% - Ênfase2 3" xfId="174"/>
    <cellStyle name="20% - Ênfase2 3 2" xfId="175"/>
    <cellStyle name="20% - Ênfase2 30" xfId="176"/>
    <cellStyle name="20% - Ênfase2 31" xfId="177"/>
    <cellStyle name="20% - Ênfase2 32" xfId="178"/>
    <cellStyle name="20% - Ênfase2 33" xfId="179"/>
    <cellStyle name="20% - Ênfase2 34" xfId="180"/>
    <cellStyle name="20% - Ênfase2 35" xfId="181"/>
    <cellStyle name="20% - Ênfase2 36" xfId="182"/>
    <cellStyle name="20% - Ênfase2 4" xfId="183"/>
    <cellStyle name="20% - Ênfase2 4 2" xfId="184"/>
    <cellStyle name="20% - Ênfase2 5" xfId="185"/>
    <cellStyle name="20% - Ênfase2 5 2" xfId="186"/>
    <cellStyle name="20% - Ênfase2 6" xfId="187"/>
    <cellStyle name="20% - Ênfase2 6 2" xfId="188"/>
    <cellStyle name="20% - Ênfase2 7" xfId="189"/>
    <cellStyle name="20% - Ênfase2 7 2" xfId="190"/>
    <cellStyle name="20% - Ênfase2 8" xfId="191"/>
    <cellStyle name="20% - Ênfase2 8 2" xfId="192"/>
    <cellStyle name="20% - Ênfase2 9" xfId="193"/>
    <cellStyle name="20% - Ênfase2 9 2" xfId="194"/>
    <cellStyle name="20% - Ênfase3 10" xfId="195"/>
    <cellStyle name="20% - Ênfase3 10 2" xfId="196"/>
    <cellStyle name="20% - Ênfase3 11" xfId="197"/>
    <cellStyle name="20% - Ênfase3 11 2" xfId="198"/>
    <cellStyle name="20% - Ênfase3 12" xfId="199"/>
    <cellStyle name="20% - Ênfase3 12 2" xfId="200"/>
    <cellStyle name="20% - Ênfase3 13" xfId="201"/>
    <cellStyle name="20% - Ênfase3 13 2" xfId="202"/>
    <cellStyle name="20% - Ênfase3 14" xfId="203"/>
    <cellStyle name="20% - Ênfase3 14 2" xfId="204"/>
    <cellStyle name="20% - Ênfase3 15" xfId="205"/>
    <cellStyle name="20% - Ênfase3 15 2" xfId="206"/>
    <cellStyle name="20% - Ênfase3 16" xfId="207"/>
    <cellStyle name="20% - Ênfase3 16 2" xfId="208"/>
    <cellStyle name="20% - Ênfase3 17" xfId="209"/>
    <cellStyle name="20% - Ênfase3 17 2" xfId="210"/>
    <cellStyle name="20% - Ênfase3 18" xfId="211"/>
    <cellStyle name="20% - Ênfase3 18 2" xfId="212"/>
    <cellStyle name="20% - Ênfase3 19" xfId="213"/>
    <cellStyle name="20% - Ênfase3 19 2" xfId="214"/>
    <cellStyle name="20% - Ênfase3 2" xfId="215"/>
    <cellStyle name="20% - Ênfase3 2 2" xfId="216"/>
    <cellStyle name="20% - Ênfase3 20" xfId="217"/>
    <cellStyle name="20% - Ênfase3 20 2" xfId="218"/>
    <cellStyle name="20% - Ênfase3 21" xfId="219"/>
    <cellStyle name="20% - Ênfase3 21 2" xfId="220"/>
    <cellStyle name="20% - Ênfase3 22" xfId="221"/>
    <cellStyle name="20% - Ênfase3 22 2" xfId="222"/>
    <cellStyle name="20% - Ênfase3 23" xfId="223"/>
    <cellStyle name="20% - Ênfase3 23 2" xfId="224"/>
    <cellStyle name="20% - Ênfase3 24" xfId="225"/>
    <cellStyle name="20% - Ênfase3 24 2" xfId="226"/>
    <cellStyle name="20% - Ênfase3 25" xfId="227"/>
    <cellStyle name="20% - Ênfase3 26" xfId="228"/>
    <cellStyle name="20% - Ênfase3 27" xfId="229"/>
    <cellStyle name="20% - Ênfase3 28" xfId="230"/>
    <cellStyle name="20% - Ênfase3 29" xfId="231"/>
    <cellStyle name="20% - Ênfase3 3" xfId="232"/>
    <cellStyle name="20% - Ênfase3 3 2" xfId="233"/>
    <cellStyle name="20% - Ênfase3 30" xfId="234"/>
    <cellStyle name="20% - Ênfase3 31" xfId="235"/>
    <cellStyle name="20% - Ênfase3 32" xfId="236"/>
    <cellStyle name="20% - Ênfase3 33" xfId="237"/>
    <cellStyle name="20% - Ênfase3 34" xfId="238"/>
    <cellStyle name="20% - Ênfase3 35" xfId="239"/>
    <cellStyle name="20% - Ênfase3 36" xfId="240"/>
    <cellStyle name="20% - Ênfase3 4" xfId="241"/>
    <cellStyle name="20% - Ênfase3 4 2" xfId="242"/>
    <cellStyle name="20% - Ênfase3 5" xfId="243"/>
    <cellStyle name="20% - Ênfase3 5 2" xfId="244"/>
    <cellStyle name="20% - Ênfase3 6" xfId="245"/>
    <cellStyle name="20% - Ênfase3 6 2" xfId="246"/>
    <cellStyle name="20% - Ênfase3 7" xfId="247"/>
    <cellStyle name="20% - Ênfase3 7 2" xfId="248"/>
    <cellStyle name="20% - Ênfase3 8" xfId="249"/>
    <cellStyle name="20% - Ênfase3 8 2" xfId="250"/>
    <cellStyle name="20% - Ênfase3 9" xfId="251"/>
    <cellStyle name="20% - Ênfase3 9 2" xfId="252"/>
    <cellStyle name="20% - Ênfase4 10" xfId="253"/>
    <cellStyle name="20% - Ênfase4 10 2" xfId="254"/>
    <cellStyle name="20% - Ênfase4 11" xfId="255"/>
    <cellStyle name="20% - Ênfase4 11 2" xfId="256"/>
    <cellStyle name="20% - Ênfase4 12" xfId="257"/>
    <cellStyle name="20% - Ênfase4 12 2" xfId="258"/>
    <cellStyle name="20% - Ênfase4 13" xfId="259"/>
    <cellStyle name="20% - Ênfase4 13 2" xfId="260"/>
    <cellStyle name="20% - Ênfase4 14" xfId="261"/>
    <cellStyle name="20% - Ênfase4 14 2" xfId="262"/>
    <cellStyle name="20% - Ênfase4 15" xfId="263"/>
    <cellStyle name="20% - Ênfase4 15 2" xfId="264"/>
    <cellStyle name="20% - Ênfase4 16" xfId="265"/>
    <cellStyle name="20% - Ênfase4 16 2" xfId="266"/>
    <cellStyle name="20% - Ênfase4 17" xfId="267"/>
    <cellStyle name="20% - Ênfase4 17 2" xfId="268"/>
    <cellStyle name="20% - Ênfase4 18" xfId="269"/>
    <cellStyle name="20% - Ênfase4 18 2" xfId="270"/>
    <cellStyle name="20% - Ênfase4 19" xfId="271"/>
    <cellStyle name="20% - Ênfase4 19 2" xfId="272"/>
    <cellStyle name="20% - Ênfase4 2" xfId="273"/>
    <cellStyle name="20% - Ênfase4 2 2" xfId="274"/>
    <cellStyle name="20% - Ênfase4 20" xfId="275"/>
    <cellStyle name="20% - Ênfase4 20 2" xfId="276"/>
    <cellStyle name="20% - Ênfase4 21" xfId="277"/>
    <cellStyle name="20% - Ênfase4 21 2" xfId="278"/>
    <cellStyle name="20% - Ênfase4 22" xfId="279"/>
    <cellStyle name="20% - Ênfase4 22 2" xfId="280"/>
    <cellStyle name="20% - Ênfase4 23" xfId="281"/>
    <cellStyle name="20% - Ênfase4 23 2" xfId="282"/>
    <cellStyle name="20% - Ênfase4 24" xfId="283"/>
    <cellStyle name="20% - Ênfase4 24 2" xfId="284"/>
    <cellStyle name="20% - Ênfase4 25" xfId="285"/>
    <cellStyle name="20% - Ênfase4 26" xfId="286"/>
    <cellStyle name="20% - Ênfase4 27" xfId="287"/>
    <cellStyle name="20% - Ênfase4 28" xfId="288"/>
    <cellStyle name="20% - Ênfase4 29" xfId="289"/>
    <cellStyle name="20% - Ênfase4 3" xfId="290"/>
    <cellStyle name="20% - Ênfase4 3 2" xfId="291"/>
    <cellStyle name="20% - Ênfase4 30" xfId="292"/>
    <cellStyle name="20% - Ênfase4 31" xfId="293"/>
    <cellStyle name="20% - Ênfase4 32" xfId="294"/>
    <cellStyle name="20% - Ênfase4 33" xfId="295"/>
    <cellStyle name="20% - Ênfase4 34" xfId="296"/>
    <cellStyle name="20% - Ênfase4 35" xfId="297"/>
    <cellStyle name="20% - Ênfase4 36" xfId="298"/>
    <cellStyle name="20% - Ênfase4 4" xfId="299"/>
    <cellStyle name="20% - Ênfase4 4 2" xfId="300"/>
    <cellStyle name="20% - Ênfase4 5" xfId="301"/>
    <cellStyle name="20% - Ênfase4 5 2" xfId="302"/>
    <cellStyle name="20% - Ênfase4 6" xfId="303"/>
    <cellStyle name="20% - Ênfase4 6 2" xfId="304"/>
    <cellStyle name="20% - Ênfase4 7" xfId="305"/>
    <cellStyle name="20% - Ênfase4 7 2" xfId="306"/>
    <cellStyle name="20% - Ênfase4 8" xfId="307"/>
    <cellStyle name="20% - Ênfase4 8 2" xfId="308"/>
    <cellStyle name="20% - Ênfase4 9" xfId="309"/>
    <cellStyle name="20% - Ênfase4 9 2" xfId="310"/>
    <cellStyle name="20% - Ênfase5 10" xfId="311"/>
    <cellStyle name="20% - Ênfase5 10 2" xfId="312"/>
    <cellStyle name="20% - Ênfase5 11" xfId="313"/>
    <cellStyle name="20% - Ênfase5 11 2" xfId="314"/>
    <cellStyle name="20% - Ênfase5 12" xfId="315"/>
    <cellStyle name="20% - Ênfase5 12 2" xfId="316"/>
    <cellStyle name="20% - Ênfase5 13" xfId="317"/>
    <cellStyle name="20% - Ênfase5 13 2" xfId="318"/>
    <cellStyle name="20% - Ênfase5 14" xfId="319"/>
    <cellStyle name="20% - Ênfase5 14 2" xfId="320"/>
    <cellStyle name="20% - Ênfase5 15" xfId="321"/>
    <cellStyle name="20% - Ênfase5 15 2" xfId="322"/>
    <cellStyle name="20% - Ênfase5 16" xfId="323"/>
    <cellStyle name="20% - Ênfase5 16 2" xfId="324"/>
    <cellStyle name="20% - Ênfase5 17" xfId="325"/>
    <cellStyle name="20% - Ênfase5 17 2" xfId="326"/>
    <cellStyle name="20% - Ênfase5 18" xfId="327"/>
    <cellStyle name="20% - Ênfase5 18 2" xfId="328"/>
    <cellStyle name="20% - Ênfase5 19" xfId="329"/>
    <cellStyle name="20% - Ênfase5 19 2" xfId="330"/>
    <cellStyle name="20% - Ênfase5 2" xfId="331"/>
    <cellStyle name="20% - Ênfase5 2 2" xfId="332"/>
    <cellStyle name="20% - Ênfase5 20" xfId="333"/>
    <cellStyle name="20% - Ênfase5 20 2" xfId="334"/>
    <cellStyle name="20% - Ênfase5 21" xfId="335"/>
    <cellStyle name="20% - Ênfase5 21 2" xfId="336"/>
    <cellStyle name="20% - Ênfase5 22" xfId="337"/>
    <cellStyle name="20% - Ênfase5 22 2" xfId="338"/>
    <cellStyle name="20% - Ênfase5 23" xfId="339"/>
    <cellStyle name="20% - Ênfase5 23 2" xfId="340"/>
    <cellStyle name="20% - Ênfase5 24" xfId="341"/>
    <cellStyle name="20% - Ênfase5 24 2" xfId="342"/>
    <cellStyle name="20% - Ênfase5 25" xfId="343"/>
    <cellStyle name="20% - Ênfase5 26" xfId="344"/>
    <cellStyle name="20% - Ênfase5 27" xfId="345"/>
    <cellStyle name="20% - Ênfase5 28" xfId="346"/>
    <cellStyle name="20% - Ênfase5 29" xfId="347"/>
    <cellStyle name="20% - Ênfase5 3" xfId="348"/>
    <cellStyle name="20% - Ênfase5 3 2" xfId="349"/>
    <cellStyle name="20% - Ênfase5 30" xfId="350"/>
    <cellStyle name="20% - Ênfase5 31" xfId="351"/>
    <cellStyle name="20% - Ênfase5 32" xfId="352"/>
    <cellStyle name="20% - Ênfase5 33" xfId="353"/>
    <cellStyle name="20% - Ênfase5 34" xfId="354"/>
    <cellStyle name="20% - Ênfase5 35" xfId="355"/>
    <cellStyle name="20% - Ênfase5 36" xfId="356"/>
    <cellStyle name="20% - Ênfase5 4" xfId="357"/>
    <cellStyle name="20% - Ênfase5 4 2" xfId="358"/>
    <cellStyle name="20% - Ênfase5 5" xfId="359"/>
    <cellStyle name="20% - Ênfase5 5 2" xfId="360"/>
    <cellStyle name="20% - Ênfase5 6" xfId="361"/>
    <cellStyle name="20% - Ênfase5 6 2" xfId="362"/>
    <cellStyle name="20% - Ênfase5 7" xfId="363"/>
    <cellStyle name="20% - Ênfase5 7 2" xfId="364"/>
    <cellStyle name="20% - Ênfase5 8" xfId="365"/>
    <cellStyle name="20% - Ênfase5 8 2" xfId="366"/>
    <cellStyle name="20% - Ênfase5 9" xfId="367"/>
    <cellStyle name="20% - Ênfase5 9 2" xfId="368"/>
    <cellStyle name="20% - Ênfase6 10" xfId="369"/>
    <cellStyle name="20% - Ênfase6 10 2" xfId="370"/>
    <cellStyle name="20% - Ênfase6 11" xfId="371"/>
    <cellStyle name="20% - Ênfase6 11 2" xfId="372"/>
    <cellStyle name="20% - Ênfase6 12" xfId="373"/>
    <cellStyle name="20% - Ênfase6 12 2" xfId="374"/>
    <cellStyle name="20% - Ênfase6 13" xfId="375"/>
    <cellStyle name="20% - Ênfase6 13 2" xfId="376"/>
    <cellStyle name="20% - Ênfase6 14" xfId="377"/>
    <cellStyle name="20% - Ênfase6 14 2" xfId="378"/>
    <cellStyle name="20% - Ênfase6 15" xfId="379"/>
    <cellStyle name="20% - Ênfase6 15 2" xfId="380"/>
    <cellStyle name="20% - Ênfase6 16" xfId="381"/>
    <cellStyle name="20% - Ênfase6 16 2" xfId="382"/>
    <cellStyle name="20% - Ênfase6 17" xfId="383"/>
    <cellStyle name="20% - Ênfase6 17 2" xfId="384"/>
    <cellStyle name="20% - Ênfase6 18" xfId="385"/>
    <cellStyle name="20% - Ênfase6 18 2" xfId="386"/>
    <cellStyle name="20% - Ênfase6 19" xfId="387"/>
    <cellStyle name="20% - Ênfase6 19 2" xfId="388"/>
    <cellStyle name="20% - Ênfase6 2" xfId="389"/>
    <cellStyle name="20% - Ênfase6 2 2" xfId="390"/>
    <cellStyle name="20% - Ênfase6 20" xfId="391"/>
    <cellStyle name="20% - Ênfase6 20 2" xfId="392"/>
    <cellStyle name="20% - Ênfase6 21" xfId="393"/>
    <cellStyle name="20% - Ênfase6 21 2" xfId="394"/>
    <cellStyle name="20% - Ênfase6 22" xfId="395"/>
    <cellStyle name="20% - Ênfase6 22 2" xfId="396"/>
    <cellStyle name="20% - Ênfase6 23" xfId="397"/>
    <cellStyle name="20% - Ênfase6 23 2" xfId="398"/>
    <cellStyle name="20% - Ênfase6 24" xfId="399"/>
    <cellStyle name="20% - Ênfase6 24 2" xfId="400"/>
    <cellStyle name="20% - Ênfase6 25" xfId="401"/>
    <cellStyle name="20% - Ênfase6 26" xfId="402"/>
    <cellStyle name="20% - Ênfase6 27" xfId="403"/>
    <cellStyle name="20% - Ênfase6 28" xfId="404"/>
    <cellStyle name="20% - Ênfase6 29" xfId="405"/>
    <cellStyle name="20% - Ênfase6 3" xfId="406"/>
    <cellStyle name="20% - Ênfase6 3 2" xfId="407"/>
    <cellStyle name="20% - Ênfase6 30" xfId="408"/>
    <cellStyle name="20% - Ênfase6 31" xfId="409"/>
    <cellStyle name="20% - Ênfase6 32" xfId="410"/>
    <cellStyle name="20% - Ênfase6 33" xfId="411"/>
    <cellStyle name="20% - Ênfase6 34" xfId="412"/>
    <cellStyle name="20% - Ênfase6 35" xfId="413"/>
    <cellStyle name="20% - Ênfase6 36" xfId="414"/>
    <cellStyle name="20% - Ênfase6 4" xfId="415"/>
    <cellStyle name="20% - Ênfase6 4 2" xfId="416"/>
    <cellStyle name="20% - Ênfase6 5" xfId="417"/>
    <cellStyle name="20% - Ênfase6 5 2" xfId="418"/>
    <cellStyle name="20% - Ênfase6 6" xfId="419"/>
    <cellStyle name="20% - Ênfase6 6 2" xfId="420"/>
    <cellStyle name="20% - Ênfase6 7" xfId="421"/>
    <cellStyle name="20% - Ênfase6 7 2" xfId="422"/>
    <cellStyle name="20% - Ênfase6 8" xfId="423"/>
    <cellStyle name="20% - Ênfase6 8 2" xfId="424"/>
    <cellStyle name="20% - Ênfase6 9" xfId="425"/>
    <cellStyle name="20% - Ênfase6 9 2" xfId="426"/>
    <cellStyle name="40% - Ênfase1 10" xfId="427"/>
    <cellStyle name="40% - Ênfase1 10 2" xfId="428"/>
    <cellStyle name="40% - Ênfase1 11" xfId="429"/>
    <cellStyle name="40% - Ênfase1 11 2" xfId="430"/>
    <cellStyle name="40% - Ênfase1 12" xfId="431"/>
    <cellStyle name="40% - Ênfase1 12 2" xfId="432"/>
    <cellStyle name="40% - Ênfase1 13" xfId="433"/>
    <cellStyle name="40% - Ênfase1 13 2" xfId="434"/>
    <cellStyle name="40% - Ênfase1 14" xfId="435"/>
    <cellStyle name="40% - Ênfase1 14 2" xfId="436"/>
    <cellStyle name="40% - Ênfase1 15" xfId="437"/>
    <cellStyle name="40% - Ênfase1 15 2" xfId="438"/>
    <cellStyle name="40% - Ênfase1 16" xfId="439"/>
    <cellStyle name="40% - Ênfase1 16 2" xfId="440"/>
    <cellStyle name="40% - Ênfase1 17" xfId="441"/>
    <cellStyle name="40% - Ênfase1 17 2" xfId="442"/>
    <cellStyle name="40% - Ênfase1 18" xfId="443"/>
    <cellStyle name="40% - Ênfase1 18 2" xfId="444"/>
    <cellStyle name="40% - Ênfase1 19" xfId="445"/>
    <cellStyle name="40% - Ênfase1 19 2" xfId="446"/>
    <cellStyle name="40% - Ênfase1 2" xfId="447"/>
    <cellStyle name="40% - Ênfase1 2 2" xfId="448"/>
    <cellStyle name="40% - Ênfase1 20" xfId="449"/>
    <cellStyle name="40% - Ênfase1 20 2" xfId="450"/>
    <cellStyle name="40% - Ênfase1 21" xfId="451"/>
    <cellStyle name="40% - Ênfase1 21 2" xfId="452"/>
    <cellStyle name="40% - Ênfase1 22" xfId="453"/>
    <cellStyle name="40% - Ênfase1 22 2" xfId="454"/>
    <cellStyle name="40% - Ênfase1 23" xfId="455"/>
    <cellStyle name="40% - Ênfase1 23 2" xfId="456"/>
    <cellStyle name="40% - Ênfase1 24" xfId="457"/>
    <cellStyle name="40% - Ênfase1 24 2" xfId="458"/>
    <cellStyle name="40% - Ênfase1 25" xfId="459"/>
    <cellStyle name="40% - Ênfase1 26" xfId="460"/>
    <cellStyle name="40% - Ênfase1 27" xfId="461"/>
    <cellStyle name="40% - Ênfase1 28" xfId="462"/>
    <cellStyle name="40% - Ênfase1 29" xfId="463"/>
    <cellStyle name="40% - Ênfase1 3" xfId="464"/>
    <cellStyle name="40% - Ênfase1 3 2" xfId="465"/>
    <cellStyle name="40% - Ênfase1 30" xfId="466"/>
    <cellStyle name="40% - Ênfase1 31" xfId="467"/>
    <cellStyle name="40% - Ênfase1 32" xfId="468"/>
    <cellStyle name="40% - Ênfase1 33" xfId="469"/>
    <cellStyle name="40% - Ênfase1 34" xfId="470"/>
    <cellStyle name="40% - Ênfase1 35" xfId="471"/>
    <cellStyle name="40% - Ênfase1 36" xfId="472"/>
    <cellStyle name="40% - Ênfase1 4" xfId="473"/>
    <cellStyle name="40% - Ênfase1 4 2" xfId="474"/>
    <cellStyle name="40% - Ênfase1 5" xfId="475"/>
    <cellStyle name="40% - Ênfase1 5 2" xfId="476"/>
    <cellStyle name="40% - Ênfase1 6" xfId="477"/>
    <cellStyle name="40% - Ênfase1 6 2" xfId="478"/>
    <cellStyle name="40% - Ênfase1 7" xfId="479"/>
    <cellStyle name="40% - Ênfase1 7 2" xfId="480"/>
    <cellStyle name="40% - Ênfase1 8" xfId="481"/>
    <cellStyle name="40% - Ênfase1 8 2" xfId="482"/>
    <cellStyle name="40% - Ênfase1 9" xfId="483"/>
    <cellStyle name="40% - Ênfase1 9 2" xfId="484"/>
    <cellStyle name="40% - Ênfase2 10" xfId="485"/>
    <cellStyle name="40% - Ênfase2 10 2" xfId="486"/>
    <cellStyle name="40% - Ênfase2 11" xfId="487"/>
    <cellStyle name="40% - Ênfase2 11 2" xfId="488"/>
    <cellStyle name="40% - Ênfase2 12" xfId="489"/>
    <cellStyle name="40% - Ênfase2 12 2" xfId="490"/>
    <cellStyle name="40% - Ênfase2 13" xfId="491"/>
    <cellStyle name="40% - Ênfase2 13 2" xfId="492"/>
    <cellStyle name="40% - Ênfase2 14" xfId="493"/>
    <cellStyle name="40% - Ênfase2 14 2" xfId="494"/>
    <cellStyle name="40% - Ênfase2 15" xfId="495"/>
    <cellStyle name="40% - Ênfase2 15 2" xfId="496"/>
    <cellStyle name="40% - Ênfase2 16" xfId="497"/>
    <cellStyle name="40% - Ênfase2 16 2" xfId="498"/>
    <cellStyle name="40% - Ênfase2 17" xfId="499"/>
    <cellStyle name="40% - Ênfase2 17 2" xfId="500"/>
    <cellStyle name="40% - Ênfase2 18" xfId="501"/>
    <cellStyle name="40% - Ênfase2 18 2" xfId="502"/>
    <cellStyle name="40% - Ênfase2 19" xfId="503"/>
    <cellStyle name="40% - Ênfase2 19 2" xfId="504"/>
    <cellStyle name="40% - Ênfase2 2" xfId="505"/>
    <cellStyle name="40% - Ênfase2 2 2" xfId="506"/>
    <cellStyle name="40% - Ênfase2 20" xfId="507"/>
    <cellStyle name="40% - Ênfase2 20 2" xfId="508"/>
    <cellStyle name="40% - Ênfase2 21" xfId="509"/>
    <cellStyle name="40% - Ênfase2 21 2" xfId="510"/>
    <cellStyle name="40% - Ênfase2 22" xfId="511"/>
    <cellStyle name="40% - Ênfase2 22 2" xfId="512"/>
    <cellStyle name="40% - Ênfase2 23" xfId="513"/>
    <cellStyle name="40% - Ênfase2 23 2" xfId="514"/>
    <cellStyle name="40% - Ênfase2 24" xfId="515"/>
    <cellStyle name="40% - Ênfase2 24 2" xfId="516"/>
    <cellStyle name="40% - Ênfase2 25" xfId="517"/>
    <cellStyle name="40% - Ênfase2 26" xfId="518"/>
    <cellStyle name="40% - Ênfase2 27" xfId="519"/>
    <cellStyle name="40% - Ênfase2 28" xfId="520"/>
    <cellStyle name="40% - Ênfase2 29" xfId="521"/>
    <cellStyle name="40% - Ênfase2 3" xfId="522"/>
    <cellStyle name="40% - Ênfase2 3 2" xfId="523"/>
    <cellStyle name="40% - Ênfase2 30" xfId="524"/>
    <cellStyle name="40% - Ênfase2 31" xfId="525"/>
    <cellStyle name="40% - Ênfase2 32" xfId="526"/>
    <cellStyle name="40% - Ênfase2 33" xfId="527"/>
    <cellStyle name="40% - Ênfase2 34" xfId="528"/>
    <cellStyle name="40% - Ênfase2 35" xfId="529"/>
    <cellStyle name="40% - Ênfase2 36" xfId="530"/>
    <cellStyle name="40% - Ênfase2 4" xfId="531"/>
    <cellStyle name="40% - Ênfase2 4 2" xfId="532"/>
    <cellStyle name="40% - Ênfase2 5" xfId="533"/>
    <cellStyle name="40% - Ênfase2 5 2" xfId="534"/>
    <cellStyle name="40% - Ênfase2 6" xfId="535"/>
    <cellStyle name="40% - Ênfase2 6 2" xfId="536"/>
    <cellStyle name="40% - Ênfase2 7" xfId="537"/>
    <cellStyle name="40% - Ênfase2 7 2" xfId="538"/>
    <cellStyle name="40% - Ênfase2 8" xfId="539"/>
    <cellStyle name="40% - Ênfase2 8 2" xfId="540"/>
    <cellStyle name="40% - Ênfase2 9" xfId="541"/>
    <cellStyle name="40% - Ênfase2 9 2" xfId="542"/>
    <cellStyle name="40% - Ênfase3 10" xfId="543"/>
    <cellStyle name="40% - Ênfase3 10 2" xfId="544"/>
    <cellStyle name="40% - Ênfase3 11" xfId="545"/>
    <cellStyle name="40% - Ênfase3 11 2" xfId="546"/>
    <cellStyle name="40% - Ênfase3 12" xfId="547"/>
    <cellStyle name="40% - Ênfase3 12 2" xfId="548"/>
    <cellStyle name="40% - Ênfase3 13" xfId="549"/>
    <cellStyle name="40% - Ênfase3 13 2" xfId="550"/>
    <cellStyle name="40% - Ênfase3 14" xfId="551"/>
    <cellStyle name="40% - Ênfase3 14 2" xfId="552"/>
    <cellStyle name="40% - Ênfase3 15" xfId="553"/>
    <cellStyle name="40% - Ênfase3 15 2" xfId="554"/>
    <cellStyle name="40% - Ênfase3 16" xfId="555"/>
    <cellStyle name="40% - Ênfase3 16 2" xfId="556"/>
    <cellStyle name="40% - Ênfase3 17" xfId="557"/>
    <cellStyle name="40% - Ênfase3 17 2" xfId="558"/>
    <cellStyle name="40% - Ênfase3 18" xfId="559"/>
    <cellStyle name="40% - Ênfase3 18 2" xfId="560"/>
    <cellStyle name="40% - Ênfase3 19" xfId="561"/>
    <cellStyle name="40% - Ênfase3 19 2" xfId="562"/>
    <cellStyle name="40% - Ênfase3 2" xfId="563"/>
    <cellStyle name="40% - Ênfase3 2 2" xfId="564"/>
    <cellStyle name="40% - Ênfase3 20" xfId="565"/>
    <cellStyle name="40% - Ênfase3 20 2" xfId="566"/>
    <cellStyle name="40% - Ênfase3 21" xfId="567"/>
    <cellStyle name="40% - Ênfase3 21 2" xfId="568"/>
    <cellStyle name="40% - Ênfase3 22" xfId="569"/>
    <cellStyle name="40% - Ênfase3 22 2" xfId="570"/>
    <cellStyle name="40% - Ênfase3 23" xfId="571"/>
    <cellStyle name="40% - Ênfase3 23 2" xfId="572"/>
    <cellStyle name="40% - Ênfase3 24" xfId="573"/>
    <cellStyle name="40% - Ênfase3 24 2" xfId="574"/>
    <cellStyle name="40% - Ênfase3 25" xfId="575"/>
    <cellStyle name="40% - Ênfase3 26" xfId="576"/>
    <cellStyle name="40% - Ênfase3 27" xfId="577"/>
    <cellStyle name="40% - Ênfase3 28" xfId="578"/>
    <cellStyle name="40% - Ênfase3 29" xfId="579"/>
    <cellStyle name="40% - Ênfase3 3" xfId="580"/>
    <cellStyle name="40% - Ênfase3 3 2" xfId="581"/>
    <cellStyle name="40% - Ênfase3 30" xfId="582"/>
    <cellStyle name="40% - Ênfase3 31" xfId="583"/>
    <cellStyle name="40% - Ênfase3 32" xfId="584"/>
    <cellStyle name="40% - Ênfase3 33" xfId="585"/>
    <cellStyle name="40% - Ênfase3 34" xfId="586"/>
    <cellStyle name="40% - Ênfase3 35" xfId="587"/>
    <cellStyle name="40% - Ênfase3 36" xfId="588"/>
    <cellStyle name="40% - Ênfase3 4" xfId="589"/>
    <cellStyle name="40% - Ênfase3 4 2" xfId="590"/>
    <cellStyle name="40% - Ênfase3 5" xfId="591"/>
    <cellStyle name="40% - Ênfase3 5 2" xfId="592"/>
    <cellStyle name="40% - Ênfase3 6" xfId="593"/>
    <cellStyle name="40% - Ênfase3 6 2" xfId="594"/>
    <cellStyle name="40% - Ênfase3 7" xfId="595"/>
    <cellStyle name="40% - Ênfase3 7 2" xfId="596"/>
    <cellStyle name="40% - Ênfase3 8" xfId="597"/>
    <cellStyle name="40% - Ênfase3 8 2" xfId="598"/>
    <cellStyle name="40% - Ênfase3 9" xfId="599"/>
    <cellStyle name="40% - Ênfase3 9 2" xfId="600"/>
    <cellStyle name="40% - Ênfase4 10" xfId="601"/>
    <cellStyle name="40% - Ênfase4 10 2" xfId="602"/>
    <cellStyle name="40% - Ênfase4 11" xfId="603"/>
    <cellStyle name="40% - Ênfase4 11 2" xfId="604"/>
    <cellStyle name="40% - Ênfase4 12" xfId="605"/>
    <cellStyle name="40% - Ênfase4 12 2" xfId="606"/>
    <cellStyle name="40% - Ênfase4 13" xfId="607"/>
    <cellStyle name="40% - Ênfase4 13 2" xfId="608"/>
    <cellStyle name="40% - Ênfase4 14" xfId="609"/>
    <cellStyle name="40% - Ênfase4 14 2" xfId="610"/>
    <cellStyle name="40% - Ênfase4 15" xfId="611"/>
    <cellStyle name="40% - Ênfase4 15 2" xfId="612"/>
    <cellStyle name="40% - Ênfase4 16" xfId="613"/>
    <cellStyle name="40% - Ênfase4 16 2" xfId="614"/>
    <cellStyle name="40% - Ênfase4 17" xfId="615"/>
    <cellStyle name="40% - Ênfase4 17 2" xfId="616"/>
    <cellStyle name="40% - Ênfase4 18" xfId="617"/>
    <cellStyle name="40% - Ênfase4 18 2" xfId="618"/>
    <cellStyle name="40% - Ênfase4 19" xfId="619"/>
    <cellStyle name="40% - Ênfase4 19 2" xfId="620"/>
    <cellStyle name="40% - Ênfase4 2" xfId="621"/>
    <cellStyle name="40% - Ênfase4 2 2" xfId="622"/>
    <cellStyle name="40% - Ênfase4 20" xfId="623"/>
    <cellStyle name="40% - Ênfase4 20 2" xfId="624"/>
    <cellStyle name="40% - Ênfase4 21" xfId="625"/>
    <cellStyle name="40% - Ênfase4 21 2" xfId="626"/>
    <cellStyle name="40% - Ênfase4 22" xfId="627"/>
    <cellStyle name="40% - Ênfase4 22 2" xfId="628"/>
    <cellStyle name="40% - Ênfase4 23" xfId="629"/>
    <cellStyle name="40% - Ênfase4 23 2" xfId="630"/>
    <cellStyle name="40% - Ênfase4 24" xfId="631"/>
    <cellStyle name="40% - Ênfase4 24 2" xfId="632"/>
    <cellStyle name="40% - Ênfase4 25" xfId="633"/>
    <cellStyle name="40% - Ênfase4 26" xfId="634"/>
    <cellStyle name="40% - Ênfase4 27" xfId="635"/>
    <cellStyle name="40% - Ênfase4 28" xfId="636"/>
    <cellStyle name="40% - Ênfase4 29" xfId="637"/>
    <cellStyle name="40% - Ênfase4 3" xfId="638"/>
    <cellStyle name="40% - Ênfase4 3 2" xfId="639"/>
    <cellStyle name="40% - Ênfase4 30" xfId="640"/>
    <cellStyle name="40% - Ênfase4 31" xfId="641"/>
    <cellStyle name="40% - Ênfase4 32" xfId="642"/>
    <cellStyle name="40% - Ênfase4 33" xfId="643"/>
    <cellStyle name="40% - Ênfase4 34" xfId="644"/>
    <cellStyle name="40% - Ênfase4 35" xfId="645"/>
    <cellStyle name="40% - Ênfase4 36" xfId="646"/>
    <cellStyle name="40% - Ênfase4 4" xfId="647"/>
    <cellStyle name="40% - Ênfase4 4 2" xfId="648"/>
    <cellStyle name="40% - Ênfase4 5" xfId="649"/>
    <cellStyle name="40% - Ênfase4 5 2" xfId="650"/>
    <cellStyle name="40% - Ênfase4 6" xfId="651"/>
    <cellStyle name="40% - Ênfase4 6 2" xfId="652"/>
    <cellStyle name="40% - Ênfase4 7" xfId="653"/>
    <cellStyle name="40% - Ênfase4 7 2" xfId="654"/>
    <cellStyle name="40% - Ênfase4 8" xfId="655"/>
    <cellStyle name="40% - Ênfase4 8 2" xfId="656"/>
    <cellStyle name="40% - Ênfase4 9" xfId="657"/>
    <cellStyle name="40% - Ênfase4 9 2" xfId="658"/>
    <cellStyle name="40% - Ênfase5 10" xfId="659"/>
    <cellStyle name="40% - Ênfase5 10 2" xfId="660"/>
    <cellStyle name="40% - Ênfase5 11" xfId="661"/>
    <cellStyle name="40% - Ênfase5 11 2" xfId="662"/>
    <cellStyle name="40% - Ênfase5 12" xfId="663"/>
    <cellStyle name="40% - Ênfase5 12 2" xfId="664"/>
    <cellStyle name="40% - Ênfase5 13" xfId="665"/>
    <cellStyle name="40% - Ênfase5 13 2" xfId="666"/>
    <cellStyle name="40% - Ênfase5 14" xfId="667"/>
    <cellStyle name="40% - Ênfase5 14 2" xfId="668"/>
    <cellStyle name="40% - Ênfase5 15" xfId="669"/>
    <cellStyle name="40% - Ênfase5 15 2" xfId="670"/>
    <cellStyle name="40% - Ênfase5 16" xfId="671"/>
    <cellStyle name="40% - Ênfase5 16 2" xfId="672"/>
    <cellStyle name="40% - Ênfase5 17" xfId="673"/>
    <cellStyle name="40% - Ênfase5 17 2" xfId="674"/>
    <cellStyle name="40% - Ênfase5 18" xfId="675"/>
    <cellStyle name="40% - Ênfase5 18 2" xfId="676"/>
    <cellStyle name="40% - Ênfase5 19" xfId="677"/>
    <cellStyle name="40% - Ênfase5 19 2" xfId="678"/>
    <cellStyle name="40% - Ênfase5 2" xfId="679"/>
    <cellStyle name="40% - Ênfase5 2 2" xfId="680"/>
    <cellStyle name="40% - Ênfase5 20" xfId="681"/>
    <cellStyle name="40% - Ênfase5 20 2" xfId="682"/>
    <cellStyle name="40% - Ênfase5 21" xfId="683"/>
    <cellStyle name="40% - Ênfase5 21 2" xfId="684"/>
    <cellStyle name="40% - Ênfase5 22" xfId="685"/>
    <cellStyle name="40% - Ênfase5 22 2" xfId="686"/>
    <cellStyle name="40% - Ênfase5 23" xfId="687"/>
    <cellStyle name="40% - Ênfase5 23 2" xfId="688"/>
    <cellStyle name="40% - Ênfase5 24" xfId="689"/>
    <cellStyle name="40% - Ênfase5 24 2" xfId="690"/>
    <cellStyle name="40% - Ênfase5 25" xfId="691"/>
    <cellStyle name="40% - Ênfase5 26" xfId="692"/>
    <cellStyle name="40% - Ênfase5 27" xfId="693"/>
    <cellStyle name="40% - Ênfase5 28" xfId="694"/>
    <cellStyle name="40% - Ênfase5 29" xfId="695"/>
    <cellStyle name="40% - Ênfase5 3" xfId="696"/>
    <cellStyle name="40% - Ênfase5 3 2" xfId="697"/>
    <cellStyle name="40% - Ênfase5 30" xfId="698"/>
    <cellStyle name="40% - Ênfase5 31" xfId="699"/>
    <cellStyle name="40% - Ênfase5 32" xfId="700"/>
    <cellStyle name="40% - Ênfase5 33" xfId="701"/>
    <cellStyle name="40% - Ênfase5 34" xfId="702"/>
    <cellStyle name="40% - Ênfase5 35" xfId="703"/>
    <cellStyle name="40% - Ênfase5 36" xfId="704"/>
    <cellStyle name="40% - Ênfase5 4" xfId="705"/>
    <cellStyle name="40% - Ênfase5 4 2" xfId="706"/>
    <cellStyle name="40% - Ênfase5 5" xfId="707"/>
    <cellStyle name="40% - Ênfase5 5 2" xfId="708"/>
    <cellStyle name="40% - Ênfase5 6" xfId="709"/>
    <cellStyle name="40% - Ênfase5 6 2" xfId="710"/>
    <cellStyle name="40% - Ênfase5 7" xfId="711"/>
    <cellStyle name="40% - Ênfase5 7 2" xfId="712"/>
    <cellStyle name="40% - Ênfase5 8" xfId="713"/>
    <cellStyle name="40% - Ênfase5 8 2" xfId="714"/>
    <cellStyle name="40% - Ênfase5 9" xfId="715"/>
    <cellStyle name="40% - Ênfase5 9 2" xfId="716"/>
    <cellStyle name="40% - Ênfase6 10" xfId="717"/>
    <cellStyle name="40% - Ênfase6 10 2" xfId="718"/>
    <cellStyle name="40% - Ênfase6 11" xfId="719"/>
    <cellStyle name="40% - Ênfase6 11 2" xfId="720"/>
    <cellStyle name="40% - Ênfase6 12" xfId="721"/>
    <cellStyle name="40% - Ênfase6 12 2" xfId="722"/>
    <cellStyle name="40% - Ênfase6 13" xfId="723"/>
    <cellStyle name="40% - Ênfase6 13 2" xfId="724"/>
    <cellStyle name="40% - Ênfase6 14" xfId="725"/>
    <cellStyle name="40% - Ênfase6 14 2" xfId="726"/>
    <cellStyle name="40% - Ênfase6 15" xfId="727"/>
    <cellStyle name="40% - Ênfase6 15 2" xfId="728"/>
    <cellStyle name="40% - Ênfase6 16" xfId="729"/>
    <cellStyle name="40% - Ênfase6 16 2" xfId="730"/>
    <cellStyle name="40% - Ênfase6 17" xfId="731"/>
    <cellStyle name="40% - Ênfase6 17 2" xfId="732"/>
    <cellStyle name="40% - Ênfase6 18" xfId="733"/>
    <cellStyle name="40% - Ênfase6 18 2" xfId="734"/>
    <cellStyle name="40% - Ênfase6 19" xfId="735"/>
    <cellStyle name="40% - Ênfase6 19 2" xfId="736"/>
    <cellStyle name="40% - Ênfase6 2" xfId="737"/>
    <cellStyle name="40% - Ênfase6 2 2" xfId="738"/>
    <cellStyle name="40% - Ênfase6 20" xfId="739"/>
    <cellStyle name="40% - Ênfase6 20 2" xfId="740"/>
    <cellStyle name="40% - Ênfase6 21" xfId="741"/>
    <cellStyle name="40% - Ênfase6 21 2" xfId="742"/>
    <cellStyle name="40% - Ênfase6 22" xfId="743"/>
    <cellStyle name="40% - Ênfase6 22 2" xfId="744"/>
    <cellStyle name="40% - Ênfase6 23" xfId="745"/>
    <cellStyle name="40% - Ênfase6 23 2" xfId="746"/>
    <cellStyle name="40% - Ênfase6 24" xfId="747"/>
    <cellStyle name="40% - Ênfase6 24 2" xfId="748"/>
    <cellStyle name="40% - Ênfase6 25" xfId="749"/>
    <cellStyle name="40% - Ênfase6 26" xfId="750"/>
    <cellStyle name="40% - Ênfase6 27" xfId="751"/>
    <cellStyle name="40% - Ênfase6 28" xfId="752"/>
    <cellStyle name="40% - Ênfase6 29" xfId="753"/>
    <cellStyle name="40% - Ênfase6 3" xfId="754"/>
    <cellStyle name="40% - Ênfase6 3 2" xfId="755"/>
    <cellStyle name="40% - Ênfase6 30" xfId="756"/>
    <cellStyle name="40% - Ênfase6 31" xfId="757"/>
    <cellStyle name="40% - Ênfase6 32" xfId="758"/>
    <cellStyle name="40% - Ênfase6 33" xfId="759"/>
    <cellStyle name="40% - Ênfase6 34" xfId="760"/>
    <cellStyle name="40% - Ênfase6 35" xfId="761"/>
    <cellStyle name="40% - Ênfase6 36" xfId="762"/>
    <cellStyle name="40% - Ênfase6 4" xfId="763"/>
    <cellStyle name="40% - Ênfase6 4 2" xfId="764"/>
    <cellStyle name="40% - Ênfase6 5" xfId="765"/>
    <cellStyle name="40% - Ênfase6 5 2" xfId="766"/>
    <cellStyle name="40% - Ênfase6 6" xfId="767"/>
    <cellStyle name="40% - Ênfase6 6 2" xfId="768"/>
    <cellStyle name="40% - Ênfase6 7" xfId="769"/>
    <cellStyle name="40% - Ênfase6 7 2" xfId="770"/>
    <cellStyle name="40% - Ênfase6 8" xfId="771"/>
    <cellStyle name="40% - Ênfase6 8 2" xfId="772"/>
    <cellStyle name="40% - Ênfase6 9" xfId="773"/>
    <cellStyle name="40% - Ênfase6 9 2" xfId="774"/>
    <cellStyle name="Comma 2" xfId="15"/>
    <cellStyle name="Comma 2 2" xfId="16"/>
    <cellStyle name="Comma 2 2 2" xfId="40"/>
    <cellStyle name="Comma 2 2 2 2" xfId="68"/>
    <cellStyle name="Comma 2 2 3" xfId="59"/>
    <cellStyle name="Comma 2 3" xfId="17"/>
    <cellStyle name="Comma 2 3 2" xfId="41"/>
    <cellStyle name="Comma 2 3 2 2" xfId="69"/>
    <cellStyle name="Comma 2 3 3" xfId="60"/>
    <cellStyle name="Comma 2 4" xfId="18"/>
    <cellStyle name="Comma 2 4 2" xfId="42"/>
    <cellStyle name="Comma 2 4 2 2" xfId="70"/>
    <cellStyle name="Comma 2 4 3" xfId="61"/>
    <cellStyle name="Comma 2 5" xfId="39"/>
    <cellStyle name="Comma 2 5 2" xfId="67"/>
    <cellStyle name="Comma 2 6" xfId="58"/>
    <cellStyle name="Hiperlink" xfId="11" builtinId="8"/>
    <cellStyle name="Hyperlink 2" xfId="19"/>
    <cellStyle name="Moeda" xfId="869" builtinId="4"/>
    <cellStyle name="Moeda 2" xfId="43"/>
    <cellStyle name="Moeda 3" xfId="866"/>
    <cellStyle name="Moeda 4" xfId="20"/>
    <cellStyle name="Normal" xfId="0" builtinId="0"/>
    <cellStyle name="Normal 10" xfId="2"/>
    <cellStyle name="Normal 10 2" xfId="775"/>
    <cellStyle name="Normal 11" xfId="776"/>
    <cellStyle name="Normal 11 2" xfId="777"/>
    <cellStyle name="Normal 12" xfId="778"/>
    <cellStyle name="Normal 13" xfId="779"/>
    <cellStyle name="Normal 14" xfId="780"/>
    <cellStyle name="Normal 15" xfId="781"/>
    <cellStyle name="Normal 16" xfId="782"/>
    <cellStyle name="Normal 17" xfId="77"/>
    <cellStyle name="Normal 18" xfId="868"/>
    <cellStyle name="Normal 2" xfId="4"/>
    <cellStyle name="Normal 2 2" xfId="9"/>
    <cellStyle name="Normal 2 2 2" xfId="45"/>
    <cellStyle name="Normal 2 2 2 2" xfId="785"/>
    <cellStyle name="Normal 2 2 3" xfId="784"/>
    <cellStyle name="Normal 2 2 4" xfId="21"/>
    <cellStyle name="Normal 2 3" xfId="44"/>
    <cellStyle name="Normal 2 3 2" xfId="71"/>
    <cellStyle name="Normal 2 3 3" xfId="786"/>
    <cellStyle name="Normal 2 4" xfId="62"/>
    <cellStyle name="Normal 2 5" xfId="783"/>
    <cellStyle name="Normal 26 2 2" xfId="3"/>
    <cellStyle name="Normal 26 2 2 2" xfId="8"/>
    <cellStyle name="Normal 26 2 2 2 2" xfId="76"/>
    <cellStyle name="Normal 26 2 2 3" xfId="64"/>
    <cellStyle name="Normal 3" xfId="38"/>
    <cellStyle name="Normal 3 2" xfId="22"/>
    <cellStyle name="Normal 3 2 2" xfId="46"/>
    <cellStyle name="Normal 3 3" xfId="23"/>
    <cellStyle name="Normal 3 3 2" xfId="47"/>
    <cellStyle name="Normal 3 4" xfId="24"/>
    <cellStyle name="Normal 3 4 2" xfId="48"/>
    <cellStyle name="Normal 4" xfId="36"/>
    <cellStyle name="Normal 4 2" xfId="65"/>
    <cellStyle name="Normal 4 2 2" xfId="788"/>
    <cellStyle name="Normal 4 3" xfId="787"/>
    <cellStyle name="Normal 5" xfId="789"/>
    <cellStyle name="Normal 5 2" xfId="790"/>
    <cellStyle name="Normal 6" xfId="791"/>
    <cellStyle name="Normal 6 2" xfId="792"/>
    <cellStyle name="Normal 7" xfId="793"/>
    <cellStyle name="Normal 7 2" xfId="794"/>
    <cellStyle name="Normal 8" xfId="795"/>
    <cellStyle name="Normal 8 2" xfId="796"/>
    <cellStyle name="Normal 9" xfId="797"/>
    <cellStyle name="Normal 9 2" xfId="798"/>
    <cellStyle name="Normal_Plan1" xfId="14"/>
    <cellStyle name="Nota 10" xfId="799"/>
    <cellStyle name="Nota 10 2" xfId="800"/>
    <cellStyle name="Nota 11" xfId="801"/>
    <cellStyle name="Nota 11 2" xfId="802"/>
    <cellStyle name="Nota 12" xfId="803"/>
    <cellStyle name="Nota 12 2" xfId="804"/>
    <cellStyle name="Nota 13" xfId="805"/>
    <cellStyle name="Nota 13 2" xfId="806"/>
    <cellStyle name="Nota 14" xfId="807"/>
    <cellStyle name="Nota 14 2" xfId="808"/>
    <cellStyle name="Nota 15" xfId="809"/>
    <cellStyle name="Nota 15 2" xfId="810"/>
    <cellStyle name="Nota 16" xfId="811"/>
    <cellStyle name="Nota 16 2" xfId="812"/>
    <cellStyle name="Nota 17" xfId="813"/>
    <cellStyle name="Nota 17 2" xfId="814"/>
    <cellStyle name="Nota 18" xfId="815"/>
    <cellStyle name="Nota 18 2" xfId="816"/>
    <cellStyle name="Nota 19" xfId="817"/>
    <cellStyle name="Nota 19 2" xfId="818"/>
    <cellStyle name="Nota 2" xfId="819"/>
    <cellStyle name="Nota 20" xfId="820"/>
    <cellStyle name="Nota 20 2" xfId="821"/>
    <cellStyle name="Nota 21" xfId="822"/>
    <cellStyle name="Nota 21 2" xfId="823"/>
    <cellStyle name="Nota 22" xfId="824"/>
    <cellStyle name="Nota 22 2" xfId="825"/>
    <cellStyle name="Nota 23" xfId="826"/>
    <cellStyle name="Nota 23 2" xfId="827"/>
    <cellStyle name="Nota 24" xfId="828"/>
    <cellStyle name="Nota 24 2" xfId="829"/>
    <cellStyle name="Nota 25" xfId="830"/>
    <cellStyle name="Nota 25 2" xfId="831"/>
    <cellStyle name="Nota 26" xfId="832"/>
    <cellStyle name="Nota 26 2" xfId="833"/>
    <cellStyle name="Nota 27" xfId="834"/>
    <cellStyle name="Nota 28" xfId="835"/>
    <cellStyle name="Nota 29" xfId="836"/>
    <cellStyle name="Nota 3" xfId="837"/>
    <cellStyle name="Nota 3 2" xfId="838"/>
    <cellStyle name="Nota 30" xfId="839"/>
    <cellStyle name="Nota 31" xfId="840"/>
    <cellStyle name="Nota 32" xfId="841"/>
    <cellStyle name="Nota 33" xfId="842"/>
    <cellStyle name="Nota 34" xfId="843"/>
    <cellStyle name="Nota 35" xfId="844"/>
    <cellStyle name="Nota 36" xfId="845"/>
    <cellStyle name="Nota 37" xfId="846"/>
    <cellStyle name="Nota 4" xfId="847"/>
    <cellStyle name="Nota 4 2" xfId="848"/>
    <cellStyle name="Nota 5" xfId="849"/>
    <cellStyle name="Nota 5 2" xfId="850"/>
    <cellStyle name="Nota 6" xfId="851"/>
    <cellStyle name="Nota 6 2" xfId="852"/>
    <cellStyle name="Nota 7" xfId="853"/>
    <cellStyle name="Nota 7 2" xfId="854"/>
    <cellStyle name="Nota 8" xfId="855"/>
    <cellStyle name="Nota 8 2" xfId="856"/>
    <cellStyle name="Nota 9" xfId="857"/>
    <cellStyle name="Nota 9 2" xfId="858"/>
    <cellStyle name="Percent 2" xfId="25"/>
    <cellStyle name="Percent 2 2" xfId="26"/>
    <cellStyle name="Percent 2 3" xfId="27"/>
    <cellStyle name="Percent 2 4" xfId="28"/>
    <cellStyle name="Porcentagem" xfId="5" builtinId="5"/>
    <cellStyle name="Porcentagem 2" xfId="12"/>
    <cellStyle name="Porcentagem 2 2" xfId="29"/>
    <cellStyle name="Porcentagem 2 2 2" xfId="51"/>
    <cellStyle name="Porcentagem 2 3" xfId="30"/>
    <cellStyle name="Porcentagem 2 3 2" xfId="52"/>
    <cellStyle name="Porcentagem 2 4" xfId="31"/>
    <cellStyle name="Porcentagem 2 4 2" xfId="53"/>
    <cellStyle name="Porcentagem 2 5" xfId="50"/>
    <cellStyle name="Porcentagem 2 6" xfId="859"/>
    <cellStyle name="Porcentagem 3" xfId="49"/>
    <cellStyle name="Porcentagem 4" xfId="867"/>
    <cellStyle name="Separador de milhares 2" xfId="32"/>
    <cellStyle name="Separador de milhares 2 2" xfId="54"/>
    <cellStyle name="Separador de milhares 2 2 2" xfId="72"/>
    <cellStyle name="Separador de milhares 2 3" xfId="63"/>
    <cellStyle name="Separador de milhares 4" xfId="33"/>
    <cellStyle name="Separador de milhares 4 2" xfId="55"/>
    <cellStyle name="Separador de milhares 4 2 2" xfId="73"/>
    <cellStyle name="Vírgula" xfId="1" builtinId="3"/>
    <cellStyle name="Vírgula 2" xfId="6"/>
    <cellStyle name="Vírgula 2 2" xfId="10"/>
    <cellStyle name="Vírgula 2 2 2" xfId="861"/>
    <cellStyle name="Vírgula 2 2 3" xfId="74"/>
    <cellStyle name="Vírgula 2 3" xfId="862"/>
    <cellStyle name="Vírgula 2 4" xfId="860"/>
    <cellStyle name="Vírgula 2 5" xfId="56"/>
    <cellStyle name="Vírgula 3" xfId="7"/>
    <cellStyle name="Vírgula 3 2" xfId="57"/>
    <cellStyle name="Vírgula 3 2 2" xfId="75"/>
    <cellStyle name="Vírgula 3 2 3" xfId="864"/>
    <cellStyle name="Vírgula 3 3" xfId="863"/>
    <cellStyle name="Vírgula 3 4" xfId="35"/>
    <cellStyle name="Vírgula 4" xfId="13"/>
    <cellStyle name="Vírgula 4 2" xfId="66"/>
    <cellStyle name="Vírgula 4 3" xfId="865"/>
    <cellStyle name="Vírgula 4 4" xfId="37"/>
    <cellStyle name="Vírgula 5" xfId="78"/>
    <cellStyle name="Vírgula 6" xfId="34"/>
  </cellStyles>
  <dxfs count="5">
    <dxf>
      <font>
        <color rgb="FFFFC000"/>
      </font>
      <fill>
        <patternFill>
          <fgColor rgb="FFFFC000"/>
          <bgColor rgb="FFFFC000"/>
        </patternFill>
      </fill>
    </dxf>
    <dxf>
      <font>
        <color theme="5"/>
      </font>
      <fill>
        <patternFill>
          <fgColor theme="5"/>
          <bgColor theme="5"/>
        </patternFill>
      </fill>
    </dxf>
    <dxf>
      <font>
        <color rgb="FFFFFF00"/>
      </font>
      <fill>
        <patternFill>
          <fgColor rgb="FFFFFF00"/>
          <bgColor rgb="FFFFFF00"/>
        </patternFill>
      </fill>
    </dxf>
    <dxf>
      <font>
        <color theme="6"/>
      </font>
      <fill>
        <patternFill>
          <fgColor theme="6"/>
          <bgColor theme="6"/>
        </patternFill>
      </fill>
    </dxf>
    <dxf>
      <font>
        <color rgb="FF9C0006"/>
      </font>
      <fill>
        <patternFill>
          <bgColor rgb="FFFFC7CE"/>
        </patternFill>
      </fill>
    </dxf>
  </dxfs>
  <tableStyles count="0" defaultTableStyle="TableStyleMedium2" defaultPivotStyle="PivotStyleLight16"/>
  <colors>
    <mruColors>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8</xdr:col>
      <xdr:colOff>304800</xdr:colOff>
      <xdr:row>3</xdr:row>
      <xdr:rowOff>123825</xdr:rowOff>
    </xdr:to>
    <xdr:sp macro="" textlink="">
      <xdr:nvSpPr>
        <xdr:cNvPr id="4097" name="&lt;image003.png@01D7BC55.2D988010&gt;" descr="image003.png">
          <a:extLst>
            <a:ext uri="{FF2B5EF4-FFF2-40B4-BE49-F238E27FC236}">
              <a16:creationId xmlns:a16="http://schemas.microsoft.com/office/drawing/2014/main" id="{4C9E81A0-2E05-B844-AD7A-804C7E9526C8}"/>
            </a:ext>
          </a:extLst>
        </xdr:cNvPr>
        <xdr:cNvSpPr>
          <a:spLocks noChangeAspect="1" noChangeArrowheads="1"/>
        </xdr:cNvSpPr>
      </xdr:nvSpPr>
      <xdr:spPr bwMode="auto">
        <a:xfrm>
          <a:off x="10807700" y="66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xdr:row>
      <xdr:rowOff>0</xdr:rowOff>
    </xdr:from>
    <xdr:to>
      <xdr:col>8</xdr:col>
      <xdr:colOff>304800</xdr:colOff>
      <xdr:row>3</xdr:row>
      <xdr:rowOff>123825</xdr:rowOff>
    </xdr:to>
    <xdr:sp macro="" textlink="">
      <xdr:nvSpPr>
        <xdr:cNvPr id="4098" name="&lt;image003.png@01D7BC55.2D988010&gt;" descr="image003.png">
          <a:extLst>
            <a:ext uri="{FF2B5EF4-FFF2-40B4-BE49-F238E27FC236}">
              <a16:creationId xmlns:a16="http://schemas.microsoft.com/office/drawing/2014/main" id="{08056832-9B97-2440-9A89-6D141DDAAEA6}"/>
            </a:ext>
          </a:extLst>
        </xdr:cNvPr>
        <xdr:cNvSpPr>
          <a:spLocks noChangeAspect="1" noChangeArrowheads="1"/>
        </xdr:cNvSpPr>
      </xdr:nvSpPr>
      <xdr:spPr bwMode="auto">
        <a:xfrm>
          <a:off x="10807700" y="66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AA4FED11-D3BF-486F-A1FB-C98460B0B38B}"/>
                </a:ext>
              </a:extLst>
            </xdr:cNvPr>
            <xdr:cNvSpPr txBox="1"/>
          </xdr:nvSpPr>
          <xdr:spPr>
            <a:xfrm>
              <a:off x="142875" y="307086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AA4FED11-D3BF-486F-A1FB-C98460B0B38B}"/>
                </a:ext>
              </a:extLst>
            </xdr:cNvPr>
            <xdr:cNvSpPr txBox="1"/>
          </xdr:nvSpPr>
          <xdr:spPr>
            <a:xfrm>
              <a:off x="142875" y="307086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6ED618CD-578C-4A2A-AB2E-594E0CC69892}"/>
                </a:ext>
              </a:extLst>
            </xdr:cNvPr>
            <xdr:cNvSpPr txBox="1"/>
          </xdr:nvSpPr>
          <xdr:spPr>
            <a:xfrm>
              <a:off x="1381125" y="307086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6ED618CD-578C-4A2A-AB2E-594E0CC69892}"/>
                </a:ext>
              </a:extLst>
            </xdr:cNvPr>
            <xdr:cNvSpPr txBox="1"/>
          </xdr:nvSpPr>
          <xdr:spPr>
            <a:xfrm>
              <a:off x="1381125" y="307086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AF7E7610-E92B-40AB-9737-141D664420BF}"/>
                </a:ext>
              </a:extLst>
            </xdr:cNvPr>
            <xdr:cNvSpPr txBox="1"/>
          </xdr:nvSpPr>
          <xdr:spPr>
            <a:xfrm>
              <a:off x="133350" y="430244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AF7E7610-E92B-40AB-9737-141D664420BF}"/>
                </a:ext>
              </a:extLst>
            </xdr:cNvPr>
            <xdr:cNvSpPr txBox="1"/>
          </xdr:nvSpPr>
          <xdr:spPr>
            <a:xfrm>
              <a:off x="133350" y="430244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3C7F0D4B-1E5F-4AC9-9B86-AD571E5A589E}"/>
                </a:ext>
              </a:extLst>
            </xdr:cNvPr>
            <xdr:cNvSpPr txBox="1"/>
          </xdr:nvSpPr>
          <xdr:spPr>
            <a:xfrm>
              <a:off x="114300" y="43424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3C7F0D4B-1E5F-4AC9-9B86-AD571E5A589E}"/>
                </a:ext>
              </a:extLst>
            </xdr:cNvPr>
            <xdr:cNvSpPr txBox="1"/>
          </xdr:nvSpPr>
          <xdr:spPr>
            <a:xfrm>
              <a:off x="114300" y="43424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F9FBC1FA-FA1E-4702-863D-3C0BC11182E8}"/>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F9FBC1FA-FA1E-4702-863D-3C0BC11182E8}"/>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8717"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5B668819-CD37-476B-944C-68281A9EA9B3}"/>
                </a:ext>
              </a:extLst>
            </xdr:cNvPr>
            <xdr:cNvSpPr txBox="1"/>
          </xdr:nvSpPr>
          <xdr:spPr>
            <a:xfrm>
              <a:off x="266700" y="30763936"/>
              <a:ext cx="1868717"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5B668819-CD37-476B-944C-68281A9EA9B3}"/>
                </a:ext>
              </a:extLst>
            </xdr:cNvPr>
            <xdr:cNvSpPr txBox="1"/>
          </xdr:nvSpPr>
          <xdr:spPr>
            <a:xfrm>
              <a:off x="266700" y="30763936"/>
              <a:ext cx="1868717"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856A95A5-B54F-4811-A2AA-E409D620A332}"/>
                </a:ext>
              </a:extLst>
            </xdr:cNvPr>
            <xdr:cNvSpPr txBox="1"/>
          </xdr:nvSpPr>
          <xdr:spPr>
            <a:xfrm>
              <a:off x="200025" y="679418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856A95A5-B54F-4811-A2AA-E409D620A332}"/>
                </a:ext>
              </a:extLst>
            </xdr:cNvPr>
            <xdr:cNvSpPr txBox="1"/>
          </xdr:nvSpPr>
          <xdr:spPr>
            <a:xfrm>
              <a:off x="200025" y="679418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E2EFEEE1-F2B5-45F1-9DBF-2162577436C3}"/>
                </a:ext>
              </a:extLst>
            </xdr:cNvPr>
            <xdr:cNvSpPr txBox="1"/>
          </xdr:nvSpPr>
          <xdr:spPr>
            <a:xfrm>
              <a:off x="190500" y="683133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E2EFEEE1-F2B5-45F1-9DBF-2162577436C3}"/>
                </a:ext>
              </a:extLst>
            </xdr:cNvPr>
            <xdr:cNvSpPr txBox="1"/>
          </xdr:nvSpPr>
          <xdr:spPr>
            <a:xfrm>
              <a:off x="190500" y="683133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AB0F8F26-27E0-4805-93CD-FE59C219EFA4}"/>
                </a:ext>
              </a:extLst>
            </xdr:cNvPr>
            <xdr:cNvSpPr txBox="1"/>
          </xdr:nvSpPr>
          <xdr:spPr>
            <a:xfrm>
              <a:off x="200025" y="428366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AB0F8F26-27E0-4805-93CD-FE59C219EFA4}"/>
                </a:ext>
              </a:extLst>
            </xdr:cNvPr>
            <xdr:cNvSpPr txBox="1"/>
          </xdr:nvSpPr>
          <xdr:spPr>
            <a:xfrm>
              <a:off x="200025" y="428366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C7F1FE2D-EA9E-4A4F-A681-7138BA15FDA2}"/>
                </a:ext>
              </a:extLst>
            </xdr:cNvPr>
            <xdr:cNvSpPr txBox="1"/>
          </xdr:nvSpPr>
          <xdr:spPr>
            <a:xfrm>
              <a:off x="247650" y="43323329"/>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C7F1FE2D-EA9E-4A4F-A681-7138BA15FDA2}"/>
                </a:ext>
              </a:extLst>
            </xdr:cNvPr>
            <xdr:cNvSpPr txBox="1"/>
          </xdr:nvSpPr>
          <xdr:spPr>
            <a:xfrm>
              <a:off x="247650" y="43323329"/>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9F3A2239-B37D-474A-9E43-70E76AC7259A}"/>
                </a:ext>
              </a:extLst>
            </xdr:cNvPr>
            <xdr:cNvSpPr txBox="1"/>
          </xdr:nvSpPr>
          <xdr:spPr>
            <a:xfrm>
              <a:off x="142875" y="197262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9F3A2239-B37D-474A-9E43-70E76AC7259A}"/>
                </a:ext>
              </a:extLst>
            </xdr:cNvPr>
            <xdr:cNvSpPr txBox="1"/>
          </xdr:nvSpPr>
          <xdr:spPr>
            <a:xfrm>
              <a:off x="142875" y="197262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5D103721-E9A0-4279-9BAC-E1D8F4CC07FC}"/>
                </a:ext>
              </a:extLst>
            </xdr:cNvPr>
            <xdr:cNvSpPr txBox="1"/>
          </xdr:nvSpPr>
          <xdr:spPr>
            <a:xfrm>
              <a:off x="1362075" y="197262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5D103721-E9A0-4279-9BAC-E1D8F4CC07FC}"/>
                </a:ext>
              </a:extLst>
            </xdr:cNvPr>
            <xdr:cNvSpPr txBox="1"/>
          </xdr:nvSpPr>
          <xdr:spPr>
            <a:xfrm>
              <a:off x="1362075" y="197262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844B5254-3B9C-428C-ABB1-AD809676A74A}"/>
                </a:ext>
              </a:extLst>
            </xdr:cNvPr>
            <xdr:cNvSpPr txBox="1"/>
          </xdr:nvSpPr>
          <xdr:spPr>
            <a:xfrm>
              <a:off x="133350" y="2632710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844B5254-3B9C-428C-ABB1-AD809676A74A}"/>
                </a:ext>
              </a:extLst>
            </xdr:cNvPr>
            <xdr:cNvSpPr txBox="1"/>
          </xdr:nvSpPr>
          <xdr:spPr>
            <a:xfrm>
              <a:off x="133350" y="2632710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141E9F63-0465-4AF0-985D-2C9B23D255C2}"/>
                </a:ext>
              </a:extLst>
            </xdr:cNvPr>
            <xdr:cNvSpPr txBox="1"/>
          </xdr:nvSpPr>
          <xdr:spPr>
            <a:xfrm>
              <a:off x="114300" y="2672715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141E9F63-0465-4AF0-985D-2C9B23D255C2}"/>
                </a:ext>
              </a:extLst>
            </xdr:cNvPr>
            <xdr:cNvSpPr txBox="1"/>
          </xdr:nvSpPr>
          <xdr:spPr>
            <a:xfrm>
              <a:off x="114300" y="2672715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D67EBED6-8F51-4271-85FE-E4EB2EE8E6E5}"/>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D67EBED6-8F51-4271-85FE-E4EB2EE8E6E5}"/>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940663E9-8861-4957-A221-46D689E12C25}"/>
                </a:ext>
              </a:extLst>
            </xdr:cNvPr>
            <xdr:cNvSpPr txBox="1"/>
          </xdr:nvSpPr>
          <xdr:spPr>
            <a:xfrm>
              <a:off x="266700" y="30957838"/>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940663E9-8861-4957-A221-46D689E12C25}"/>
                </a:ext>
              </a:extLst>
            </xdr:cNvPr>
            <xdr:cNvSpPr txBox="1"/>
          </xdr:nvSpPr>
          <xdr:spPr>
            <a:xfrm>
              <a:off x="266700" y="30957838"/>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44CC16F4-D8DB-4CA5-9D6C-1A98E5379240}"/>
                </a:ext>
              </a:extLst>
            </xdr:cNvPr>
            <xdr:cNvSpPr txBox="1"/>
          </xdr:nvSpPr>
          <xdr:spPr>
            <a:xfrm>
              <a:off x="200025" y="398145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44CC16F4-D8DB-4CA5-9D6C-1A98E5379240}"/>
                </a:ext>
              </a:extLst>
            </xdr:cNvPr>
            <xdr:cNvSpPr txBox="1"/>
          </xdr:nvSpPr>
          <xdr:spPr>
            <a:xfrm>
              <a:off x="200025" y="398145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3EC13A4E-16A7-41EF-BADA-3B9DC2253EA1}"/>
                </a:ext>
              </a:extLst>
            </xdr:cNvPr>
            <xdr:cNvSpPr txBox="1"/>
          </xdr:nvSpPr>
          <xdr:spPr>
            <a:xfrm>
              <a:off x="190500" y="40185975"/>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3EC13A4E-16A7-41EF-BADA-3B9DC2253EA1}"/>
                </a:ext>
              </a:extLst>
            </xdr:cNvPr>
            <xdr:cNvSpPr txBox="1"/>
          </xdr:nvSpPr>
          <xdr:spPr>
            <a:xfrm>
              <a:off x="190500" y="40185975"/>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54EDDD46-784A-4AFB-BCF0-036E0E39A799}"/>
                </a:ext>
              </a:extLst>
            </xdr:cNvPr>
            <xdr:cNvSpPr txBox="1"/>
          </xdr:nvSpPr>
          <xdr:spPr>
            <a:xfrm>
              <a:off x="200025" y="42970450"/>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54EDDD46-784A-4AFB-BCF0-036E0E39A799}"/>
                </a:ext>
              </a:extLst>
            </xdr:cNvPr>
            <xdr:cNvSpPr txBox="1"/>
          </xdr:nvSpPr>
          <xdr:spPr>
            <a:xfrm>
              <a:off x="200025" y="42970450"/>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F06A5E3F-E389-498F-9425-5E5A148773A6}"/>
                </a:ext>
              </a:extLst>
            </xdr:cNvPr>
            <xdr:cNvSpPr txBox="1"/>
          </xdr:nvSpPr>
          <xdr:spPr>
            <a:xfrm>
              <a:off x="247650" y="4345940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F06A5E3F-E389-498F-9425-5E5A148773A6}"/>
                </a:ext>
              </a:extLst>
            </xdr:cNvPr>
            <xdr:cNvSpPr txBox="1"/>
          </xdr:nvSpPr>
          <xdr:spPr>
            <a:xfrm>
              <a:off x="247650" y="4345940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35627C83-C673-4E6F-9650-6295391DA09C}"/>
                </a:ext>
              </a:extLst>
            </xdr:cNvPr>
            <xdr:cNvSpPr txBox="1"/>
          </xdr:nvSpPr>
          <xdr:spPr>
            <a:xfrm>
              <a:off x="142875" y="186309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35627C83-C673-4E6F-9650-6295391DA09C}"/>
                </a:ext>
              </a:extLst>
            </xdr:cNvPr>
            <xdr:cNvSpPr txBox="1"/>
          </xdr:nvSpPr>
          <xdr:spPr>
            <a:xfrm>
              <a:off x="142875" y="186309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3B1DF660-643C-41F2-9576-C92CDF4E5131}"/>
                </a:ext>
              </a:extLst>
            </xdr:cNvPr>
            <xdr:cNvSpPr txBox="1"/>
          </xdr:nvSpPr>
          <xdr:spPr>
            <a:xfrm>
              <a:off x="1387475" y="186309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3B1DF660-643C-41F2-9576-C92CDF4E5131}"/>
                </a:ext>
              </a:extLst>
            </xdr:cNvPr>
            <xdr:cNvSpPr txBox="1"/>
          </xdr:nvSpPr>
          <xdr:spPr>
            <a:xfrm>
              <a:off x="1387475" y="186309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C7A104FF-E831-4E08-BF3B-7B0C37A11F40}"/>
                </a:ext>
              </a:extLst>
            </xdr:cNvPr>
            <xdr:cNvSpPr txBox="1"/>
          </xdr:nvSpPr>
          <xdr:spPr>
            <a:xfrm>
              <a:off x="133350" y="247935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C7A104FF-E831-4E08-BF3B-7B0C37A11F40}"/>
                </a:ext>
              </a:extLst>
            </xdr:cNvPr>
            <xdr:cNvSpPr txBox="1"/>
          </xdr:nvSpPr>
          <xdr:spPr>
            <a:xfrm>
              <a:off x="133350" y="247935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99D7701E-8199-45F7-B0C9-CD188E3A0E13}"/>
                </a:ext>
              </a:extLst>
            </xdr:cNvPr>
            <xdr:cNvSpPr txBox="1"/>
          </xdr:nvSpPr>
          <xdr:spPr>
            <a:xfrm>
              <a:off x="114300" y="251809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99D7701E-8199-45F7-B0C9-CD188E3A0E13}"/>
                </a:ext>
              </a:extLst>
            </xdr:cNvPr>
            <xdr:cNvSpPr txBox="1"/>
          </xdr:nvSpPr>
          <xdr:spPr>
            <a:xfrm>
              <a:off x="114300" y="251809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762874A-1A1B-41B7-8C14-1D05B48D4620}"/>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762874A-1A1B-41B7-8C14-1D05B48D4620}"/>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733B53DA-582C-4CD5-98B1-263D5B0BD9B8}"/>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733B53DA-582C-4CD5-98B1-263D5B0BD9B8}"/>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A54EB5EA-9B45-41D2-8B10-CCAFADD7A1DA}"/>
                </a:ext>
              </a:extLst>
            </xdr:cNvPr>
            <xdr:cNvSpPr txBox="1"/>
          </xdr:nvSpPr>
          <xdr:spPr>
            <a:xfrm>
              <a:off x="200025" y="373983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A54EB5EA-9B45-41D2-8B10-CCAFADD7A1DA}"/>
                </a:ext>
              </a:extLst>
            </xdr:cNvPr>
            <xdr:cNvSpPr txBox="1"/>
          </xdr:nvSpPr>
          <xdr:spPr>
            <a:xfrm>
              <a:off x="200025" y="373983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26457FD8-8F77-48A8-8F03-8E25C4C8492D}"/>
                </a:ext>
              </a:extLst>
            </xdr:cNvPr>
            <xdr:cNvSpPr txBox="1"/>
          </xdr:nvSpPr>
          <xdr:spPr>
            <a:xfrm>
              <a:off x="190500" y="377571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26457FD8-8F77-48A8-8F03-8E25C4C8492D}"/>
                </a:ext>
              </a:extLst>
            </xdr:cNvPr>
            <xdr:cNvSpPr txBox="1"/>
          </xdr:nvSpPr>
          <xdr:spPr>
            <a:xfrm>
              <a:off x="190500" y="377571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3B75BCE1-FC62-4CC2-A372-4CD792A028FD}"/>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3B75BCE1-FC62-4CC2-A372-4CD792A028FD}"/>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D408AC2B-BBF4-466A-B82F-FEAF394C51F5}"/>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D408AC2B-BBF4-466A-B82F-FEAF394C51F5}"/>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08D1C1B6-FBDA-4BF6-B7F8-3F06EA23E650}"/>
                </a:ext>
              </a:extLst>
            </xdr:cNvPr>
            <xdr:cNvSpPr txBox="1"/>
          </xdr:nvSpPr>
          <xdr:spPr>
            <a:xfrm>
              <a:off x="142875" y="188214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08D1C1B6-FBDA-4BF6-B7F8-3F06EA23E650}"/>
                </a:ext>
              </a:extLst>
            </xdr:cNvPr>
            <xdr:cNvSpPr txBox="1"/>
          </xdr:nvSpPr>
          <xdr:spPr>
            <a:xfrm>
              <a:off x="142875" y="188214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53B01006-310C-4262-ABBD-B2951EE92DEF}"/>
                </a:ext>
              </a:extLst>
            </xdr:cNvPr>
            <xdr:cNvSpPr txBox="1"/>
          </xdr:nvSpPr>
          <xdr:spPr>
            <a:xfrm>
              <a:off x="1387475" y="188214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53B01006-310C-4262-ABBD-B2951EE92DEF}"/>
                </a:ext>
              </a:extLst>
            </xdr:cNvPr>
            <xdr:cNvSpPr txBox="1"/>
          </xdr:nvSpPr>
          <xdr:spPr>
            <a:xfrm>
              <a:off x="1387475" y="188214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9AFDC0B-1268-407A-A11E-3C1A198D8977}"/>
                </a:ext>
              </a:extLst>
            </xdr:cNvPr>
            <xdr:cNvSpPr txBox="1"/>
          </xdr:nvSpPr>
          <xdr:spPr>
            <a:xfrm>
              <a:off x="133350" y="249840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9AFDC0B-1268-407A-A11E-3C1A198D8977}"/>
                </a:ext>
              </a:extLst>
            </xdr:cNvPr>
            <xdr:cNvSpPr txBox="1"/>
          </xdr:nvSpPr>
          <xdr:spPr>
            <a:xfrm>
              <a:off x="133350" y="249840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8E3A3B98-27CA-4026-946A-1E9CE16AF18E}"/>
                </a:ext>
              </a:extLst>
            </xdr:cNvPr>
            <xdr:cNvSpPr txBox="1"/>
          </xdr:nvSpPr>
          <xdr:spPr>
            <a:xfrm>
              <a:off x="114300" y="253714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8E3A3B98-27CA-4026-946A-1E9CE16AF18E}"/>
                </a:ext>
              </a:extLst>
            </xdr:cNvPr>
            <xdr:cNvSpPr txBox="1"/>
          </xdr:nvSpPr>
          <xdr:spPr>
            <a:xfrm>
              <a:off x="114300" y="253714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51176211-76CC-4145-80CF-D04E6B7E5B15}"/>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51176211-76CC-4145-80CF-D04E6B7E5B15}"/>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B3CC6248-0EFE-44FC-8FB0-1108B9506E64}"/>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B3CC6248-0EFE-44FC-8FB0-1108B9506E64}"/>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36A4B9FC-4525-4E98-B340-1BEFDD5A85E7}"/>
                </a:ext>
              </a:extLst>
            </xdr:cNvPr>
            <xdr:cNvSpPr txBox="1"/>
          </xdr:nvSpPr>
          <xdr:spPr>
            <a:xfrm>
              <a:off x="200025" y="375888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36A4B9FC-4525-4E98-B340-1BEFDD5A85E7}"/>
                </a:ext>
              </a:extLst>
            </xdr:cNvPr>
            <xdr:cNvSpPr txBox="1"/>
          </xdr:nvSpPr>
          <xdr:spPr>
            <a:xfrm>
              <a:off x="200025" y="375888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C91B68EC-9EF5-4237-B94C-BAB4B9CA7E50}"/>
                </a:ext>
              </a:extLst>
            </xdr:cNvPr>
            <xdr:cNvSpPr txBox="1"/>
          </xdr:nvSpPr>
          <xdr:spPr>
            <a:xfrm>
              <a:off x="190500" y="379476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C91B68EC-9EF5-4237-B94C-BAB4B9CA7E50}"/>
                </a:ext>
              </a:extLst>
            </xdr:cNvPr>
            <xdr:cNvSpPr txBox="1"/>
          </xdr:nvSpPr>
          <xdr:spPr>
            <a:xfrm>
              <a:off x="190500" y="379476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CFD36C36-A300-4C3B-9AE1-E55497474C6D}"/>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CFD36C36-A300-4C3B-9AE1-E55497474C6D}"/>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19BAF009-7CCC-4B71-937E-D517CC0F9F6E}"/>
                </a:ext>
              </a:extLst>
            </xdr:cNvPr>
            <xdr:cNvSpPr txBox="1"/>
          </xdr:nvSpPr>
          <xdr:spPr>
            <a:xfrm>
              <a:off x="247650" y="435138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19BAF009-7CCC-4B71-937E-D517CC0F9F6E}"/>
                </a:ext>
              </a:extLst>
            </xdr:cNvPr>
            <xdr:cNvSpPr txBox="1"/>
          </xdr:nvSpPr>
          <xdr:spPr>
            <a:xfrm>
              <a:off x="247650" y="435138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6.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88F7A61B-189F-4849-8BBA-8AF54442C4FE}"/>
                </a:ext>
              </a:extLst>
            </xdr:cNvPr>
            <xdr:cNvSpPr txBox="1"/>
          </xdr:nvSpPr>
          <xdr:spPr>
            <a:xfrm>
              <a:off x="139700" y="184118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88F7A61B-189F-4849-8BBA-8AF54442C4FE}"/>
                </a:ext>
              </a:extLst>
            </xdr:cNvPr>
            <xdr:cNvSpPr txBox="1"/>
          </xdr:nvSpPr>
          <xdr:spPr>
            <a:xfrm>
              <a:off x="139700" y="184118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B0D41174-DBCF-4DD9-8212-77C06AD6E2C9}"/>
                </a:ext>
              </a:extLst>
            </xdr:cNvPr>
            <xdr:cNvSpPr txBox="1"/>
          </xdr:nvSpPr>
          <xdr:spPr>
            <a:xfrm>
              <a:off x="1387475" y="184118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B0D41174-DBCF-4DD9-8212-77C06AD6E2C9}"/>
                </a:ext>
              </a:extLst>
            </xdr:cNvPr>
            <xdr:cNvSpPr txBox="1"/>
          </xdr:nvSpPr>
          <xdr:spPr>
            <a:xfrm>
              <a:off x="1387475" y="184118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B57147A-B164-484D-80C5-1E1996405CD1}"/>
                </a:ext>
              </a:extLst>
            </xdr:cNvPr>
            <xdr:cNvSpPr txBox="1"/>
          </xdr:nvSpPr>
          <xdr:spPr>
            <a:xfrm>
              <a:off x="133350" y="24533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B57147A-B164-484D-80C5-1E1996405CD1}"/>
                </a:ext>
              </a:extLst>
            </xdr:cNvPr>
            <xdr:cNvSpPr txBox="1"/>
          </xdr:nvSpPr>
          <xdr:spPr>
            <a:xfrm>
              <a:off x="133350" y="24533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E2781B7C-4B3A-4C8F-ACF6-71F4E1C3AD74}"/>
                </a:ext>
              </a:extLst>
            </xdr:cNvPr>
            <xdr:cNvSpPr txBox="1"/>
          </xdr:nvSpPr>
          <xdr:spPr>
            <a:xfrm>
              <a:off x="114300" y="24914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E2781B7C-4B3A-4C8F-ACF6-71F4E1C3AD74}"/>
                </a:ext>
              </a:extLst>
            </xdr:cNvPr>
            <xdr:cNvSpPr txBox="1"/>
          </xdr:nvSpPr>
          <xdr:spPr>
            <a:xfrm>
              <a:off x="114300" y="24914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A4139BCF-3B82-4129-BC57-65E761425333}"/>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A4139BCF-3B82-4129-BC57-65E761425333}"/>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9B2D415C-17BF-4220-9588-B1DEFBF4AAAD}"/>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9B2D415C-17BF-4220-9588-B1DEFBF4AAAD}"/>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2CFF0E40-798E-4402-8208-976EDFDE8555}"/>
                </a:ext>
              </a:extLst>
            </xdr:cNvPr>
            <xdr:cNvSpPr txBox="1"/>
          </xdr:nvSpPr>
          <xdr:spPr>
            <a:xfrm>
              <a:off x="196850" y="370586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2CFF0E40-798E-4402-8208-976EDFDE8555}"/>
                </a:ext>
              </a:extLst>
            </xdr:cNvPr>
            <xdr:cNvSpPr txBox="1"/>
          </xdr:nvSpPr>
          <xdr:spPr>
            <a:xfrm>
              <a:off x="196850" y="370586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468CB1E4-3CE4-44DD-86E3-C0CF85EAF434}"/>
                </a:ext>
              </a:extLst>
            </xdr:cNvPr>
            <xdr:cNvSpPr txBox="1"/>
          </xdr:nvSpPr>
          <xdr:spPr>
            <a:xfrm>
              <a:off x="190500" y="374142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468CB1E4-3CE4-44DD-86E3-C0CF85EAF434}"/>
                </a:ext>
              </a:extLst>
            </xdr:cNvPr>
            <xdr:cNvSpPr txBox="1"/>
          </xdr:nvSpPr>
          <xdr:spPr>
            <a:xfrm>
              <a:off x="190500" y="374142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1A097AEC-CDC0-42B2-8DCF-FA424B9BA848}"/>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1A097AEC-CDC0-42B2-8DCF-FA424B9BA848}"/>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6DDFB593-E2C7-4930-AC08-FCF389B6CF4B}"/>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6DDFB593-E2C7-4930-AC08-FCF389B6CF4B}"/>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7.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C7A3F471-2B9A-49F1-AA72-B7E103440FCF}"/>
                </a:ext>
              </a:extLst>
            </xdr:cNvPr>
            <xdr:cNvSpPr txBox="1"/>
          </xdr:nvSpPr>
          <xdr:spPr>
            <a:xfrm>
              <a:off x="139700" y="186023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C7A3F471-2B9A-49F1-AA72-B7E103440FCF}"/>
                </a:ext>
              </a:extLst>
            </xdr:cNvPr>
            <xdr:cNvSpPr txBox="1"/>
          </xdr:nvSpPr>
          <xdr:spPr>
            <a:xfrm>
              <a:off x="139700" y="186023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FC53FDCD-8A7F-4D12-A826-DFB645F5D215}"/>
                </a:ext>
              </a:extLst>
            </xdr:cNvPr>
            <xdr:cNvSpPr txBox="1"/>
          </xdr:nvSpPr>
          <xdr:spPr>
            <a:xfrm>
              <a:off x="1387475" y="186023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FC53FDCD-8A7F-4D12-A826-DFB645F5D215}"/>
                </a:ext>
              </a:extLst>
            </xdr:cNvPr>
            <xdr:cNvSpPr txBox="1"/>
          </xdr:nvSpPr>
          <xdr:spPr>
            <a:xfrm>
              <a:off x="1387475" y="186023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F3F9EBF-C385-414A-BF39-5E0B9C981E43}"/>
                </a:ext>
              </a:extLst>
            </xdr:cNvPr>
            <xdr:cNvSpPr txBox="1"/>
          </xdr:nvSpPr>
          <xdr:spPr>
            <a:xfrm>
              <a:off x="133350" y="24723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F3F9EBF-C385-414A-BF39-5E0B9C981E43}"/>
                </a:ext>
              </a:extLst>
            </xdr:cNvPr>
            <xdr:cNvSpPr txBox="1"/>
          </xdr:nvSpPr>
          <xdr:spPr>
            <a:xfrm>
              <a:off x="133350" y="24723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395E8F3D-EDE5-4FF0-88B0-E38CC5280EB8}"/>
                </a:ext>
              </a:extLst>
            </xdr:cNvPr>
            <xdr:cNvSpPr txBox="1"/>
          </xdr:nvSpPr>
          <xdr:spPr>
            <a:xfrm>
              <a:off x="114300" y="25104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395E8F3D-EDE5-4FF0-88B0-E38CC5280EB8}"/>
                </a:ext>
              </a:extLst>
            </xdr:cNvPr>
            <xdr:cNvSpPr txBox="1"/>
          </xdr:nvSpPr>
          <xdr:spPr>
            <a:xfrm>
              <a:off x="114300" y="25104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51F80A2F-58FA-47BE-BC17-F4FBDF771C18}"/>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51F80A2F-58FA-47BE-BC17-F4FBDF771C18}"/>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7F6DB1DA-AAA7-401A-9C2D-F57B19C41941}"/>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7F6DB1DA-AAA7-401A-9C2D-F57B19C41941}"/>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E2098DD5-AB8D-484E-8213-080CF8112C73}"/>
                </a:ext>
              </a:extLst>
            </xdr:cNvPr>
            <xdr:cNvSpPr txBox="1"/>
          </xdr:nvSpPr>
          <xdr:spPr>
            <a:xfrm>
              <a:off x="196850" y="372491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E2098DD5-AB8D-484E-8213-080CF8112C73}"/>
                </a:ext>
              </a:extLst>
            </xdr:cNvPr>
            <xdr:cNvSpPr txBox="1"/>
          </xdr:nvSpPr>
          <xdr:spPr>
            <a:xfrm>
              <a:off x="196850" y="372491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F3D002A8-6C1E-4AB1-8DD9-E32E08D7CB5E}"/>
                </a:ext>
              </a:extLst>
            </xdr:cNvPr>
            <xdr:cNvSpPr txBox="1"/>
          </xdr:nvSpPr>
          <xdr:spPr>
            <a:xfrm>
              <a:off x="190500" y="376047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F3D002A8-6C1E-4AB1-8DD9-E32E08D7CB5E}"/>
                </a:ext>
              </a:extLst>
            </xdr:cNvPr>
            <xdr:cNvSpPr txBox="1"/>
          </xdr:nvSpPr>
          <xdr:spPr>
            <a:xfrm>
              <a:off x="190500" y="376047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0A689677-A47F-45D9-86E8-2BB625B2CFC0}"/>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0A689677-A47F-45D9-86E8-2BB625B2CFC0}"/>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71FA90A6-F058-479A-8CEB-C7148B0D55C1}"/>
                </a:ext>
              </a:extLst>
            </xdr:cNvPr>
            <xdr:cNvSpPr txBox="1"/>
          </xdr:nvSpPr>
          <xdr:spPr>
            <a:xfrm>
              <a:off x="247650" y="43513829"/>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71FA90A6-F058-479A-8CEB-C7148B0D55C1}"/>
                </a:ext>
              </a:extLst>
            </xdr:cNvPr>
            <xdr:cNvSpPr txBox="1"/>
          </xdr:nvSpPr>
          <xdr:spPr>
            <a:xfrm>
              <a:off x="247650" y="43513829"/>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0</xdr:colOff>
      <xdr:row>1</xdr:row>
      <xdr:rowOff>0</xdr:rowOff>
    </xdr:to>
    <xdr:cxnSp macro="">
      <xdr:nvCxnSpPr>
        <xdr:cNvPr id="2" name="Conector de seta reta 1">
          <a:extLst>
            <a:ext uri="{FF2B5EF4-FFF2-40B4-BE49-F238E27FC236}">
              <a16:creationId xmlns:a16="http://schemas.microsoft.com/office/drawing/2014/main" id="{059F1ACB-5A15-45FF-B710-A28FE41238C7}"/>
            </a:ext>
          </a:extLst>
        </xdr:cNvPr>
        <xdr:cNvCxnSpPr/>
      </xdr:nvCxnSpPr>
      <xdr:spPr>
        <a:xfrm>
          <a:off x="542925" y="190500"/>
          <a:ext cx="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Documents%20and%20Settings\lveloso\Meus%20documentos\G&#225;s%20Natural\CPAC\Tarifa\Dad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aterial%20de%20Estudo\Modelagem%20Tarif&#225;ria\Receita%20Anual%20M&#225;xima%20(AN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iaga\Dropbox\nts\gasduc%20III\Gastau.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Comercial\Cartas\PB\PR%20Guapimirim\GASDUC%20III%20-%20PR%20Guapimirim%2007.12.2018_At&#233;%202030_Corrigida_Rev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ill"/>
      <sheetName val="TIPS"/>
      <sheetName val="EMBI+"/>
      <sheetName val="Plan2"/>
      <sheetName val="Plan3"/>
    </sheetNames>
    <sheetDataSet>
      <sheetData sheetId="0"/>
      <sheetData sheetId="1" refreshError="1">
        <row r="20">
          <cell r="D20">
            <v>2.3399999999999997E-2</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WACC"/>
      <sheetName val="Input (Assets)"/>
      <sheetName val="Assets"/>
      <sheetName val="Dívida BNDES"/>
      <sheetName val="Tarifa (FCLA)"/>
    </sheetNames>
    <sheetDataSet>
      <sheetData sheetId="0">
        <row r="4">
          <cell r="C4">
            <v>5138</v>
          </cell>
        </row>
        <row r="5">
          <cell r="C5">
            <v>20</v>
          </cell>
        </row>
        <row r="8">
          <cell r="C8">
            <v>4.7555936835712062E-2</v>
          </cell>
        </row>
        <row r="9">
          <cell r="C9">
            <v>1.3000000000000001E-2</v>
          </cell>
        </row>
        <row r="10">
          <cell r="C10">
            <v>0.01</v>
          </cell>
        </row>
        <row r="11">
          <cell r="C11">
            <v>5.8999999999999997E-2</v>
          </cell>
        </row>
        <row r="12">
          <cell r="C12">
            <v>0</v>
          </cell>
        </row>
        <row r="13">
          <cell r="C13">
            <v>0.6</v>
          </cell>
        </row>
        <row r="14">
          <cell r="C14">
            <v>0</v>
          </cell>
        </row>
        <row r="15">
          <cell r="C15">
            <v>0.62</v>
          </cell>
        </row>
      </sheetData>
      <sheetData sheetId="1">
        <row r="30">
          <cell r="E30">
            <v>0.12080333089268684</v>
          </cell>
        </row>
      </sheetData>
      <sheetData sheetId="2">
        <row r="7">
          <cell r="F7">
            <v>5138</v>
          </cell>
          <cell r="G7">
            <v>30</v>
          </cell>
          <cell r="H7">
            <v>30</v>
          </cell>
          <cell r="I7">
            <v>5138</v>
          </cell>
          <cell r="J7">
            <v>30</v>
          </cell>
          <cell r="K7">
            <v>30</v>
          </cell>
        </row>
        <row r="8">
          <cell r="F8">
            <v>0</v>
          </cell>
          <cell r="G8" t="str">
            <v>n/a</v>
          </cell>
          <cell r="H8" t="str">
            <v>n/a</v>
          </cell>
          <cell r="I8">
            <v>0</v>
          </cell>
          <cell r="J8" t="str">
            <v>n/a</v>
          </cell>
          <cell r="K8" t="str">
            <v>n/a</v>
          </cell>
        </row>
        <row r="9">
          <cell r="F9">
            <v>0</v>
          </cell>
          <cell r="G9" t="str">
            <v>n/a</v>
          </cell>
          <cell r="H9" t="str">
            <v>n/a</v>
          </cell>
          <cell r="I9">
            <v>0</v>
          </cell>
          <cell r="J9" t="str">
            <v>n/a</v>
          </cell>
          <cell r="K9" t="str">
            <v>n/a</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missas"/>
      <sheetName val="FC - Tarifa Total"/>
      <sheetName val="FC - Tarifa Entrada"/>
      <sheetName val="FC - Tarifa Saída"/>
      <sheetName val="Depreciação"/>
      <sheetName val="Investimentos"/>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missas"/>
      <sheetName val="Detalhamento"/>
      <sheetName val="FC - TE - Guapimirim"/>
      <sheetName val="Depreciação"/>
      <sheetName val="Investimentos"/>
      <sheetName val="WACC"/>
      <sheetName val="IGPM"/>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tabColor theme="6"/>
  </sheetPr>
  <dimension ref="A1:AJ46"/>
  <sheetViews>
    <sheetView showGridLines="0" zoomScaleNormal="100" workbookViewId="0">
      <selection activeCell="A42" sqref="A42"/>
    </sheetView>
  </sheetViews>
  <sheetFormatPr defaultColWidth="8.77734375" defaultRowHeight="13.8" x14ac:dyDescent="0.3"/>
  <cols>
    <col min="1" max="1" width="50.21875" style="142" customWidth="1"/>
    <col min="2" max="2" width="11.21875" style="142" customWidth="1"/>
    <col min="3" max="3" width="13.33203125" style="142" customWidth="1"/>
    <col min="4" max="4" width="14" style="142" bestFit="1" customWidth="1"/>
    <col min="5" max="5" width="12" style="142" customWidth="1"/>
    <col min="6" max="6" width="11.21875" style="142" customWidth="1"/>
    <col min="7" max="32" width="9.77734375" style="142" hidden="1" customWidth="1"/>
    <col min="33" max="33" width="11" style="142" bestFit="1" customWidth="1"/>
    <col min="34" max="34" width="12.21875" style="142" bestFit="1" customWidth="1"/>
    <col min="35" max="35" width="8.77734375" style="142"/>
    <col min="36" max="36" width="29.77734375" style="142" bestFit="1" customWidth="1"/>
    <col min="37" max="16384" width="8.77734375" style="142"/>
  </cols>
  <sheetData>
    <row r="1" spans="1:36" s="140" customFormat="1" ht="13.05" x14ac:dyDescent="0.3">
      <c r="A1" s="139"/>
    </row>
    <row r="2" spans="1:36" ht="13.05" x14ac:dyDescent="0.3">
      <c r="A2" s="141"/>
    </row>
    <row r="3" spans="1:36" s="140" customFormat="1" ht="20.25" customHeight="1" x14ac:dyDescent="0.3">
      <c r="A3" s="366" t="s">
        <v>0</v>
      </c>
      <c r="B3" s="367"/>
      <c r="C3" s="367"/>
      <c r="D3" s="367"/>
      <c r="E3" s="367"/>
      <c r="F3" s="367"/>
      <c r="AG3" s="142"/>
    </row>
    <row r="4" spans="1:36" s="140" customFormat="1" ht="15" customHeight="1" x14ac:dyDescent="0.3">
      <c r="AG4" s="142"/>
    </row>
    <row r="5" spans="1:36" s="140" customFormat="1" ht="15" customHeight="1" x14ac:dyDescent="0.3">
      <c r="A5" s="143" t="s">
        <v>1</v>
      </c>
      <c r="B5" s="145">
        <v>2021</v>
      </c>
      <c r="C5" s="145">
        <f>B5+1</f>
        <v>2022</v>
      </c>
      <c r="D5" s="145">
        <f>C5+1</f>
        <v>2023</v>
      </c>
      <c r="E5" s="144">
        <f>D5+1</f>
        <v>2024</v>
      </c>
      <c r="F5" s="144">
        <f>E5+1</f>
        <v>2025</v>
      </c>
      <c r="AG5" s="142"/>
    </row>
    <row r="6" spans="1:36" s="146" customFormat="1" ht="15" customHeight="1" x14ac:dyDescent="0.3">
      <c r="A6" s="142"/>
      <c r="AJ6" s="142"/>
    </row>
    <row r="7" spans="1:36" s="146" customFormat="1" ht="15" customHeight="1" x14ac:dyDescent="0.3">
      <c r="A7" s="147" t="s">
        <v>2</v>
      </c>
      <c r="B7" s="148"/>
      <c r="C7" s="148"/>
      <c r="D7" s="148"/>
      <c r="E7" s="148"/>
      <c r="F7" s="148"/>
      <c r="AJ7" s="142"/>
    </row>
    <row r="8" spans="1:36" s="146" customFormat="1" ht="15" customHeight="1" x14ac:dyDescent="0.3">
      <c r="A8" s="149" t="s">
        <v>3</v>
      </c>
      <c r="B8" s="150">
        <v>0.8</v>
      </c>
      <c r="C8" s="150">
        <v>0.8</v>
      </c>
      <c r="D8" s="151">
        <v>0.8</v>
      </c>
      <c r="E8" s="174">
        <v>0.8</v>
      </c>
      <c r="F8" s="174">
        <v>0.8</v>
      </c>
    </row>
    <row r="9" spans="1:36" s="146" customFormat="1" ht="15" customHeight="1" x14ac:dyDescent="0.3">
      <c r="A9" s="149" t="s">
        <v>4</v>
      </c>
      <c r="B9" s="152">
        <f>1-B8</f>
        <v>0.19999999999999996</v>
      </c>
      <c r="C9" s="152">
        <f>1-C8</f>
        <v>0.19999999999999996</v>
      </c>
      <c r="D9" s="152">
        <f>1-D8</f>
        <v>0.19999999999999996</v>
      </c>
      <c r="E9" s="175">
        <f>1-E8</f>
        <v>0.19999999999999996</v>
      </c>
      <c r="F9" s="175">
        <f>1-F8</f>
        <v>0.19999999999999996</v>
      </c>
    </row>
    <row r="10" spans="1:36" s="146" customFormat="1" ht="15" customHeight="1" x14ac:dyDescent="0.3"/>
    <row r="11" spans="1:36" s="146" customFormat="1" ht="15" customHeight="1" x14ac:dyDescent="0.3"/>
    <row r="12" spans="1:36" s="146" customFormat="1" ht="15" customHeight="1" x14ac:dyDescent="0.3">
      <c r="A12" s="147" t="s">
        <v>5</v>
      </c>
      <c r="B12" s="148"/>
      <c r="C12" s="148"/>
      <c r="D12" s="148"/>
      <c r="E12" s="148"/>
      <c r="F12" s="148"/>
    </row>
    <row r="13" spans="1:36" s="146" customFormat="1" ht="15" customHeight="1" x14ac:dyDescent="0.3">
      <c r="A13" s="153" t="s">
        <v>6</v>
      </c>
      <c r="B13" s="151">
        <v>0.7</v>
      </c>
      <c r="C13" s="151">
        <v>0.7</v>
      </c>
      <c r="D13" s="151">
        <v>0.7</v>
      </c>
      <c r="E13" s="151">
        <v>0.7</v>
      </c>
      <c r="F13" s="151">
        <v>0.7</v>
      </c>
    </row>
    <row r="14" spans="1:36" s="146" customFormat="1" ht="15" customHeight="1" x14ac:dyDescent="0.3">
      <c r="A14" s="153" t="s">
        <v>7</v>
      </c>
      <c r="B14" s="154">
        <f>1-B13</f>
        <v>0.30000000000000004</v>
      </c>
      <c r="C14" s="154">
        <f>1-C13</f>
        <v>0.30000000000000004</v>
      </c>
      <c r="D14" s="154">
        <f>1-D13</f>
        <v>0.30000000000000004</v>
      </c>
      <c r="E14" s="154">
        <f>1-E13</f>
        <v>0.30000000000000004</v>
      </c>
      <c r="F14" s="154">
        <f>1-F13</f>
        <v>0.30000000000000004</v>
      </c>
    </row>
    <row r="15" spans="1:36" s="146" customFormat="1" ht="15" customHeight="1" x14ac:dyDescent="0.3"/>
    <row r="16" spans="1:36" s="140" customFormat="1" ht="15" customHeight="1" x14ac:dyDescent="0.3">
      <c r="B16" s="146"/>
      <c r="AH16" s="155"/>
    </row>
    <row r="17" spans="1:32" s="140" customFormat="1" ht="15" customHeight="1" x14ac:dyDescent="0.3">
      <c r="A17" s="147" t="s">
        <v>8</v>
      </c>
      <c r="B17" s="148"/>
      <c r="C17" s="148"/>
      <c r="D17" s="148"/>
      <c r="E17" s="148"/>
      <c r="F17" s="148"/>
      <c r="G17" s="156">
        <v>2025</v>
      </c>
      <c r="H17" s="157">
        <v>2026</v>
      </c>
      <c r="I17" s="157">
        <v>2027</v>
      </c>
      <c r="J17" s="157">
        <v>2028</v>
      </c>
      <c r="K17" s="157">
        <v>2029</v>
      </c>
      <c r="L17" s="157">
        <v>2030</v>
      </c>
      <c r="M17" s="157">
        <v>2031</v>
      </c>
      <c r="N17" s="157">
        <v>2032</v>
      </c>
      <c r="O17" s="157">
        <v>2033</v>
      </c>
      <c r="P17" s="157">
        <v>2034</v>
      </c>
      <c r="Q17" s="157">
        <v>2035</v>
      </c>
      <c r="R17" s="157">
        <v>2036</v>
      </c>
      <c r="S17" s="157">
        <v>2037</v>
      </c>
      <c r="T17" s="157">
        <v>2038</v>
      </c>
      <c r="U17" s="157">
        <v>2039</v>
      </c>
      <c r="V17" s="157">
        <v>2040</v>
      </c>
      <c r="W17" s="157">
        <v>2041</v>
      </c>
      <c r="X17" s="157">
        <v>2042</v>
      </c>
      <c r="Y17" s="157">
        <v>2043</v>
      </c>
      <c r="Z17" s="157">
        <v>2044</v>
      </c>
      <c r="AA17" s="157">
        <v>2045</v>
      </c>
      <c r="AB17" s="157">
        <v>2046</v>
      </c>
      <c r="AC17" s="157">
        <v>2047</v>
      </c>
      <c r="AD17" s="157">
        <v>2048</v>
      </c>
      <c r="AE17" s="157">
        <v>2049</v>
      </c>
      <c r="AF17" s="157">
        <v>2050</v>
      </c>
    </row>
    <row r="18" spans="1:32" s="140" customFormat="1" ht="15" customHeight="1" x14ac:dyDescent="0.3">
      <c r="A18" s="158" t="s">
        <v>454</v>
      </c>
      <c r="B18" s="159">
        <v>9400</v>
      </c>
      <c r="C18" s="159">
        <f>+B18</f>
        <v>9400</v>
      </c>
      <c r="D18" s="159">
        <f>+C18</f>
        <v>9400</v>
      </c>
      <c r="E18" s="159">
        <f>+D18</f>
        <v>9400</v>
      </c>
      <c r="F18" s="159">
        <f>+E18</f>
        <v>9400</v>
      </c>
      <c r="G18" s="160">
        <f>+F18</f>
        <v>9400</v>
      </c>
      <c r="H18" s="161">
        <f t="shared" ref="H18:AF18" si="0">+G18</f>
        <v>9400</v>
      </c>
      <c r="I18" s="161">
        <f t="shared" si="0"/>
        <v>9400</v>
      </c>
      <c r="J18" s="161">
        <f t="shared" si="0"/>
        <v>9400</v>
      </c>
      <c r="K18" s="161">
        <f t="shared" si="0"/>
        <v>9400</v>
      </c>
      <c r="L18" s="161">
        <f t="shared" si="0"/>
        <v>9400</v>
      </c>
      <c r="M18" s="161">
        <f t="shared" si="0"/>
        <v>9400</v>
      </c>
      <c r="N18" s="161">
        <f t="shared" si="0"/>
        <v>9400</v>
      </c>
      <c r="O18" s="161">
        <f t="shared" si="0"/>
        <v>9400</v>
      </c>
      <c r="P18" s="161">
        <f t="shared" si="0"/>
        <v>9400</v>
      </c>
      <c r="Q18" s="161">
        <f t="shared" si="0"/>
        <v>9400</v>
      </c>
      <c r="R18" s="161">
        <f t="shared" si="0"/>
        <v>9400</v>
      </c>
      <c r="S18" s="161">
        <f t="shared" si="0"/>
        <v>9400</v>
      </c>
      <c r="T18" s="161">
        <f t="shared" si="0"/>
        <v>9400</v>
      </c>
      <c r="U18" s="161">
        <f t="shared" si="0"/>
        <v>9400</v>
      </c>
      <c r="V18" s="161">
        <f t="shared" si="0"/>
        <v>9400</v>
      </c>
      <c r="W18" s="161">
        <f t="shared" si="0"/>
        <v>9400</v>
      </c>
      <c r="X18" s="161">
        <f t="shared" si="0"/>
        <v>9400</v>
      </c>
      <c r="Y18" s="161">
        <f t="shared" si="0"/>
        <v>9400</v>
      </c>
      <c r="Z18" s="161">
        <f t="shared" si="0"/>
        <v>9400</v>
      </c>
      <c r="AA18" s="161">
        <f t="shared" si="0"/>
        <v>9400</v>
      </c>
      <c r="AB18" s="161">
        <f t="shared" si="0"/>
        <v>9400</v>
      </c>
      <c r="AC18" s="161">
        <f t="shared" si="0"/>
        <v>9400</v>
      </c>
      <c r="AD18" s="161">
        <f t="shared" si="0"/>
        <v>9400</v>
      </c>
      <c r="AE18" s="161">
        <f t="shared" si="0"/>
        <v>9400</v>
      </c>
      <c r="AF18" s="161">
        <f t="shared" si="0"/>
        <v>9400</v>
      </c>
    </row>
    <row r="19" spans="1:32" s="140" customFormat="1" ht="15" customHeight="1" x14ac:dyDescent="0.3">
      <c r="A19" s="162" t="s">
        <v>9</v>
      </c>
      <c r="B19" s="163">
        <v>37.302179000000002</v>
      </c>
      <c r="C19" s="163">
        <v>37.302179000000002</v>
      </c>
      <c r="D19" s="163">
        <v>37.302179000000002</v>
      </c>
      <c r="E19" s="163">
        <v>37.302179000000002</v>
      </c>
      <c r="F19" s="163">
        <v>37.302179000000002</v>
      </c>
      <c r="G19" s="164">
        <f t="shared" ref="G19:AF19" si="1">G18/251996</f>
        <v>3.7302179399673008E-2</v>
      </c>
      <c r="H19" s="165">
        <f t="shared" si="1"/>
        <v>3.7302179399673008E-2</v>
      </c>
      <c r="I19" s="165">
        <f t="shared" si="1"/>
        <v>3.7302179399673008E-2</v>
      </c>
      <c r="J19" s="165">
        <f t="shared" si="1"/>
        <v>3.7302179399673008E-2</v>
      </c>
      <c r="K19" s="165">
        <f t="shared" si="1"/>
        <v>3.7302179399673008E-2</v>
      </c>
      <c r="L19" s="165">
        <f t="shared" si="1"/>
        <v>3.7302179399673008E-2</v>
      </c>
      <c r="M19" s="165">
        <f t="shared" si="1"/>
        <v>3.7302179399673008E-2</v>
      </c>
      <c r="N19" s="165">
        <f t="shared" si="1"/>
        <v>3.7302179399673008E-2</v>
      </c>
      <c r="O19" s="165">
        <f t="shared" si="1"/>
        <v>3.7302179399673008E-2</v>
      </c>
      <c r="P19" s="165">
        <f t="shared" si="1"/>
        <v>3.7302179399673008E-2</v>
      </c>
      <c r="Q19" s="165">
        <f t="shared" si="1"/>
        <v>3.7302179399673008E-2</v>
      </c>
      <c r="R19" s="165">
        <f t="shared" si="1"/>
        <v>3.7302179399673008E-2</v>
      </c>
      <c r="S19" s="165">
        <f t="shared" si="1"/>
        <v>3.7302179399673008E-2</v>
      </c>
      <c r="T19" s="165">
        <f t="shared" si="1"/>
        <v>3.7302179399673008E-2</v>
      </c>
      <c r="U19" s="165">
        <f t="shared" si="1"/>
        <v>3.7302179399673008E-2</v>
      </c>
      <c r="V19" s="165">
        <f t="shared" si="1"/>
        <v>3.7302179399673008E-2</v>
      </c>
      <c r="W19" s="165">
        <f t="shared" si="1"/>
        <v>3.7302179399673008E-2</v>
      </c>
      <c r="X19" s="165">
        <f t="shared" si="1"/>
        <v>3.7302179399673008E-2</v>
      </c>
      <c r="Y19" s="165">
        <f t="shared" si="1"/>
        <v>3.7302179399673008E-2</v>
      </c>
      <c r="Z19" s="165">
        <f t="shared" si="1"/>
        <v>3.7302179399673008E-2</v>
      </c>
      <c r="AA19" s="165">
        <f t="shared" si="1"/>
        <v>3.7302179399673008E-2</v>
      </c>
      <c r="AB19" s="165">
        <f t="shared" si="1"/>
        <v>3.7302179399673008E-2</v>
      </c>
      <c r="AC19" s="165">
        <f t="shared" si="1"/>
        <v>3.7302179399673008E-2</v>
      </c>
      <c r="AD19" s="165">
        <f t="shared" si="1"/>
        <v>3.7302179399673008E-2</v>
      </c>
      <c r="AE19" s="165">
        <f t="shared" si="1"/>
        <v>3.7302179399673008E-2</v>
      </c>
      <c r="AF19" s="165">
        <f t="shared" si="1"/>
        <v>3.7302179399673008E-2</v>
      </c>
    </row>
    <row r="20" spans="1:32" s="140" customFormat="1" ht="15" customHeight="1" x14ac:dyDescent="0.3">
      <c r="A20" s="158" t="s">
        <v>10</v>
      </c>
      <c r="B20" s="159">
        <v>365</v>
      </c>
      <c r="C20" s="159">
        <v>365</v>
      </c>
      <c r="D20" s="159">
        <v>365</v>
      </c>
      <c r="E20" s="159">
        <v>245</v>
      </c>
      <c r="F20" s="159">
        <v>365</v>
      </c>
      <c r="G20" s="166">
        <v>365</v>
      </c>
      <c r="H20" s="167">
        <v>365</v>
      </c>
      <c r="I20" s="167">
        <v>365</v>
      </c>
      <c r="J20" s="167">
        <v>366</v>
      </c>
      <c r="K20" s="167">
        <v>365</v>
      </c>
      <c r="L20" s="167">
        <v>365</v>
      </c>
      <c r="M20" s="167">
        <v>365</v>
      </c>
      <c r="N20" s="167">
        <v>366</v>
      </c>
      <c r="O20" s="167">
        <v>365</v>
      </c>
      <c r="P20" s="167">
        <v>365</v>
      </c>
      <c r="Q20" s="167">
        <v>365</v>
      </c>
      <c r="R20" s="167">
        <v>366</v>
      </c>
      <c r="S20" s="167">
        <v>365</v>
      </c>
      <c r="T20" s="167">
        <v>365</v>
      </c>
      <c r="U20" s="167">
        <v>365</v>
      </c>
      <c r="V20" s="167">
        <v>366</v>
      </c>
      <c r="W20" s="167">
        <v>365</v>
      </c>
      <c r="X20" s="167">
        <v>365</v>
      </c>
      <c r="Y20" s="167">
        <v>365</v>
      </c>
      <c r="Z20" s="167">
        <v>366</v>
      </c>
      <c r="AA20" s="167">
        <v>365</v>
      </c>
      <c r="AB20" s="167">
        <v>365</v>
      </c>
      <c r="AC20" s="167">
        <v>365</v>
      </c>
      <c r="AD20" s="167">
        <v>366</v>
      </c>
      <c r="AE20" s="167">
        <v>260</v>
      </c>
      <c r="AF20" s="167">
        <v>365</v>
      </c>
    </row>
    <row r="21" spans="1:32" ht="15" customHeight="1" x14ac:dyDescent="0.3">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row>
    <row r="22" spans="1:32" ht="15" customHeight="1" thickBot="1" x14ac:dyDescent="0.35">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row>
    <row r="23" spans="1:32" ht="15" customHeight="1" thickBot="1" x14ac:dyDescent="0.35">
      <c r="A23" s="169" t="s">
        <v>11</v>
      </c>
      <c r="B23" s="170">
        <v>1</v>
      </c>
    </row>
    <row r="24" spans="1:32" ht="15" customHeight="1" x14ac:dyDescent="0.3">
      <c r="A24" s="171" t="s">
        <v>220</v>
      </c>
    </row>
    <row r="27" spans="1:32" ht="15" customHeight="1" x14ac:dyDescent="0.3">
      <c r="A27" s="369" t="s">
        <v>245</v>
      </c>
      <c r="B27" s="370"/>
      <c r="C27" s="370"/>
      <c r="D27" s="370"/>
      <c r="E27" s="371"/>
    </row>
    <row r="28" spans="1:32" x14ac:dyDescent="0.3">
      <c r="A28" s="88"/>
      <c r="B28" s="88"/>
      <c r="C28" s="88"/>
      <c r="D28" s="240"/>
      <c r="E28" s="291" t="s">
        <v>516</v>
      </c>
    </row>
    <row r="29" spans="1:32" x14ac:dyDescent="0.3">
      <c r="A29" s="368" t="s">
        <v>491</v>
      </c>
      <c r="B29" s="89" t="s">
        <v>12</v>
      </c>
      <c r="C29" s="282" t="s">
        <v>13</v>
      </c>
      <c r="D29" s="89" t="s">
        <v>478</v>
      </c>
      <c r="E29" s="89" t="s">
        <v>479</v>
      </c>
    </row>
    <row r="30" spans="1:32" x14ac:dyDescent="0.3">
      <c r="A30" s="368"/>
      <c r="B30" s="89" t="s">
        <v>14</v>
      </c>
      <c r="C30" s="283" t="s">
        <v>15</v>
      </c>
      <c r="D30" s="89" t="s">
        <v>16</v>
      </c>
      <c r="E30" s="89" t="s">
        <v>16</v>
      </c>
    </row>
    <row r="31" spans="1:32" x14ac:dyDescent="0.3">
      <c r="A31" s="90" t="s">
        <v>17</v>
      </c>
      <c r="B31" s="91">
        <v>43805</v>
      </c>
      <c r="C31" s="284">
        <v>3.3264399999999998</v>
      </c>
      <c r="D31" s="285">
        <f>(B31*$E$20*$C$44)*C31</f>
        <v>1331691.6148551104</v>
      </c>
      <c r="E31" s="285">
        <f>(B31*$F$20*$C$44)*C31</f>
        <v>1983948.7323351647</v>
      </c>
    </row>
    <row r="32" spans="1:32" x14ac:dyDescent="0.3">
      <c r="A32" s="90" t="s">
        <v>18</v>
      </c>
      <c r="B32" s="91">
        <v>49400</v>
      </c>
      <c r="C32" s="280">
        <v>3.0991</v>
      </c>
      <c r="D32" s="285">
        <f>(B32*$E$20*$C$44)*C32</f>
        <v>1399145.3231095066</v>
      </c>
      <c r="E32" s="285">
        <f>(B32*$F$20*$C$44)*C32</f>
        <v>2084440.9915713056</v>
      </c>
    </row>
    <row r="33" spans="1:33" x14ac:dyDescent="0.3">
      <c r="A33" s="90" t="s">
        <v>19</v>
      </c>
      <c r="B33" s="91">
        <v>5000</v>
      </c>
      <c r="C33" s="280">
        <v>2.9149000000000003</v>
      </c>
      <c r="D33" s="285">
        <f>(B33*$E$20*$C$44)*C33</f>
        <v>133196.84891969751</v>
      </c>
      <c r="E33" s="285">
        <f>(B33*$F$20*$C$44)*C33</f>
        <v>198436.12185995752</v>
      </c>
      <c r="AG33" s="172"/>
    </row>
    <row r="34" spans="1:33" x14ac:dyDescent="0.3">
      <c r="A34" s="90" t="s">
        <v>20</v>
      </c>
      <c r="B34" s="91">
        <v>40000</v>
      </c>
      <c r="C34" s="280">
        <v>2.5035999999999996</v>
      </c>
      <c r="D34" s="285">
        <f>(B34*$E$20*$C$44)*C34</f>
        <v>915219.40637511981</v>
      </c>
      <c r="E34" s="285">
        <f>(B34*$F$20*$C$44)*C34</f>
        <v>1363490.1360282397</v>
      </c>
    </row>
    <row r="35" spans="1:33" x14ac:dyDescent="0.3">
      <c r="A35" s="90" t="s">
        <v>21</v>
      </c>
      <c r="B35" s="91">
        <v>20000</v>
      </c>
      <c r="C35" s="280">
        <v>4.3449</v>
      </c>
      <c r="D35" s="285">
        <f>(B35*$E$20*$C$44)*C35</f>
        <v>794163.76393179002</v>
      </c>
      <c r="E35" s="285">
        <f>(B35*$F$20*$C$44)*C35</f>
        <v>1183141.9340208299</v>
      </c>
    </row>
    <row r="36" spans="1:33" x14ac:dyDescent="0.3">
      <c r="A36" s="358" t="s">
        <v>485</v>
      </c>
      <c r="B36" s="359"/>
      <c r="C36" s="360"/>
      <c r="D36" s="361">
        <f>SUM(D31:D35)</f>
        <v>4573416.9571912251</v>
      </c>
      <c r="E36" s="361">
        <f>SUM(E31:E35)</f>
        <v>6813457.9158154968</v>
      </c>
      <c r="F36" s="288"/>
    </row>
    <row r="37" spans="1:33" x14ac:dyDescent="0.3">
      <c r="A37" s="90" t="s">
        <v>490</v>
      </c>
      <c r="B37" s="91">
        <v>0</v>
      </c>
      <c r="C37" s="280">
        <v>0</v>
      </c>
      <c r="D37" s="285">
        <v>0</v>
      </c>
      <c r="E37" s="290">
        <f>-'Conta Regulatória (C.Reg)'!B8/10^3</f>
        <v>-24660.901767096595</v>
      </c>
      <c r="F37" s="354"/>
    </row>
    <row r="38" spans="1:33" x14ac:dyDescent="0.3">
      <c r="A38" s="362" t="s">
        <v>514</v>
      </c>
      <c r="B38" s="363"/>
      <c r="C38" s="364"/>
      <c r="D38" s="365">
        <f>SUM(D36:D37)</f>
        <v>4573416.9571912251</v>
      </c>
      <c r="E38" s="365">
        <f>SUM(E36:E37)</f>
        <v>6788797.0140484003</v>
      </c>
      <c r="F38" s="288"/>
    </row>
    <row r="39" spans="1:33" x14ac:dyDescent="0.3">
      <c r="A39" s="362" t="s">
        <v>511</v>
      </c>
      <c r="B39" s="363"/>
      <c r="C39" s="364"/>
      <c r="D39" s="365">
        <v>39264.707133290751</v>
      </c>
      <c r="E39" s="365">
        <v>58496.400423065817</v>
      </c>
      <c r="F39" s="288"/>
    </row>
    <row r="40" spans="1:33" ht="14.4" thickBot="1" x14ac:dyDescent="0.35">
      <c r="D40" s="92">
        <f>SUM(D38,D39)</f>
        <v>4612681.6643245155</v>
      </c>
      <c r="E40" s="92">
        <f>SUM(E38,E39)</f>
        <v>6847293.4144714661</v>
      </c>
      <c r="F40" s="288"/>
    </row>
    <row r="41" spans="1:33" ht="14.4" thickTop="1" x14ac:dyDescent="0.3"/>
    <row r="42" spans="1:33" x14ac:dyDescent="0.3">
      <c r="A42" s="88"/>
      <c r="B42" s="281"/>
      <c r="C42" s="88"/>
      <c r="E42" s="286"/>
    </row>
    <row r="43" spans="1:33" x14ac:dyDescent="0.3">
      <c r="A43" s="88"/>
      <c r="B43" s="88"/>
      <c r="C43" s="88"/>
      <c r="D43" s="88"/>
    </row>
    <row r="44" spans="1:33" x14ac:dyDescent="0.3">
      <c r="A44" s="173" t="s">
        <v>22</v>
      </c>
      <c r="B44" s="173"/>
      <c r="C44" s="289">
        <v>3.7302178999999998E-2</v>
      </c>
      <c r="D44" s="88"/>
      <c r="E44" s="286"/>
    </row>
    <row r="45" spans="1:33" x14ac:dyDescent="0.3">
      <c r="A45" s="88"/>
      <c r="B45" s="88"/>
      <c r="C45" s="88"/>
      <c r="D45" s="88"/>
    </row>
    <row r="46" spans="1:33" x14ac:dyDescent="0.3">
      <c r="A46" s="88"/>
      <c r="B46" s="88"/>
      <c r="C46" s="88"/>
      <c r="D46" s="88"/>
    </row>
  </sheetData>
  <mergeCells count="3">
    <mergeCell ref="A3:F3"/>
    <mergeCell ref="A29:A30"/>
    <mergeCell ref="A27:E27"/>
  </mergeCells>
  <printOptions gridLines="1"/>
  <pageMargins left="0.7" right="0.7" top="0.75" bottom="0.75" header="0.3" footer="0.3"/>
  <pageSetup paperSize="9" scale="80" fitToWidth="0"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0">
    <tabColor theme="5" tint="0.79998168889431442"/>
  </sheetPr>
  <dimension ref="A1:V39"/>
  <sheetViews>
    <sheetView showGridLines="0" tabSelected="1" topLeftCell="L1" zoomScale="110" zoomScaleNormal="110" workbookViewId="0">
      <selection activeCell="H29" sqref="H29:H30"/>
    </sheetView>
  </sheetViews>
  <sheetFormatPr defaultColWidth="10.77734375" defaultRowHeight="14.4" x14ac:dyDescent="0.3"/>
  <cols>
    <col min="1" max="1" width="10.77734375" style="62"/>
    <col min="2" max="2" width="27.44140625" style="62" bestFit="1" customWidth="1"/>
    <col min="3" max="3" width="15.21875" style="64" customWidth="1"/>
    <col min="4" max="4" width="13.77734375" style="64" customWidth="1"/>
    <col min="5" max="5" width="14.21875" style="62" bestFit="1" customWidth="1"/>
    <col min="6" max="6" width="14.77734375" style="62" customWidth="1"/>
    <col min="7" max="7" width="14.21875" style="62" bestFit="1" customWidth="1"/>
    <col min="8" max="8" width="10.77734375" style="62"/>
    <col min="9" max="9" width="12.6640625" style="62" bestFit="1" customWidth="1"/>
    <col min="10" max="10" width="11.109375" style="62" bestFit="1" customWidth="1"/>
    <col min="11" max="11" width="10.77734375" style="62"/>
    <col min="12" max="12" width="23" style="67" customWidth="1"/>
    <col min="13" max="13" width="16.77734375" style="67" customWidth="1"/>
    <col min="14" max="22" width="14.77734375" style="67" customWidth="1"/>
    <col min="23" max="16384" width="10.77734375" style="62"/>
  </cols>
  <sheetData>
    <row r="1" spans="1:22" ht="24.45" customHeight="1" x14ac:dyDescent="0.3">
      <c r="A1" s="352" t="s">
        <v>131</v>
      </c>
      <c r="B1" s="352" t="s">
        <v>132</v>
      </c>
      <c r="C1" s="351" t="s">
        <v>262</v>
      </c>
      <c r="D1" s="351" t="s">
        <v>263</v>
      </c>
      <c r="E1" s="351" t="s">
        <v>265</v>
      </c>
      <c r="L1" s="238"/>
      <c r="M1" s="238" t="s">
        <v>28</v>
      </c>
      <c r="N1" s="238" t="s">
        <v>26</v>
      </c>
      <c r="O1" s="238" t="s">
        <v>512</v>
      </c>
      <c r="P1" s="238" t="s">
        <v>473</v>
      </c>
      <c r="Q1" s="238" t="s">
        <v>27</v>
      </c>
      <c r="R1" s="238" t="s">
        <v>29</v>
      </c>
      <c r="S1" s="238" t="s">
        <v>24</v>
      </c>
      <c r="T1" s="238" t="s">
        <v>274</v>
      </c>
      <c r="U1" s="238" t="s">
        <v>276</v>
      </c>
      <c r="V1" s="238" t="s">
        <v>275</v>
      </c>
    </row>
    <row r="2" spans="1:22" x14ac:dyDescent="0.3">
      <c r="A2" s="346" t="str">
        <f>'CWD NTS 2024 (Final)'!A246</f>
        <v>TEN1</v>
      </c>
      <c r="B2" s="347" t="str">
        <f>'CWD NTS 2024 (Final)'!B246</f>
        <v>PR-CARAGUATATUBA</v>
      </c>
      <c r="C2" s="348">
        <f>'CWD NTS 2024 (sem desconto)'!H24</f>
        <v>129573221.99618998</v>
      </c>
      <c r="D2" s="349">
        <f ca="1">'CWD NTS 2024 (Final)'!E246</f>
        <v>5.9588939941533798</v>
      </c>
      <c r="E2" s="350">
        <f t="shared" ref="E2:E11" ca="1" si="0">IFERROR(C2*D2," ")</f>
        <v>772113094.35619915</v>
      </c>
      <c r="F2" s="355"/>
      <c r="G2" s="355"/>
      <c r="L2" s="71" t="s">
        <v>58</v>
      </c>
      <c r="M2" s="70">
        <f ca="1">IFERROR($D$2+$C34," ")</f>
        <v>9.3541670856242867</v>
      </c>
      <c r="N2" s="70">
        <f ca="1">IFERROR($D$3+$C34," ")</f>
        <v>8.7318064347259003</v>
      </c>
      <c r="O2" s="70">
        <f ca="1">IFERROR($D$4+$C34," ")</f>
        <v>8.8710515555883944</v>
      </c>
      <c r="P2" s="70">
        <f ca="1">IFERROR($D$5+$C34," ")</f>
        <v>3.9459402173603682</v>
      </c>
      <c r="Q2" s="70" t="str">
        <f ca="1">IFERROR($D$6+$C34," ")</f>
        <v xml:space="preserve"> </v>
      </c>
      <c r="R2" s="70" t="str">
        <f ca="1">IFERROR($D$7+$C34," ")</f>
        <v xml:space="preserve"> </v>
      </c>
      <c r="S2" s="70">
        <f ca="1">IFERROR($D$8+$C34," ")</f>
        <v>9.2807901092810532</v>
      </c>
      <c r="T2" s="70">
        <f ca="1">IFERROR($D$9+$C34," ")</f>
        <v>3.9075440296763557</v>
      </c>
      <c r="U2" s="70">
        <f ca="1">IFERROR($D$10+$C34," ")</f>
        <v>3.9459402173603682</v>
      </c>
      <c r="V2" s="70">
        <f ca="1">IFERROR($D$11+$C34," ")</f>
        <v>3.9333177296726531</v>
      </c>
    </row>
    <row r="3" spans="1:22" s="65" customFormat="1" x14ac:dyDescent="0.3">
      <c r="A3" s="319" t="str">
        <f>'CWD NTS 2024 (Final)'!A247</f>
        <v>TEN2</v>
      </c>
      <c r="B3" s="322" t="str">
        <f>'CWD NTS 2024 (Final)'!B247</f>
        <v>PR-GNLBGB</v>
      </c>
      <c r="C3" s="323">
        <f>'CWD NTS 2024 (sem desconto)'!H25</f>
        <v>182780677.09999996</v>
      </c>
      <c r="D3" s="324">
        <f ca="1">'CWD NTS 2024 (Final)'!E247</f>
        <v>5.3365333432549944</v>
      </c>
      <c r="E3" s="325">
        <f t="shared" ca="1" si="0"/>
        <v>975415177.84687436</v>
      </c>
      <c r="F3" s="355"/>
      <c r="G3" s="355"/>
      <c r="L3" s="71" t="s">
        <v>69</v>
      </c>
      <c r="M3" s="70">
        <f t="shared" ref="M3:M7" ca="1" si="1">IFERROR($D$2+$C35," ")</f>
        <v>8.6549456495304042</v>
      </c>
      <c r="N3" s="70">
        <f t="shared" ref="N3:N7" ca="1" si="2">IFERROR($D$3+$C35," ")</f>
        <v>8.0325849986320179</v>
      </c>
      <c r="O3" s="70">
        <f t="shared" ref="O3:O7" ca="1" si="3">IFERROR($D$4+$C35," ")</f>
        <v>8.171830119494512</v>
      </c>
      <c r="P3" s="70">
        <f t="shared" ref="P3:P7" ca="1" si="4">IFERROR($D$5+$C35," ")</f>
        <v>3.2467187812664857</v>
      </c>
      <c r="Q3" s="70" t="str">
        <f t="shared" ref="Q3:Q7" ca="1" si="5">IFERROR($D$6+$C35," ")</f>
        <v xml:space="preserve"> </v>
      </c>
      <c r="R3" s="70" t="str">
        <f t="shared" ref="R3:R7" ca="1" si="6">IFERROR($D$7+$C35," ")</f>
        <v xml:space="preserve"> </v>
      </c>
      <c r="S3" s="70">
        <f t="shared" ref="S3:S7" ca="1" si="7">IFERROR($D$8+$C35," ")</f>
        <v>8.5815686731871708</v>
      </c>
      <c r="T3" s="70">
        <f t="shared" ref="T3:T7" ca="1" si="8">IFERROR($D$9+$C35," ")</f>
        <v>3.2083225935824733</v>
      </c>
      <c r="U3" s="70">
        <f t="shared" ref="U3:U7" ca="1" si="9">IFERROR($D$10+$C35," ")</f>
        <v>3.2467187812664857</v>
      </c>
      <c r="V3" s="70">
        <f t="shared" ref="V3:V7" ca="1" si="10">IFERROR($D$11+$C35," ")</f>
        <v>3.2340962935787707</v>
      </c>
    </row>
    <row r="4" spans="1:22" x14ac:dyDescent="0.3">
      <c r="A4" s="319" t="str">
        <f>'CWD NTS 2024 (Final)'!A248</f>
        <v>TEN3</v>
      </c>
      <c r="B4" s="322" t="str">
        <f>'CWD NTS 2024 (Final)'!B248</f>
        <v>PR-ITABORAÍ</v>
      </c>
      <c r="C4" s="323">
        <f>'CWD NTS 2024 (sem desconto)'!H26</f>
        <v>118807440.11499999</v>
      </c>
      <c r="D4" s="324">
        <f ca="1">'CWD NTS 2024 (Final)'!E248</f>
        <v>5.4757784641174867</v>
      </c>
      <c r="E4" s="323">
        <f t="shared" ca="1" si="0"/>
        <v>650563221.95864499</v>
      </c>
      <c r="F4" s="357"/>
      <c r="G4" s="355"/>
      <c r="H4" s="356"/>
      <c r="L4" s="71" t="s">
        <v>268</v>
      </c>
      <c r="M4" s="70">
        <f t="shared" ca="1" si="1"/>
        <v>9.1470461941260801</v>
      </c>
      <c r="N4" s="70">
        <f t="shared" ca="1" si="2"/>
        <v>8.5246855432276938</v>
      </c>
      <c r="O4" s="70">
        <f t="shared" ca="1" si="3"/>
        <v>8.6639306640901861</v>
      </c>
      <c r="P4" s="70">
        <f t="shared" ca="1" si="4"/>
        <v>3.7388193258621607</v>
      </c>
      <c r="Q4" s="70" t="str">
        <f t="shared" ca="1" si="5"/>
        <v xml:space="preserve"> </v>
      </c>
      <c r="R4" s="70" t="str">
        <f t="shared" ca="1" si="6"/>
        <v xml:space="preserve"> </v>
      </c>
      <c r="S4" s="70">
        <f t="shared" ca="1" si="7"/>
        <v>9.0736692177828466</v>
      </c>
      <c r="T4" s="70">
        <f t="shared" ca="1" si="8"/>
        <v>3.7004231381781483</v>
      </c>
      <c r="U4" s="70">
        <f t="shared" ca="1" si="9"/>
        <v>3.7388193258621607</v>
      </c>
      <c r="V4" s="70">
        <f t="shared" ca="1" si="10"/>
        <v>3.7261968381744457</v>
      </c>
    </row>
    <row r="5" spans="1:22" ht="24" x14ac:dyDescent="0.3">
      <c r="A5" s="319" t="str">
        <f>'CWD NTS 2024 (Final)'!A249</f>
        <v>TEN4</v>
      </c>
      <c r="B5" s="322" t="str">
        <f>'CWD NTS 2024 (Final)'!B249</f>
        <v>PR-GASPAJ (INTERCONEXÃO)</v>
      </c>
      <c r="C5" s="323">
        <f>'CWD NTS 2024 (sem desconto)'!H27</f>
        <v>3061576.3414250002</v>
      </c>
      <c r="D5" s="324">
        <f ca="1">'CWD NTS 2024 (Final)'!E249</f>
        <v>0.55066712588946132</v>
      </c>
      <c r="E5" s="323">
        <f t="shared" ca="1" si="0"/>
        <v>1685909.4446236771</v>
      </c>
      <c r="F5" s="355"/>
      <c r="G5" s="355"/>
      <c r="L5" s="135" t="str">
        <f>B28</f>
        <v>PE-GUARAREMA (INTERCONEXÃO)</v>
      </c>
      <c r="M5" s="70" t="str">
        <f t="shared" ca="1" si="1"/>
        <v xml:space="preserve"> </v>
      </c>
      <c r="N5" s="70" t="str">
        <f t="shared" ca="1" si="2"/>
        <v xml:space="preserve"> </v>
      </c>
      <c r="O5" s="70" t="str">
        <f t="shared" ca="1" si="3"/>
        <v xml:space="preserve"> </v>
      </c>
      <c r="P5" s="70" t="str">
        <f t="shared" ca="1" si="4"/>
        <v xml:space="preserve"> </v>
      </c>
      <c r="Q5" s="70" t="str">
        <f t="shared" si="5"/>
        <v xml:space="preserve"> </v>
      </c>
      <c r="R5" s="70" t="str">
        <f t="shared" si="6"/>
        <v xml:space="preserve"> </v>
      </c>
      <c r="S5" s="70" t="str">
        <f t="shared" ca="1" si="7"/>
        <v xml:space="preserve"> </v>
      </c>
      <c r="T5" s="70" t="str">
        <f t="shared" ca="1" si="8"/>
        <v xml:space="preserve"> </v>
      </c>
      <c r="U5" s="70" t="str">
        <f t="shared" ca="1" si="9"/>
        <v xml:space="preserve"> </v>
      </c>
      <c r="V5" s="70" t="str">
        <f t="shared" ca="1" si="10"/>
        <v xml:space="preserve"> </v>
      </c>
    </row>
    <row r="6" spans="1:22" x14ac:dyDescent="0.3">
      <c r="A6" s="319" t="str">
        <f>'CWD NTS 2024 (Final)'!A250</f>
        <v>TEN5</v>
      </c>
      <c r="B6" s="322" t="str">
        <f>'CWD NTS 2024 (Final)'!B250</f>
        <v>PR-REDUC</v>
      </c>
      <c r="C6" s="323">
        <f>'CWD NTS 2024 (sem desconto)'!H28</f>
        <v>0</v>
      </c>
      <c r="D6" s="324" t="str">
        <f>'CWD NTS 2024 (Final)'!E250</f>
        <v xml:space="preserve"> </v>
      </c>
      <c r="E6" s="323" t="str">
        <f t="shared" si="0"/>
        <v xml:space="preserve"> </v>
      </c>
      <c r="F6" s="355"/>
      <c r="G6" s="355"/>
      <c r="L6" s="135" t="str">
        <f t="shared" ref="L6:L7" si="11">B29</f>
        <v>PE-REPLAN (INTERCONEXÃO)</v>
      </c>
      <c r="M6" s="70">
        <f t="shared" ca="1" si="1"/>
        <v>6.2484142763999317</v>
      </c>
      <c r="N6" s="70">
        <f t="shared" ca="1" si="2"/>
        <v>5.6260536255015463</v>
      </c>
      <c r="O6" s="70">
        <f t="shared" ca="1" si="3"/>
        <v>5.7652987463640386</v>
      </c>
      <c r="P6" s="70">
        <f t="shared" ca="1" si="4"/>
        <v>0.840187408136013</v>
      </c>
      <c r="Q6" s="70" t="str">
        <f t="shared" ca="1" si="5"/>
        <v xml:space="preserve"> </v>
      </c>
      <c r="R6" s="70" t="str">
        <f t="shared" ca="1" si="6"/>
        <v xml:space="preserve"> </v>
      </c>
      <c r="S6" s="70">
        <f t="shared" ca="1" si="7"/>
        <v>6.1750373000566983</v>
      </c>
      <c r="T6" s="70">
        <f t="shared" ca="1" si="8"/>
        <v>0.80179122045200057</v>
      </c>
      <c r="U6" s="70">
        <f t="shared" ca="1" si="9"/>
        <v>0.84018740813601289</v>
      </c>
      <c r="V6" s="70">
        <f t="shared" ca="1" si="10"/>
        <v>0.82756492044829799</v>
      </c>
    </row>
    <row r="7" spans="1:22" x14ac:dyDescent="0.3">
      <c r="A7" s="319" t="str">
        <f>'CWD NTS 2024 (Final)'!A251</f>
        <v>TEN6</v>
      </c>
      <c r="B7" s="322" t="str">
        <f>'CWD NTS 2024 (Final)'!B251</f>
        <v>PR-RPBC</v>
      </c>
      <c r="C7" s="323">
        <f>'CWD NTS 2024 (sem desconto)'!H29</f>
        <v>0</v>
      </c>
      <c r="D7" s="324" t="str">
        <f>'CWD NTS 2024 (Final)'!E251</f>
        <v xml:space="preserve"> </v>
      </c>
      <c r="E7" s="323" t="str">
        <f t="shared" si="0"/>
        <v xml:space="preserve"> </v>
      </c>
      <c r="F7" s="355"/>
      <c r="G7" s="355"/>
      <c r="L7" s="135" t="str">
        <f t="shared" si="11"/>
        <v>PE-TECAB (INTERCONEXÃO)</v>
      </c>
      <c r="M7" s="70">
        <f t="shared" ca="1" si="1"/>
        <v>6.2092613784245705</v>
      </c>
      <c r="N7" s="70">
        <f t="shared" ca="1" si="2"/>
        <v>5.5869007275261851</v>
      </c>
      <c r="O7" s="70">
        <f t="shared" ca="1" si="3"/>
        <v>5.7261458483886774</v>
      </c>
      <c r="P7" s="70">
        <f t="shared" ca="1" si="4"/>
        <v>0.80103451016065241</v>
      </c>
      <c r="Q7" s="70" t="str">
        <f t="shared" ca="1" si="5"/>
        <v xml:space="preserve"> </v>
      </c>
      <c r="R7" s="70" t="str">
        <f t="shared" ca="1" si="6"/>
        <v xml:space="preserve"> </v>
      </c>
      <c r="S7" s="70">
        <f t="shared" ca="1" si="7"/>
        <v>6.135884402081337</v>
      </c>
      <c r="T7" s="70">
        <f t="shared" ca="1" si="8"/>
        <v>0.76263832247663998</v>
      </c>
      <c r="U7" s="70">
        <f t="shared" ca="1" si="9"/>
        <v>0.80103451016065219</v>
      </c>
      <c r="V7" s="70">
        <f t="shared" ca="1" si="10"/>
        <v>0.7884120224729374</v>
      </c>
    </row>
    <row r="8" spans="1:22" x14ac:dyDescent="0.3">
      <c r="A8" s="319" t="str">
        <f>'CWD NTS 2024 (Final)'!A252</f>
        <v>TEN7</v>
      </c>
      <c r="B8" s="322" t="str">
        <f>'CWD NTS 2024 (Final)'!B252</f>
        <v>PR-TECAB</v>
      </c>
      <c r="C8" s="323">
        <f>'CWD NTS 2024 (sem desconto)'!H30</f>
        <v>135760347.91602501</v>
      </c>
      <c r="D8" s="324">
        <f ca="1">'CWD NTS 2024 (Final)'!E252</f>
        <v>5.8855170178101464</v>
      </c>
      <c r="E8" s="323">
        <f t="shared" ca="1" si="0"/>
        <v>799019838.00359142</v>
      </c>
      <c r="F8" s="355"/>
      <c r="G8" s="355"/>
      <c r="L8" s="64"/>
    </row>
    <row r="9" spans="1:22" x14ac:dyDescent="0.3">
      <c r="A9" s="319" t="str">
        <f>'CWD NTS 2024 (Final)'!A253</f>
        <v>TEN8</v>
      </c>
      <c r="B9" s="322" t="str">
        <f>'CWD NTS 2024 (Final)'!B253</f>
        <v>PR-GUARAREMA (INTERCONEXÃO)</v>
      </c>
      <c r="C9" s="323">
        <f>'CWD NTS 2024 (sem desconto)'!H31</f>
        <v>54834203.130000003</v>
      </c>
      <c r="D9" s="324">
        <f ca="1">'CWD NTS 2024 (Final)'!E253</f>
        <v>0.51227093820544889</v>
      </c>
      <c r="E9" s="323">
        <f t="shared" ca="1" si="0"/>
        <v>28089968.683153264</v>
      </c>
      <c r="F9" s="355"/>
      <c r="G9" s="355"/>
      <c r="L9" s="64"/>
    </row>
    <row r="10" spans="1:22" x14ac:dyDescent="0.3">
      <c r="A10" s="319" t="str">
        <f>'CWD NTS 2024 (Final)'!A254</f>
        <v>TEN9</v>
      </c>
      <c r="B10" s="322" t="str">
        <f>'CWD NTS 2024 (Final)'!B254</f>
        <v>PR-REPLAN (INTERCONEXÃO)</v>
      </c>
      <c r="C10" s="323">
        <f>'CWD NTS 2024 (sem desconto)'!H32</f>
        <v>1827806.7709999999</v>
      </c>
      <c r="D10" s="324">
        <f ca="1">'CWD NTS 2024 (Final)'!E254</f>
        <v>0.55066712588946121</v>
      </c>
      <c r="E10" s="323">
        <f t="shared" ca="1" si="0"/>
        <v>1006513.1012678666</v>
      </c>
      <c r="F10" s="355"/>
      <c r="G10" s="355"/>
      <c r="L10" s="64"/>
    </row>
    <row r="11" spans="1:22" x14ac:dyDescent="0.3">
      <c r="A11" s="319" t="str">
        <f>'CWD NTS 2024 (Final)'!A255</f>
        <v>TEN10</v>
      </c>
      <c r="B11" s="322" t="str">
        <f>'CWD NTS 2024 (Final)'!B255</f>
        <v>PR-TECAB (INTERCONEXÃO)</v>
      </c>
      <c r="C11" s="323">
        <f>'CWD NTS 2024 (sem desconto)'!H33</f>
        <v>1827806.7709999999</v>
      </c>
      <c r="D11" s="324">
        <f ca="1">'CWD NTS 2024 (Final)'!E255</f>
        <v>0.53804463820174631</v>
      </c>
      <c r="E11" s="323">
        <f t="shared" ca="1" si="0"/>
        <v>983441.63280539715</v>
      </c>
      <c r="F11" s="355"/>
      <c r="G11" s="355"/>
      <c r="L11" s="64"/>
    </row>
    <row r="12" spans="1:22" x14ac:dyDescent="0.3">
      <c r="E12" s="68">
        <f ca="1">SUM(E2:E11)</f>
        <v>3228877165.0271597</v>
      </c>
      <c r="L12" s="64"/>
    </row>
    <row r="13" spans="1:22" x14ac:dyDescent="0.3">
      <c r="F13" s="63"/>
      <c r="L13" s="62"/>
    </row>
    <row r="14" spans="1:22" ht="24" x14ac:dyDescent="0.3">
      <c r="A14" s="321" t="s">
        <v>131</v>
      </c>
      <c r="B14" s="321" t="s">
        <v>140</v>
      </c>
      <c r="C14" s="321" t="s">
        <v>262</v>
      </c>
      <c r="D14" s="321" t="s">
        <v>264</v>
      </c>
      <c r="E14" s="321" t="s">
        <v>263</v>
      </c>
      <c r="F14" s="321" t="s">
        <v>265</v>
      </c>
      <c r="G14" s="321" t="s">
        <v>266</v>
      </c>
      <c r="H14" s="321" t="s">
        <v>510</v>
      </c>
      <c r="L14" s="62"/>
    </row>
    <row r="15" spans="1:22" x14ac:dyDescent="0.3">
      <c r="A15" s="323" t="str">
        <f>'CWD NTS 2024 (Final)'!H246</f>
        <v>TEX1</v>
      </c>
      <c r="B15" s="323" t="str">
        <f>'CWD NTS 2024 (Final)'!I246</f>
        <v>NTS MG 1</v>
      </c>
      <c r="C15" s="323">
        <f>'CWD NTS 2024 (sem desconto)'!H41</f>
        <v>5547393.5499849999</v>
      </c>
      <c r="D15" s="323"/>
      <c r="E15" s="326">
        <f ca="1">'CWD NTS 2024 (Final)'!L246</f>
        <v>3.0685172586406502</v>
      </c>
      <c r="F15" s="332">
        <f ca="1">IFERROR(C15*E15," ")</f>
        <v>17022272.848600797</v>
      </c>
      <c r="G15" s="335"/>
      <c r="H15" s="341" t="str">
        <f>IFERROR(G15/D15," ")</f>
        <v xml:space="preserve"> </v>
      </c>
      <c r="I15" s="69"/>
      <c r="J15" s="69"/>
      <c r="L15" s="62"/>
    </row>
    <row r="16" spans="1:22" x14ac:dyDescent="0.3">
      <c r="A16" s="323" t="str">
        <f>'CWD NTS 2024 (Final)'!H247</f>
        <v>TEX2</v>
      </c>
      <c r="B16" s="323" t="str">
        <f>'CWD NTS 2024 (Final)'!I247</f>
        <v>NTS MG 2</v>
      </c>
      <c r="C16" s="323">
        <f>'CWD NTS 2024 (sem desconto)'!H42</f>
        <v>15335298.80869</v>
      </c>
      <c r="D16" s="323"/>
      <c r="E16" s="326">
        <f ca="1">'CWD NTS 2024 (Final)'!L247</f>
        <v>3.272300386290798</v>
      </c>
      <c r="F16" s="332">
        <f t="shared" ref="F16:F30" ca="1" si="12">IFERROR(C16*E16," ")</f>
        <v>50181704.215561099</v>
      </c>
      <c r="G16" s="344"/>
      <c r="H16" s="342" t="str">
        <f t="shared" ref="H16:H30" si="13">IFERROR(G16/D16," ")</f>
        <v xml:space="preserve"> </v>
      </c>
      <c r="I16" s="69"/>
      <c r="J16" s="69"/>
      <c r="L16" s="62"/>
    </row>
    <row r="17" spans="1:12" x14ac:dyDescent="0.3">
      <c r="A17" s="323" t="str">
        <f>'CWD NTS 2024 (Final)'!H248</f>
        <v>TEX3</v>
      </c>
      <c r="B17" s="323" t="str">
        <f>'CWD NTS 2024 (Final)'!I248</f>
        <v>NTS MG 3</v>
      </c>
      <c r="C17" s="323">
        <f>'CWD NTS 2024 (sem desconto)'!H43</f>
        <v>25013535.661134996</v>
      </c>
      <c r="D17" s="323"/>
      <c r="E17" s="326">
        <f ca="1">'CWD NTS 2024 (Final)'!L248</f>
        <v>3.5180322510530049</v>
      </c>
      <c r="F17" s="332">
        <f ca="1">IFERROR(C17*E17," ")</f>
        <v>87998425.168737367</v>
      </c>
      <c r="G17" s="337"/>
      <c r="H17" s="343" t="str">
        <f t="shared" si="13"/>
        <v xml:space="preserve"> </v>
      </c>
      <c r="I17" s="69"/>
      <c r="J17" s="69"/>
      <c r="L17" s="62"/>
    </row>
    <row r="18" spans="1:12" x14ac:dyDescent="0.3">
      <c r="A18" s="328" t="str">
        <f>'CWD NTS 2024 (Final)'!H249</f>
        <v>TEX4</v>
      </c>
      <c r="B18" s="328" t="str">
        <f>'CWD NTS 2024 (Final)'!I249</f>
        <v>NTS MG 4</v>
      </c>
      <c r="C18" s="328">
        <f>'CWD NTS 2024 (sem desconto)'!H44</f>
        <v>3061576.3414250002</v>
      </c>
      <c r="D18" s="328">
        <f>SUM(C15:C18)</f>
        <v>48957804.361234993</v>
      </c>
      <c r="E18" s="329">
        <f ca="1">'CWD NTS 2024 (Final)'!L249</f>
        <v>3.6003392707066872</v>
      </c>
      <c r="F18" s="328">
        <f ca="1">IFERROR(C18*E18," ")</f>
        <v>11022713.532298934</v>
      </c>
      <c r="G18" s="340">
        <f ca="1">SUM(F15:F18)</f>
        <v>166225115.76519817</v>
      </c>
      <c r="H18" s="338">
        <f t="shared" ca="1" si="13"/>
        <v>3.3952730914709068</v>
      </c>
      <c r="I18" s="239"/>
      <c r="J18" s="239"/>
      <c r="L18" s="62"/>
    </row>
    <row r="19" spans="1:12" x14ac:dyDescent="0.3">
      <c r="A19" s="323" t="str">
        <f>'CWD NTS 2024 (Final)'!H250</f>
        <v>TEX5</v>
      </c>
      <c r="B19" s="323" t="str">
        <f>'CWD NTS 2024 (Final)'!I250</f>
        <v>NTS RJ 1</v>
      </c>
      <c r="C19" s="323">
        <f>'CWD NTS 2024 (sem desconto)'!H45</f>
        <v>162610829.38201499</v>
      </c>
      <c r="D19" s="323"/>
      <c r="E19" s="326">
        <f ca="1">'CWD NTS 2024 (Final)'!L250</f>
        <v>2.6919455463099879</v>
      </c>
      <c r="F19" s="332">
        <f t="shared" ca="1" si="12"/>
        <v>437739497.9366886</v>
      </c>
      <c r="G19" s="335"/>
      <c r="H19" s="341" t="str">
        <f t="shared" si="13"/>
        <v xml:space="preserve"> </v>
      </c>
      <c r="I19"/>
      <c r="J19"/>
      <c r="L19" s="62"/>
    </row>
    <row r="20" spans="1:12" x14ac:dyDescent="0.3">
      <c r="A20" s="323" t="str">
        <f>'CWD NTS 2024 (Final)'!H251</f>
        <v>TEX6</v>
      </c>
      <c r="B20" s="323" t="str">
        <f>'CWD NTS 2024 (Final)'!I251</f>
        <v>NTS RJ 2</v>
      </c>
      <c r="C20" s="323">
        <f>'CWD NTS 2024 (sem desconto)'!H46</f>
        <v>76822718.585130006</v>
      </c>
      <c r="D20" s="323"/>
      <c r="E20" s="326">
        <f ca="1">'CWD NTS 2024 (Final)'!L251</f>
        <v>2.690279073525788</v>
      </c>
      <c r="F20" s="332">
        <f t="shared" ca="1" si="12"/>
        <v>206674552.18093589</v>
      </c>
      <c r="G20" s="336"/>
      <c r="H20" s="342" t="str">
        <f t="shared" si="13"/>
        <v xml:space="preserve"> </v>
      </c>
      <c r="I20"/>
      <c r="J20"/>
      <c r="L20" s="62"/>
    </row>
    <row r="21" spans="1:12" x14ac:dyDescent="0.3">
      <c r="A21" s="323" t="str">
        <f>'CWD NTS 2024 (Final)'!H252</f>
        <v>TEX7</v>
      </c>
      <c r="B21" s="323" t="str">
        <f>'CWD NTS 2024 (Final)'!I252</f>
        <v>NTS RJ 3</v>
      </c>
      <c r="C21" s="323">
        <f>'CWD NTS 2024 (sem desconto)'!H47</f>
        <v>15664304.02747</v>
      </c>
      <c r="D21" s="331"/>
      <c r="E21" s="326">
        <f ca="1">'CWD NTS 2024 (Final)'!L252</f>
        <v>2.7440837854378581</v>
      </c>
      <c r="F21" s="332">
        <f t="shared" ca="1" si="12"/>
        <v>42984162.691949368</v>
      </c>
      <c r="G21" s="339"/>
      <c r="H21" s="342" t="str">
        <f t="shared" si="13"/>
        <v xml:space="preserve"> </v>
      </c>
      <c r="I21"/>
      <c r="J21"/>
      <c r="L21" s="62"/>
    </row>
    <row r="22" spans="1:12" x14ac:dyDescent="0.3">
      <c r="A22" s="323" t="str">
        <f>'CWD NTS 2024 (Final)'!H253</f>
        <v>TEX8</v>
      </c>
      <c r="B22" s="323" t="str">
        <f>'CWD NTS 2024 (Final)'!I253</f>
        <v>NTS RJ 4</v>
      </c>
      <c r="C22" s="323">
        <f>'CWD NTS 2024 (sem desconto)'!H48</f>
        <v>2951907.9351649997</v>
      </c>
      <c r="D22" s="323"/>
      <c r="E22" s="326">
        <f ca="1">'CWD NTS 2024 (Final)'!L253</f>
        <v>2.8137698727392562</v>
      </c>
      <c r="F22" s="332">
        <f t="shared" ca="1" si="12"/>
        <v>8305989.6150672212</v>
      </c>
      <c r="G22" s="337"/>
      <c r="H22" s="343" t="str">
        <f t="shared" si="13"/>
        <v xml:space="preserve"> </v>
      </c>
      <c r="I22"/>
      <c r="J22"/>
      <c r="L22" s="62"/>
    </row>
    <row r="23" spans="1:12" x14ac:dyDescent="0.3">
      <c r="A23" s="328" t="str">
        <f>'CWD NTS 2024 (Final)'!H254</f>
        <v>TEX9</v>
      </c>
      <c r="B23" s="328" t="str">
        <f>'CWD NTS 2024 (Final)'!I254</f>
        <v>NTS RJ 5</v>
      </c>
      <c r="C23" s="328">
        <f>'CWD NTS 2024 (sem desconto)'!H49</f>
        <v>19447864.043439995</v>
      </c>
      <c r="D23" s="328">
        <f>SUM(C19:C23)</f>
        <v>277497623.97321999</v>
      </c>
      <c r="E23" s="329">
        <f ca="1">'CWD NTS 2024 (Final)'!L254</f>
        <v>2.6966316678483544</v>
      </c>
      <c r="F23" s="328">
        <f t="shared" ca="1" si="12"/>
        <v>52443726.051549636</v>
      </c>
      <c r="G23" s="340">
        <f ca="1">SUM(F19:F23)</f>
        <v>748147928.47619081</v>
      </c>
      <c r="H23" s="338">
        <f t="shared" ca="1" si="13"/>
        <v>2.6960516553770244</v>
      </c>
      <c r="I23" s="239"/>
      <c r="J23" s="239"/>
    </row>
    <row r="24" spans="1:12" x14ac:dyDescent="0.3">
      <c r="A24" s="323" t="str">
        <f>'CWD NTS 2024 (Final)'!H255</f>
        <v>TEX10</v>
      </c>
      <c r="B24" s="323" t="str">
        <f>'CWD NTS 2024 (Final)'!I255</f>
        <v>NTS SP 1</v>
      </c>
      <c r="C24" s="323">
        <f>'CWD NTS 2024 (sem desconto)'!H50</f>
        <v>11304984.878634999</v>
      </c>
      <c r="D24" s="323"/>
      <c r="E24" s="326">
        <f ca="1">'CWD NTS 2024 (Final)'!L255</f>
        <v>3.0200030255165262</v>
      </c>
      <c r="F24" s="332">
        <f t="shared" ca="1" si="12"/>
        <v>34141088.536896273</v>
      </c>
      <c r="G24" s="335"/>
      <c r="H24" s="341" t="str">
        <f t="shared" si="13"/>
        <v xml:space="preserve"> </v>
      </c>
      <c r="I24"/>
      <c r="J24"/>
    </row>
    <row r="25" spans="1:12" x14ac:dyDescent="0.3">
      <c r="A25" s="323" t="str">
        <f>'CWD NTS 2024 (Final)'!H256</f>
        <v>TEX11</v>
      </c>
      <c r="B25" s="323" t="str">
        <f>'CWD NTS 2024 (Final)'!I256</f>
        <v>NTS SP 2</v>
      </c>
      <c r="C25" s="323">
        <f>'CWD NTS 2024 (sem desconto)'!H51</f>
        <v>27161208.617059998</v>
      </c>
      <c r="D25" s="323"/>
      <c r="E25" s="326">
        <f ca="1">'CWD NTS 2024 (Final)'!L256</f>
        <v>2.9996291021968666</v>
      </c>
      <c r="F25" s="332">
        <f t="shared" ca="1" si="12"/>
        <v>81473551.818573475</v>
      </c>
      <c r="G25" s="336"/>
      <c r="H25" s="342" t="str">
        <f t="shared" si="13"/>
        <v xml:space="preserve"> </v>
      </c>
      <c r="I25"/>
      <c r="J25"/>
    </row>
    <row r="26" spans="1:12" x14ac:dyDescent="0.3">
      <c r="A26" s="323" t="str">
        <f>'CWD NTS 2024 (Final)'!H257</f>
        <v>TEX12</v>
      </c>
      <c r="B26" s="323" t="str">
        <f>'CWD NTS 2024 (Final)'!I257</f>
        <v>NTS SP 3</v>
      </c>
      <c r="C26" s="323">
        <f>'CWD NTS 2024 (sem desconto)'!H52</f>
        <v>72828960.790494993</v>
      </c>
      <c r="D26" s="331"/>
      <c r="E26" s="326">
        <f ca="1">'CWD NTS 2024 (Final)'!L257</f>
        <v>3.234759225931354</v>
      </c>
      <c r="F26" s="332">
        <f t="shared" ca="1" si="12"/>
        <v>235584152.83204651</v>
      </c>
      <c r="G26" s="345"/>
      <c r="H26" s="343" t="str">
        <f t="shared" si="13"/>
        <v xml:space="preserve"> </v>
      </c>
      <c r="I26"/>
      <c r="J26"/>
    </row>
    <row r="27" spans="1:12" x14ac:dyDescent="0.3">
      <c r="A27" s="328" t="str">
        <f>'CWD NTS 2024 (Final)'!H258</f>
        <v>TEX13</v>
      </c>
      <c r="B27" s="328" t="str">
        <f>'CWD NTS 2024 (Final)'!I258</f>
        <v>NTS SP 4</v>
      </c>
      <c r="C27" s="328">
        <f>'CWD NTS 2024 (sem desconto)'!H53</f>
        <v>29985170.078254998</v>
      </c>
      <c r="D27" s="328">
        <f>SUM(C24:C27)</f>
        <v>141280324.36444497</v>
      </c>
      <c r="E27" s="329">
        <f ca="1">'CWD NTS 2024 (Final)'!L258</f>
        <v>3.3091152556043784</v>
      </c>
      <c r="F27" s="328">
        <f t="shared" ca="1" si="12"/>
        <v>99224383.747845545</v>
      </c>
      <c r="G27" s="333">
        <f ca="1">SUM(F24:F27)</f>
        <v>450423176.9353618</v>
      </c>
      <c r="H27" s="334">
        <f t="shared" ca="1" si="13"/>
        <v>3.1881521999726994</v>
      </c>
      <c r="I27" s="239"/>
      <c r="J27" s="239"/>
    </row>
    <row r="28" spans="1:12" x14ac:dyDescent="0.3">
      <c r="A28" s="323" t="str">
        <f>'CWD NTS 2024 (Final)'!H259</f>
        <v>TEX14</v>
      </c>
      <c r="B28" s="323" t="str">
        <f>'CWD NTS 2024 (Final)'!I259</f>
        <v>PE-GUARAREMA (INTERCONEXÃO)</v>
      </c>
      <c r="C28" s="323">
        <f>'CWD NTS 2024 (sem desconto)'!H54</f>
        <v>0</v>
      </c>
      <c r="D28" s="323">
        <f>C28</f>
        <v>0</v>
      </c>
      <c r="E28" s="326">
        <f>'CWD NTS 2024 (Final)'!L259</f>
        <v>0</v>
      </c>
      <c r="F28" s="323">
        <f t="shared" si="12"/>
        <v>0</v>
      </c>
      <c r="G28" s="323">
        <f>F28</f>
        <v>0</v>
      </c>
      <c r="H28" s="327" t="str">
        <f t="shared" si="13"/>
        <v xml:space="preserve"> </v>
      </c>
      <c r="I28"/>
      <c r="J28"/>
    </row>
    <row r="29" spans="1:12" x14ac:dyDescent="0.3">
      <c r="A29" s="328" t="str">
        <f>'CWD NTS 2024 (Final)'!H260</f>
        <v>TEX15</v>
      </c>
      <c r="B29" s="328" t="str">
        <f>'CWD NTS 2024 (Final)'!I260</f>
        <v>PE-REPLAN (INTERCONEXÃO)</v>
      </c>
      <c r="C29" s="328">
        <f>'CWD NTS 2024 (sem desconto)'!H55</f>
        <v>64073766.357404992</v>
      </c>
      <c r="D29" s="328">
        <f t="shared" ref="D29:D30" si="14">C29</f>
        <v>64073766.357404992</v>
      </c>
      <c r="E29" s="329">
        <f ca="1">'CWD NTS 2024 (Final)'!L260</f>
        <v>0.28952028224655169</v>
      </c>
      <c r="F29" s="328">
        <f t="shared" ca="1" si="12"/>
        <v>18550654.920395501</v>
      </c>
      <c r="G29" s="328">
        <f t="shared" ref="G29:G30" ca="1" si="15">F29</f>
        <v>18550654.920395501</v>
      </c>
      <c r="H29" s="330">
        <f t="shared" ca="1" si="13"/>
        <v>0.28952028224655169</v>
      </c>
      <c r="I29" s="239"/>
      <c r="J29" s="239"/>
    </row>
    <row r="30" spans="1:12" x14ac:dyDescent="0.3">
      <c r="A30" s="323" t="str">
        <f>'CWD NTS 2024 (Final)'!H261</f>
        <v>TEX16</v>
      </c>
      <c r="B30" s="323" t="str">
        <f>'CWD NTS 2024 (Final)'!I261</f>
        <v>PE-TECAB (INTERCONEXÃO)</v>
      </c>
      <c r="C30" s="323">
        <f>'CWD NTS 2024 (sem desconto)'!H56</f>
        <v>1827806.7709999999</v>
      </c>
      <c r="D30" s="323">
        <f t="shared" si="14"/>
        <v>1827806.7709999999</v>
      </c>
      <c r="E30" s="326">
        <f ca="1">'CWD NTS 2024 (Final)'!L261</f>
        <v>0.25036738427119104</v>
      </c>
      <c r="F30" s="323">
        <f t="shared" ca="1" si="12"/>
        <v>457623.20020844188</v>
      </c>
      <c r="G30" s="323">
        <f t="shared" ca="1" si="15"/>
        <v>457623.20020844188</v>
      </c>
      <c r="H30" s="327">
        <f t="shared" ca="1" si="13"/>
        <v>0.25036738427119104</v>
      </c>
      <c r="I30" s="239"/>
      <c r="J30" s="239"/>
    </row>
    <row r="31" spans="1:12" x14ac:dyDescent="0.3">
      <c r="C31" s="68">
        <f>SUM(C15:C30)</f>
        <v>533637325.82730496</v>
      </c>
      <c r="D31" s="68">
        <f>SUM(D15:D30)</f>
        <v>533637325.82730502</v>
      </c>
      <c r="F31" s="68">
        <f ca="1">SUM(F15:F30)</f>
        <v>1383804499.2973547</v>
      </c>
      <c r="G31" s="68">
        <f ca="1">SUM(G15:G30)</f>
        <v>1383804499.2973549</v>
      </c>
    </row>
    <row r="32" spans="1:12" x14ac:dyDescent="0.3">
      <c r="C32" s="68"/>
      <c r="D32" s="68"/>
      <c r="F32" s="68"/>
      <c r="G32" s="68"/>
    </row>
    <row r="33" spans="2:3" x14ac:dyDescent="0.3">
      <c r="C33" s="66" t="s">
        <v>267</v>
      </c>
    </row>
    <row r="34" spans="2:3" x14ac:dyDescent="0.3">
      <c r="B34" s="71" t="s">
        <v>58</v>
      </c>
      <c r="C34" s="69">
        <f ca="1">H18</f>
        <v>3.3952730914709068</v>
      </c>
    </row>
    <row r="35" spans="2:3" x14ac:dyDescent="0.3">
      <c r="B35" s="71" t="s">
        <v>69</v>
      </c>
      <c r="C35" s="69">
        <f ca="1">H23</f>
        <v>2.6960516553770244</v>
      </c>
    </row>
    <row r="36" spans="2:3" x14ac:dyDescent="0.3">
      <c r="B36" s="71" t="s">
        <v>268</v>
      </c>
      <c r="C36" s="69">
        <f ca="1">H27</f>
        <v>3.1881521999726994</v>
      </c>
    </row>
    <row r="37" spans="2:3" x14ac:dyDescent="0.3">
      <c r="B37" s="135" t="s">
        <v>279</v>
      </c>
      <c r="C37" s="69" t="str">
        <f>H28</f>
        <v xml:space="preserve"> </v>
      </c>
    </row>
    <row r="38" spans="2:3" x14ac:dyDescent="0.3">
      <c r="B38" s="135" t="s">
        <v>278</v>
      </c>
      <c r="C38" s="69">
        <f t="shared" ref="C38:C39" ca="1" si="16">H29</f>
        <v>0.28952028224655169</v>
      </c>
    </row>
    <row r="39" spans="2:3" x14ac:dyDescent="0.3">
      <c r="B39" s="135" t="s">
        <v>277</v>
      </c>
      <c r="C39" s="69">
        <f t="shared" ca="1" si="16"/>
        <v>0.25036738427119104</v>
      </c>
    </row>
  </sheetData>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1">
    <tabColor theme="9" tint="0.79998168889431442"/>
  </sheetPr>
  <dimension ref="A2:AA302"/>
  <sheetViews>
    <sheetView showGridLines="0" zoomScale="70" zoomScaleNormal="70" workbookViewId="0">
      <selection activeCell="D4" sqref="D4"/>
    </sheetView>
  </sheetViews>
  <sheetFormatPr defaultColWidth="8.77734375" defaultRowHeight="14.4" x14ac:dyDescent="0.3"/>
  <cols>
    <col min="2" max="2" width="33" customWidth="1"/>
    <col min="3" max="3" width="20.5546875" bestFit="1" customWidth="1"/>
    <col min="4" max="4" width="26" bestFit="1" customWidth="1"/>
    <col min="5" max="5" width="25.21875" bestFit="1" customWidth="1"/>
    <col min="6" max="6" width="21.77734375" bestFit="1" customWidth="1"/>
    <col min="7" max="7" width="23.21875" customWidth="1"/>
    <col min="8" max="8" width="16.77734375" bestFit="1" customWidth="1"/>
    <col min="9" max="9" width="35.44140625" bestFit="1" customWidth="1"/>
    <col min="10" max="10" width="22" bestFit="1" customWidth="1"/>
    <col min="11" max="11" width="21.5546875" bestFit="1" customWidth="1"/>
    <col min="12" max="12" width="18.77734375" bestFit="1" customWidth="1"/>
    <col min="13" max="13" width="10.44140625" customWidth="1"/>
    <col min="14" max="14" width="10" customWidth="1"/>
    <col min="15" max="15" width="33.21875" bestFit="1" customWidth="1"/>
    <col min="16" max="16" width="13.77734375" bestFit="1" customWidth="1"/>
    <col min="17" max="17" width="8.77734375" customWidth="1"/>
    <col min="18" max="18" width="12.21875" bestFit="1" customWidth="1"/>
    <col min="19" max="19" width="23.44140625" bestFit="1" customWidth="1"/>
    <col min="20" max="20" width="27.44140625" bestFit="1" customWidth="1"/>
    <col min="21" max="27" width="9.21875" bestFit="1" customWidth="1"/>
  </cols>
  <sheetData>
    <row r="2" spans="1:9" x14ac:dyDescent="0.3">
      <c r="B2" s="93" t="s">
        <v>108</v>
      </c>
      <c r="G2" s="94" t="s">
        <v>109</v>
      </c>
    </row>
    <row r="3" spans="1:9" ht="15" thickBot="1" x14ac:dyDescent="0.35">
      <c r="G3" s="209">
        <v>2025</v>
      </c>
    </row>
    <row r="4" spans="1:9" ht="16.2" thickBot="1" x14ac:dyDescent="0.35">
      <c r="A4" s="224"/>
      <c r="B4" s="225" t="s">
        <v>110</v>
      </c>
      <c r="C4" s="226" t="s">
        <v>280</v>
      </c>
      <c r="D4" s="227">
        <f>Premissas!E40/1000</f>
        <v>6847.2934144714663</v>
      </c>
      <c r="E4" s="228" t="s">
        <v>111</v>
      </c>
      <c r="F4" s="224"/>
      <c r="G4" s="224"/>
      <c r="H4" s="239"/>
      <c r="I4" s="239"/>
    </row>
    <row r="5" spans="1:9" ht="15.6" x14ac:dyDescent="0.3">
      <c r="A5" s="210">
        <f>HLOOKUP($G$3,Premissas!$B$5:$F$13,9,FALSE)</f>
        <v>0.7</v>
      </c>
      <c r="B5" s="211" t="s">
        <v>112</v>
      </c>
      <c r="C5" s="212" t="s">
        <v>281</v>
      </c>
      <c r="D5" s="213">
        <f>$A$5*$D$4</f>
        <v>4793.1053901300265</v>
      </c>
      <c r="E5" s="214" t="s">
        <v>113</v>
      </c>
      <c r="F5" s="215"/>
      <c r="G5" s="215"/>
      <c r="H5" s="239"/>
    </row>
    <row r="6" spans="1:9" ht="28.8" x14ac:dyDescent="0.3">
      <c r="A6" s="95"/>
      <c r="B6" s="216" t="s">
        <v>114</v>
      </c>
      <c r="C6" s="217" t="s">
        <v>282</v>
      </c>
      <c r="D6" s="218">
        <f>$D$34*Premissas!$F$20</f>
        <v>25100320</v>
      </c>
      <c r="E6" s="216" t="s">
        <v>115</v>
      </c>
      <c r="F6" s="234">
        <f>H34</f>
        <v>936296629.59728003</v>
      </c>
      <c r="G6" s="85" t="s">
        <v>116</v>
      </c>
    </row>
    <row r="7" spans="1:9" ht="16.8" thickBot="1" x14ac:dyDescent="0.35">
      <c r="A7" s="219"/>
      <c r="B7" s="220" t="s">
        <v>117</v>
      </c>
      <c r="C7" s="221" t="s">
        <v>283</v>
      </c>
      <c r="D7" s="222">
        <f>$D$5/$D$6*1000</f>
        <v>0.19095793958523344</v>
      </c>
      <c r="E7" s="223" t="s">
        <v>118</v>
      </c>
      <c r="F7" s="236">
        <f>$D$5/$F$6*1000000</f>
        <v>5.1192167509901614</v>
      </c>
      <c r="G7" s="232" t="s">
        <v>15</v>
      </c>
      <c r="I7" s="239"/>
    </row>
    <row r="8" spans="1:9" ht="15.6" x14ac:dyDescent="0.3">
      <c r="A8" s="210">
        <f>1-A5</f>
        <v>0.30000000000000004</v>
      </c>
      <c r="B8" s="211" t="s">
        <v>119</v>
      </c>
      <c r="C8" s="212" t="s">
        <v>284</v>
      </c>
      <c r="D8" s="213">
        <f>$A$8*$D$4</f>
        <v>2054.1880243414403</v>
      </c>
      <c r="E8" s="214" t="s">
        <v>113</v>
      </c>
      <c r="F8" s="235"/>
      <c r="G8" s="233"/>
    </row>
    <row r="9" spans="1:9" ht="28.8" x14ac:dyDescent="0.3">
      <c r="B9" s="216" t="s">
        <v>120</v>
      </c>
      <c r="C9" s="217" t="s">
        <v>285</v>
      </c>
      <c r="D9" s="218">
        <f>$D$57*Premissas!$F$20</f>
        <v>21312715</v>
      </c>
      <c r="E9" s="216" t="s">
        <v>115</v>
      </c>
      <c r="F9" s="234">
        <f>H57</f>
        <v>795010709.905985</v>
      </c>
      <c r="G9" s="85" t="s">
        <v>116</v>
      </c>
    </row>
    <row r="10" spans="1:9" ht="16.8" thickBot="1" x14ac:dyDescent="0.35">
      <c r="A10" s="229"/>
      <c r="B10" s="220" t="s">
        <v>121</v>
      </c>
      <c r="C10" s="221" t="s">
        <v>286</v>
      </c>
      <c r="D10" s="222">
        <f>$D$8/$D$9*1000</f>
        <v>9.638321651377782E-2</v>
      </c>
      <c r="E10" s="223" t="s">
        <v>118</v>
      </c>
      <c r="F10" s="236">
        <f>$D$8/$F$9*1000000</f>
        <v>2.583849498812866</v>
      </c>
      <c r="G10" s="232" t="s">
        <v>15</v>
      </c>
    </row>
    <row r="11" spans="1:9" ht="15" thickBot="1" x14ac:dyDescent="0.35">
      <c r="A11" s="224"/>
      <c r="B11" s="224" t="s">
        <v>122</v>
      </c>
      <c r="C11" s="230">
        <f>HLOOKUP($G$3,Premissas!$B$5:$F$8,4,FALSE)</f>
        <v>0.8</v>
      </c>
      <c r="D11" s="224"/>
      <c r="E11" s="224"/>
      <c r="F11" s="231"/>
      <c r="G11" s="224"/>
    </row>
    <row r="13" spans="1:9" s="98" customFormat="1" x14ac:dyDescent="0.3">
      <c r="A13" s="98" t="s">
        <v>123</v>
      </c>
      <c r="B13" s="98" t="s">
        <v>124</v>
      </c>
    </row>
    <row r="14" spans="1:9" x14ac:dyDescent="0.3">
      <c r="I14" s="96"/>
    </row>
    <row r="15" spans="1:9" x14ac:dyDescent="0.3">
      <c r="A15" s="99" t="s">
        <v>125</v>
      </c>
      <c r="B15" s="100" t="s">
        <v>126</v>
      </c>
      <c r="C15" s="101"/>
      <c r="I15" s="96"/>
    </row>
    <row r="16" spans="1:9" ht="15.6" x14ac:dyDescent="0.35">
      <c r="A16" t="s">
        <v>287</v>
      </c>
      <c r="B16" t="s">
        <v>127</v>
      </c>
      <c r="C16" s="47"/>
      <c r="I16" s="96"/>
    </row>
    <row r="17" spans="1:9" ht="15.6" x14ac:dyDescent="0.35">
      <c r="A17" t="s">
        <v>288</v>
      </c>
      <c r="B17" t="s">
        <v>128</v>
      </c>
      <c r="C17" s="47"/>
      <c r="I17" s="96"/>
    </row>
    <row r="18" spans="1:9" ht="15.6" x14ac:dyDescent="0.35">
      <c r="A18" t="s">
        <v>289</v>
      </c>
      <c r="B18" t="s">
        <v>129</v>
      </c>
      <c r="C18" s="47"/>
      <c r="H18">
        <v>37.302179000000002</v>
      </c>
      <c r="I18" s="96"/>
    </row>
    <row r="19" spans="1:9" ht="15.6" x14ac:dyDescent="0.35">
      <c r="A19" t="s">
        <v>290</v>
      </c>
      <c r="B19" t="s">
        <v>130</v>
      </c>
      <c r="C19" s="47"/>
      <c r="H19" s="102">
        <v>3.7302178999999998E-2</v>
      </c>
      <c r="I19" s="96"/>
    </row>
    <row r="20" spans="1:9" x14ac:dyDescent="0.3">
      <c r="C20" s="47"/>
      <c r="H20" s="102"/>
      <c r="I20" s="96"/>
    </row>
    <row r="21" spans="1:9" x14ac:dyDescent="0.3">
      <c r="A21" s="266"/>
      <c r="B21" s="266"/>
      <c r="C21" s="381">
        <f>G3</f>
        <v>2025</v>
      </c>
      <c r="D21" s="382"/>
      <c r="G21" s="380">
        <f>G3</f>
        <v>2025</v>
      </c>
      <c r="H21" s="380"/>
      <c r="I21" s="96"/>
    </row>
    <row r="22" spans="1:9" ht="16.05" customHeight="1" x14ac:dyDescent="0.3">
      <c r="A22" s="267"/>
      <c r="B22" s="267"/>
      <c r="C22" s="383" t="s">
        <v>246</v>
      </c>
      <c r="D22" s="384"/>
      <c r="G22" s="380" t="s">
        <v>247</v>
      </c>
      <c r="H22" s="380"/>
      <c r="I22" s="96"/>
    </row>
    <row r="23" spans="1:9" ht="33.6" x14ac:dyDescent="0.3">
      <c r="A23" s="268" t="s">
        <v>131</v>
      </c>
      <c r="B23" s="268" t="s">
        <v>132</v>
      </c>
      <c r="C23" s="105" t="s">
        <v>291</v>
      </c>
      <c r="D23" s="106" t="s">
        <v>292</v>
      </c>
      <c r="G23" s="105" t="s">
        <v>293</v>
      </c>
      <c r="H23" s="106" t="s">
        <v>294</v>
      </c>
      <c r="I23" s="96"/>
    </row>
    <row r="24" spans="1:9" x14ac:dyDescent="0.3">
      <c r="A24" s="2" t="s">
        <v>248</v>
      </c>
      <c r="B24" s="44" t="str">
        <f>'Oferta x Demanda'!O2</f>
        <v>PR-CARAGUATATUBA</v>
      </c>
      <c r="C24" s="317">
        <f>Oferta!C3</f>
        <v>20000</v>
      </c>
      <c r="D24" s="317">
        <f>'Oferta x Demanda'!C2</f>
        <v>14178</v>
      </c>
      <c r="F24" s="107"/>
      <c r="G24" s="43">
        <f>IFERROR($C24*$H$19*Premissas!$F$20*1000," ")</f>
        <v>272305906.69999999</v>
      </c>
      <c r="H24" s="43">
        <f>IFERROR($D24*$H$19*Premissas!$F$20*1000," ")</f>
        <v>193037657.25962999</v>
      </c>
      <c r="I24" s="96"/>
    </row>
    <row r="25" spans="1:9" x14ac:dyDescent="0.3">
      <c r="A25" s="2" t="s">
        <v>133</v>
      </c>
      <c r="B25" s="44" t="str">
        <f>'Oferta x Demanda'!O3</f>
        <v>PR-GNLBGB</v>
      </c>
      <c r="C25" s="317">
        <f>Oferta!C4</f>
        <v>20000</v>
      </c>
      <c r="D25" s="317">
        <f>'Oferta x Demanda'!C3</f>
        <v>20000</v>
      </c>
      <c r="F25" s="107"/>
      <c r="G25" s="43">
        <f>IFERROR($C25*$H$19*Premissas!$F$20*1000," ")</f>
        <v>272305906.69999999</v>
      </c>
      <c r="H25" s="43">
        <f>IFERROR($D25*$H$19*Premissas!$F$20*1000," ")</f>
        <v>272305906.69999999</v>
      </c>
      <c r="I25" s="96"/>
    </row>
    <row r="26" spans="1:9" x14ac:dyDescent="0.3">
      <c r="A26" s="2" t="s">
        <v>134</v>
      </c>
      <c r="B26" s="44" t="str">
        <f>'Oferta x Demanda'!O4</f>
        <v>PR-ITABORAÍ</v>
      </c>
      <c r="C26" s="317">
        <f>Oferta!C5</f>
        <v>12000</v>
      </c>
      <c r="D26" s="317">
        <f>'Oferta x Demanda'!C4</f>
        <v>13000</v>
      </c>
      <c r="E26" s="46"/>
      <c r="F26" s="107"/>
      <c r="G26" s="43">
        <f>IFERROR($C26*$H$19*Premissas!$F$20*1000," ")</f>
        <v>163383544.02000001</v>
      </c>
      <c r="H26" s="43">
        <f>IFERROR($D26*$H$19*Premissas!$F$20*1000," ")</f>
        <v>176998839.35499999</v>
      </c>
      <c r="I26" s="96"/>
    </row>
    <row r="27" spans="1:9" x14ac:dyDescent="0.3">
      <c r="A27" s="2" t="s">
        <v>135</v>
      </c>
      <c r="B27" s="44" t="str">
        <f>'Oferta x Demanda'!O5</f>
        <v>PR-GASPAJ (INTERCONEXÃO)</v>
      </c>
      <c r="C27" s="317">
        <f>Oferta!C6</f>
        <v>1250</v>
      </c>
      <c r="D27" s="317">
        <f>'Oferta x Demanda'!C5</f>
        <v>335</v>
      </c>
      <c r="E27" s="46"/>
      <c r="F27" s="107"/>
      <c r="G27" s="43">
        <f>IFERROR($C27*$H$19*Premissas!$F$20*1000," ")</f>
        <v>17019119.168749999</v>
      </c>
      <c r="H27" s="43">
        <f>IFERROR($D27*$H$19*Premissas!$F$20*1000," ")</f>
        <v>4561123.937225</v>
      </c>
      <c r="I27" s="96"/>
    </row>
    <row r="28" spans="1:9" x14ac:dyDescent="0.3">
      <c r="A28" s="2" t="s">
        <v>136</v>
      </c>
      <c r="B28" s="44" t="str">
        <f>'Oferta x Demanda'!O6</f>
        <v>PR-REDUC</v>
      </c>
      <c r="C28" s="317">
        <f>Oferta!C7</f>
        <v>5000</v>
      </c>
      <c r="D28" s="317">
        <f>'Oferta x Demanda'!C6</f>
        <v>0</v>
      </c>
      <c r="E28" s="46"/>
      <c r="F28" s="107"/>
      <c r="G28" s="43">
        <f>IFERROR($C28*$H$19*Premissas!$F$20*1000," ")</f>
        <v>68076476.674999997</v>
      </c>
      <c r="H28" s="43">
        <f>IFERROR($D28*$H$19*Premissas!$F$20*1000," ")</f>
        <v>0</v>
      </c>
      <c r="I28" s="96"/>
    </row>
    <row r="29" spans="1:9" x14ac:dyDescent="0.3">
      <c r="A29" s="2" t="s">
        <v>249</v>
      </c>
      <c r="B29" s="44" t="str">
        <f>'Oferta x Demanda'!O7</f>
        <v>PR-RPBC</v>
      </c>
      <c r="C29" s="317">
        <f>Oferta!C8</f>
        <v>2200</v>
      </c>
      <c r="D29" s="317">
        <f>'Oferta x Demanda'!C7</f>
        <v>0</v>
      </c>
      <c r="E29" s="46"/>
      <c r="F29" s="107"/>
      <c r="G29" s="43">
        <f>IFERROR($C29*$H$19*Premissas!$F$20*1000," ")</f>
        <v>29953649.736999996</v>
      </c>
      <c r="H29" s="43">
        <f>IFERROR($D29*$H$19*Premissas!$F$20*1000," ")</f>
        <v>0</v>
      </c>
      <c r="I29" s="96"/>
    </row>
    <row r="30" spans="1:9" x14ac:dyDescent="0.3">
      <c r="A30" s="2" t="s">
        <v>137</v>
      </c>
      <c r="B30" s="44" t="str">
        <f>'Oferta x Demanda'!O8</f>
        <v>PR-TECAB</v>
      </c>
      <c r="C30" s="317">
        <f>Oferta!C9</f>
        <v>25160</v>
      </c>
      <c r="D30" s="317">
        <f>'Oferta x Demanda'!C8</f>
        <v>14855</v>
      </c>
      <c r="E30" s="46"/>
      <c r="F30" s="107"/>
      <c r="G30" s="43">
        <f>IFERROR($C30*$H$19*Premissas!$F$20*1000," ")</f>
        <v>342560830.6286</v>
      </c>
      <c r="H30" s="43">
        <f>IFERROR($D30*$H$19*Premissas!$F$20*1000," ")</f>
        <v>202255212.20142499</v>
      </c>
      <c r="I30" s="96"/>
    </row>
    <row r="31" spans="1:9" x14ac:dyDescent="0.3">
      <c r="A31" s="2" t="s">
        <v>250</v>
      </c>
      <c r="B31" s="44" t="str">
        <f>'Oferta x Demanda'!O9</f>
        <v>PR-GUARAREMA (INTERCONEXÃO)</v>
      </c>
      <c r="C31" s="317">
        <f>Oferta!C10</f>
        <v>0</v>
      </c>
      <c r="D31" s="317">
        <f>'Oferta x Demanda'!C9</f>
        <v>6000</v>
      </c>
      <c r="E31" s="46"/>
      <c r="F31" s="107"/>
      <c r="G31" s="43">
        <f>IFERROR($C31*$H$19*Premissas!$F$20*1000," ")</f>
        <v>0</v>
      </c>
      <c r="H31" s="43">
        <f>IFERROR($D31*$H$19*Premissas!$F$20*1000," ")</f>
        <v>81691772.010000005</v>
      </c>
      <c r="I31" s="96"/>
    </row>
    <row r="32" spans="1:9" x14ac:dyDescent="0.3">
      <c r="A32" s="2" t="s">
        <v>138</v>
      </c>
      <c r="B32" s="44" t="str">
        <f>'Oferta x Demanda'!O10</f>
        <v>PR-REPLAN (INTERCONEXÃO)</v>
      </c>
      <c r="C32" s="317">
        <f>Oferta!C11</f>
        <v>0</v>
      </c>
      <c r="D32" s="317">
        <f>'Oferta x Demanda'!C10</f>
        <v>200</v>
      </c>
      <c r="E32" s="46"/>
      <c r="F32" s="107"/>
      <c r="G32" s="43">
        <f>IFERROR($C32*$H$19*Premissas!$F$20*1000," ")</f>
        <v>0</v>
      </c>
      <c r="H32" s="43">
        <f>IFERROR($D32*$H$19*Premissas!$F$20*1000," ")</f>
        <v>2723059.0670000003</v>
      </c>
      <c r="I32" s="96"/>
    </row>
    <row r="33" spans="1:10" x14ac:dyDescent="0.3">
      <c r="A33" s="2" t="s">
        <v>139</v>
      </c>
      <c r="B33" s="44" t="str">
        <f>'Oferta x Demanda'!O11</f>
        <v>PR-TECAB (INTERCONEXÃO)</v>
      </c>
      <c r="C33" s="317">
        <f>Oferta!C12</f>
        <v>0</v>
      </c>
      <c r="D33" s="317">
        <f>'Oferta x Demanda'!C11</f>
        <v>200</v>
      </c>
      <c r="E33" s="46"/>
      <c r="F33" s="107"/>
      <c r="G33" s="43">
        <f>IFERROR($C33*$H$19*Premissas!$F$20*1000," ")</f>
        <v>0</v>
      </c>
      <c r="H33" s="43">
        <f>IFERROR($D33*$H$19*Premissas!$F$20*1000," ")</f>
        <v>2723059.0670000003</v>
      </c>
      <c r="I33" s="96"/>
    </row>
    <row r="34" spans="1:10" x14ac:dyDescent="0.3">
      <c r="C34" s="108">
        <f>SUM(C24:C33)</f>
        <v>85610</v>
      </c>
      <c r="D34" s="108">
        <f>SUM(D24:D33)</f>
        <v>68768</v>
      </c>
      <c r="E34" s="108"/>
      <c r="F34" s="107"/>
      <c r="G34" s="108">
        <f>SUM(G24:G33)</f>
        <v>1165605433.6293499</v>
      </c>
      <c r="H34" s="108">
        <f>SUM(H24:H33)</f>
        <v>936296629.59728003</v>
      </c>
      <c r="I34" s="96"/>
    </row>
    <row r="35" spans="1:10" x14ac:dyDescent="0.3">
      <c r="C35" s="107">
        <f>Oferta!C13</f>
        <v>85610</v>
      </c>
      <c r="D35" s="107">
        <f>'Oferta x Demanda'!C12</f>
        <v>68768</v>
      </c>
      <c r="E35" s="107"/>
      <c r="F35" s="107"/>
      <c r="G35" s="107">
        <f>Oferta!C13*Premissas!C19*Premissas!C20</f>
        <v>1165605433.6293502</v>
      </c>
      <c r="H35" s="107">
        <f>Oferta!F13*Premissas!F19*Premissas!D20</f>
        <v>936296629.59728003</v>
      </c>
      <c r="I35" s="96"/>
    </row>
    <row r="36" spans="1:10" x14ac:dyDescent="0.3">
      <c r="C36" s="107">
        <f>C34-C35</f>
        <v>0</v>
      </c>
      <c r="D36" s="107">
        <f>D34-D35</f>
        <v>0</v>
      </c>
      <c r="E36" s="107"/>
      <c r="F36" s="107"/>
      <c r="G36" s="107">
        <f>G34-G35</f>
        <v>0</v>
      </c>
      <c r="H36" s="107">
        <f>H34-H35</f>
        <v>0</v>
      </c>
      <c r="I36" s="96"/>
    </row>
    <row r="37" spans="1:10" x14ac:dyDescent="0.3">
      <c r="C37" s="107"/>
      <c r="D37" s="107"/>
      <c r="E37" s="107"/>
      <c r="F37" s="107"/>
      <c r="G37" s="107"/>
      <c r="H37" s="107"/>
      <c r="I37" s="96"/>
    </row>
    <row r="38" spans="1:10" x14ac:dyDescent="0.3">
      <c r="A38" s="266"/>
      <c r="B38" s="266"/>
      <c r="C38" s="380">
        <f>C21</f>
        <v>2025</v>
      </c>
      <c r="D38" s="380"/>
      <c r="G38" s="380">
        <f>G21</f>
        <v>2025</v>
      </c>
      <c r="H38" s="380"/>
      <c r="J38" s="96"/>
    </row>
    <row r="39" spans="1:10" ht="16.05" customHeight="1" x14ac:dyDescent="0.3">
      <c r="A39" s="267"/>
      <c r="B39" s="267"/>
      <c r="C39" s="380" t="s">
        <v>246</v>
      </c>
      <c r="D39" s="380"/>
      <c r="G39" s="380" t="s">
        <v>247</v>
      </c>
      <c r="H39" s="380"/>
      <c r="I39" s="96"/>
    </row>
    <row r="40" spans="1:10" ht="33.6" x14ac:dyDescent="0.3">
      <c r="A40" s="103" t="s">
        <v>131</v>
      </c>
      <c r="B40" s="268" t="s">
        <v>140</v>
      </c>
      <c r="C40" s="105" t="s">
        <v>295</v>
      </c>
      <c r="D40" s="106" t="s">
        <v>296</v>
      </c>
      <c r="G40" s="105" t="s">
        <v>297</v>
      </c>
      <c r="H40" s="106" t="s">
        <v>298</v>
      </c>
      <c r="I40" s="96"/>
    </row>
    <row r="41" spans="1:10" x14ac:dyDescent="0.3">
      <c r="A41" s="2" t="s">
        <v>41</v>
      </c>
      <c r="B41" s="44" t="str">
        <f>'Oferta x Demanda'!A17</f>
        <v>NTS MG 1</v>
      </c>
      <c r="C41" s="317">
        <f>Demanda!C3</f>
        <v>864.5</v>
      </c>
      <c r="D41" s="317">
        <f>'Oferta x Demanda'!C17</f>
        <v>607</v>
      </c>
      <c r="G41" s="43">
        <f>IFERROR($C41*$H$19*Premissas!$F$20*1000," ")</f>
        <v>11770422.817107499</v>
      </c>
      <c r="H41" s="43">
        <f>IFERROR($D41*$H$19*Premissas!$F$20*1000," ")</f>
        <v>8264484.2683449984</v>
      </c>
      <c r="I41" s="96"/>
    </row>
    <row r="42" spans="1:10" x14ac:dyDescent="0.3">
      <c r="A42" s="2" t="s">
        <v>42</v>
      </c>
      <c r="B42" s="44" t="str">
        <f>'Oferta x Demanda'!A18</f>
        <v>NTS MG 2</v>
      </c>
      <c r="C42" s="317">
        <f>Demanda!C4</f>
        <v>1825.9</v>
      </c>
      <c r="D42" s="317">
        <f>'Oferta x Demanda'!C18</f>
        <v>1678</v>
      </c>
      <c r="G42" s="43">
        <f>IFERROR($C42*$H$19*Premissas!$F$20*1000," ")</f>
        <v>24860167.752176501</v>
      </c>
      <c r="H42" s="43">
        <f>IFERROR($D42*$H$19*Premissas!$F$20*1000," ")</f>
        <v>22846465.572130002</v>
      </c>
      <c r="I42" s="96"/>
    </row>
    <row r="43" spans="1:10" x14ac:dyDescent="0.3">
      <c r="A43" s="2" t="s">
        <v>43</v>
      </c>
      <c r="B43" s="44" t="str">
        <f>'Oferta x Demanda'!A19</f>
        <v>NTS MG 3</v>
      </c>
      <c r="C43" s="317">
        <f>Demanda!C5</f>
        <v>3040.95</v>
      </c>
      <c r="D43" s="317">
        <f>'Oferta x Demanda'!C19</f>
        <v>2737</v>
      </c>
      <c r="E43" s="46"/>
      <c r="G43" s="43">
        <f>IFERROR($C43*$H$19*Premissas!$F$20*1000," ")</f>
        <v>41403432.348968253</v>
      </c>
      <c r="H43" s="43">
        <f>IFERROR($D43*$H$19*Premissas!$F$20*1000," ")</f>
        <v>37265063.331895001</v>
      </c>
      <c r="I43" s="96"/>
    </row>
    <row r="44" spans="1:10" x14ac:dyDescent="0.3">
      <c r="A44" s="2" t="s">
        <v>44</v>
      </c>
      <c r="B44" s="44" t="str">
        <f>'Oferta x Demanda'!A20</f>
        <v>NTS MG 4</v>
      </c>
      <c r="C44" s="317">
        <f>Demanda!C6</f>
        <v>1187.5</v>
      </c>
      <c r="D44" s="317">
        <f>'Oferta x Demanda'!C20</f>
        <v>335</v>
      </c>
      <c r="E44" s="46"/>
      <c r="G44" s="43">
        <f>IFERROR($C44*$H$19*Premissas!$F$20*1000," ")</f>
        <v>16168163.210312499</v>
      </c>
      <c r="H44" s="43">
        <f>IFERROR($D44*$H$19*Premissas!$F$20*1000," ")</f>
        <v>4561123.937225</v>
      </c>
      <c r="I44" s="96"/>
    </row>
    <row r="45" spans="1:10" x14ac:dyDescent="0.3">
      <c r="A45" s="2" t="s">
        <v>45</v>
      </c>
      <c r="B45" s="44" t="str">
        <f>'Oferta x Demanda'!A21</f>
        <v>NTS RJ 1</v>
      </c>
      <c r="C45" s="317">
        <f>Demanda!C7</f>
        <v>21185</v>
      </c>
      <c r="D45" s="317">
        <f>'Oferta x Demanda'!C21</f>
        <v>17793</v>
      </c>
      <c r="E45" s="46"/>
      <c r="G45" s="43">
        <f>IFERROR($C45*$H$19*Premissas!$F$20*1000," ")</f>
        <v>288440031.67197496</v>
      </c>
      <c r="H45" s="43">
        <f>IFERROR($D45*$H$19*Premissas!$F$20*1000," ")</f>
        <v>242256949.89565501</v>
      </c>
      <c r="I45" s="96"/>
    </row>
    <row r="46" spans="1:10" x14ac:dyDescent="0.3">
      <c r="A46" s="2" t="s">
        <v>46</v>
      </c>
      <c r="B46" s="44" t="str">
        <f>'Oferta x Demanda'!A22</f>
        <v>NTS RJ 2</v>
      </c>
      <c r="C46" s="317">
        <f>Demanda!C8</f>
        <v>11271.75</v>
      </c>
      <c r="D46" s="317">
        <f>'Oferta x Demanda'!C22</f>
        <v>8406</v>
      </c>
      <c r="E46" s="46"/>
      <c r="G46" s="43">
        <f>IFERROR($C46*$H$19*Premissas!$F$20*1000," ")</f>
        <v>153468205.19228625</v>
      </c>
      <c r="H46" s="43">
        <f>IFERROR($D46*$H$19*Premissas!$F$20*1000," ")</f>
        <v>114450172.58600999</v>
      </c>
      <c r="I46" s="96"/>
    </row>
    <row r="47" spans="1:10" x14ac:dyDescent="0.3">
      <c r="A47" s="2" t="s">
        <v>47</v>
      </c>
      <c r="B47" s="44" t="str">
        <f>'Oferta x Demanda'!A23</f>
        <v>NTS RJ 3</v>
      </c>
      <c r="C47" s="317">
        <f>Demanda!C9</f>
        <v>3249</v>
      </c>
      <c r="D47" s="317">
        <f>'Oferta x Demanda'!C23</f>
        <v>1714</v>
      </c>
      <c r="E47" s="46"/>
      <c r="G47" s="43">
        <f>IFERROR($C47*$H$19*Premissas!$F$20*1000," ")</f>
        <v>44236094.543414995</v>
      </c>
      <c r="H47" s="43">
        <f>IFERROR($D47*$H$19*Premissas!$F$20*1000," ")</f>
        <v>23336616.204189997</v>
      </c>
      <c r="I47" s="96"/>
    </row>
    <row r="48" spans="1:10" x14ac:dyDescent="0.3">
      <c r="A48" s="2" t="s">
        <v>48</v>
      </c>
      <c r="B48" s="44" t="str">
        <f>'Oferta x Demanda'!A24</f>
        <v>NTS RJ 4</v>
      </c>
      <c r="C48" s="317">
        <f>Demanda!C10</f>
        <v>498.75</v>
      </c>
      <c r="D48" s="317">
        <f>'Oferta x Demanda'!C24</f>
        <v>323</v>
      </c>
      <c r="E48" s="46"/>
      <c r="G48" s="43">
        <f>IFERROR($C48*$H$19*Premissas!$F$20*1000," ")</f>
        <v>6790628.5483312495</v>
      </c>
      <c r="H48" s="43">
        <f>IFERROR($D48*$H$19*Premissas!$F$20*1000," ")</f>
        <v>4397740.3932050001</v>
      </c>
      <c r="I48" s="96"/>
    </row>
    <row r="49" spans="1:9" x14ac:dyDescent="0.3">
      <c r="A49" s="2" t="s">
        <v>49</v>
      </c>
      <c r="B49" s="44" t="str">
        <f>'Oferta x Demanda'!A25</f>
        <v>NTS RJ 5</v>
      </c>
      <c r="C49" s="317">
        <f>Demanda!C11</f>
        <v>3321.2</v>
      </c>
      <c r="D49" s="317">
        <f>'Oferta x Demanda'!C25</f>
        <v>2128</v>
      </c>
      <c r="E49" s="46"/>
      <c r="G49" s="43">
        <f>IFERROR($C49*$H$19*Premissas!$F$20*1000," ")</f>
        <v>45219118.866601996</v>
      </c>
      <c r="H49" s="43">
        <f>IFERROR($D49*$H$19*Premissas!$F$20*1000," ")</f>
        <v>28973348.472879995</v>
      </c>
      <c r="I49" s="96"/>
    </row>
    <row r="50" spans="1:9" x14ac:dyDescent="0.3">
      <c r="A50" s="2" t="s">
        <v>50</v>
      </c>
      <c r="B50" s="44" t="str">
        <f>'Oferta x Demanda'!A26</f>
        <v>NTS SP 1</v>
      </c>
      <c r="C50" s="317">
        <f>Demanda!C12</f>
        <v>14292.75</v>
      </c>
      <c r="D50" s="317">
        <f>'Oferta x Demanda'!C26</f>
        <v>1237</v>
      </c>
      <c r="E50" s="46"/>
      <c r="G50" s="43">
        <f>IFERROR($C50*$H$19*Premissas!$F$20*1000," ")</f>
        <v>194600012.39932126</v>
      </c>
      <c r="H50" s="43">
        <f>IFERROR($D50*$H$19*Premissas!$F$20*1000," ")</f>
        <v>16842120.329395</v>
      </c>
      <c r="I50" s="96"/>
    </row>
    <row r="51" spans="1:9" x14ac:dyDescent="0.3">
      <c r="A51" s="2" t="s">
        <v>51</v>
      </c>
      <c r="B51" s="44" t="str">
        <f>'Oferta x Demanda'!A27</f>
        <v>NTS SP 2</v>
      </c>
      <c r="C51" s="317">
        <f>Demanda!C13</f>
        <v>3971</v>
      </c>
      <c r="D51" s="317">
        <f>'Oferta x Demanda'!C27</f>
        <v>2972</v>
      </c>
      <c r="E51" s="46"/>
      <c r="G51" s="43">
        <f>IFERROR($C51*$H$19*Premissas!$F$20*1000," ")</f>
        <v>54066337.775284998</v>
      </c>
      <c r="H51" s="43">
        <f>IFERROR($D51*$H$19*Premissas!$F$20*1000," ")</f>
        <v>40464657.735619992</v>
      </c>
      <c r="I51" s="96"/>
    </row>
    <row r="52" spans="1:9" x14ac:dyDescent="0.3">
      <c r="A52" s="2" t="s">
        <v>52</v>
      </c>
      <c r="B52" s="44" t="str">
        <f>'Oferta x Demanda'!A28</f>
        <v>NTS SP 3</v>
      </c>
      <c r="C52" s="317">
        <f>Demanda!C14</f>
        <v>9941.75</v>
      </c>
      <c r="D52" s="317">
        <f>'Oferta x Demanda'!C28</f>
        <v>7969</v>
      </c>
      <c r="E52" s="46"/>
      <c r="G52" s="43">
        <f>IFERROR($C52*$H$19*Premissas!$F$20*1000," ")</f>
        <v>135359862.39673626</v>
      </c>
      <c r="H52" s="43">
        <f>IFERROR($D52*$H$19*Premissas!$F$20*1000," ")</f>
        <v>108500288.52461499</v>
      </c>
      <c r="I52" s="96"/>
    </row>
    <row r="53" spans="1:9" x14ac:dyDescent="0.3">
      <c r="A53" s="2" t="s">
        <v>53</v>
      </c>
      <c r="B53" s="44" t="str">
        <f>'Oferta x Demanda'!A29</f>
        <v>NTS SP 4</v>
      </c>
      <c r="C53" s="317">
        <f>Demanda!C15</f>
        <v>3809.5</v>
      </c>
      <c r="D53" s="317">
        <f>'Oferta x Demanda'!C29</f>
        <v>3281</v>
      </c>
      <c r="E53" s="46"/>
      <c r="G53" s="43">
        <f>IFERROR($C53*$H$19*Premissas!$F$20*1000," ")</f>
        <v>51867467.578682497</v>
      </c>
      <c r="H53" s="43">
        <f>IFERROR($D53*$H$19*Premissas!$F$20*1000," ")</f>
        <v>44671783.994134992</v>
      </c>
      <c r="I53" s="96"/>
    </row>
    <row r="54" spans="1:9" x14ac:dyDescent="0.3">
      <c r="A54" s="2" t="s">
        <v>54</v>
      </c>
      <c r="B54" s="44" t="str">
        <f>'Oferta x Demanda'!A30</f>
        <v>PE-GUARAREMA (INTERCONEXÃO)</v>
      </c>
      <c r="C54" s="317">
        <f>Demanda!C16</f>
        <v>0</v>
      </c>
      <c r="D54" s="317">
        <f>'Oferta x Demanda'!C30</f>
        <v>0</v>
      </c>
      <c r="E54" s="46"/>
      <c r="G54" s="43">
        <f>IFERROR($C54*$H$19*Premissas!$F$20*1000," ")</f>
        <v>0</v>
      </c>
      <c r="H54" s="43">
        <f>IFERROR($D54*$H$19*Premissas!$F$20*1000," ")</f>
        <v>0</v>
      </c>
      <c r="I54" s="96"/>
    </row>
    <row r="55" spans="1:9" x14ac:dyDescent="0.3">
      <c r="A55" s="2" t="s">
        <v>55</v>
      </c>
      <c r="B55" s="44" t="str">
        <f>'Oferta x Demanda'!A31</f>
        <v>PE-REPLAN (INTERCONEXÃO)</v>
      </c>
      <c r="C55" s="317">
        <f>Demanda!C17</f>
        <v>0</v>
      </c>
      <c r="D55" s="317">
        <f>'Oferta x Demanda'!C31</f>
        <v>7011</v>
      </c>
      <c r="E55" s="46"/>
      <c r="G55" s="43">
        <f>IFERROR($C55*$H$19*Premissas!$F$20*1000," ")</f>
        <v>0</v>
      </c>
      <c r="H55" s="43">
        <f>IFERROR($D55*$H$19*Premissas!$F$20*1000," ")</f>
        <v>95456835.593685001</v>
      </c>
      <c r="I55" s="96"/>
    </row>
    <row r="56" spans="1:9" x14ac:dyDescent="0.3">
      <c r="A56" s="2" t="s">
        <v>56</v>
      </c>
      <c r="B56" s="44" t="str">
        <f>'Oferta x Demanda'!A32</f>
        <v>PE-TECAB (INTERCONEXÃO)</v>
      </c>
      <c r="C56" s="317">
        <f>Demanda!C18</f>
        <v>0</v>
      </c>
      <c r="D56" s="317">
        <f>'Oferta x Demanda'!C32</f>
        <v>200</v>
      </c>
      <c r="E56" s="46"/>
      <c r="G56" s="43">
        <f>IFERROR($C56*$H$19*Premissas!$F$20*1000," ")</f>
        <v>0</v>
      </c>
      <c r="H56" s="43">
        <f>IFERROR($D56*$H$19*Premissas!$F$20*1000," ")</f>
        <v>2723059.0670000003</v>
      </c>
      <c r="I56" s="96"/>
    </row>
    <row r="57" spans="1:9" x14ac:dyDescent="0.3">
      <c r="C57" s="108">
        <f>SUM(C41:C56)</f>
        <v>78459.549999999988</v>
      </c>
      <c r="D57" s="108">
        <f>SUM(D41:D56)</f>
        <v>58391</v>
      </c>
      <c r="E57" s="108"/>
      <c r="G57" s="108">
        <f>SUM(G41:G56)</f>
        <v>1068249945.1011992</v>
      </c>
      <c r="H57" s="108">
        <f>SUM(H41:H56)</f>
        <v>795010709.905985</v>
      </c>
      <c r="I57" s="96"/>
    </row>
    <row r="58" spans="1:9" x14ac:dyDescent="0.3">
      <c r="C58" s="107">
        <f>Demanda!C19</f>
        <v>78459.549999999988</v>
      </c>
      <c r="D58" s="107">
        <f>Demanda!E19</f>
        <v>58391</v>
      </c>
      <c r="E58" s="107"/>
      <c r="G58" s="107">
        <f>Demanda!C19*Premissas!C19*Premissas!F20</f>
        <v>1068249945.1011992</v>
      </c>
      <c r="H58" s="107">
        <f>'Oferta x Demanda'!R33</f>
        <v>795010709.90598512</v>
      </c>
      <c r="I58" s="96"/>
    </row>
    <row r="59" spans="1:9" x14ac:dyDescent="0.3">
      <c r="C59" s="107">
        <f>C57-C58</f>
        <v>0</v>
      </c>
      <c r="D59" s="107">
        <f>D57-D58</f>
        <v>0</v>
      </c>
      <c r="E59" s="107"/>
      <c r="F59" s="107"/>
      <c r="G59" s="107">
        <f>G57-G58</f>
        <v>0</v>
      </c>
      <c r="H59" s="107">
        <f>H57-H58</f>
        <v>0</v>
      </c>
      <c r="I59" s="96"/>
    </row>
    <row r="60" spans="1:9" x14ac:dyDescent="0.3">
      <c r="C60" s="96"/>
      <c r="D60" s="96"/>
      <c r="F60" s="96"/>
      <c r="G60" s="96"/>
      <c r="H60" s="96"/>
    </row>
    <row r="61" spans="1:9" s="98" customFormat="1" x14ac:dyDescent="0.3">
      <c r="A61" s="98" t="s">
        <v>141</v>
      </c>
      <c r="B61" s="98" t="s">
        <v>142</v>
      </c>
    </row>
    <row r="62" spans="1:9" x14ac:dyDescent="0.3">
      <c r="A62" s="3"/>
    </row>
    <row r="63" spans="1:9" x14ac:dyDescent="0.3">
      <c r="A63" t="s">
        <v>125</v>
      </c>
      <c r="B63" t="s">
        <v>126</v>
      </c>
    </row>
    <row r="64" spans="1:9" ht="15.6" x14ac:dyDescent="0.35">
      <c r="A64" t="s">
        <v>299</v>
      </c>
      <c r="B64" t="s">
        <v>143</v>
      </c>
    </row>
    <row r="65" spans="1:12" x14ac:dyDescent="0.3">
      <c r="C65" s="2" t="s">
        <v>248</v>
      </c>
      <c r="D65" s="2" t="s">
        <v>133</v>
      </c>
      <c r="E65" s="2" t="s">
        <v>134</v>
      </c>
      <c r="F65" s="2" t="s">
        <v>135</v>
      </c>
      <c r="G65" s="2" t="s">
        <v>136</v>
      </c>
      <c r="H65" s="2" t="s">
        <v>249</v>
      </c>
      <c r="I65" s="2" t="s">
        <v>137</v>
      </c>
      <c r="J65" s="2" t="s">
        <v>250</v>
      </c>
      <c r="K65" s="2" t="s">
        <v>138</v>
      </c>
      <c r="L65" s="2" t="s">
        <v>139</v>
      </c>
    </row>
    <row r="66" spans="1:12" ht="22.8" x14ac:dyDescent="0.3">
      <c r="C66" s="45" t="s">
        <v>261</v>
      </c>
      <c r="D66" s="45" t="s">
        <v>26</v>
      </c>
      <c r="E66" s="45" t="s">
        <v>512</v>
      </c>
      <c r="F66" s="45" t="s">
        <v>253</v>
      </c>
      <c r="G66" s="45" t="s">
        <v>27</v>
      </c>
      <c r="H66" s="45" t="s">
        <v>29</v>
      </c>
      <c r="I66" s="45" t="s">
        <v>24</v>
      </c>
      <c r="J66" s="45" t="s">
        <v>274</v>
      </c>
      <c r="K66" s="45" t="s">
        <v>276</v>
      </c>
      <c r="L66" s="45" t="s">
        <v>275</v>
      </c>
    </row>
    <row r="67" spans="1:12" x14ac:dyDescent="0.3">
      <c r="A67" s="2" t="s">
        <v>41</v>
      </c>
      <c r="B67" s="44" t="str">
        <f>B41</f>
        <v>NTS MG 1</v>
      </c>
      <c r="C67" s="318">
        <f ca="1">VLOOKUP($B67,'Matriz Distâncias NTS'!$S$2:$AC$18,2,0)</f>
        <v>447.1</v>
      </c>
      <c r="D67" s="318">
        <f ca="1">VLOOKUP($B67,'Matriz Distâncias NTS'!$S$2:$AC$18,3,0)</f>
        <v>251.935</v>
      </c>
      <c r="E67" s="318">
        <f ca="1">VLOOKUP($B67,'Matriz Distâncias NTS'!$S$2:$AC$18,4,0)</f>
        <v>301.35699999999997</v>
      </c>
      <c r="F67" s="318">
        <f ca="1">VLOOKUP($B67,'Matriz Distâncias NTS'!$S$2:$AC$18,8,0)</f>
        <v>550.255</v>
      </c>
      <c r="G67" s="318">
        <f ca="1">VLOOKUP($B67,'Matriz Distâncias NTS'!$S$2:$AC$18,7,0)</f>
        <v>133.93299999999999</v>
      </c>
      <c r="H67" s="318">
        <f ca="1">VLOOKUP($B67,'Matriz Distâncias NTS'!$S$2:$AC$18,9,0)</f>
        <v>519.08299999999997</v>
      </c>
      <c r="I67" s="318">
        <f ca="1">VLOOKUP($B67,'Matriz Distâncias NTS'!$S$2:$AC$18,10,0)</f>
        <v>432.233</v>
      </c>
      <c r="J67" s="318">
        <f ca="1">VLOOKUP($B67,'Matriz Distâncias NTS'!$S$2:$AC$18,5,0)</f>
        <v>412.91999999999996</v>
      </c>
      <c r="K67" s="318">
        <f ca="1">VLOOKUP($B67,'Matriz Distâncias NTS'!$S$2:$AC$18,8,0)</f>
        <v>550.255</v>
      </c>
      <c r="L67" s="318">
        <f ca="1">VLOOKUP($B67,'Matriz Distâncias NTS'!$S$2:$AC$18,11,0)</f>
        <v>432.233</v>
      </c>
    </row>
    <row r="68" spans="1:12" x14ac:dyDescent="0.3">
      <c r="A68" s="2" t="s">
        <v>42</v>
      </c>
      <c r="B68" s="44" t="str">
        <f>B42</f>
        <v>NTS MG 2</v>
      </c>
      <c r="C68" s="318">
        <f ca="1">VLOOKUP($B68,'Matriz Distâncias NTS'!$S$2:$AC$18,2,0)</f>
        <v>544.26400000000001</v>
      </c>
      <c r="D68" s="318">
        <f ca="1">VLOOKUP($B68,'Matriz Distâncias NTS'!$S$2:$AC$18,3,0)</f>
        <v>349.09899999999999</v>
      </c>
      <c r="E68" s="318">
        <f ca="1">VLOOKUP($B68,'Matriz Distâncias NTS'!$S$2:$AC$18,4,0)</f>
        <v>398.52100000000002</v>
      </c>
      <c r="F68" s="318">
        <f ca="1">VLOOKUP($B68,'Matriz Distâncias NTS'!$S$2:$AC$18,8,0)</f>
        <v>647.41899999999998</v>
      </c>
      <c r="G68" s="318">
        <f ca="1">VLOOKUP($B68,'Matriz Distâncias NTS'!$S$2:$AC$18,7,0)</f>
        <v>231.09699999999998</v>
      </c>
      <c r="H68" s="318">
        <f ca="1">VLOOKUP($B68,'Matriz Distâncias NTS'!$S$2:$AC$18,9,0)</f>
        <v>616.24699999999996</v>
      </c>
      <c r="I68" s="318">
        <f ca="1">VLOOKUP($B68,'Matriz Distâncias NTS'!$S$2:$AC$18,10,0)</f>
        <v>529.39700000000005</v>
      </c>
      <c r="J68" s="318">
        <f ca="1">VLOOKUP($B68,'Matriz Distâncias NTS'!$S$2:$AC$18,5,0)</f>
        <v>510.08400000000006</v>
      </c>
      <c r="K68" s="318">
        <f ca="1">VLOOKUP($B68,'Matriz Distâncias NTS'!$S$2:$AC$18,8,0)</f>
        <v>647.41899999999998</v>
      </c>
      <c r="L68" s="318">
        <f ca="1">VLOOKUP($B68,'Matriz Distâncias NTS'!$S$2:$AC$18,11,0)</f>
        <v>529.39700000000005</v>
      </c>
    </row>
    <row r="69" spans="1:12" x14ac:dyDescent="0.3">
      <c r="A69" s="2" t="s">
        <v>43</v>
      </c>
      <c r="B69" s="44" t="str">
        <f>B43</f>
        <v>NTS MG 3</v>
      </c>
      <c r="C69" s="318">
        <f ca="1">VLOOKUP($B69,'Matriz Distâncias NTS'!$S$2:$AC$18,2,0)</f>
        <v>661.42919999999992</v>
      </c>
      <c r="D69" s="318">
        <f ca="1">VLOOKUP($B69,'Matriz Distâncias NTS'!$S$2:$AC$18,3,0)</f>
        <v>466.26419999999996</v>
      </c>
      <c r="E69" s="318">
        <f ca="1">VLOOKUP($B69,'Matriz Distâncias NTS'!$S$2:$AC$18,4,0)</f>
        <v>515.68619999999999</v>
      </c>
      <c r="F69" s="318">
        <f ca="1">VLOOKUP($B69,'Matriz Distâncias NTS'!$S$2:$AC$18,8,0)</f>
        <v>764.58420000000001</v>
      </c>
      <c r="G69" s="318">
        <f ca="1">VLOOKUP($B69,'Matriz Distâncias NTS'!$S$2:$AC$18,7,0)</f>
        <v>348.26220000000001</v>
      </c>
      <c r="H69" s="318">
        <f ca="1">VLOOKUP($B69,'Matriz Distâncias NTS'!$S$2:$AC$18,9,0)</f>
        <v>733.4122000000001</v>
      </c>
      <c r="I69" s="318">
        <f ca="1">VLOOKUP($B69,'Matriz Distâncias NTS'!$S$2:$AC$18,10,0)</f>
        <v>646.56219999999996</v>
      </c>
      <c r="J69" s="318">
        <f ca="1">VLOOKUP($B69,'Matriz Distâncias NTS'!$S$2:$AC$18,5,0)</f>
        <v>627.24920000000009</v>
      </c>
      <c r="K69" s="318">
        <f ca="1">VLOOKUP($B69,'Matriz Distâncias NTS'!$S$2:$AC$18,8,0)</f>
        <v>764.58420000000001</v>
      </c>
      <c r="L69" s="318">
        <f ca="1">VLOOKUP($B69,'Matriz Distâncias NTS'!$S$2:$AC$18,11,0)</f>
        <v>646.56219999999996</v>
      </c>
    </row>
    <row r="70" spans="1:12" x14ac:dyDescent="0.3">
      <c r="A70" s="2" t="s">
        <v>44</v>
      </c>
      <c r="B70" s="44" t="str">
        <f t="shared" ref="B70:B82" si="0">B44</f>
        <v>NTS MG 4</v>
      </c>
      <c r="C70" s="318">
        <f ca="1">VLOOKUP($B70,'Matriz Distâncias NTS'!$S$2:$AC$18,2,0)</f>
        <v>394.62900000000002</v>
      </c>
      <c r="D70" s="318">
        <f ca="1">VLOOKUP($B70,'Matriz Distâncias NTS'!$S$2:$AC$18,3,0)</f>
        <v>596.17999999999995</v>
      </c>
      <c r="E70" s="318">
        <f ca="1">VLOOKUP($B70,'Matriz Distâncias NTS'!$S$2:$AC$18,4,0)</f>
        <v>645.60199999999998</v>
      </c>
      <c r="F70" s="318">
        <f ca="1">VLOOKUP($B70,'Matriz Distâncias NTS'!$S$2:$AC$18,8,0)</f>
        <v>93.766000000000005</v>
      </c>
      <c r="G70" s="318">
        <f ca="1">VLOOKUP($B70,'Matriz Distâncias NTS'!$S$2:$AC$18,7,0)</f>
        <v>598.4799999999999</v>
      </c>
      <c r="H70" s="318">
        <f ca="1">VLOOKUP($B70,'Matriz Distâncias NTS'!$S$2:$AC$18,9,0)</f>
        <v>466.61200000000002</v>
      </c>
      <c r="I70" s="318">
        <f ca="1">VLOOKUP($B70,'Matriz Distâncias NTS'!$S$2:$AC$18,10,0)</f>
        <v>776.47799999999995</v>
      </c>
      <c r="J70" s="318">
        <f ca="1">VLOOKUP($B70,'Matriz Distâncias NTS'!$S$2:$AC$18,5,0)</f>
        <v>360.44900000000001</v>
      </c>
      <c r="K70" s="318">
        <f ca="1">VLOOKUP($B70,'Matriz Distâncias NTS'!$S$2:$AC$18,8,0)</f>
        <v>93.766000000000005</v>
      </c>
      <c r="L70" s="318">
        <f ca="1">VLOOKUP($B70,'Matriz Distâncias NTS'!$S$2:$AC$18,11,0)</f>
        <v>776.47799999999995</v>
      </c>
    </row>
    <row r="71" spans="1:12" x14ac:dyDescent="0.3">
      <c r="A71" s="2" t="s">
        <v>45</v>
      </c>
      <c r="B71" s="44" t="str">
        <f t="shared" si="0"/>
        <v>NTS RJ 1</v>
      </c>
      <c r="C71" s="318">
        <f ca="1">VLOOKUP($B71,'Matriz Distâncias NTS'!$S$2:$AC$18,2,0)</f>
        <v>460.82099999999997</v>
      </c>
      <c r="D71" s="318">
        <f ca="1">VLOOKUP($B71,'Matriz Distâncias NTS'!$S$2:$AC$18,3,0)</f>
        <v>64.091333333333338</v>
      </c>
      <c r="E71" s="318">
        <f ca="1">VLOOKUP($B71,'Matriz Distâncias NTS'!$S$2:$AC$18,4,0)</f>
        <v>75.091333333333338</v>
      </c>
      <c r="F71" s="318">
        <f ca="1">VLOOKUP($B71,'Matriz Distâncias NTS'!$S$2:$AC$18,8,0)</f>
        <v>563.976</v>
      </c>
      <c r="G71" s="318">
        <f ca="1">VLOOKUP($B71,'Matriz Distâncias NTS'!$S$2:$AC$18,7,0)</f>
        <v>64.091333333333338</v>
      </c>
      <c r="H71" s="318">
        <f ca="1">VLOOKUP($B71,'Matriz Distâncias NTS'!$S$2:$AC$18,9,0)</f>
        <v>530.12266666666665</v>
      </c>
      <c r="I71" s="318">
        <f ca="1">VLOOKUP($B71,'Matriz Distâncias NTS'!$S$2:$AC$18,10,0)</f>
        <v>120.26933333333334</v>
      </c>
      <c r="J71" s="318">
        <f ca="1">VLOOKUP($B71,'Matriz Distâncias NTS'!$S$2:$AC$18,5,0)</f>
        <v>423.95966666666664</v>
      </c>
      <c r="K71" s="318">
        <f ca="1">VLOOKUP($B71,'Matriz Distâncias NTS'!$S$2:$AC$18,8,0)</f>
        <v>563.976</v>
      </c>
      <c r="L71" s="318">
        <f ca="1">VLOOKUP($B71,'Matriz Distâncias NTS'!$S$2:$AC$18,11,0)</f>
        <v>120.26933333333334</v>
      </c>
    </row>
    <row r="72" spans="1:12" x14ac:dyDescent="0.3">
      <c r="A72" s="2" t="s">
        <v>46</v>
      </c>
      <c r="B72" s="44" t="str">
        <f t="shared" si="0"/>
        <v>NTS RJ 2</v>
      </c>
      <c r="C72" s="318">
        <f ca="1">VLOOKUP($B72,'Matriz Distâncias NTS'!$S$2:$AC$18,2,0)</f>
        <v>352.80099999999999</v>
      </c>
      <c r="D72" s="318">
        <f ca="1">VLOOKUP($B72,'Matriz Distâncias NTS'!$S$2:$AC$18,3,0)</f>
        <v>46.097999999999992</v>
      </c>
      <c r="E72" s="318">
        <f ca="1">VLOOKUP($B72,'Matriz Distâncias NTS'!$S$2:$AC$18,4,0)</f>
        <v>95.519999999999982</v>
      </c>
      <c r="F72" s="318">
        <f ca="1">VLOOKUP($B72,'Matriz Distâncias NTS'!$S$2:$AC$18,8,0)</f>
        <v>456.31599999999997</v>
      </c>
      <c r="G72" s="318">
        <f ca="1">VLOOKUP($B72,'Matriz Distâncias NTS'!$S$2:$AC$18,7,0)</f>
        <v>45.943333333333328</v>
      </c>
      <c r="H72" s="318">
        <f ca="1">VLOOKUP($B72,'Matriz Distâncias NTS'!$S$2:$AC$18,9,0)</f>
        <v>424.06400000000002</v>
      </c>
      <c r="I72" s="318">
        <f ca="1">VLOOKUP($B72,'Matriz Distâncias NTS'!$S$2:$AC$18,10,0)</f>
        <v>226.39599999999999</v>
      </c>
      <c r="J72" s="318">
        <f ca="1">VLOOKUP($B72,'Matriz Distâncias NTS'!$S$2:$AC$18,5,0)</f>
        <v>318.62100000000004</v>
      </c>
      <c r="K72" s="318">
        <f ca="1">VLOOKUP($B72,'Matriz Distâncias NTS'!$S$2:$AC$18,8,0)</f>
        <v>456.31599999999997</v>
      </c>
      <c r="L72" s="318">
        <f ca="1">VLOOKUP($B72,'Matriz Distâncias NTS'!$S$2:$AC$18,11,0)</f>
        <v>226.39599999999999</v>
      </c>
    </row>
    <row r="73" spans="1:12" x14ac:dyDescent="0.3">
      <c r="A73" s="2" t="s">
        <v>47</v>
      </c>
      <c r="B73" s="44" t="str">
        <f t="shared" si="0"/>
        <v>NTS RJ 3</v>
      </c>
      <c r="C73" s="318">
        <f ca="1">VLOOKUP($B73,'Matriz Distâncias NTS'!$S$2:$AC$18,2,0)</f>
        <v>307.62360000000001</v>
      </c>
      <c r="D73" s="318">
        <f ca="1">VLOOKUP($B73,'Matriz Distâncias NTS'!$S$2:$AC$18,3,0)</f>
        <v>92.737400000000008</v>
      </c>
      <c r="E73" s="318">
        <f ca="1">VLOOKUP($B73,'Matriz Distâncias NTS'!$S$2:$AC$18,4,0)</f>
        <v>142.15940000000001</v>
      </c>
      <c r="F73" s="318">
        <f ca="1">VLOOKUP($B73,'Matriz Distâncias NTS'!$S$2:$AC$18,8,0)</f>
        <v>448.94899999999996</v>
      </c>
      <c r="G73" s="318">
        <f ca="1">VLOOKUP($B73,'Matriz Distâncias NTS'!$S$2:$AC$18,7,0)</f>
        <v>89.951799999999992</v>
      </c>
      <c r="H73" s="318">
        <f ca="1">VLOOKUP($B73,'Matriz Distâncias NTS'!$S$2:$AC$18,9,0)</f>
        <v>379.60659999999996</v>
      </c>
      <c r="I73" s="318">
        <f ca="1">VLOOKUP($B73,'Matriz Distâncias NTS'!$S$2:$AC$18,10,0)</f>
        <v>273.03540000000004</v>
      </c>
      <c r="J73" s="318">
        <f ca="1">VLOOKUP($B73,'Matriz Distâncias NTS'!$S$2:$AC$18,5,0)</f>
        <v>273.44359999999995</v>
      </c>
      <c r="K73" s="318">
        <f ca="1">VLOOKUP($B73,'Matriz Distâncias NTS'!$S$2:$AC$18,8,0)</f>
        <v>448.94899999999996</v>
      </c>
      <c r="L73" s="318">
        <f ca="1">VLOOKUP($B73,'Matriz Distâncias NTS'!$S$2:$AC$18,11,0)</f>
        <v>273.03540000000004</v>
      </c>
    </row>
    <row r="74" spans="1:12" x14ac:dyDescent="0.3">
      <c r="A74" s="2" t="s">
        <v>48</v>
      </c>
      <c r="B74" s="44" t="str">
        <f t="shared" si="0"/>
        <v>NTS RJ 4</v>
      </c>
      <c r="C74" s="318">
        <f ca="1">VLOOKUP($B74,'Matriz Distâncias NTS'!$S$2:$AC$18,2,0)</f>
        <v>244.471</v>
      </c>
      <c r="D74" s="318">
        <f ca="1">VLOOKUP($B74,'Matriz Distâncias NTS'!$S$2:$AC$18,3,0)</f>
        <v>154.518</v>
      </c>
      <c r="E74" s="318">
        <f ca="1">VLOOKUP($B74,'Matriz Distâncias NTS'!$S$2:$AC$18,4,0)</f>
        <v>203.93999999999997</v>
      </c>
      <c r="F74" s="318">
        <f ca="1">VLOOKUP($B74,'Matriz Distâncias NTS'!$S$2:$AC$18,8,0)</f>
        <v>347.89600000000002</v>
      </c>
      <c r="G74" s="318">
        <f ca="1">VLOOKUP($B74,'Matriz Distâncias NTS'!$S$2:$AC$18,7,0)</f>
        <v>156.81800000000001</v>
      </c>
      <c r="H74" s="318">
        <f ca="1">VLOOKUP($B74,'Matriz Distâncias NTS'!$S$2:$AC$18,9,0)</f>
        <v>316.72399999999999</v>
      </c>
      <c r="I74" s="318">
        <f ca="1">VLOOKUP($B74,'Matriz Distâncias NTS'!$S$2:$AC$18,10,0)</f>
        <v>334.81599999999997</v>
      </c>
      <c r="J74" s="318">
        <f ca="1">VLOOKUP($B74,'Matriz Distâncias NTS'!$S$2:$AC$18,5,0)</f>
        <v>210.56099999999998</v>
      </c>
      <c r="K74" s="318">
        <f ca="1">VLOOKUP($B74,'Matriz Distâncias NTS'!$S$2:$AC$18,8,0)</f>
        <v>347.89600000000002</v>
      </c>
      <c r="L74" s="318">
        <f ca="1">VLOOKUP($B74,'Matriz Distâncias NTS'!$S$2:$AC$18,11,0)</f>
        <v>334.81599999999997</v>
      </c>
    </row>
    <row r="75" spans="1:12" x14ac:dyDescent="0.3">
      <c r="A75" s="2" t="s">
        <v>49</v>
      </c>
      <c r="B75" s="44" t="str">
        <f t="shared" si="0"/>
        <v>NTS RJ 5</v>
      </c>
      <c r="C75" s="318">
        <f ca="1">VLOOKUP($B75,'Matriz Distâncias NTS'!$S$2:$AC$18,2,0)</f>
        <v>395.91849999999999</v>
      </c>
      <c r="D75" s="318">
        <f ca="1">VLOOKUP($B75,'Matriz Distâncias NTS'!$S$2:$AC$18,3,0)</f>
        <v>36.580500000000001</v>
      </c>
      <c r="E75" s="318">
        <f ca="1">VLOOKUP($B75,'Matriz Distâncias NTS'!$S$2:$AC$18,4,0)</f>
        <v>87.152500000000003</v>
      </c>
      <c r="F75" s="318">
        <f ca="1">VLOOKUP($B75,'Matriz Distâncias NTS'!$S$2:$AC$18,8,0)</f>
        <v>499.07349999999997</v>
      </c>
      <c r="G75" s="318">
        <f ca="1">VLOOKUP($B75,'Matriz Distâncias NTS'!$S$2:$AC$18,7,0)</f>
        <v>34.080500000000001</v>
      </c>
      <c r="H75" s="318">
        <f ca="1">VLOOKUP($B75,'Matriz Distâncias NTS'!$S$2:$AC$18,9,0)</f>
        <v>463.87950000000001</v>
      </c>
      <c r="I75" s="318">
        <f ca="1">VLOOKUP($B75,'Matriz Distâncias NTS'!$S$2:$AC$18,10,0)</f>
        <v>218.02850000000001</v>
      </c>
      <c r="J75" s="318">
        <f ca="1">VLOOKUP($B75,'Matriz Distâncias NTS'!$S$2:$AC$18,5,0)</f>
        <v>357.71899999999999</v>
      </c>
      <c r="K75" s="318">
        <f ca="1">VLOOKUP($B75,'Matriz Distâncias NTS'!$S$2:$AC$18,8,0)</f>
        <v>499.07349999999997</v>
      </c>
      <c r="L75" s="318">
        <f ca="1">VLOOKUP($B75,'Matriz Distâncias NTS'!$S$2:$AC$18,11,0)</f>
        <v>218.02850000000001</v>
      </c>
    </row>
    <row r="76" spans="1:12" x14ac:dyDescent="0.3">
      <c r="A76" s="2" t="s">
        <v>50</v>
      </c>
      <c r="B76" s="44" t="str">
        <f t="shared" si="0"/>
        <v>NTS SP 1</v>
      </c>
      <c r="C76" s="318">
        <f ca="1">VLOOKUP($B76,'Matriz Distâncias NTS'!$S$2:$AC$18,2,0)</f>
        <v>162.84283333333335</v>
      </c>
      <c r="D76" s="318">
        <f ca="1">VLOOKUP($B76,'Matriz Distâncias NTS'!$S$2:$AC$18,3,0)</f>
        <v>343.1248333333333</v>
      </c>
      <c r="E76" s="318">
        <f ca="1">VLOOKUP($B76,'Matriz Distâncias NTS'!$S$2:$AC$18,4,0)</f>
        <v>329.05316666666664</v>
      </c>
      <c r="F76" s="318">
        <f ca="1">VLOOKUP($B76,'Matriz Distâncias NTS'!$S$2:$AC$18,8,0)</f>
        <v>222.24283333333335</v>
      </c>
      <c r="G76" s="318">
        <f ca="1">VLOOKUP($B76,'Matriz Distâncias NTS'!$S$2:$AC$18,7,0)</f>
        <v>278.44916666666666</v>
      </c>
      <c r="H76" s="318">
        <f ca="1">VLOOKUP($B76,'Matriz Distâncias NTS'!$S$2:$AC$18,9,0)</f>
        <v>234.82583333333335</v>
      </c>
      <c r="I76" s="318">
        <f ca="1">VLOOKUP($B76,'Matriz Distâncias NTS'!$S$2:$AC$18,10,0)</f>
        <v>459.92916666666662</v>
      </c>
      <c r="J76" s="318">
        <f ca="1">VLOOKUP($B76,'Matriz Distâncias NTS'!$S$2:$AC$18,5,0)</f>
        <v>128.66283333333334</v>
      </c>
      <c r="K76" s="318">
        <f ca="1">VLOOKUP($B76,'Matriz Distâncias NTS'!$S$2:$AC$18,8,0)</f>
        <v>222.24283333333335</v>
      </c>
      <c r="L76" s="318">
        <f ca="1">VLOOKUP($B76,'Matriz Distâncias NTS'!$S$2:$AC$18,11,0)</f>
        <v>459.92916666666662</v>
      </c>
    </row>
    <row r="77" spans="1:12" x14ac:dyDescent="0.3">
      <c r="A77" s="2" t="s">
        <v>51</v>
      </c>
      <c r="B77" s="44" t="str">
        <f t="shared" si="0"/>
        <v>NTS SP 2</v>
      </c>
      <c r="C77" s="318">
        <f ca="1">VLOOKUP($B77,'Matriz Distâncias NTS'!$S$2:$AC$18,2,0)</f>
        <v>77.567999999999998</v>
      </c>
      <c r="D77" s="318">
        <f ca="1">VLOOKUP($B77,'Matriz Distâncias NTS'!$S$2:$AC$18,3,0)</f>
        <v>319.46766666666667</v>
      </c>
      <c r="E77" s="318">
        <f ca="1">VLOOKUP($B77,'Matriz Distâncias NTS'!$S$2:$AC$18,4,0)</f>
        <v>367.80966666666671</v>
      </c>
      <c r="F77" s="318">
        <f ca="1">VLOOKUP($B77,'Matriz Distâncias NTS'!$S$2:$AC$18,8,0)</f>
        <v>221.07166666666669</v>
      </c>
      <c r="G77" s="318">
        <f ca="1">VLOOKUP($B77,'Matriz Distâncias NTS'!$S$2:$AC$18,7,0)</f>
        <v>321.76766666666668</v>
      </c>
      <c r="H77" s="318">
        <f ca="1">VLOOKUP($B77,'Matriz Distâncias NTS'!$S$2:$AC$18,9,0)</f>
        <v>151.77433333333332</v>
      </c>
      <c r="I77" s="318">
        <f ca="1">VLOOKUP($B77,'Matriz Distâncias NTS'!$S$2:$AC$18,10,0)</f>
        <v>498.68566666666669</v>
      </c>
      <c r="J77" s="318">
        <f ca="1">VLOOKUP($B77,'Matriz Distâncias NTS'!$S$2:$AC$18,5,0)</f>
        <v>45.611333333333334</v>
      </c>
      <c r="K77" s="318">
        <f ca="1">VLOOKUP($B77,'Matriz Distâncias NTS'!$S$2:$AC$18,8,0)</f>
        <v>221.07166666666669</v>
      </c>
      <c r="L77" s="318">
        <f ca="1">VLOOKUP($B77,'Matriz Distâncias NTS'!$S$2:$AC$18,11,0)</f>
        <v>498.68566666666669</v>
      </c>
    </row>
    <row r="78" spans="1:12" x14ac:dyDescent="0.3">
      <c r="A78" s="2" t="s">
        <v>52</v>
      </c>
      <c r="B78" s="44" t="str">
        <f t="shared" si="0"/>
        <v>NTS SP 3</v>
      </c>
      <c r="C78" s="318">
        <f ca="1">VLOOKUP($B78,'Matriz Distâncias NTS'!$S$2:$AC$18,2,0)</f>
        <v>176.60120000000001</v>
      </c>
      <c r="D78" s="318">
        <f ca="1">VLOOKUP($B78,'Matriz Distâncias NTS'!$S$2:$AC$18,3,0)</f>
        <v>435.43320000000006</v>
      </c>
      <c r="E78" s="318">
        <f ca="1">VLOOKUP($B78,'Matriz Distâncias NTS'!$S$2:$AC$18,4,0)</f>
        <v>483.80799999999999</v>
      </c>
      <c r="F78" s="318">
        <f ca="1">VLOOKUP($B78,'Matriz Distâncias NTS'!$S$2:$AC$18,8,0)</f>
        <v>337.03720000000004</v>
      </c>
      <c r="G78" s="318">
        <f ca="1">VLOOKUP($B78,'Matriz Distâncias NTS'!$S$2:$AC$18,7,0)</f>
        <v>437.73320000000001</v>
      </c>
      <c r="H78" s="318">
        <f ca="1">VLOOKUP($B78,'Matriz Distâncias NTS'!$S$2:$AC$18,9,0)</f>
        <v>46.044000000000004</v>
      </c>
      <c r="I78" s="318">
        <f ca="1">VLOOKUP($B78,'Matriz Distâncias NTS'!$S$2:$AC$18,10,0)</f>
        <v>614.68399999999997</v>
      </c>
      <c r="J78" s="318">
        <f ca="1">VLOOKUP($B78,'Matriz Distâncias NTS'!$S$2:$AC$18,5,0)</f>
        <v>70.354199999999992</v>
      </c>
      <c r="K78" s="318">
        <f ca="1">VLOOKUP($B78,'Matriz Distâncias NTS'!$S$2:$AC$18,8,0)</f>
        <v>337.03720000000004</v>
      </c>
      <c r="L78" s="318">
        <f ca="1">VLOOKUP($B78,'Matriz Distâncias NTS'!$S$2:$AC$18,11,0)</f>
        <v>614.68399999999997</v>
      </c>
    </row>
    <row r="79" spans="1:12" x14ac:dyDescent="0.3">
      <c r="A79" s="2" t="s">
        <v>53</v>
      </c>
      <c r="B79" s="44" t="str">
        <f t="shared" si="0"/>
        <v>NTS SP 4</v>
      </c>
      <c r="C79" s="318">
        <f ca="1">VLOOKUP($B79,'Matriz Distâncias NTS'!$S$2:$AC$18,2,0)</f>
        <v>211.58399999999997</v>
      </c>
      <c r="D79" s="318">
        <f ca="1">VLOOKUP($B79,'Matriz Distâncias NTS'!$S$2:$AC$18,3,0)</f>
        <v>470.416</v>
      </c>
      <c r="E79" s="318">
        <f ca="1">VLOOKUP($B79,'Matriz Distâncias NTS'!$S$2:$AC$18,4,0)</f>
        <v>519.83799999999997</v>
      </c>
      <c r="F79" s="318">
        <f ca="1">VLOOKUP($B79,'Matriz Distâncias NTS'!$S$2:$AC$18,8,0)</f>
        <v>372.02</v>
      </c>
      <c r="G79" s="318">
        <f ca="1">VLOOKUP($B79,'Matriz Distâncias NTS'!$S$2:$AC$18,7,0)</f>
        <v>472.71600000000007</v>
      </c>
      <c r="H79" s="318">
        <f ca="1">VLOOKUP($B79,'Matriz Distâncias NTS'!$S$2:$AC$18,9,0)</f>
        <v>0.82600000000000007</v>
      </c>
      <c r="I79" s="318">
        <f ca="1">VLOOKUP($B79,'Matriz Distâncias NTS'!$S$2:$AC$18,10,0)</f>
        <v>650.71399999999994</v>
      </c>
      <c r="J79" s="318">
        <f ca="1">VLOOKUP($B79,'Matriz Distâncias NTS'!$S$2:$AC$18,5,0)</f>
        <v>105.337</v>
      </c>
      <c r="K79" s="318">
        <f ca="1">VLOOKUP($B79,'Matriz Distâncias NTS'!$S$2:$AC$18,8,0)</f>
        <v>372.02</v>
      </c>
      <c r="L79" s="318">
        <f ca="1">VLOOKUP($B79,'Matriz Distâncias NTS'!$S$2:$AC$18,11,0)</f>
        <v>650.71399999999994</v>
      </c>
    </row>
    <row r="80" spans="1:12" x14ac:dyDescent="0.3">
      <c r="A80" s="2" t="s">
        <v>54</v>
      </c>
      <c r="B80" s="44" t="str">
        <f t="shared" si="0"/>
        <v>PE-GUARAREMA (INTERCONEXÃO)</v>
      </c>
      <c r="C80" s="318">
        <f>VLOOKUP($B80,'Matriz Distâncias NTS'!$S$2:$AC$18,2,0)</f>
        <v>106.247</v>
      </c>
      <c r="D80" s="318">
        <f>VLOOKUP($B80,'Matriz Distâncias NTS'!$S$2:$AC$18,3,0)</f>
        <v>365.07900000000001</v>
      </c>
      <c r="E80" s="318">
        <f>VLOOKUP($B80,'Matriz Distâncias NTS'!$S$2:$AC$18,4,0)</f>
        <v>414.50099999999998</v>
      </c>
      <c r="F80" s="318">
        <f>VLOOKUP($B80,'Matriz Distâncias NTS'!$S$2:$AC$18,8,0)</f>
        <v>266.68299999999999</v>
      </c>
      <c r="G80" s="318">
        <f>VLOOKUP($B80,'Matriz Distâncias NTS'!$S$2:$AC$18,7,0)</f>
        <v>367.37900000000002</v>
      </c>
      <c r="H80" s="318">
        <f>VLOOKUP($B80,'Matriz Distâncias NTS'!$S$2:$AC$18,9,0)</f>
        <v>106.163</v>
      </c>
      <c r="I80" s="318">
        <f>VLOOKUP($B80,'Matriz Distâncias NTS'!$S$2:$AC$18,10,0)</f>
        <v>545.37699999999995</v>
      </c>
      <c r="J80" s="318">
        <f>VLOOKUP($B80,'Matriz Distâncias NTS'!$S$2:$AC$18,5,0)</f>
        <v>0</v>
      </c>
      <c r="K80" s="318">
        <f>VLOOKUP($B80,'Matriz Distâncias NTS'!$S$2:$AC$18,8,0)</f>
        <v>266.68299999999999</v>
      </c>
      <c r="L80" s="318">
        <f>VLOOKUP($B80,'Matriz Distâncias NTS'!$S$2:$AC$18,11,0)</f>
        <v>545.37699999999995</v>
      </c>
    </row>
    <row r="81" spans="1:12" x14ac:dyDescent="0.3">
      <c r="A81" s="2" t="s">
        <v>55</v>
      </c>
      <c r="B81" s="44" t="str">
        <f t="shared" si="0"/>
        <v>PE-REPLAN (INTERCONEXÃO)</v>
      </c>
      <c r="C81" s="318">
        <f>VLOOKUP($B81,'Matriz Distâncias NTS'!$S$2:$AC$18,2,0)</f>
        <v>300.863</v>
      </c>
      <c r="D81" s="318">
        <f>VLOOKUP($B81,'Matriz Distâncias NTS'!$S$2:$AC$18,3,0)</f>
        <v>502.41399999999999</v>
      </c>
      <c r="E81" s="318">
        <f>VLOOKUP($B81,'Matriz Distâncias NTS'!$S$2:$AC$18,4,0)</f>
        <v>551.83600000000001</v>
      </c>
      <c r="F81" s="318">
        <f>VLOOKUP($B81,'Matriz Distâncias NTS'!$S$2:$AC$18,8,0)</f>
        <v>0</v>
      </c>
      <c r="G81" s="318">
        <f>VLOOKUP($B81,'Matriz Distâncias NTS'!$S$2:$AC$18,7,0)</f>
        <v>504.714</v>
      </c>
      <c r="H81" s="318">
        <f>VLOOKUP($B81,'Matriz Distâncias NTS'!$S$2:$AC$18,9,0)</f>
        <v>372.846</v>
      </c>
      <c r="I81" s="318">
        <f>VLOOKUP($B81,'Matriz Distâncias NTS'!$S$2:$AC$18,10,0)</f>
        <v>682.71199999999999</v>
      </c>
      <c r="J81" s="318">
        <f>VLOOKUP($B81,'Matriz Distâncias NTS'!$S$2:$AC$18,5,0)</f>
        <v>266.68299999999999</v>
      </c>
      <c r="K81" s="318">
        <f>VLOOKUP($B81,'Matriz Distâncias NTS'!$S$2:$AC$18,8,0)</f>
        <v>0</v>
      </c>
      <c r="L81" s="318">
        <f>VLOOKUP($B81,'Matriz Distâncias NTS'!$S$2:$AC$18,11,0)</f>
        <v>682.71199999999999</v>
      </c>
    </row>
    <row r="82" spans="1:12" x14ac:dyDescent="0.3">
      <c r="A82" s="2" t="s">
        <v>56</v>
      </c>
      <c r="B82" s="44" t="str">
        <f t="shared" si="0"/>
        <v>PE-TECAB (INTERCONEXÃO)</v>
      </c>
      <c r="C82" s="318">
        <f>VLOOKUP($B82,'Matriz Distâncias NTS'!$S$2:$AC$18,2,0)</f>
        <v>579.55700000000002</v>
      </c>
      <c r="D82" s="318">
        <f>VLOOKUP($B82,'Matriz Distâncias NTS'!$S$2:$AC$18,3,0)</f>
        <v>180.298</v>
      </c>
      <c r="E82" s="318">
        <f>VLOOKUP($B82,'Matriz Distâncias NTS'!$S$2:$AC$18,4,0)</f>
        <v>152.876</v>
      </c>
      <c r="F82" s="318">
        <f>VLOOKUP($B82,'Matriz Distâncias NTS'!$S$2:$AC$18,8,0)</f>
        <v>682.71199999999999</v>
      </c>
      <c r="G82" s="318">
        <f>VLOOKUP($B82,'Matriz Distâncias NTS'!$S$2:$AC$18,7,0)</f>
        <v>180.298</v>
      </c>
      <c r="H82" s="318">
        <f>VLOOKUP($B82,'Matriz Distâncias NTS'!$S$2:$AC$18,9,0)</f>
        <v>651.54</v>
      </c>
      <c r="I82" s="318">
        <f>VLOOKUP($B82,'Matriz Distâncias NTS'!$S$2:$AC$18,10,0)</f>
        <v>0</v>
      </c>
      <c r="J82" s="318">
        <f>VLOOKUP($B82,'Matriz Distâncias NTS'!$S$2:$AC$18,5,0)</f>
        <v>545.37699999999995</v>
      </c>
      <c r="K82" s="318">
        <f>VLOOKUP($B82,'Matriz Distâncias NTS'!$S$2:$AC$18,8,0)</f>
        <v>682.71199999999999</v>
      </c>
      <c r="L82" s="318">
        <f>VLOOKUP($B82,'Matriz Distâncias NTS'!$S$2:$AC$18,11,0)</f>
        <v>0</v>
      </c>
    </row>
    <row r="85" spans="1:12" s="98" customFormat="1" x14ac:dyDescent="0.3">
      <c r="A85" s="98" t="s">
        <v>144</v>
      </c>
      <c r="B85" s="98" t="s">
        <v>519</v>
      </c>
    </row>
    <row r="88" spans="1:12" x14ac:dyDescent="0.3">
      <c r="A88" t="s">
        <v>125</v>
      </c>
      <c r="B88" t="s">
        <v>126</v>
      </c>
    </row>
    <row r="89" spans="1:12" ht="15.6" x14ac:dyDescent="0.35">
      <c r="A89" t="s">
        <v>300</v>
      </c>
      <c r="B89" t="s">
        <v>145</v>
      </c>
    </row>
    <row r="90" spans="1:12" ht="15.6" x14ac:dyDescent="0.35">
      <c r="A90" t="s">
        <v>301</v>
      </c>
      <c r="B90" t="s">
        <v>146</v>
      </c>
    </row>
    <row r="92" spans="1:12" x14ac:dyDescent="0.3">
      <c r="A92" t="s">
        <v>147</v>
      </c>
    </row>
    <row r="93" spans="1:12" x14ac:dyDescent="0.3">
      <c r="A93" s="109"/>
      <c r="B93" s="109"/>
    </row>
    <row r="94" spans="1:12" x14ac:dyDescent="0.3">
      <c r="A94" s="109"/>
      <c r="B94" s="109"/>
    </row>
    <row r="95" spans="1:12" x14ac:dyDescent="0.3">
      <c r="A95" s="109"/>
      <c r="B95" s="109"/>
    </row>
    <row r="98" spans="1:27" ht="15.6" x14ac:dyDescent="0.35">
      <c r="A98" s="110" t="s">
        <v>302</v>
      </c>
      <c r="B98" s="111" t="s">
        <v>148</v>
      </c>
      <c r="D98" s="110" t="s">
        <v>303</v>
      </c>
      <c r="E98" s="111" t="s">
        <v>148</v>
      </c>
      <c r="G98" s="112" t="s">
        <v>302</v>
      </c>
      <c r="H98" s="95" t="s">
        <v>304</v>
      </c>
      <c r="I98" s="95" t="s">
        <v>305</v>
      </c>
      <c r="J98" s="95" t="s">
        <v>306</v>
      </c>
      <c r="K98" s="95" t="s">
        <v>307</v>
      </c>
      <c r="L98" s="95" t="s">
        <v>308</v>
      </c>
      <c r="M98" s="95" t="s">
        <v>309</v>
      </c>
      <c r="N98" s="95" t="s">
        <v>310</v>
      </c>
      <c r="O98" s="95" t="s">
        <v>311</v>
      </c>
      <c r="P98" s="95" t="s">
        <v>312</v>
      </c>
      <c r="Q98" s="95" t="s">
        <v>313</v>
      </c>
      <c r="R98" s="95"/>
      <c r="S98" s="95"/>
      <c r="T98" s="95"/>
      <c r="U98" s="95"/>
      <c r="V98" s="95"/>
      <c r="W98" s="95"/>
      <c r="X98" s="95"/>
      <c r="Y98" s="95"/>
      <c r="Z98" s="95"/>
      <c r="AA98" s="95"/>
    </row>
    <row r="99" spans="1:27" ht="15.6" x14ac:dyDescent="0.35">
      <c r="A99" t="s">
        <v>304</v>
      </c>
      <c r="B99" s="115">
        <f>H24/$H$34</f>
        <v>0.20617147510469985</v>
      </c>
      <c r="C99" s="9"/>
      <c r="D99" t="s">
        <v>314</v>
      </c>
      <c r="E99" s="113">
        <f>H41/$H$57</f>
        <v>1.039543765306297E-2</v>
      </c>
      <c r="G99" s="112" t="s">
        <v>148</v>
      </c>
      <c r="H99" s="114">
        <f>H24/$H$34</f>
        <v>0.20617147510469985</v>
      </c>
      <c r="I99" s="114">
        <f>H25/$H$34</f>
        <v>0.29083294555607259</v>
      </c>
      <c r="J99" s="114">
        <f>$H26/$H$34</f>
        <v>0.18904141461144716</v>
      </c>
      <c r="K99" s="114">
        <f>$H27/$H$34</f>
        <v>4.8714518380642158E-3</v>
      </c>
      <c r="L99" s="114">
        <f>$H28/$H$34</f>
        <v>0</v>
      </c>
      <c r="M99" s="114">
        <f>$H29/$H$34</f>
        <v>0</v>
      </c>
      <c r="N99" s="114">
        <f>$H30/$H$34</f>
        <v>0.21601617031177289</v>
      </c>
      <c r="O99" s="114">
        <f>$H31/$H$34</f>
        <v>8.7249883666821779E-2</v>
      </c>
      <c r="P99" s="114">
        <f>$H32/$H$34</f>
        <v>2.9083294555607262E-3</v>
      </c>
      <c r="Q99" s="114">
        <f>$H33/$H$34</f>
        <v>2.9083294555607262E-3</v>
      </c>
      <c r="R99" s="114">
        <f>SUM(H99:Q99)</f>
        <v>1</v>
      </c>
      <c r="S99" s="113"/>
      <c r="T99" s="113"/>
      <c r="U99" s="113"/>
      <c r="V99" s="113"/>
      <c r="W99" s="113"/>
    </row>
    <row r="100" spans="1:27" ht="15.6" x14ac:dyDescent="0.35">
      <c r="A100" t="s">
        <v>305</v>
      </c>
      <c r="B100" s="115">
        <f t="shared" ref="B100:B108" si="1">H25/$H$34</f>
        <v>0.29083294555607259</v>
      </c>
      <c r="C100" s="4"/>
      <c r="D100" t="s">
        <v>315</v>
      </c>
      <c r="E100" s="113">
        <f t="shared" ref="E100:E114" si="2">H42/$H$57</f>
        <v>2.8737305406655138E-2</v>
      </c>
      <c r="W100" s="116"/>
    </row>
    <row r="101" spans="1:27" ht="15.6" x14ac:dyDescent="0.35">
      <c r="A101" t="s">
        <v>306</v>
      </c>
      <c r="B101" s="115">
        <f t="shared" si="1"/>
        <v>0.18904141461144716</v>
      </c>
      <c r="C101" s="4"/>
      <c r="D101" t="s">
        <v>316</v>
      </c>
      <c r="E101" s="113">
        <f t="shared" si="2"/>
        <v>4.6873662036957753E-2</v>
      </c>
      <c r="G101" s="113"/>
    </row>
    <row r="102" spans="1:27" ht="15.6" x14ac:dyDescent="0.35">
      <c r="A102" t="s">
        <v>307</v>
      </c>
      <c r="B102" s="115">
        <f t="shared" si="1"/>
        <v>4.8714518380642158E-3</v>
      </c>
      <c r="C102" s="4"/>
      <c r="D102" t="s">
        <v>317</v>
      </c>
      <c r="E102" s="113">
        <f t="shared" si="2"/>
        <v>5.7371855251665497E-3</v>
      </c>
      <c r="G102" s="113"/>
    </row>
    <row r="103" spans="1:27" ht="15.6" x14ac:dyDescent="0.35">
      <c r="A103" t="s">
        <v>308</v>
      </c>
      <c r="B103" s="115">
        <f t="shared" si="1"/>
        <v>0</v>
      </c>
      <c r="C103" s="4"/>
      <c r="D103" t="s">
        <v>318</v>
      </c>
      <c r="E103" s="113">
        <f t="shared" si="2"/>
        <v>0.30472161805757736</v>
      </c>
      <c r="G103" s="113"/>
      <c r="H103" s="115"/>
      <c r="I103" s="115"/>
    </row>
    <row r="104" spans="1:27" ht="15.6" x14ac:dyDescent="0.35">
      <c r="A104" t="s">
        <v>309</v>
      </c>
      <c r="B104" s="115">
        <f t="shared" si="1"/>
        <v>0</v>
      </c>
      <c r="C104" s="4"/>
      <c r="D104" t="s">
        <v>319</v>
      </c>
      <c r="E104" s="113">
        <f t="shared" si="2"/>
        <v>0.14396054186432841</v>
      </c>
      <c r="G104" s="113"/>
      <c r="H104" s="115"/>
      <c r="I104" s="115"/>
    </row>
    <row r="105" spans="1:27" ht="15.6" x14ac:dyDescent="0.35">
      <c r="A105" t="s">
        <v>310</v>
      </c>
      <c r="B105" s="115">
        <f t="shared" si="1"/>
        <v>0.21601617031177289</v>
      </c>
      <c r="C105" s="4"/>
      <c r="D105" t="s">
        <v>320</v>
      </c>
      <c r="E105" s="113">
        <f t="shared" si="2"/>
        <v>2.9353838776523776E-2</v>
      </c>
      <c r="G105" s="113"/>
      <c r="H105" s="115"/>
      <c r="I105" s="115"/>
    </row>
    <row r="106" spans="1:27" ht="15.6" x14ac:dyDescent="0.35">
      <c r="A106" t="s">
        <v>311</v>
      </c>
      <c r="B106" s="115">
        <f t="shared" si="1"/>
        <v>8.7249883666821779E-2</v>
      </c>
      <c r="C106" s="4"/>
      <c r="D106" t="s">
        <v>321</v>
      </c>
      <c r="E106" s="113">
        <f t="shared" si="2"/>
        <v>5.5316744018770016E-3</v>
      </c>
      <c r="G106" s="113"/>
      <c r="H106" s="115"/>
      <c r="I106" s="115"/>
    </row>
    <row r="107" spans="1:27" ht="15.6" x14ac:dyDescent="0.35">
      <c r="A107" t="s">
        <v>312</v>
      </c>
      <c r="B107" s="115">
        <f t="shared" si="1"/>
        <v>2.9083294555607262E-3</v>
      </c>
      <c r="C107" s="4"/>
      <c r="D107" t="s">
        <v>322</v>
      </c>
      <c r="E107" s="113">
        <f t="shared" si="2"/>
        <v>3.6443972530013177E-2</v>
      </c>
      <c r="G107" s="113"/>
      <c r="H107" s="115"/>
      <c r="I107" s="115"/>
    </row>
    <row r="108" spans="1:27" ht="15.6" x14ac:dyDescent="0.35">
      <c r="A108" t="s">
        <v>313</v>
      </c>
      <c r="B108" s="115">
        <f t="shared" si="1"/>
        <v>2.9083294555607262E-3</v>
      </c>
      <c r="D108" t="s">
        <v>323</v>
      </c>
      <c r="E108" s="113">
        <f t="shared" si="2"/>
        <v>2.1184771625764244E-2</v>
      </c>
      <c r="G108" s="113"/>
    </row>
    <row r="109" spans="1:27" ht="15.6" x14ac:dyDescent="0.35">
      <c r="B109" s="115">
        <f>SUM(B99:B108)</f>
        <v>1</v>
      </c>
      <c r="D109" t="s">
        <v>324</v>
      </c>
      <c r="E109" s="113">
        <f t="shared" si="2"/>
        <v>5.0898254868044723E-2</v>
      </c>
      <c r="G109" s="113"/>
    </row>
    <row r="110" spans="1:27" ht="15.6" x14ac:dyDescent="0.35">
      <c r="B110" s="115"/>
      <c r="D110" t="s">
        <v>325</v>
      </c>
      <c r="E110" s="113">
        <f t="shared" si="2"/>
        <v>0.13647651179120068</v>
      </c>
      <c r="G110" s="113"/>
    </row>
    <row r="111" spans="1:27" ht="15.6" x14ac:dyDescent="0.35">
      <c r="B111" s="115"/>
      <c r="D111" t="s">
        <v>326</v>
      </c>
      <c r="E111" s="113">
        <f t="shared" si="2"/>
        <v>5.6190166292750587E-2</v>
      </c>
    </row>
    <row r="112" spans="1:27" ht="15.6" x14ac:dyDescent="0.35">
      <c r="B112" s="115"/>
      <c r="D112" t="s">
        <v>327</v>
      </c>
      <c r="E112" s="113">
        <f t="shared" si="2"/>
        <v>0</v>
      </c>
    </row>
    <row r="113" spans="1:5" ht="15.6" x14ac:dyDescent="0.35">
      <c r="B113" s="115"/>
      <c r="D113" t="s">
        <v>328</v>
      </c>
      <c r="E113" s="113">
        <f t="shared" si="2"/>
        <v>0.12006987378191845</v>
      </c>
    </row>
    <row r="114" spans="1:5" ht="15.6" x14ac:dyDescent="0.35">
      <c r="B114" s="115"/>
      <c r="D114" t="s">
        <v>329</v>
      </c>
      <c r="E114" s="113">
        <f t="shared" si="2"/>
        <v>3.4251853881591345E-3</v>
      </c>
    </row>
    <row r="115" spans="1:5" x14ac:dyDescent="0.3">
      <c r="E115" s="113">
        <f>SUM(E99:E114)</f>
        <v>1</v>
      </c>
    </row>
    <row r="117" spans="1:5" s="98" customFormat="1" x14ac:dyDescent="0.3">
      <c r="A117" s="98" t="s">
        <v>149</v>
      </c>
      <c r="B117" s="98" t="s">
        <v>518</v>
      </c>
    </row>
    <row r="119" spans="1:5" x14ac:dyDescent="0.3">
      <c r="A119" t="s">
        <v>125</v>
      </c>
      <c r="B119" t="s">
        <v>126</v>
      </c>
    </row>
    <row r="120" spans="1:5" ht="15.6" x14ac:dyDescent="0.35">
      <c r="A120" t="s">
        <v>330</v>
      </c>
      <c r="B120" t="s">
        <v>150</v>
      </c>
    </row>
    <row r="121" spans="1:5" ht="15.6" x14ac:dyDescent="0.35">
      <c r="A121" t="s">
        <v>331</v>
      </c>
      <c r="B121" t="s">
        <v>151</v>
      </c>
    </row>
    <row r="123" spans="1:5" x14ac:dyDescent="0.3">
      <c r="A123" t="s">
        <v>147</v>
      </c>
    </row>
    <row r="124" spans="1:5" x14ac:dyDescent="0.3">
      <c r="A124" s="109"/>
      <c r="B124" s="109"/>
    </row>
    <row r="125" spans="1:5" x14ac:dyDescent="0.3">
      <c r="A125" s="109"/>
      <c r="B125" s="109"/>
    </row>
    <row r="126" spans="1:5" x14ac:dyDescent="0.3">
      <c r="A126" s="109"/>
      <c r="B126" s="109"/>
    </row>
    <row r="127" spans="1:5" x14ac:dyDescent="0.3">
      <c r="A127" s="109"/>
      <c r="B127" s="109"/>
    </row>
    <row r="129" spans="1:5" ht="15.6" x14ac:dyDescent="0.3">
      <c r="A129" s="110" t="s">
        <v>332</v>
      </c>
      <c r="B129" s="111" t="s">
        <v>148</v>
      </c>
      <c r="D129" s="110" t="s">
        <v>333</v>
      </c>
      <c r="E129" s="111" t="s">
        <v>148</v>
      </c>
    </row>
    <row r="130" spans="1:5" ht="15.6" x14ac:dyDescent="0.35">
      <c r="A130" t="s">
        <v>334</v>
      </c>
      <c r="B130" s="113">
        <f ca="1">SUMPRODUCT($E$99:$E$114,C$67:C$82)</f>
        <v>351.07719645892911</v>
      </c>
      <c r="C130" s="117"/>
      <c r="D130" t="s">
        <v>335</v>
      </c>
      <c r="E130" s="4">
        <f ca="1">SUMPRODUCT($H$99:$Q$99,$C67:$L67)</f>
        <v>357.35369706840385</v>
      </c>
    </row>
    <row r="131" spans="1:5" ht="15.6" x14ac:dyDescent="0.35">
      <c r="A131" t="s">
        <v>336</v>
      </c>
      <c r="B131" s="113">
        <f ca="1">SUMPRODUCT($E$99:$E$114,D$67:D$82)</f>
        <v>239.33429862421721</v>
      </c>
      <c r="C131" s="117"/>
      <c r="D131" t="s">
        <v>337</v>
      </c>
      <c r="E131" s="4">
        <f t="shared" ref="E131:E145" ca="1" si="3">SUMPRODUCT($H$99:$Q$99,$C68:$L68)</f>
        <v>454.51769706840389</v>
      </c>
    </row>
    <row r="132" spans="1:5" ht="15.6" x14ac:dyDescent="0.35">
      <c r="A132" t="s">
        <v>338</v>
      </c>
      <c r="B132" s="113">
        <f ca="1">SUMPRODUCT($E$99:$E$114,E$67:E$82)</f>
        <v>275.28400309122975</v>
      </c>
      <c r="C132" s="117"/>
      <c r="D132" t="s">
        <v>339</v>
      </c>
      <c r="E132" s="4">
        <f t="shared" ca="1" si="3"/>
        <v>571.68289706840392</v>
      </c>
    </row>
    <row r="133" spans="1:5" ht="15.6" x14ac:dyDescent="0.35">
      <c r="A133" t="s">
        <v>340</v>
      </c>
      <c r="B133" s="113">
        <f ca="1">SUMPRODUCT($E$99:$E$114,F$67:F$82)</f>
        <v>416.74052411102173</v>
      </c>
      <c r="C133" s="117"/>
      <c r="D133" t="s">
        <v>341</v>
      </c>
      <c r="E133" s="4">
        <f t="shared" ca="1" si="3"/>
        <v>578.96421390763123</v>
      </c>
    </row>
    <row r="134" spans="1:5" ht="15.6" x14ac:dyDescent="0.35">
      <c r="A134" t="s">
        <v>342</v>
      </c>
      <c r="B134" s="113">
        <f ca="1">SUMPRODUCT($E$99:$E$114,G$67:G$82)</f>
        <v>228.48236613347947</v>
      </c>
      <c r="C134" s="117"/>
      <c r="D134" t="s">
        <v>343</v>
      </c>
      <c r="E134" s="4">
        <f t="shared" ca="1" si="3"/>
        <v>195.55133363386074</v>
      </c>
    </row>
    <row r="135" spans="1:5" ht="15.6" x14ac:dyDescent="0.35">
      <c r="A135" t="s">
        <v>344</v>
      </c>
      <c r="B135" s="113">
        <f ca="1">SUMPRODUCT($E$99:$E$114,H$67:H$82)</f>
        <v>378.57832051686046</v>
      </c>
      <c r="C135" s="117"/>
      <c r="D135" t="s">
        <v>345</v>
      </c>
      <c r="E135" s="4">
        <f t="shared" ca="1" si="3"/>
        <v>185.11487055025592</v>
      </c>
    </row>
    <row r="136" spans="1:5" ht="15.6" x14ac:dyDescent="0.35">
      <c r="A136" t="s">
        <v>346</v>
      </c>
      <c r="B136" s="113">
        <f ca="1">SUMPRODUCT($E$99:$E$114,I$67:I$82)</f>
        <v>379.07406666267065</v>
      </c>
      <c r="D136" t="s">
        <v>347</v>
      </c>
      <c r="E136" s="4">
        <f t="shared" ca="1" si="3"/>
        <v>204.39310235574683</v>
      </c>
    </row>
    <row r="137" spans="1:5" ht="15.6" x14ac:dyDescent="0.35">
      <c r="A137" t="s">
        <v>348</v>
      </c>
      <c r="B137" s="113">
        <f ca="1">SUMPRODUCT($E$99:$E$114,J$67:J$82)</f>
        <v>302.16339752872875</v>
      </c>
      <c r="D137" t="s">
        <v>349</v>
      </c>
      <c r="E137" s="4">
        <f t="shared" ca="1" si="3"/>
        <v>228.27238072940901</v>
      </c>
    </row>
    <row r="138" spans="1:5" ht="15.6" x14ac:dyDescent="0.35">
      <c r="A138" t="s">
        <v>350</v>
      </c>
      <c r="B138" s="113">
        <f ca="1">SUMPRODUCT($E$99:$E$114,K$67:K$82)</f>
        <v>416.74052411102173</v>
      </c>
      <c r="D138" t="s">
        <v>351</v>
      </c>
      <c r="E138" s="4">
        <f t="shared" ca="1" si="3"/>
        <v>191.56675173045602</v>
      </c>
    </row>
    <row r="139" spans="1:5" ht="15.6" x14ac:dyDescent="0.35">
      <c r="A139" t="s">
        <v>352</v>
      </c>
      <c r="B139" s="113">
        <f ca="1">SUMPRODUCT($E$99:$E$114,L$67:L$82)</f>
        <v>379.07406666267065</v>
      </c>
      <c r="D139" t="s">
        <v>353</v>
      </c>
      <c r="E139" s="4">
        <f t="shared" ca="1" si="3"/>
        <v>309.21480985826742</v>
      </c>
    </row>
    <row r="140" spans="1:5" ht="15.6" x14ac:dyDescent="0.35">
      <c r="B140" s="113"/>
      <c r="D140" t="s">
        <v>354</v>
      </c>
      <c r="E140" s="4">
        <f t="shared" ca="1" si="3"/>
        <v>293.30927404219017</v>
      </c>
    </row>
    <row r="141" spans="1:5" ht="15.6" x14ac:dyDescent="0.35">
      <c r="B141" s="113"/>
      <c r="D141" t="s">
        <v>355</v>
      </c>
      <c r="E141" s="4">
        <f t="shared" ca="1" si="3"/>
        <v>397.83805746277335</v>
      </c>
    </row>
    <row r="142" spans="1:5" ht="15.6" x14ac:dyDescent="0.35">
      <c r="B142" s="113"/>
      <c r="D142" t="s">
        <v>356</v>
      </c>
      <c r="E142" s="4">
        <f t="shared" ca="1" si="3"/>
        <v>433.24807936831087</v>
      </c>
    </row>
    <row r="143" spans="1:5" ht="15.6" x14ac:dyDescent="0.35">
      <c r="B143" s="113"/>
      <c r="D143" t="s">
        <v>357</v>
      </c>
      <c r="E143" s="4">
        <f t="shared" si="3"/>
        <v>327.91107936831082</v>
      </c>
    </row>
    <row r="144" spans="1:5" ht="15.6" x14ac:dyDescent="0.35">
      <c r="B144" s="113"/>
      <c r="D144" t="s">
        <v>358</v>
      </c>
      <c r="E144" s="4">
        <f t="shared" si="3"/>
        <v>485.19821390763138</v>
      </c>
    </row>
    <row r="145" spans="1:5" ht="15.6" x14ac:dyDescent="0.35">
      <c r="B145" s="113"/>
      <c r="D145" t="s">
        <v>359</v>
      </c>
      <c r="E145" s="4">
        <f t="shared" si="3"/>
        <v>253.72004516635641</v>
      </c>
    </row>
    <row r="147" spans="1:5" s="98" customFormat="1" x14ac:dyDescent="0.3">
      <c r="A147" s="98" t="s">
        <v>152</v>
      </c>
      <c r="B147" s="98" t="s">
        <v>517</v>
      </c>
    </row>
    <row r="149" spans="1:5" x14ac:dyDescent="0.3">
      <c r="A149" t="s">
        <v>125</v>
      </c>
      <c r="B149" t="s">
        <v>126</v>
      </c>
    </row>
    <row r="150" spans="1:5" ht="15.6" x14ac:dyDescent="0.35">
      <c r="A150" t="s">
        <v>360</v>
      </c>
      <c r="B150" t="s">
        <v>153</v>
      </c>
    </row>
    <row r="151" spans="1:5" ht="15.6" x14ac:dyDescent="0.35">
      <c r="A151" t="s">
        <v>361</v>
      </c>
      <c r="B151" t="s">
        <v>154</v>
      </c>
    </row>
    <row r="153" spans="1:5" x14ac:dyDescent="0.3">
      <c r="A153" t="s">
        <v>147</v>
      </c>
    </row>
    <row r="154" spans="1:5" x14ac:dyDescent="0.3">
      <c r="A154" s="109"/>
      <c r="B154" s="109"/>
    </row>
    <row r="155" spans="1:5" x14ac:dyDescent="0.3">
      <c r="A155" s="109"/>
      <c r="B155" s="109"/>
    </row>
    <row r="156" spans="1:5" x14ac:dyDescent="0.3">
      <c r="A156" s="109"/>
      <c r="B156" s="109"/>
    </row>
    <row r="157" spans="1:5" x14ac:dyDescent="0.3">
      <c r="A157" s="109"/>
      <c r="B157" s="109"/>
    </row>
    <row r="158" spans="1:5" x14ac:dyDescent="0.3">
      <c r="A158" s="109"/>
      <c r="B158" s="109"/>
    </row>
    <row r="159" spans="1:5" x14ac:dyDescent="0.3">
      <c r="A159" s="109"/>
      <c r="B159" s="109"/>
    </row>
    <row r="161" spans="1:9" ht="15.6" x14ac:dyDescent="0.3">
      <c r="A161" s="110" t="s">
        <v>362</v>
      </c>
      <c r="B161" s="111" t="s">
        <v>148</v>
      </c>
      <c r="D161" s="110" t="s">
        <v>363</v>
      </c>
      <c r="E161" s="111" t="s">
        <v>148</v>
      </c>
    </row>
    <row r="162" spans="1:9" ht="15.6" x14ac:dyDescent="0.35">
      <c r="A162" t="s">
        <v>364</v>
      </c>
      <c r="B162" s="118">
        <f ca="1">($H24*$B130)/SUMPRODUCT($H$24:$H$33,$B$130:$B$139)</f>
        <v>0.23606224865334369</v>
      </c>
      <c r="C162" s="36"/>
      <c r="D162" t="s">
        <v>365</v>
      </c>
      <c r="E162" s="118">
        <f t="shared" ref="E162:E177" ca="1" si="4">($H41*$E130)/SUMPRODUCT($H$41:$H$56,$E$130:$E$145)</f>
        <v>1.211536206679918E-2</v>
      </c>
    </row>
    <row r="163" spans="1:9" ht="15.6" x14ac:dyDescent="0.35">
      <c r="A163" t="s">
        <v>366</v>
      </c>
      <c r="B163" s="118">
        <f t="shared" ref="B163:B171" ca="1" si="5">($H25*$B131)/SUMPRODUCT($H$24:$H$33,$B$130:$B$139)</f>
        <v>0.22700942200551702</v>
      </c>
      <c r="C163" s="4"/>
      <c r="D163" t="s">
        <v>367</v>
      </c>
      <c r="E163" s="118">
        <f t="shared" ca="1" si="4"/>
        <v>4.2598291486368581E-2</v>
      </c>
    </row>
    <row r="164" spans="1:9" ht="15.6" x14ac:dyDescent="0.35">
      <c r="A164" t="s">
        <v>368</v>
      </c>
      <c r="B164" s="118">
        <f t="shared" ca="1" si="5"/>
        <v>0.16972009783978417</v>
      </c>
      <c r="C164" s="4"/>
      <c r="D164" t="s">
        <v>369</v>
      </c>
      <c r="E164" s="118">
        <f t="shared" ca="1" si="4"/>
        <v>8.7393558636060048E-2</v>
      </c>
      <c r="H164" s="119"/>
      <c r="I164" s="119"/>
    </row>
    <row r="165" spans="1:9" ht="15.6" x14ac:dyDescent="0.35">
      <c r="A165" t="s">
        <v>370</v>
      </c>
      <c r="B165" s="118">
        <f t="shared" ca="1" si="5"/>
        <v>6.6209374766300517E-3</v>
      </c>
      <c r="C165" s="4"/>
      <c r="D165" t="s">
        <v>371</v>
      </c>
      <c r="E165" s="118">
        <f t="shared" ca="1" si="4"/>
        <v>1.0832930441404012E-2</v>
      </c>
    </row>
    <row r="166" spans="1:9" ht="15.6" x14ac:dyDescent="0.35">
      <c r="A166" t="s">
        <v>372</v>
      </c>
      <c r="B166" s="118">
        <f t="shared" ca="1" si="5"/>
        <v>0</v>
      </c>
      <c r="C166" s="4"/>
      <c r="D166" t="s">
        <v>373</v>
      </c>
      <c r="E166" s="118">
        <f t="shared" ca="1" si="4"/>
        <v>0.19433874230799286</v>
      </c>
    </row>
    <row r="167" spans="1:9" ht="15.6" x14ac:dyDescent="0.35">
      <c r="A167" t="s">
        <v>374</v>
      </c>
      <c r="B167" s="118">
        <f t="shared" ca="1" si="5"/>
        <v>0</v>
      </c>
      <c r="C167" s="4"/>
      <c r="D167" t="s">
        <v>375</v>
      </c>
      <c r="E167" s="118">
        <f t="shared" ca="1" si="4"/>
        <v>8.6912075312291448E-2</v>
      </c>
    </row>
    <row r="168" spans="1:9" ht="15.6" x14ac:dyDescent="0.35">
      <c r="A168" t="s">
        <v>376</v>
      </c>
      <c r="B168" s="118">
        <f t="shared" ca="1" si="5"/>
        <v>0.26705805187810078</v>
      </c>
      <c r="C168" s="4"/>
      <c r="D168" t="s">
        <v>377</v>
      </c>
      <c r="E168" s="118">
        <f t="shared" ca="1" si="4"/>
        <v>1.9567100701725487E-2</v>
      </c>
    </row>
    <row r="169" spans="1:9" ht="15.6" x14ac:dyDescent="0.35">
      <c r="A169" t="s">
        <v>378</v>
      </c>
      <c r="B169" s="118">
        <f t="shared" ca="1" si="5"/>
        <v>8.598091283011694E-2</v>
      </c>
      <c r="C169" s="4"/>
      <c r="D169" t="s">
        <v>379</v>
      </c>
      <c r="E169" s="118">
        <f t="shared" ca="1" si="4"/>
        <v>4.1181799277950635E-3</v>
      </c>
    </row>
    <row r="170" spans="1:9" ht="15.6" x14ac:dyDescent="0.35">
      <c r="A170" t="s">
        <v>380</v>
      </c>
      <c r="B170" s="118">
        <f t="shared" ca="1" si="5"/>
        <v>3.9527984935104794E-3</v>
      </c>
      <c r="D170" t="s">
        <v>381</v>
      </c>
      <c r="E170" s="118">
        <f t="shared" ca="1" si="4"/>
        <v>2.2768854708290067E-2</v>
      </c>
    </row>
    <row r="171" spans="1:9" ht="15.6" x14ac:dyDescent="0.35">
      <c r="A171" t="s">
        <v>382</v>
      </c>
      <c r="B171" s="118">
        <f t="shared" ca="1" si="5"/>
        <v>3.5955308229969813E-3</v>
      </c>
      <c r="D171" t="s">
        <v>383</v>
      </c>
      <c r="E171" s="118">
        <f t="shared" ca="1" si="4"/>
        <v>2.1363844727225391E-2</v>
      </c>
    </row>
    <row r="172" spans="1:9" ht="15.6" x14ac:dyDescent="0.35">
      <c r="B172" s="237">
        <f ca="1">SUM(B162:B171)</f>
        <v>1.0000000000000002</v>
      </c>
      <c r="D172" t="s">
        <v>384</v>
      </c>
      <c r="E172" s="118">
        <f t="shared" ca="1" si="4"/>
        <v>4.8688234530612502E-2</v>
      </c>
    </row>
    <row r="173" spans="1:9" ht="15.6" x14ac:dyDescent="0.35">
      <c r="B173" s="118"/>
      <c r="D173" t="s">
        <v>385</v>
      </c>
      <c r="E173" s="118">
        <f t="shared" ca="1" si="4"/>
        <v>0.17707594959013301</v>
      </c>
    </row>
    <row r="174" spans="1:9" ht="15.6" x14ac:dyDescent="0.35">
      <c r="B174" s="118"/>
      <c r="D174" t="s">
        <v>386</v>
      </c>
      <c r="E174" s="118">
        <f t="shared" ca="1" si="4"/>
        <v>7.939484467779484E-2</v>
      </c>
    </row>
    <row r="175" spans="1:9" ht="15.6" x14ac:dyDescent="0.35">
      <c r="B175" s="118"/>
      <c r="D175" t="s">
        <v>387</v>
      </c>
      <c r="E175" s="118">
        <f t="shared" ca="1" si="4"/>
        <v>0</v>
      </c>
    </row>
    <row r="176" spans="1:9" ht="15.6" x14ac:dyDescent="0.35">
      <c r="B176" s="118"/>
      <c r="D176" t="s">
        <v>388</v>
      </c>
      <c r="E176" s="118">
        <f t="shared" ca="1" si="4"/>
        <v>0.18999780668102992</v>
      </c>
    </row>
    <row r="177" spans="1:5" ht="15.6" x14ac:dyDescent="0.35">
      <c r="B177" s="118"/>
      <c r="D177" t="s">
        <v>389</v>
      </c>
      <c r="E177" s="118">
        <f t="shared" ca="1" si="4"/>
        <v>2.8342242044775007E-3</v>
      </c>
    </row>
    <row r="178" spans="1:5" x14ac:dyDescent="0.3">
      <c r="E178" s="237">
        <f ca="1">SUM(E162:E177)</f>
        <v>0.99999999999999989</v>
      </c>
    </row>
    <row r="180" spans="1:5" s="98" customFormat="1" x14ac:dyDescent="0.3">
      <c r="A180" s="98" t="s">
        <v>155</v>
      </c>
      <c r="B180" s="98" t="s">
        <v>156</v>
      </c>
    </row>
    <row r="182" spans="1:5" x14ac:dyDescent="0.3">
      <c r="A182" t="s">
        <v>125</v>
      </c>
      <c r="B182" t="s">
        <v>126</v>
      </c>
    </row>
    <row r="183" spans="1:5" ht="15.6" x14ac:dyDescent="0.35">
      <c r="A183" t="s">
        <v>390</v>
      </c>
      <c r="B183" t="s">
        <v>157</v>
      </c>
    </row>
    <row r="184" spans="1:5" ht="15.6" x14ac:dyDescent="0.35">
      <c r="A184" t="s">
        <v>391</v>
      </c>
      <c r="B184" t="s">
        <v>158</v>
      </c>
    </row>
    <row r="186" spans="1:5" x14ac:dyDescent="0.3">
      <c r="A186" t="s">
        <v>147</v>
      </c>
    </row>
    <row r="187" spans="1:5" x14ac:dyDescent="0.3">
      <c r="A187" s="109"/>
      <c r="B187" s="109"/>
    </row>
    <row r="188" spans="1:5" x14ac:dyDescent="0.3">
      <c r="A188" s="109"/>
      <c r="B188" s="109"/>
    </row>
    <row r="189" spans="1:5" x14ac:dyDescent="0.3">
      <c r="A189" s="109"/>
      <c r="B189" s="109"/>
    </row>
    <row r="190" spans="1:5" x14ac:dyDescent="0.3">
      <c r="A190" s="109"/>
      <c r="B190" s="109"/>
    </row>
    <row r="192" spans="1:5" ht="15.6" x14ac:dyDescent="0.3">
      <c r="A192" s="110" t="s">
        <v>362</v>
      </c>
      <c r="B192" s="111" t="s">
        <v>148</v>
      </c>
      <c r="D192" s="110" t="s">
        <v>363</v>
      </c>
      <c r="E192" s="111" t="s">
        <v>148</v>
      </c>
    </row>
    <row r="193" spans="1:5" ht="15.6" x14ac:dyDescent="0.35">
      <c r="A193" t="s">
        <v>392</v>
      </c>
      <c r="B193" s="7">
        <f t="shared" ref="B193:B202" ca="1" si="6">$B162*$D$5</f>
        <v>1131.4712364265563</v>
      </c>
      <c r="C193" s="47"/>
      <c r="D193" t="s">
        <v>393</v>
      </c>
      <c r="E193" s="6">
        <f t="shared" ref="E193:E208" ca="1" si="7">$E162*$D$8</f>
        <v>24.887231668179435</v>
      </c>
    </row>
    <row r="194" spans="1:5" ht="15.6" x14ac:dyDescent="0.35">
      <c r="A194" t="s">
        <v>394</v>
      </c>
      <c r="B194" s="7">
        <f t="shared" ca="1" si="6"/>
        <v>1088.0800842249455</v>
      </c>
      <c r="D194" t="s">
        <v>395</v>
      </c>
      <c r="E194" s="6">
        <f t="shared" ca="1" si="7"/>
        <v>87.504900228704273</v>
      </c>
    </row>
    <row r="195" spans="1:5" ht="15.6" x14ac:dyDescent="0.35">
      <c r="A195" t="s">
        <v>396</v>
      </c>
      <c r="B195" s="7">
        <f t="shared" ca="1" si="6"/>
        <v>813.48631576926505</v>
      </c>
      <c r="D195" t="s">
        <v>397</v>
      </c>
      <c r="E195" s="6">
        <f t="shared" ca="1" si="7"/>
        <v>179.52280155477601</v>
      </c>
    </row>
    <row r="196" spans="1:5" ht="15.6" x14ac:dyDescent="0.35">
      <c r="A196" t="s">
        <v>398</v>
      </c>
      <c r="B196" s="7">
        <f t="shared" ca="1" si="6"/>
        <v>31.734851106949396</v>
      </c>
      <c r="D196" t="s">
        <v>399</v>
      </c>
      <c r="E196" s="6">
        <f t="shared" ca="1" si="7"/>
        <v>22.252875981255954</v>
      </c>
    </row>
    <row r="197" spans="1:5" ht="15.6" x14ac:dyDescent="0.35">
      <c r="A197" t="s">
        <v>400</v>
      </c>
      <c r="B197" s="7">
        <f t="shared" ca="1" si="6"/>
        <v>0</v>
      </c>
      <c r="D197" t="s">
        <v>401</v>
      </c>
      <c r="E197" s="6">
        <f t="shared" ca="1" si="7"/>
        <v>399.20831711465615</v>
      </c>
    </row>
    <row r="198" spans="1:5" ht="15.6" x14ac:dyDescent="0.35">
      <c r="A198" t="s">
        <v>402</v>
      </c>
      <c r="B198" s="7">
        <f t="shared" ca="1" si="6"/>
        <v>0</v>
      </c>
      <c r="D198" t="s">
        <v>403</v>
      </c>
      <c r="E198" s="6">
        <f t="shared" ca="1" si="7"/>
        <v>178.53374427717043</v>
      </c>
    </row>
    <row r="199" spans="1:5" ht="15.6" x14ac:dyDescent="0.35">
      <c r="A199" t="s">
        <v>404</v>
      </c>
      <c r="B199" s="7">
        <f t="shared" ca="1" si="6"/>
        <v>1280.0373879345491</v>
      </c>
      <c r="D199" t="s">
        <v>405</v>
      </c>
      <c r="E199" s="6">
        <f t="shared" ca="1" si="7"/>
        <v>40.194503932567486</v>
      </c>
    </row>
    <row r="200" spans="1:5" ht="15.6" x14ac:dyDescent="0.35">
      <c r="A200" t="s">
        <v>406</v>
      </c>
      <c r="B200" s="7">
        <f t="shared" ca="1" si="6"/>
        <v>412.11557673433344</v>
      </c>
      <c r="D200" t="s">
        <v>407</v>
      </c>
      <c r="E200" s="6">
        <f t="shared" ca="1" si="7"/>
        <v>8.459515889759917</v>
      </c>
    </row>
    <row r="201" spans="1:5" ht="15.6" x14ac:dyDescent="0.35">
      <c r="A201" t="s">
        <v>408</v>
      </c>
      <c r="B201" s="7">
        <f t="shared" ca="1" si="6"/>
        <v>18.946179765342929</v>
      </c>
      <c r="D201" t="s">
        <v>409</v>
      </c>
      <c r="E201" s="6">
        <f t="shared" ca="1" si="7"/>
        <v>46.771508669739674</v>
      </c>
    </row>
    <row r="202" spans="1:5" ht="15.6" x14ac:dyDescent="0.35">
      <c r="A202" t="s">
        <v>410</v>
      </c>
      <c r="B202" s="7">
        <f t="shared" ca="1" si="6"/>
        <v>17.233758168085483</v>
      </c>
      <c r="D202" t="s">
        <v>411</v>
      </c>
      <c r="E202" s="6">
        <f t="shared" ca="1" si="7"/>
        <v>43.885353992556425</v>
      </c>
    </row>
    <row r="203" spans="1:5" ht="15.6" x14ac:dyDescent="0.35">
      <c r="B203" s="7">
        <f ca="1">SUM(B193:B202)</f>
        <v>4793.1053901300274</v>
      </c>
      <c r="D203" t="s">
        <v>412</v>
      </c>
      <c r="E203" s="6">
        <f t="shared" ca="1" si="7"/>
        <v>100.01478829911159</v>
      </c>
    </row>
    <row r="204" spans="1:5" ht="15.6" x14ac:dyDescent="0.35">
      <c r="B204" s="7"/>
      <c r="D204" t="s">
        <v>413</v>
      </c>
      <c r="E204" s="6">
        <f t="shared" ca="1" si="7"/>
        <v>363.74729504693977</v>
      </c>
    </row>
    <row r="205" spans="1:5" ht="15.6" x14ac:dyDescent="0.35">
      <c r="B205" s="7"/>
      <c r="D205" t="s">
        <v>414</v>
      </c>
      <c r="E205" s="6">
        <f t="shared" ca="1" si="7"/>
        <v>163.09193913157489</v>
      </c>
    </row>
    <row r="206" spans="1:5" ht="15.6" x14ac:dyDescent="0.35">
      <c r="B206" s="7"/>
      <c r="D206" t="s">
        <v>415</v>
      </c>
      <c r="E206" s="6">
        <f t="shared" ca="1" si="7"/>
        <v>0</v>
      </c>
    </row>
    <row r="207" spans="1:5" ht="15.6" x14ac:dyDescent="0.35">
      <c r="B207" s="7"/>
      <c r="D207" t="s">
        <v>416</v>
      </c>
      <c r="E207" s="6">
        <f t="shared" ca="1" si="7"/>
        <v>390.29121913531174</v>
      </c>
    </row>
    <row r="208" spans="1:5" ht="15.6" x14ac:dyDescent="0.35">
      <c r="B208" s="7"/>
      <c r="D208" t="s">
        <v>417</v>
      </c>
      <c r="E208" s="6">
        <f t="shared" ca="1" si="7"/>
        <v>5.8220294191363271</v>
      </c>
    </row>
    <row r="209" spans="1:5" x14ac:dyDescent="0.3">
      <c r="B209" s="7"/>
      <c r="E209" s="6">
        <f ca="1">SUM(E193:E208)</f>
        <v>2054.1880243414403</v>
      </c>
    </row>
    <row r="210" spans="1:5" x14ac:dyDescent="0.3">
      <c r="B210" s="119"/>
      <c r="E210" s="120"/>
    </row>
    <row r="211" spans="1:5" s="98" customFormat="1" x14ac:dyDescent="0.3">
      <c r="A211" s="98" t="s">
        <v>159</v>
      </c>
      <c r="B211" s="98" t="s">
        <v>160</v>
      </c>
    </row>
    <row r="213" spans="1:5" x14ac:dyDescent="0.3">
      <c r="A213" t="s">
        <v>125</v>
      </c>
      <c r="B213" t="s">
        <v>126</v>
      </c>
    </row>
    <row r="214" spans="1:5" ht="15.6" x14ac:dyDescent="0.35">
      <c r="A214" t="s">
        <v>418</v>
      </c>
      <c r="B214" t="s">
        <v>161</v>
      </c>
    </row>
    <row r="215" spans="1:5" ht="15.6" x14ac:dyDescent="0.35">
      <c r="A215" t="s">
        <v>419</v>
      </c>
      <c r="B215" t="s">
        <v>162</v>
      </c>
    </row>
    <row r="217" spans="1:5" x14ac:dyDescent="0.3">
      <c r="A217" t="s">
        <v>147</v>
      </c>
    </row>
    <row r="218" spans="1:5" x14ac:dyDescent="0.3">
      <c r="A218" s="109"/>
      <c r="B218" s="109"/>
    </row>
    <row r="219" spans="1:5" x14ac:dyDescent="0.3">
      <c r="A219" s="109"/>
      <c r="B219" s="109"/>
    </row>
    <row r="220" spans="1:5" x14ac:dyDescent="0.3">
      <c r="A220" s="109"/>
      <c r="B220" s="109"/>
    </row>
    <row r="221" spans="1:5" x14ac:dyDescent="0.3">
      <c r="A221" s="109"/>
      <c r="B221" s="109"/>
    </row>
    <row r="222" spans="1:5" x14ac:dyDescent="0.3">
      <c r="A222" s="109"/>
      <c r="B222" s="109"/>
    </row>
    <row r="223" spans="1:5" x14ac:dyDescent="0.3">
      <c r="A223" s="109"/>
      <c r="B223" s="109"/>
    </row>
    <row r="225" spans="1:22" ht="15.6" x14ac:dyDescent="0.3">
      <c r="A225" s="111" t="s">
        <v>420</v>
      </c>
      <c r="B225" s="111" t="s">
        <v>163</v>
      </c>
      <c r="C225" s="111" t="s">
        <v>421</v>
      </c>
      <c r="E225" s="121"/>
      <c r="F225" s="121"/>
      <c r="G225" s="122"/>
      <c r="H225" s="110" t="s">
        <v>422</v>
      </c>
      <c r="I225" s="111" t="s">
        <v>164</v>
      </c>
      <c r="J225" s="111" t="s">
        <v>423</v>
      </c>
      <c r="Q225" s="123"/>
      <c r="R225" s="122"/>
      <c r="S225" s="121"/>
      <c r="T225" s="121"/>
      <c r="U225" s="121"/>
    </row>
    <row r="226" spans="1:22" ht="15.6" x14ac:dyDescent="0.3">
      <c r="A226" s="49" t="s">
        <v>424</v>
      </c>
      <c r="B226" s="49" t="str">
        <f>B24</f>
        <v>PR-CARAGUATATUBA</v>
      </c>
      <c r="C226" s="12">
        <f ca="1">IFERROR($B193/$H24*1000000," ")</f>
        <v>5.8614016171195065</v>
      </c>
      <c r="D226" s="124"/>
      <c r="E226" s="8"/>
      <c r="F226" s="8"/>
      <c r="G226" s="125"/>
      <c r="H226" s="49" t="s">
        <v>425</v>
      </c>
      <c r="I226" s="49" t="str">
        <f t="shared" ref="I226:I241" si="8">B41</f>
        <v>NTS MG 1</v>
      </c>
      <c r="J226" s="12">
        <f ca="1">IFERROR($E193/$H41*1000000," ")</f>
        <v>3.0113472129777823</v>
      </c>
      <c r="L226" s="21"/>
      <c r="M226" s="126"/>
      <c r="Q226" s="8"/>
      <c r="R226" s="127"/>
      <c r="S226" s="128"/>
      <c r="T226" s="128"/>
      <c r="U226" s="128"/>
    </row>
    <row r="227" spans="1:22" ht="15.6" x14ac:dyDescent="0.3">
      <c r="A227" s="49" t="s">
        <v>426</v>
      </c>
      <c r="B227" s="49" t="str">
        <f t="shared" ref="B227:B235" si="9">B25</f>
        <v>PR-GNLBGB</v>
      </c>
      <c r="C227" s="12">
        <f t="shared" ref="C227:C235" ca="1" si="10">IFERROR($B194/$H25*1000000," ")</f>
        <v>3.9958005223283157</v>
      </c>
      <c r="D227" s="124"/>
      <c r="E227" s="8"/>
      <c r="F227" s="8"/>
      <c r="G227" s="125"/>
      <c r="H227" s="49" t="s">
        <v>427</v>
      </c>
      <c r="I227" s="49" t="str">
        <f t="shared" si="8"/>
        <v>NTS MG 2</v>
      </c>
      <c r="J227" s="12">
        <f t="shared" ref="J227:J241" ca="1" si="11">IFERROR($E194/$H42*1000000," ")</f>
        <v>3.83012855762906</v>
      </c>
      <c r="L227" s="21"/>
      <c r="M227" s="126"/>
      <c r="Q227" s="8"/>
      <c r="R227" s="127"/>
      <c r="S227" s="128"/>
      <c r="T227" s="128"/>
      <c r="U227" s="128"/>
    </row>
    <row r="228" spans="1:22" ht="15.6" x14ac:dyDescent="0.3">
      <c r="A228" s="49" t="s">
        <v>428</v>
      </c>
      <c r="B228" s="49" t="str">
        <f t="shared" si="9"/>
        <v>PR-ITABORAÍ</v>
      </c>
      <c r="C228" s="12">
        <f t="shared" ca="1" si="10"/>
        <v>4.5959980231152011</v>
      </c>
      <c r="D228" s="124"/>
      <c r="E228" s="8"/>
      <c r="F228" s="8"/>
      <c r="G228" s="125"/>
      <c r="H228" s="49" t="s">
        <v>429</v>
      </c>
      <c r="I228" s="49" t="str">
        <f t="shared" si="8"/>
        <v>NTS MG 3</v>
      </c>
      <c r="J228" s="12">
        <f t="shared" ca="1" si="11"/>
        <v>4.8174559628649076</v>
      </c>
      <c r="L228" s="21"/>
      <c r="M228" s="126"/>
      <c r="Q228" s="8"/>
      <c r="R228" s="127"/>
      <c r="S228" s="128"/>
      <c r="T228" s="128"/>
      <c r="U228" s="128"/>
    </row>
    <row r="229" spans="1:22" ht="15.6" x14ac:dyDescent="0.3">
      <c r="A229" s="49" t="s">
        <v>430</v>
      </c>
      <c r="B229" s="49" t="str">
        <f t="shared" si="9"/>
        <v>PR-GASPAJ (INTERCONEXÃO)</v>
      </c>
      <c r="C229" s="12">
        <f t="shared" ca="1" si="10"/>
        <v>6.9576822607142228</v>
      </c>
      <c r="D229" s="124"/>
      <c r="E229" s="8"/>
      <c r="F229" s="8"/>
      <c r="G229" s="125"/>
      <c r="H229" s="49" t="s">
        <v>431</v>
      </c>
      <c r="I229" s="49" t="str">
        <f t="shared" si="8"/>
        <v>NTS MG 4</v>
      </c>
      <c r="J229" s="12">
        <f t="shared" ca="1" si="11"/>
        <v>4.8788141448299829</v>
      </c>
      <c r="L229" s="21"/>
      <c r="M229" s="126"/>
      <c r="Q229" s="8"/>
      <c r="R229" s="127"/>
      <c r="S229" s="128"/>
      <c r="T229" s="128"/>
      <c r="U229" s="128"/>
    </row>
    <row r="230" spans="1:22" ht="15.6" x14ac:dyDescent="0.3">
      <c r="A230" s="49" t="s">
        <v>432</v>
      </c>
      <c r="B230" s="49" t="str">
        <f t="shared" si="9"/>
        <v>PR-REDUC</v>
      </c>
      <c r="C230" s="12" t="str">
        <f t="shared" ca="1" si="10"/>
        <v xml:space="preserve"> </v>
      </c>
      <c r="D230" s="124"/>
      <c r="E230" s="8"/>
      <c r="F230" s="8"/>
      <c r="G230" s="125"/>
      <c r="H230" s="49" t="s">
        <v>433</v>
      </c>
      <c r="I230" s="49" t="str">
        <f t="shared" si="8"/>
        <v>NTS RJ 1</v>
      </c>
      <c r="J230" s="12">
        <f t="shared" ca="1" si="11"/>
        <v>1.6478714740138656</v>
      </c>
      <c r="L230" s="21"/>
      <c r="M230" s="126"/>
      <c r="Q230" s="8"/>
      <c r="R230" s="127"/>
      <c r="S230" s="128"/>
      <c r="T230" s="128"/>
      <c r="U230" s="128"/>
    </row>
    <row r="231" spans="1:22" ht="15.6" x14ac:dyDescent="0.3">
      <c r="A231" s="49" t="s">
        <v>434</v>
      </c>
      <c r="B231" s="49" t="str">
        <f t="shared" si="9"/>
        <v>PR-RPBC</v>
      </c>
      <c r="C231" s="12" t="str">
        <f t="shared" ca="1" si="10"/>
        <v xml:space="preserve"> </v>
      </c>
      <c r="D231" s="124"/>
      <c r="E231" s="8"/>
      <c r="F231" s="8"/>
      <c r="G231" s="125"/>
      <c r="H231" s="49" t="s">
        <v>435</v>
      </c>
      <c r="I231" s="49" t="str">
        <f t="shared" si="8"/>
        <v>NTS RJ 2</v>
      </c>
      <c r="J231" s="12">
        <f t="shared" ca="1" si="11"/>
        <v>1.5599255138125829</v>
      </c>
      <c r="L231" s="21"/>
      <c r="M231" s="126"/>
      <c r="Q231" s="8"/>
      <c r="R231" s="127"/>
      <c r="S231" s="128"/>
      <c r="T231" s="128"/>
      <c r="U231" s="128"/>
    </row>
    <row r="232" spans="1:22" ht="15.6" x14ac:dyDescent="0.3">
      <c r="A232" s="49" t="s">
        <v>436</v>
      </c>
      <c r="B232" s="49" t="str">
        <f t="shared" si="9"/>
        <v>PR-TECAB</v>
      </c>
      <c r="C232" s="12">
        <f t="shared" ca="1" si="10"/>
        <v>6.3288227482600847</v>
      </c>
      <c r="D232" s="124"/>
      <c r="E232" s="8"/>
      <c r="F232" s="8"/>
      <c r="G232" s="125"/>
      <c r="H232" s="49" t="s">
        <v>437</v>
      </c>
      <c r="I232" s="49" t="str">
        <f t="shared" si="8"/>
        <v>NTS RJ 3</v>
      </c>
      <c r="J232" s="12">
        <f t="shared" ca="1" si="11"/>
        <v>1.7223792678799219</v>
      </c>
      <c r="L232" s="21"/>
      <c r="M232" s="126"/>
      <c r="Q232" s="8"/>
      <c r="R232" s="127"/>
      <c r="S232" s="128"/>
      <c r="T232" s="128"/>
      <c r="U232" s="128"/>
    </row>
    <row r="233" spans="1:22" ht="15.6" x14ac:dyDescent="0.3">
      <c r="A233" s="49" t="s">
        <v>438</v>
      </c>
      <c r="B233" s="49" t="str">
        <f t="shared" si="9"/>
        <v>PR-GUARAREMA (INTERCONEXÃO)</v>
      </c>
      <c r="C233" s="12">
        <f t="shared" ca="1" si="10"/>
        <v>5.0447623621615865</v>
      </c>
      <c r="D233" s="124"/>
      <c r="E233" s="8"/>
      <c r="F233" s="8"/>
      <c r="G233" s="125"/>
      <c r="H233" s="49" t="s">
        <v>439</v>
      </c>
      <c r="I233" s="49" t="str">
        <f t="shared" si="8"/>
        <v>NTS RJ 4</v>
      </c>
      <c r="J233" s="12">
        <f t="shared" ca="1" si="11"/>
        <v>1.92360510930359</v>
      </c>
      <c r="L233" s="21"/>
      <c r="M233" s="126"/>
      <c r="Q233" s="8"/>
      <c r="R233" s="127"/>
      <c r="S233" s="128"/>
      <c r="T233" s="128"/>
      <c r="U233" s="128"/>
    </row>
    <row r="234" spans="1:22" ht="15.6" x14ac:dyDescent="0.3">
      <c r="A234" s="49" t="s">
        <v>440</v>
      </c>
      <c r="B234" s="49" t="str">
        <f t="shared" si="9"/>
        <v>PR-REPLAN (INTERCONEXÃO)</v>
      </c>
      <c r="C234" s="12">
        <f t="shared" ca="1" si="10"/>
        <v>6.9576822607142246</v>
      </c>
      <c r="D234" s="119"/>
      <c r="E234" s="8"/>
      <c r="F234" s="8"/>
      <c r="G234" s="119"/>
      <c r="H234" s="49" t="s">
        <v>441</v>
      </c>
      <c r="I234" s="49" t="str">
        <f t="shared" si="8"/>
        <v>NTS RJ 5</v>
      </c>
      <c r="J234" s="12">
        <f t="shared" ca="1" si="11"/>
        <v>1.6142942095049642</v>
      </c>
      <c r="L234" s="21"/>
      <c r="Q234" s="8"/>
      <c r="R234" s="127"/>
      <c r="S234" s="128"/>
      <c r="T234" s="128"/>
      <c r="U234" s="128"/>
    </row>
    <row r="235" spans="1:22" ht="15.6" x14ac:dyDescent="0.3">
      <c r="A235" s="49" t="s">
        <v>442</v>
      </c>
      <c r="B235" s="49" t="str">
        <f t="shared" si="9"/>
        <v>PR-TECAB (INTERCONEXÃO)</v>
      </c>
      <c r="C235" s="12">
        <f t="shared" ca="1" si="10"/>
        <v>6.3288227482600838</v>
      </c>
      <c r="D235" s="119"/>
      <c r="E235" s="8"/>
      <c r="F235" s="8"/>
      <c r="G235" s="119"/>
      <c r="H235" s="49" t="s">
        <v>443</v>
      </c>
      <c r="I235" s="49" t="str">
        <f t="shared" si="8"/>
        <v>NTS SP 1</v>
      </c>
      <c r="J235" s="12">
        <f t="shared" ca="1" si="11"/>
        <v>2.6056905623671476</v>
      </c>
      <c r="L235" s="21"/>
      <c r="Q235" s="8"/>
      <c r="R235" s="127"/>
      <c r="S235" s="128"/>
      <c r="T235" s="128"/>
      <c r="U235" s="128"/>
    </row>
    <row r="236" spans="1:22" ht="15.6" x14ac:dyDescent="0.3">
      <c r="D236" s="119"/>
      <c r="E236" s="8"/>
      <c r="F236" s="8"/>
      <c r="G236" s="119"/>
      <c r="H236" s="49" t="s">
        <v>444</v>
      </c>
      <c r="I236" s="49" t="str">
        <f t="shared" si="8"/>
        <v>NTS SP 2</v>
      </c>
      <c r="J236" s="12">
        <f t="shared" ca="1" si="11"/>
        <v>2.4716578341665092</v>
      </c>
      <c r="K236" s="119"/>
      <c r="L236" s="21"/>
      <c r="Q236" s="8"/>
      <c r="R236" s="127"/>
      <c r="S236" s="128"/>
      <c r="T236" s="128"/>
      <c r="U236" s="128"/>
    </row>
    <row r="237" spans="1:22" ht="15.6" x14ac:dyDescent="0.3">
      <c r="D237" s="119"/>
      <c r="E237" s="8"/>
      <c r="F237" s="8"/>
      <c r="G237" s="119"/>
      <c r="H237" s="49" t="s">
        <v>445</v>
      </c>
      <c r="I237" s="49" t="str">
        <f t="shared" si="8"/>
        <v>NTS SP 3</v>
      </c>
      <c r="J237" s="12">
        <f t="shared" ca="1" si="11"/>
        <v>3.3525007167554026</v>
      </c>
      <c r="L237" s="21"/>
      <c r="Q237" s="8"/>
      <c r="R237" s="127"/>
      <c r="S237" s="128"/>
      <c r="T237" s="128"/>
      <c r="U237" s="128"/>
    </row>
    <row r="238" spans="1:22" ht="15.6" x14ac:dyDescent="0.3">
      <c r="D238" s="119"/>
      <c r="E238" s="8"/>
      <c r="F238" s="8"/>
      <c r="G238" s="119"/>
      <c r="H238" s="49" t="s">
        <v>446</v>
      </c>
      <c r="I238" s="49" t="str">
        <f t="shared" si="8"/>
        <v>NTS SP 4</v>
      </c>
      <c r="J238" s="12">
        <f t="shared" ca="1" si="11"/>
        <v>3.6508937980401099</v>
      </c>
      <c r="L238" s="21"/>
      <c r="Q238" s="8"/>
      <c r="R238" s="127"/>
      <c r="S238" s="128"/>
      <c r="T238" s="128"/>
      <c r="U238" s="128"/>
    </row>
    <row r="239" spans="1:22" ht="15.6" x14ac:dyDescent="0.3">
      <c r="D239" s="119"/>
      <c r="E239" s="8"/>
      <c r="F239" s="8"/>
      <c r="G239" s="119"/>
      <c r="H239" s="49" t="s">
        <v>447</v>
      </c>
      <c r="I239" s="49" t="str">
        <f t="shared" si="8"/>
        <v>PE-GUARAREMA (INTERCONEXÃO)</v>
      </c>
      <c r="J239" s="12" t="str">
        <f t="shared" ca="1" si="11"/>
        <v xml:space="preserve"> </v>
      </c>
      <c r="L239" s="21"/>
      <c r="Q239" s="8"/>
      <c r="R239" s="127"/>
      <c r="S239" s="10"/>
      <c r="T239" s="10"/>
      <c r="U239" s="10"/>
    </row>
    <row r="240" spans="1:22" ht="15.6" x14ac:dyDescent="0.3">
      <c r="E240" s="8"/>
      <c r="F240" s="8"/>
      <c r="G240" s="119"/>
      <c r="H240" s="49" t="s">
        <v>448</v>
      </c>
      <c r="I240" s="49" t="str">
        <f t="shared" si="8"/>
        <v>PE-REPLAN (INTERCONEXÃO)</v>
      </c>
      <c r="J240" s="12">
        <f t="shared" ca="1" si="11"/>
        <v>4.0886670578165667</v>
      </c>
      <c r="L240" s="21"/>
      <c r="Q240" s="8"/>
      <c r="R240" s="129"/>
      <c r="S240" s="10"/>
      <c r="T240" s="10"/>
      <c r="U240" s="10"/>
      <c r="V240" s="119"/>
    </row>
    <row r="241" spans="1:22" ht="15.6" x14ac:dyDescent="0.3">
      <c r="E241" s="8"/>
      <c r="F241" s="8"/>
      <c r="G241" s="119"/>
      <c r="H241" s="49" t="s">
        <v>449</v>
      </c>
      <c r="I241" s="49" t="str">
        <f t="shared" si="8"/>
        <v>PE-TECAB (INTERCONEXÃO)</v>
      </c>
      <c r="J241" s="12">
        <f t="shared" ca="1" si="11"/>
        <v>2.1380474223610832</v>
      </c>
      <c r="L241" s="21"/>
      <c r="P241" s="125"/>
      <c r="Q241" s="129"/>
      <c r="R241" s="129"/>
      <c r="S241" s="8"/>
      <c r="T241" s="8"/>
      <c r="U241" s="8"/>
      <c r="V241" s="119"/>
    </row>
    <row r="242" spans="1:22" x14ac:dyDescent="0.3">
      <c r="L242" s="21"/>
    </row>
    <row r="243" spans="1:22" x14ac:dyDescent="0.3">
      <c r="L243" s="21"/>
    </row>
    <row r="244" spans="1:22" ht="15.6" x14ac:dyDescent="0.3">
      <c r="A244" s="111" t="s">
        <v>420</v>
      </c>
      <c r="B244" s="111" t="s">
        <v>163</v>
      </c>
      <c r="C244" s="111" t="s">
        <v>421</v>
      </c>
      <c r="D244" s="111" t="s">
        <v>450</v>
      </c>
      <c r="E244" s="111" t="s">
        <v>451</v>
      </c>
      <c r="G244" s="122"/>
      <c r="H244" s="111" t="s">
        <v>422</v>
      </c>
      <c r="I244" s="111" t="s">
        <v>164</v>
      </c>
      <c r="J244" s="111" t="s">
        <v>423</v>
      </c>
      <c r="K244" s="111" t="s">
        <v>452</v>
      </c>
      <c r="L244" s="111" t="s">
        <v>453</v>
      </c>
    </row>
    <row r="245" spans="1:22" ht="15.6" x14ac:dyDescent="0.3">
      <c r="A245" s="49" t="s">
        <v>424</v>
      </c>
      <c r="B245" s="49" t="str">
        <f t="shared" ref="B245:B254" si="12">B226</f>
        <v>PR-CARAGUATATUBA</v>
      </c>
      <c r="C245" s="12">
        <f ca="1">IF(H24=0," ",C226*(1-$C$11))</f>
        <v>1.172280323423901</v>
      </c>
      <c r="D245" s="12">
        <f t="shared" ref="D245:D254" si="13">$F$7*$C$11</f>
        <v>4.0953734007921296</v>
      </c>
      <c r="E245" s="12">
        <f ca="1">IFERROR(C245+D245," ")</f>
        <v>5.2676537242160304</v>
      </c>
      <c r="G245" s="126"/>
      <c r="H245" s="49" t="s">
        <v>425</v>
      </c>
      <c r="I245" s="49" t="str">
        <f t="shared" ref="I245:I260" si="14">I226</f>
        <v>NTS MG 1</v>
      </c>
      <c r="J245" s="12">
        <f ca="1">IF(H41=0," ",J226*(1-$C$11))</f>
        <v>0.60226944259555637</v>
      </c>
      <c r="K245" s="12">
        <f t="shared" ref="K245:K260" si="15">$F$10*$C$11</f>
        <v>2.067079599050293</v>
      </c>
      <c r="L245" s="12">
        <f ca="1">IFERROR(J245+K245," ")</f>
        <v>2.6693490416458494</v>
      </c>
    </row>
    <row r="246" spans="1:22" ht="15.6" x14ac:dyDescent="0.3">
      <c r="A246" s="49" t="s">
        <v>426</v>
      </c>
      <c r="B246" s="49" t="str">
        <f t="shared" si="12"/>
        <v>PR-GNLBGB</v>
      </c>
      <c r="C246" s="12">
        <f t="shared" ref="C246:C254" ca="1" si="16">IF(H25=0," ",C227*(1-$C$11))</f>
        <v>0.79916010446566299</v>
      </c>
      <c r="D246" s="12">
        <f t="shared" si="13"/>
        <v>4.0953734007921296</v>
      </c>
      <c r="E246" s="12">
        <f t="shared" ref="E246:E254" ca="1" si="17">IFERROR(C246+D246," ")</f>
        <v>4.894533505257793</v>
      </c>
      <c r="G246" s="126"/>
      <c r="H246" s="49" t="s">
        <v>427</v>
      </c>
      <c r="I246" s="49" t="str">
        <f t="shared" si="14"/>
        <v>NTS MG 2</v>
      </c>
      <c r="J246" s="12">
        <f t="shared" ref="J246:J247" ca="1" si="18">IF(H42=0," ",J227*(1-$C$11))</f>
        <v>0.76602571152581178</v>
      </c>
      <c r="K246" s="12">
        <f t="shared" si="15"/>
        <v>2.067079599050293</v>
      </c>
      <c r="L246" s="12">
        <f t="shared" ref="L246:L260" ca="1" si="19">IFERROR(J246+K246," ")</f>
        <v>2.833105310576105</v>
      </c>
    </row>
    <row r="247" spans="1:22" ht="15.6" x14ac:dyDescent="0.3">
      <c r="A247" s="49" t="s">
        <v>428</v>
      </c>
      <c r="B247" s="49" t="str">
        <f t="shared" si="12"/>
        <v>PR-ITABORAÍ</v>
      </c>
      <c r="C247" s="12">
        <f t="shared" ca="1" si="16"/>
        <v>0.91919960462304007</v>
      </c>
      <c r="D247" s="12">
        <f t="shared" si="13"/>
        <v>4.0953734007921296</v>
      </c>
      <c r="E247" s="12">
        <f t="shared" ca="1" si="17"/>
        <v>5.01457300541517</v>
      </c>
      <c r="G247" s="126"/>
      <c r="H247" s="49" t="s">
        <v>429</v>
      </c>
      <c r="I247" s="49" t="str">
        <f t="shared" si="14"/>
        <v>NTS MG 3</v>
      </c>
      <c r="J247" s="12">
        <f t="shared" ca="1" si="18"/>
        <v>0.96349119257298133</v>
      </c>
      <c r="K247" s="12">
        <f t="shared" si="15"/>
        <v>2.067079599050293</v>
      </c>
      <c r="L247" s="12">
        <f t="shared" ca="1" si="19"/>
        <v>3.0305707916232745</v>
      </c>
    </row>
    <row r="248" spans="1:22" ht="15.6" x14ac:dyDescent="0.3">
      <c r="A248" s="49" t="s">
        <v>430</v>
      </c>
      <c r="B248" s="49" t="str">
        <f t="shared" si="12"/>
        <v>PR-GASPAJ (INTERCONEXÃO)</v>
      </c>
      <c r="C248" s="12">
        <f t="shared" ca="1" si="16"/>
        <v>1.3915364521428442</v>
      </c>
      <c r="D248" s="12">
        <f t="shared" si="13"/>
        <v>4.0953734007921296</v>
      </c>
      <c r="E248" s="12">
        <f t="shared" ca="1" si="17"/>
        <v>5.486909852934974</v>
      </c>
      <c r="G248" s="126"/>
      <c r="H248" s="49" t="s">
        <v>431</v>
      </c>
      <c r="I248" s="49" t="str">
        <f t="shared" si="14"/>
        <v>NTS MG 4</v>
      </c>
      <c r="J248" s="12">
        <f ca="1">IF(H44=0," ",J229*(1-$C$11))</f>
        <v>0.97576282896599631</v>
      </c>
      <c r="K248" s="12">
        <f t="shared" si="15"/>
        <v>2.067079599050293</v>
      </c>
      <c r="L248" s="12">
        <f t="shared" ca="1" si="19"/>
        <v>3.0428424280162893</v>
      </c>
    </row>
    <row r="249" spans="1:22" ht="15.6" x14ac:dyDescent="0.3">
      <c r="A249" s="49" t="s">
        <v>432</v>
      </c>
      <c r="B249" s="49" t="str">
        <f t="shared" si="12"/>
        <v>PR-REDUC</v>
      </c>
      <c r="C249" s="12" t="str">
        <f t="shared" si="16"/>
        <v xml:space="preserve"> </v>
      </c>
      <c r="D249" s="12"/>
      <c r="E249" s="12" t="str">
        <f t="shared" si="17"/>
        <v xml:space="preserve"> </v>
      </c>
      <c r="G249" s="126"/>
      <c r="H249" s="49" t="s">
        <v>433</v>
      </c>
      <c r="I249" s="49" t="str">
        <f t="shared" si="14"/>
        <v>NTS RJ 1</v>
      </c>
      <c r="J249" s="12">
        <f t="shared" ref="J249:J260" ca="1" si="20">IF(H45=0," ",J230*(1-$C$11))</f>
        <v>0.32957429480277306</v>
      </c>
      <c r="K249" s="12">
        <f t="shared" si="15"/>
        <v>2.067079599050293</v>
      </c>
      <c r="L249" s="12">
        <f t="shared" ca="1" si="19"/>
        <v>2.3966538938530659</v>
      </c>
    </row>
    <row r="250" spans="1:22" ht="15.6" x14ac:dyDescent="0.3">
      <c r="A250" s="49" t="s">
        <v>434</v>
      </c>
      <c r="B250" s="49" t="str">
        <f t="shared" si="12"/>
        <v>PR-RPBC</v>
      </c>
      <c r="C250" s="12" t="str">
        <f t="shared" si="16"/>
        <v xml:space="preserve"> </v>
      </c>
      <c r="D250" s="12"/>
      <c r="E250" s="12" t="str">
        <f t="shared" si="17"/>
        <v xml:space="preserve"> </v>
      </c>
      <c r="G250" s="126"/>
      <c r="H250" s="49" t="s">
        <v>435</v>
      </c>
      <c r="I250" s="49" t="str">
        <f t="shared" si="14"/>
        <v>NTS RJ 2</v>
      </c>
      <c r="J250" s="12">
        <f t="shared" ca="1" si="20"/>
        <v>0.31198510276251651</v>
      </c>
      <c r="K250" s="12">
        <f t="shared" si="15"/>
        <v>2.067079599050293</v>
      </c>
      <c r="L250" s="12">
        <f t="shared" ca="1" si="19"/>
        <v>2.3790647018128097</v>
      </c>
    </row>
    <row r="251" spans="1:22" ht="15.6" x14ac:dyDescent="0.3">
      <c r="A251" s="49" t="s">
        <v>436</v>
      </c>
      <c r="B251" s="49" t="str">
        <f t="shared" si="12"/>
        <v>PR-TECAB</v>
      </c>
      <c r="C251" s="12">
        <f t="shared" ca="1" si="16"/>
        <v>1.2657645496520167</v>
      </c>
      <c r="D251" s="12">
        <f t="shared" si="13"/>
        <v>4.0953734007921296</v>
      </c>
      <c r="E251" s="12">
        <f t="shared" ca="1" si="17"/>
        <v>5.3611379504441459</v>
      </c>
      <c r="G251" s="126"/>
      <c r="H251" s="49" t="s">
        <v>437</v>
      </c>
      <c r="I251" s="49" t="str">
        <f t="shared" si="14"/>
        <v>NTS RJ 3</v>
      </c>
      <c r="J251" s="12">
        <f t="shared" ca="1" si="20"/>
        <v>0.34447585357598431</v>
      </c>
      <c r="K251" s="12">
        <f t="shared" si="15"/>
        <v>2.067079599050293</v>
      </c>
      <c r="L251" s="12">
        <f t="shared" ca="1" si="19"/>
        <v>2.4115554526262772</v>
      </c>
    </row>
    <row r="252" spans="1:22" ht="15.6" x14ac:dyDescent="0.3">
      <c r="A252" s="49" t="s">
        <v>438</v>
      </c>
      <c r="B252" s="49" t="str">
        <f t="shared" si="12"/>
        <v>PR-GUARAREMA (INTERCONEXÃO)</v>
      </c>
      <c r="C252" s="12">
        <f t="shared" ca="1" si="16"/>
        <v>1.0089524724323171</v>
      </c>
      <c r="D252" s="12">
        <f t="shared" si="13"/>
        <v>4.0953734007921296</v>
      </c>
      <c r="E252" s="12">
        <f t="shared" ca="1" si="17"/>
        <v>5.1043258732244468</v>
      </c>
      <c r="G252" s="126"/>
      <c r="H252" s="49" t="s">
        <v>439</v>
      </c>
      <c r="I252" s="49" t="str">
        <f t="shared" si="14"/>
        <v>NTS RJ 4</v>
      </c>
      <c r="J252" s="12">
        <f t="shared" ca="1" si="20"/>
        <v>0.38472102186071788</v>
      </c>
      <c r="K252" s="12">
        <f t="shared" si="15"/>
        <v>2.067079599050293</v>
      </c>
      <c r="L252" s="12">
        <f t="shared" ca="1" si="19"/>
        <v>2.451800620911011</v>
      </c>
    </row>
    <row r="253" spans="1:22" ht="15.6" x14ac:dyDescent="0.3">
      <c r="A253" s="49" t="s">
        <v>440</v>
      </c>
      <c r="B253" s="49" t="str">
        <f t="shared" si="12"/>
        <v>PR-REPLAN (INTERCONEXÃO)</v>
      </c>
      <c r="C253" s="12">
        <f t="shared" ca="1" si="16"/>
        <v>1.3915364521428446</v>
      </c>
      <c r="D253" s="12">
        <f t="shared" si="13"/>
        <v>4.0953734007921296</v>
      </c>
      <c r="E253" s="12">
        <f t="shared" ca="1" si="17"/>
        <v>5.486909852934974</v>
      </c>
      <c r="G253" s="126"/>
      <c r="H253" s="49" t="s">
        <v>441</v>
      </c>
      <c r="I253" s="49" t="str">
        <f t="shared" si="14"/>
        <v>NTS RJ 5</v>
      </c>
      <c r="J253" s="12">
        <f t="shared" ca="1" si="20"/>
        <v>0.32285884190099279</v>
      </c>
      <c r="K253" s="12">
        <f t="shared" si="15"/>
        <v>2.067079599050293</v>
      </c>
      <c r="L253" s="12">
        <f t="shared" ca="1" si="19"/>
        <v>2.389938440951286</v>
      </c>
    </row>
    <row r="254" spans="1:22" ht="15.6" x14ac:dyDescent="0.3">
      <c r="A254" s="49" t="s">
        <v>442</v>
      </c>
      <c r="B254" s="49" t="str">
        <f t="shared" si="12"/>
        <v>PR-TECAB (INTERCONEXÃO)</v>
      </c>
      <c r="C254" s="12">
        <f t="shared" ca="1" si="16"/>
        <v>1.2657645496520165</v>
      </c>
      <c r="D254" s="12">
        <f t="shared" si="13"/>
        <v>4.0953734007921296</v>
      </c>
      <c r="E254" s="12">
        <f t="shared" ca="1" si="17"/>
        <v>5.3611379504441459</v>
      </c>
      <c r="G254" s="126"/>
      <c r="H254" s="49" t="s">
        <v>443</v>
      </c>
      <c r="I254" s="49" t="str">
        <f t="shared" si="14"/>
        <v>NTS SP 1</v>
      </c>
      <c r="J254" s="12">
        <f t="shared" ca="1" si="20"/>
        <v>0.52113811247342945</v>
      </c>
      <c r="K254" s="12">
        <f t="shared" si="15"/>
        <v>2.067079599050293</v>
      </c>
      <c r="L254" s="12">
        <f t="shared" ca="1" si="19"/>
        <v>2.5882177115237224</v>
      </c>
    </row>
    <row r="255" spans="1:22" ht="15.6" x14ac:dyDescent="0.3">
      <c r="H255" s="49" t="s">
        <v>444</v>
      </c>
      <c r="I255" s="49" t="str">
        <f t="shared" si="14"/>
        <v>NTS SP 2</v>
      </c>
      <c r="J255" s="12">
        <f t="shared" ca="1" si="20"/>
        <v>0.49433156683330171</v>
      </c>
      <c r="K255" s="12">
        <f t="shared" si="15"/>
        <v>2.067079599050293</v>
      </c>
      <c r="L255" s="12">
        <f t="shared" ca="1" si="19"/>
        <v>2.5614111658835945</v>
      </c>
    </row>
    <row r="256" spans="1:22" ht="15.6" x14ac:dyDescent="0.3">
      <c r="H256" s="49" t="s">
        <v>445</v>
      </c>
      <c r="I256" s="49" t="str">
        <f t="shared" si="14"/>
        <v>NTS SP 3</v>
      </c>
      <c r="J256" s="12">
        <f t="shared" ca="1" si="20"/>
        <v>0.67050014335108032</v>
      </c>
      <c r="K256" s="12">
        <f t="shared" si="15"/>
        <v>2.067079599050293</v>
      </c>
      <c r="L256" s="12">
        <f t="shared" ca="1" si="19"/>
        <v>2.7375797424013735</v>
      </c>
    </row>
    <row r="257" spans="1:13" ht="15.6" x14ac:dyDescent="0.3">
      <c r="H257" s="49" t="s">
        <v>446</v>
      </c>
      <c r="I257" s="49" t="str">
        <f t="shared" si="14"/>
        <v>NTS SP 4</v>
      </c>
      <c r="J257" s="12">
        <f t="shared" ca="1" si="20"/>
        <v>0.73017875960802181</v>
      </c>
      <c r="K257" s="12">
        <f t="shared" si="15"/>
        <v>2.067079599050293</v>
      </c>
      <c r="L257" s="12">
        <f t="shared" ca="1" si="19"/>
        <v>2.7972583586583148</v>
      </c>
    </row>
    <row r="258" spans="1:13" ht="15.6" x14ac:dyDescent="0.3">
      <c r="H258" s="49" t="s">
        <v>447</v>
      </c>
      <c r="I258" s="49" t="str">
        <f t="shared" si="14"/>
        <v>PE-GUARAREMA (INTERCONEXÃO)</v>
      </c>
      <c r="J258" s="12" t="str">
        <f t="shared" si="20"/>
        <v xml:space="preserve"> </v>
      </c>
      <c r="K258" s="12"/>
      <c r="L258" s="12" t="str">
        <f>IFERROR(J258+K258," ")</f>
        <v xml:space="preserve"> </v>
      </c>
    </row>
    <row r="259" spans="1:13" ht="15.6" x14ac:dyDescent="0.3">
      <c r="H259" s="49" t="s">
        <v>448</v>
      </c>
      <c r="I259" s="49" t="str">
        <f t="shared" si="14"/>
        <v>PE-REPLAN (INTERCONEXÃO)</v>
      </c>
      <c r="J259" s="12">
        <f t="shared" ca="1" si="20"/>
        <v>0.81773341156331314</v>
      </c>
      <c r="K259" s="12">
        <f t="shared" si="15"/>
        <v>2.067079599050293</v>
      </c>
      <c r="L259" s="12">
        <f t="shared" ca="1" si="19"/>
        <v>2.8848130106136063</v>
      </c>
    </row>
    <row r="260" spans="1:13" ht="15.6" x14ac:dyDescent="0.3">
      <c r="H260" s="49" t="s">
        <v>449</v>
      </c>
      <c r="I260" s="49" t="str">
        <f t="shared" si="14"/>
        <v>PE-TECAB (INTERCONEXÃO)</v>
      </c>
      <c r="J260" s="12">
        <f t="shared" ca="1" si="20"/>
        <v>0.42760948447221653</v>
      </c>
      <c r="K260" s="12">
        <f t="shared" si="15"/>
        <v>2.067079599050293</v>
      </c>
      <c r="L260" s="12">
        <f t="shared" ca="1" si="19"/>
        <v>2.4946890835225095</v>
      </c>
    </row>
    <row r="262" spans="1:13" x14ac:dyDescent="0.3">
      <c r="A262" t="s">
        <v>165</v>
      </c>
      <c r="C262" s="97">
        <v>0.9</v>
      </c>
    </row>
    <row r="263" spans="1:13" x14ac:dyDescent="0.3">
      <c r="J263" s="126"/>
      <c r="K263" s="126"/>
      <c r="L263" s="126"/>
      <c r="M263" s="126"/>
    </row>
    <row r="264" spans="1:13" s="257" customFormat="1" x14ac:dyDescent="0.3">
      <c r="A264" s="249" t="s">
        <v>474</v>
      </c>
      <c r="K264" s="258">
        <f>IFERROR(#REF!*#REF!,0)</f>
        <v>0</v>
      </c>
      <c r="L264" s="259"/>
    </row>
    <row r="265" spans="1:13" x14ac:dyDescent="0.3">
      <c r="L265" s="131"/>
    </row>
    <row r="266" spans="1:13" ht="36" x14ac:dyDescent="0.3">
      <c r="B266" s="250" t="s">
        <v>459</v>
      </c>
      <c r="C266" s="269" t="s">
        <v>466</v>
      </c>
      <c r="D266" s="269" t="s">
        <v>465</v>
      </c>
      <c r="E266" s="275" t="s">
        <v>472</v>
      </c>
      <c r="F266" s="250" t="s">
        <v>476</v>
      </c>
      <c r="L266" s="131"/>
    </row>
    <row r="267" spans="1:13" ht="18" x14ac:dyDescent="0.35">
      <c r="B267" s="251" t="s">
        <v>460</v>
      </c>
      <c r="C267" s="276">
        <f>Oferta!F11</f>
        <v>200</v>
      </c>
      <c r="D267" s="270">
        <f ca="1">E253</f>
        <v>5.486909852934974</v>
      </c>
      <c r="E267" s="273">
        <f ca="1">D267*(1-$C$262)</f>
        <v>0.54869098529349725</v>
      </c>
      <c r="F267" s="271">
        <f ca="1">C267*E267*Premissas!$C$44*Premissas!$F$20*1000</f>
        <v>1494117.9624846214</v>
      </c>
      <c r="L267" s="131"/>
    </row>
    <row r="268" spans="1:13" ht="18" x14ac:dyDescent="0.35">
      <c r="B268" s="252" t="s">
        <v>461</v>
      </c>
      <c r="C268" s="276">
        <f>Oferta!F10</f>
        <v>6000</v>
      </c>
      <c r="D268" s="270">
        <f ca="1">E252</f>
        <v>5.1043258732244468</v>
      </c>
      <c r="E268" s="273">
        <f t="shared" ref="E268:E270" ca="1" si="21">D268*(1-$C$262)</f>
        <v>0.51043258732244456</v>
      </c>
      <c r="F268" s="271">
        <f ca="1">C268*E268*Premissas!$C$44*Premissas!$F$20*1000</f>
        <v>41698142.550019555</v>
      </c>
      <c r="G268" s="132"/>
      <c r="K268" s="132"/>
      <c r="L268" s="131"/>
    </row>
    <row r="269" spans="1:13" ht="18" x14ac:dyDescent="0.35">
      <c r="B269" s="253" t="s">
        <v>462</v>
      </c>
      <c r="C269" s="276">
        <f>Oferta!F12</f>
        <v>200</v>
      </c>
      <c r="D269" s="270">
        <f ca="1">E254</f>
        <v>5.3611379504441459</v>
      </c>
      <c r="E269" s="273">
        <f t="shared" ca="1" si="21"/>
        <v>0.53611379504441448</v>
      </c>
      <c r="F269" s="271">
        <f ca="1">C269*E269*Premissas!$C$44*Premissas!$F$20*1000</f>
        <v>1459869.5305394724</v>
      </c>
      <c r="K269" s="132"/>
      <c r="L269" s="131"/>
    </row>
    <row r="270" spans="1:13" ht="18" x14ac:dyDescent="0.35">
      <c r="B270" s="253" t="s">
        <v>253</v>
      </c>
      <c r="C270" s="276">
        <f>Oferta!F6</f>
        <v>335</v>
      </c>
      <c r="D270" s="270">
        <f ca="1">E248</f>
        <v>5.486909852934974</v>
      </c>
      <c r="E270" s="273">
        <f t="shared" ca="1" si="21"/>
        <v>0.54869098529349725</v>
      </c>
      <c r="F270" s="271">
        <f ca="1">C270*E270*Premissas!$C$44*Premissas!$F$20*1000</f>
        <v>2502647.5871617403</v>
      </c>
      <c r="K270" s="132"/>
      <c r="L270" s="131"/>
    </row>
    <row r="271" spans="1:13" ht="18" x14ac:dyDescent="0.35">
      <c r="B271" s="251" t="s">
        <v>463</v>
      </c>
      <c r="C271" s="276">
        <f>Demanda!F17</f>
        <v>7011</v>
      </c>
      <c r="D271" s="270">
        <f ca="1">L259</f>
        <v>2.8848130106136063</v>
      </c>
      <c r="E271" s="273">
        <f ca="1">D271*(1-$C$262)</f>
        <v>0.28848130106136055</v>
      </c>
      <c r="F271" s="271">
        <f ca="1">C271*E271*Premissas!$C$44*Premissas!$F$20*1000</f>
        <v>27537512.127266642</v>
      </c>
      <c r="K271" s="132"/>
      <c r="L271" s="131"/>
    </row>
    <row r="272" spans="1:13" ht="18" x14ac:dyDescent="0.35">
      <c r="B272" s="253" t="s">
        <v>464</v>
      </c>
      <c r="C272" s="276">
        <f>Demanda!F18</f>
        <v>200</v>
      </c>
      <c r="D272" s="270">
        <f ca="1">L260</f>
        <v>2.4946890835225095</v>
      </c>
      <c r="E272" s="273">
        <f ca="1">D272*(1-$C$262)</f>
        <v>0.24946890835225088</v>
      </c>
      <c r="F272" s="271">
        <f ca="1">C272*E272*Premissas!$C$44*Premissas!$F$20*1000</f>
        <v>679318.57282318862</v>
      </c>
      <c r="K272" s="132"/>
      <c r="L272" s="131"/>
    </row>
    <row r="273" spans="2:13" ht="18.600000000000001" thickBot="1" x14ac:dyDescent="0.4">
      <c r="B273" s="253"/>
      <c r="C273" s="253"/>
      <c r="D273" s="253"/>
      <c r="E273" s="253"/>
      <c r="F273" s="272">
        <f ca="1">SUM(F267:F272)</f>
        <v>75371608.33029522</v>
      </c>
      <c r="K273" s="132"/>
      <c r="L273" s="131"/>
    </row>
    <row r="274" spans="2:13" ht="15" thickTop="1" x14ac:dyDescent="0.3">
      <c r="K274" s="132"/>
      <c r="L274" s="131"/>
    </row>
    <row r="275" spans="2:13" x14ac:dyDescent="0.3">
      <c r="K275" s="132"/>
      <c r="L275" s="131"/>
    </row>
    <row r="276" spans="2:13" x14ac:dyDescent="0.3">
      <c r="K276" s="132"/>
      <c r="L276" s="131"/>
    </row>
    <row r="277" spans="2:13" x14ac:dyDescent="0.3">
      <c r="K277" s="132"/>
    </row>
    <row r="278" spans="2:13" x14ac:dyDescent="0.3">
      <c r="K278" s="132"/>
    </row>
    <row r="279" spans="2:13" x14ac:dyDescent="0.3">
      <c r="K279" s="132"/>
      <c r="M279" s="133"/>
    </row>
    <row r="280" spans="2:13" x14ac:dyDescent="0.3">
      <c r="K280" s="132"/>
      <c r="M280" s="133"/>
    </row>
    <row r="281" spans="2:13" x14ac:dyDescent="0.3">
      <c r="K281" s="132"/>
      <c r="M281" s="133"/>
    </row>
    <row r="282" spans="2:13" x14ac:dyDescent="0.3">
      <c r="K282" s="132"/>
      <c r="M282" s="133"/>
    </row>
    <row r="283" spans="2:13" x14ac:dyDescent="0.3">
      <c r="K283" s="132"/>
      <c r="M283" s="133"/>
    </row>
    <row r="284" spans="2:13" x14ac:dyDescent="0.3">
      <c r="K284" s="132"/>
      <c r="M284" s="133"/>
    </row>
    <row r="285" spans="2:13" x14ac:dyDescent="0.3">
      <c r="K285" s="132"/>
      <c r="M285" s="133"/>
    </row>
    <row r="286" spans="2:13" x14ac:dyDescent="0.3">
      <c r="K286" s="132"/>
      <c r="M286" s="133"/>
    </row>
    <row r="287" spans="2:13" x14ac:dyDescent="0.3">
      <c r="M287" s="133"/>
    </row>
    <row r="288" spans="2:13" x14ac:dyDescent="0.3">
      <c r="M288" s="133"/>
    </row>
    <row r="289" spans="13:14" x14ac:dyDescent="0.3">
      <c r="M289" s="133"/>
    </row>
    <row r="290" spans="13:14" x14ac:dyDescent="0.3">
      <c r="M290" s="133"/>
    </row>
    <row r="291" spans="13:14" x14ac:dyDescent="0.3">
      <c r="M291" s="133"/>
    </row>
    <row r="292" spans="13:14" x14ac:dyDescent="0.3">
      <c r="M292" s="133"/>
    </row>
    <row r="293" spans="13:14" x14ac:dyDescent="0.3">
      <c r="M293" s="133"/>
    </row>
    <row r="294" spans="13:14" x14ac:dyDescent="0.3">
      <c r="M294" s="133"/>
    </row>
    <row r="295" spans="13:14" x14ac:dyDescent="0.3">
      <c r="M295" s="133"/>
    </row>
    <row r="296" spans="13:14" x14ac:dyDescent="0.3">
      <c r="M296" s="133"/>
    </row>
    <row r="297" spans="13:14" x14ac:dyDescent="0.3">
      <c r="M297" s="133"/>
    </row>
    <row r="298" spans="13:14" x14ac:dyDescent="0.3">
      <c r="M298" s="133"/>
    </row>
    <row r="302" spans="13:14" x14ac:dyDescent="0.3">
      <c r="N302" s="134"/>
    </row>
  </sheetData>
  <mergeCells count="8">
    <mergeCell ref="C39:D39"/>
    <mergeCell ref="G39:H39"/>
    <mergeCell ref="C21:D21"/>
    <mergeCell ref="G21:H21"/>
    <mergeCell ref="C22:D22"/>
    <mergeCell ref="G22:H22"/>
    <mergeCell ref="C38:D38"/>
    <mergeCell ref="G38:H38"/>
  </mergeCell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2">
    <tabColor theme="9" tint="0.79998168889431442"/>
  </sheetPr>
  <dimension ref="A2:AA303"/>
  <sheetViews>
    <sheetView showGridLines="0" zoomScale="70" zoomScaleNormal="70" workbookViewId="0">
      <selection activeCell="F260" sqref="F260"/>
    </sheetView>
  </sheetViews>
  <sheetFormatPr defaultColWidth="8.77734375" defaultRowHeight="14.4" x14ac:dyDescent="0.3"/>
  <cols>
    <col min="2" max="2" width="33" customWidth="1"/>
    <col min="3" max="3" width="22.5546875" bestFit="1" customWidth="1"/>
    <col min="4" max="4" width="27" customWidth="1"/>
    <col min="5" max="5" width="25.77734375" customWidth="1"/>
    <col min="6" max="6" width="28.44140625" customWidth="1"/>
    <col min="7" max="7" width="27.77734375" bestFit="1" customWidth="1"/>
    <col min="8" max="8" width="16.77734375" bestFit="1" customWidth="1"/>
    <col min="9" max="9" width="35.44140625" bestFit="1" customWidth="1"/>
    <col min="10" max="10" width="22" bestFit="1" customWidth="1"/>
    <col min="11" max="11" width="25" bestFit="1" customWidth="1"/>
    <col min="12" max="12" width="18.77734375" bestFit="1" customWidth="1"/>
    <col min="13" max="13" width="27.77734375" bestFit="1" customWidth="1"/>
    <col min="14" max="14" width="18.77734375" bestFit="1" customWidth="1"/>
    <col min="15" max="15" width="33.21875" bestFit="1" customWidth="1"/>
    <col min="16" max="16" width="13.77734375" bestFit="1" customWidth="1"/>
    <col min="17" max="17" width="8.77734375" customWidth="1"/>
    <col min="18" max="18" width="12.21875" bestFit="1" customWidth="1"/>
    <col min="19" max="19" width="23.44140625" bestFit="1" customWidth="1"/>
    <col min="20" max="20" width="27.44140625" bestFit="1" customWidth="1"/>
    <col min="21" max="27" width="9.21875" bestFit="1" customWidth="1"/>
  </cols>
  <sheetData>
    <row r="2" spans="1:9" x14ac:dyDescent="0.3">
      <c r="B2" s="93" t="s">
        <v>108</v>
      </c>
      <c r="D2" s="239"/>
      <c r="G2" s="94" t="s">
        <v>109</v>
      </c>
    </row>
    <row r="3" spans="1:9" ht="15" thickBot="1" x14ac:dyDescent="0.35">
      <c r="G3" s="209">
        <v>2025</v>
      </c>
    </row>
    <row r="4" spans="1:9" ht="16.2" thickBot="1" x14ac:dyDescent="0.35">
      <c r="A4" s="224"/>
      <c r="B4" s="225" t="s">
        <v>110</v>
      </c>
      <c r="C4" s="226" t="s">
        <v>280</v>
      </c>
      <c r="D4" s="227">
        <f>Premissas!E40/1000</f>
        <v>6847.2934144714663</v>
      </c>
      <c r="E4" s="228" t="s">
        <v>111</v>
      </c>
      <c r="F4" s="224"/>
      <c r="G4" s="224"/>
      <c r="H4" s="239"/>
      <c r="I4" s="239"/>
    </row>
    <row r="5" spans="1:9" ht="15" thickBot="1" x14ac:dyDescent="0.35">
      <c r="A5" s="215"/>
      <c r="B5" s="260" t="s">
        <v>470</v>
      </c>
      <c r="C5" s="212"/>
      <c r="D5" s="213">
        <f ca="1">D6+D9</f>
        <v>6771.9218061411721</v>
      </c>
      <c r="E5" s="228" t="s">
        <v>111</v>
      </c>
      <c r="F5" s="278" t="s">
        <v>475</v>
      </c>
      <c r="G5" s="215"/>
      <c r="H5" s="239"/>
      <c r="I5" s="239"/>
    </row>
    <row r="6" spans="1:9" ht="15.6" x14ac:dyDescent="0.3">
      <c r="A6" s="210">
        <f>HLOOKUP($G$3,Premissas!$B$5:$F$13,9,FALSE)</f>
        <v>0.7</v>
      </c>
      <c r="B6" s="211" t="s">
        <v>112</v>
      </c>
      <c r="C6" s="212" t="s">
        <v>281</v>
      </c>
      <c r="D6" s="213">
        <f ca="1">($A$6*$D$4)-(SUM($F$268:$F$271)/10^6)</f>
        <v>4745.9506124998215</v>
      </c>
      <c r="E6" s="214" t="s">
        <v>113</v>
      </c>
      <c r="F6" s="278" t="s">
        <v>468</v>
      </c>
      <c r="G6" s="215"/>
      <c r="H6" s="239"/>
    </row>
    <row r="7" spans="1:9" ht="28.8" x14ac:dyDescent="0.3">
      <c r="A7" s="95"/>
      <c r="B7" s="216" t="s">
        <v>114</v>
      </c>
      <c r="C7" s="217" t="s">
        <v>282</v>
      </c>
      <c r="D7" s="218">
        <f>$D$35*Premissas!$F$20</f>
        <v>22642045</v>
      </c>
      <c r="E7" s="216" t="s">
        <v>115</v>
      </c>
      <c r="F7" s="234">
        <f>H35</f>
        <v>844597615.51605499</v>
      </c>
      <c r="G7" s="85" t="s">
        <v>116</v>
      </c>
    </row>
    <row r="8" spans="1:9" ht="16.8" thickBot="1" x14ac:dyDescent="0.35">
      <c r="A8" s="219"/>
      <c r="B8" s="220" t="s">
        <v>117</v>
      </c>
      <c r="C8" s="221" t="s">
        <v>283</v>
      </c>
      <c r="D8" s="222">
        <f ca="1">$D$6/$D$7*1000</f>
        <v>0.2096078606194724</v>
      </c>
      <c r="E8" s="223" t="s">
        <v>118</v>
      </c>
      <c r="F8" s="236">
        <f ca="1">$D$6/$F$7*1000000</f>
        <v>5.619185426660259</v>
      </c>
      <c r="G8" s="232" t="s">
        <v>15</v>
      </c>
      <c r="I8" s="239"/>
    </row>
    <row r="9" spans="1:9" ht="15.6" x14ac:dyDescent="0.3">
      <c r="A9" s="210">
        <f>1-A6</f>
        <v>0.30000000000000004</v>
      </c>
      <c r="B9" s="211" t="s">
        <v>119</v>
      </c>
      <c r="C9" s="212" t="s">
        <v>284</v>
      </c>
      <c r="D9" s="213">
        <f ca="1">($A$9*$D$4)-(SUM($F$272:$F$273)/10^6)</f>
        <v>2025.9711936413505</v>
      </c>
      <c r="E9" s="214" t="s">
        <v>113</v>
      </c>
      <c r="F9" s="278" t="s">
        <v>469</v>
      </c>
      <c r="G9" s="233"/>
    </row>
    <row r="10" spans="1:9" ht="28.8" x14ac:dyDescent="0.3">
      <c r="B10" s="216" t="s">
        <v>120</v>
      </c>
      <c r="C10" s="217" t="s">
        <v>285</v>
      </c>
      <c r="D10" s="218">
        <f>$D$58*Premissas!$F$20</f>
        <v>18680700</v>
      </c>
      <c r="E10" s="216" t="s">
        <v>115</v>
      </c>
      <c r="F10" s="234">
        <f>H58</f>
        <v>696830815.24529994</v>
      </c>
      <c r="G10" s="85" t="s">
        <v>116</v>
      </c>
    </row>
    <row r="11" spans="1:9" ht="16.8" thickBot="1" x14ac:dyDescent="0.35">
      <c r="A11" s="229"/>
      <c r="B11" s="220" t="s">
        <v>121</v>
      </c>
      <c r="C11" s="221" t="s">
        <v>286</v>
      </c>
      <c r="D11" s="222">
        <f ca="1">$D$9/$D$10*1000</f>
        <v>0.10845263794404655</v>
      </c>
      <c r="E11" s="223" t="s">
        <v>118</v>
      </c>
      <c r="F11" s="236">
        <f ca="1">$D$9/$F$10*1000000</f>
        <v>2.9074075791670664</v>
      </c>
      <c r="G11" s="232" t="s">
        <v>15</v>
      </c>
    </row>
    <row r="12" spans="1:9" ht="15" thickBot="1" x14ac:dyDescent="0.35">
      <c r="A12" s="224"/>
      <c r="B12" s="224" t="s">
        <v>122</v>
      </c>
      <c r="C12" s="230">
        <f>HLOOKUP($G$3,Premissas!$B$5:$F$8,4,FALSE)</f>
        <v>0.8</v>
      </c>
      <c r="D12" s="224"/>
      <c r="E12" s="224"/>
      <c r="F12" s="231"/>
      <c r="G12" s="224"/>
    </row>
    <row r="14" spans="1:9" s="98" customFormat="1" x14ac:dyDescent="0.3">
      <c r="A14" s="98" t="s">
        <v>123</v>
      </c>
      <c r="B14" s="98" t="s">
        <v>124</v>
      </c>
    </row>
    <row r="15" spans="1:9" x14ac:dyDescent="0.3">
      <c r="I15" s="96"/>
    </row>
    <row r="16" spans="1:9" x14ac:dyDescent="0.3">
      <c r="A16" s="99" t="s">
        <v>125</v>
      </c>
      <c r="B16" s="100" t="s">
        <v>126</v>
      </c>
      <c r="C16" s="101"/>
      <c r="I16" s="96"/>
    </row>
    <row r="17" spans="1:9" ht="15.6" x14ac:dyDescent="0.35">
      <c r="A17" t="s">
        <v>287</v>
      </c>
      <c r="B17" t="s">
        <v>127</v>
      </c>
      <c r="C17" s="47"/>
      <c r="I17" s="96"/>
    </row>
    <row r="18" spans="1:9" ht="15.6" x14ac:dyDescent="0.35">
      <c r="A18" t="s">
        <v>288</v>
      </c>
      <c r="B18" t="s">
        <v>128</v>
      </c>
      <c r="C18" s="47"/>
      <c r="I18" s="96"/>
    </row>
    <row r="19" spans="1:9" ht="15.6" x14ac:dyDescent="0.35">
      <c r="A19" t="s">
        <v>289</v>
      </c>
      <c r="B19" t="s">
        <v>129</v>
      </c>
      <c r="C19" s="47"/>
      <c r="H19">
        <v>37.302179000000002</v>
      </c>
      <c r="I19" s="96"/>
    </row>
    <row r="20" spans="1:9" ht="15.6" x14ac:dyDescent="0.35">
      <c r="A20" t="s">
        <v>290</v>
      </c>
      <c r="B20" t="s">
        <v>130</v>
      </c>
      <c r="C20" s="47"/>
      <c r="H20" s="102">
        <v>3.7302178999999998E-2</v>
      </c>
      <c r="I20" s="96"/>
    </row>
    <row r="21" spans="1:9" x14ac:dyDescent="0.3">
      <c r="C21" s="47"/>
      <c r="H21" s="102"/>
      <c r="I21" s="96"/>
    </row>
    <row r="22" spans="1:9" x14ac:dyDescent="0.3">
      <c r="C22" s="380">
        <f>G3</f>
        <v>2025</v>
      </c>
      <c r="D22" s="380"/>
      <c r="G22" s="380">
        <f>G3</f>
        <v>2025</v>
      </c>
      <c r="H22" s="380"/>
      <c r="I22" s="96"/>
    </row>
    <row r="23" spans="1:9" ht="16.05" customHeight="1" x14ac:dyDescent="0.3">
      <c r="C23" s="380" t="s">
        <v>246</v>
      </c>
      <c r="D23" s="380"/>
      <c r="G23" s="380" t="s">
        <v>247</v>
      </c>
      <c r="H23" s="380"/>
      <c r="I23" s="96"/>
    </row>
    <row r="24" spans="1:9" ht="33.6" x14ac:dyDescent="0.3">
      <c r="A24" s="103" t="s">
        <v>131</v>
      </c>
      <c r="B24" s="104" t="s">
        <v>132</v>
      </c>
      <c r="C24" s="105" t="s">
        <v>291</v>
      </c>
      <c r="D24" s="106" t="s">
        <v>292</v>
      </c>
      <c r="G24" s="105" t="s">
        <v>293</v>
      </c>
      <c r="H24" s="106" t="s">
        <v>294</v>
      </c>
      <c r="I24" s="96"/>
    </row>
    <row r="25" spans="1:9" x14ac:dyDescent="0.3">
      <c r="A25" s="2" t="s">
        <v>248</v>
      </c>
      <c r="B25" s="44" t="str">
        <f>'Oferta x Demanda'!O2</f>
        <v>PR-CARAGUATATUBA</v>
      </c>
      <c r="C25" s="317">
        <f>Oferta!C3</f>
        <v>20000</v>
      </c>
      <c r="D25" s="317">
        <f>'Oferta x Demanda'!D2</f>
        <v>14178</v>
      </c>
      <c r="F25" s="107"/>
      <c r="G25" s="43">
        <f>IFERROR($C25*$H$20*Premissas!$F$20*1000," ")</f>
        <v>272305906.69999999</v>
      </c>
      <c r="H25" s="43">
        <f>IFERROR($D25*$H$20*Premissas!$F$20*1000," ")</f>
        <v>193037657.25962999</v>
      </c>
      <c r="I25" s="96"/>
    </row>
    <row r="26" spans="1:9" x14ac:dyDescent="0.3">
      <c r="A26" s="2" t="s">
        <v>133</v>
      </c>
      <c r="B26" s="44" t="str">
        <f>'Oferta x Demanda'!O3</f>
        <v>PR-GNLBGB</v>
      </c>
      <c r="C26" s="317">
        <f>Oferta!C4</f>
        <v>20000</v>
      </c>
      <c r="D26" s="317">
        <f>'Oferta x Demanda'!D3</f>
        <v>20000</v>
      </c>
      <c r="F26" s="107"/>
      <c r="G26" s="43">
        <f>IFERROR($C26*$H$20*Premissas!$F$20*1000," ")</f>
        <v>272305906.69999999</v>
      </c>
      <c r="H26" s="43">
        <f>IFERROR($D26*$H$20*Premissas!$F$20*1000," ")</f>
        <v>272305906.69999999</v>
      </c>
      <c r="I26" s="96"/>
    </row>
    <row r="27" spans="1:9" x14ac:dyDescent="0.3">
      <c r="A27" s="2" t="s">
        <v>134</v>
      </c>
      <c r="B27" s="44" t="str">
        <f>'Oferta x Demanda'!O4</f>
        <v>PR-ITABORAÍ</v>
      </c>
      <c r="C27" s="317">
        <f>Oferta!C5</f>
        <v>12000</v>
      </c>
      <c r="D27" s="317">
        <f>'Oferta x Demanda'!D4</f>
        <v>13000</v>
      </c>
      <c r="E27" s="46"/>
      <c r="F27" s="107"/>
      <c r="G27" s="43">
        <f>IFERROR($C27*$H$20*Premissas!$F$20*1000," ")</f>
        <v>163383544.02000001</v>
      </c>
      <c r="H27" s="43">
        <f>IFERROR($D27*$H$20*Premissas!$F$20*1000," ")</f>
        <v>176998839.35499999</v>
      </c>
      <c r="I27" s="96"/>
    </row>
    <row r="28" spans="1:9" x14ac:dyDescent="0.3">
      <c r="A28" s="2" t="s">
        <v>135</v>
      </c>
      <c r="B28" s="44" t="str">
        <f>'Oferta x Demanda'!O5</f>
        <v>PR-GASPAJ (INTERCONEXÃO)</v>
      </c>
      <c r="C28" s="320"/>
      <c r="D28" s="320"/>
      <c r="E28" s="279" t="s">
        <v>471</v>
      </c>
      <c r="F28" s="107"/>
      <c r="G28" s="43">
        <f>IFERROR($C28*$H$20*Premissas!$F$20*1000," ")</f>
        <v>0</v>
      </c>
      <c r="H28" s="43">
        <f>IFERROR($D28*$H$20*Premissas!$F$20*1000," ")</f>
        <v>0</v>
      </c>
      <c r="I28" s="96"/>
    </row>
    <row r="29" spans="1:9" x14ac:dyDescent="0.3">
      <c r="A29" s="2" t="s">
        <v>136</v>
      </c>
      <c r="B29" s="44" t="str">
        <f>'Oferta x Demanda'!O6</f>
        <v>PR-REDUC</v>
      </c>
      <c r="C29" s="317">
        <f>Oferta!C7</f>
        <v>5000</v>
      </c>
      <c r="D29" s="317">
        <f>'Oferta x Demanda'!D6</f>
        <v>0</v>
      </c>
      <c r="E29" s="46"/>
      <c r="F29" s="107"/>
      <c r="G29" s="43">
        <f>IFERROR($C29*$H$20*Premissas!$F$20*1000," ")</f>
        <v>68076476.674999997</v>
      </c>
      <c r="H29" s="43">
        <f>IFERROR($D29*$H$20*Premissas!$F$20*1000," ")</f>
        <v>0</v>
      </c>
      <c r="I29" s="96"/>
    </row>
    <row r="30" spans="1:9" x14ac:dyDescent="0.3">
      <c r="A30" s="2" t="s">
        <v>249</v>
      </c>
      <c r="B30" s="44" t="str">
        <f>'Oferta x Demanda'!O7</f>
        <v>PR-RPBC</v>
      </c>
      <c r="C30" s="317">
        <f>Oferta!C8</f>
        <v>2200</v>
      </c>
      <c r="D30" s="317">
        <f>'Oferta x Demanda'!D7</f>
        <v>0</v>
      </c>
      <c r="E30" s="46"/>
      <c r="F30" s="107"/>
      <c r="G30" s="43">
        <f>IFERROR($C30*$H$20*Premissas!$F$20*1000," ")</f>
        <v>29953649.736999996</v>
      </c>
      <c r="H30" s="43">
        <f>IFERROR($D30*$H$20*Premissas!$F$20*1000," ")</f>
        <v>0</v>
      </c>
      <c r="I30" s="96"/>
    </row>
    <row r="31" spans="1:9" x14ac:dyDescent="0.3">
      <c r="A31" s="2" t="s">
        <v>137</v>
      </c>
      <c r="B31" s="44" t="str">
        <f>'Oferta x Demanda'!O8</f>
        <v>PR-TECAB</v>
      </c>
      <c r="C31" s="317">
        <f>Oferta!C9</f>
        <v>25160</v>
      </c>
      <c r="D31" s="317">
        <f>'Oferta x Demanda'!D8</f>
        <v>14855</v>
      </c>
      <c r="E31" s="46"/>
      <c r="F31" s="107"/>
      <c r="G31" s="43">
        <f>IFERROR($C31*$H$20*Premissas!$F$20*1000," ")</f>
        <v>342560830.6286</v>
      </c>
      <c r="H31" s="43">
        <f>IFERROR($D31*$H$20*Premissas!$F$20*1000," ")</f>
        <v>202255212.20142499</v>
      </c>
      <c r="I31" s="96"/>
    </row>
    <row r="32" spans="1:9" x14ac:dyDescent="0.3">
      <c r="A32" s="2" t="s">
        <v>250</v>
      </c>
      <c r="B32" s="44" t="str">
        <f>'Oferta x Demanda'!O9</f>
        <v>PR-GUARAREMA (INTERCONEXÃO)</v>
      </c>
      <c r="C32" s="254"/>
      <c r="D32" s="254"/>
      <c r="E32" s="279" t="s">
        <v>471</v>
      </c>
      <c r="F32" s="107"/>
      <c r="G32" s="43">
        <f>IFERROR($C32*$H$20*Premissas!$F$20*1000," ")</f>
        <v>0</v>
      </c>
      <c r="H32" s="43">
        <f>IFERROR($D32*$H$20*Premissas!$F$20*1000," ")</f>
        <v>0</v>
      </c>
      <c r="I32" s="96"/>
    </row>
    <row r="33" spans="1:10" x14ac:dyDescent="0.3">
      <c r="A33" s="2" t="s">
        <v>138</v>
      </c>
      <c r="B33" s="44" t="str">
        <f>'Oferta x Demanda'!O10</f>
        <v>PR-REPLAN (INTERCONEXÃO)</v>
      </c>
      <c r="C33" s="254"/>
      <c r="D33" s="254"/>
      <c r="E33" s="279" t="s">
        <v>471</v>
      </c>
      <c r="F33" s="107"/>
      <c r="G33" s="43">
        <f>IFERROR($C33*$H$20*Premissas!$F$20*1000," ")</f>
        <v>0</v>
      </c>
      <c r="H33" s="43">
        <f>IFERROR($D33*$H$20*Premissas!$F$20*1000," ")</f>
        <v>0</v>
      </c>
      <c r="I33" s="96"/>
    </row>
    <row r="34" spans="1:10" x14ac:dyDescent="0.3">
      <c r="A34" s="2" t="s">
        <v>139</v>
      </c>
      <c r="B34" s="44" t="str">
        <f>'Oferta x Demanda'!O11</f>
        <v>PR-TECAB (INTERCONEXÃO)</v>
      </c>
      <c r="C34" s="254"/>
      <c r="D34" s="254"/>
      <c r="E34" s="279" t="s">
        <v>471</v>
      </c>
      <c r="F34" s="107"/>
      <c r="G34" s="43">
        <f>IFERROR($C34*$H$20*Premissas!$F$20*1000," ")</f>
        <v>0</v>
      </c>
      <c r="H34" s="43">
        <f>IFERROR($D34*$H$20*Premissas!$F$20*1000," ")</f>
        <v>0</v>
      </c>
      <c r="I34" s="96"/>
    </row>
    <row r="35" spans="1:10" x14ac:dyDescent="0.3">
      <c r="C35" s="108">
        <f>SUM(C25:C34)</f>
        <v>84360</v>
      </c>
      <c r="D35" s="108">
        <f>SUM(D25:D34)</f>
        <v>62033</v>
      </c>
      <c r="E35" s="108"/>
      <c r="F35" s="107"/>
      <c r="G35" s="108">
        <f>SUM(G25:G34)</f>
        <v>1148586314.4605999</v>
      </c>
      <c r="H35" s="108">
        <f>SUM(H25:H34)</f>
        <v>844597615.51605499</v>
      </c>
      <c r="I35" s="96"/>
    </row>
    <row r="36" spans="1:10" x14ac:dyDescent="0.3">
      <c r="C36" s="107"/>
      <c r="D36" s="107"/>
      <c r="E36" s="107"/>
      <c r="F36" s="107"/>
      <c r="G36" s="107"/>
      <c r="H36" s="107"/>
      <c r="I36" s="96"/>
    </row>
    <row r="37" spans="1:10" x14ac:dyDescent="0.3">
      <c r="C37" s="107"/>
      <c r="D37" s="107"/>
      <c r="E37" s="107"/>
      <c r="F37" s="107"/>
      <c r="G37" s="107"/>
      <c r="H37" s="107"/>
      <c r="I37" s="96"/>
    </row>
    <row r="38" spans="1:10" x14ac:dyDescent="0.3">
      <c r="C38" s="107"/>
      <c r="D38" s="107"/>
      <c r="F38" s="107"/>
      <c r="G38" s="107"/>
      <c r="H38" s="107"/>
      <c r="I38" s="96"/>
    </row>
    <row r="39" spans="1:10" x14ac:dyDescent="0.3">
      <c r="C39" s="380">
        <f>C22</f>
        <v>2025</v>
      </c>
      <c r="D39" s="380"/>
      <c r="G39" s="380">
        <f>G22</f>
        <v>2025</v>
      </c>
      <c r="H39" s="380"/>
      <c r="J39" s="96"/>
    </row>
    <row r="40" spans="1:10" ht="16.05" customHeight="1" x14ac:dyDescent="0.3">
      <c r="C40" s="380" t="s">
        <v>246</v>
      </c>
      <c r="D40" s="380"/>
      <c r="G40" s="380" t="s">
        <v>247</v>
      </c>
      <c r="H40" s="380"/>
      <c r="I40" s="96"/>
    </row>
    <row r="41" spans="1:10" ht="33.6" x14ac:dyDescent="0.3">
      <c r="A41" s="103" t="s">
        <v>131</v>
      </c>
      <c r="B41" s="104" t="s">
        <v>140</v>
      </c>
      <c r="C41" s="105" t="s">
        <v>295</v>
      </c>
      <c r="D41" s="106" t="s">
        <v>296</v>
      </c>
      <c r="G41" s="105" t="s">
        <v>297</v>
      </c>
      <c r="H41" s="106" t="s">
        <v>298</v>
      </c>
      <c r="I41" s="96"/>
    </row>
    <row r="42" spans="1:10" x14ac:dyDescent="0.3">
      <c r="A42" s="2" t="s">
        <v>41</v>
      </c>
      <c r="B42" s="44" t="str">
        <f>'Oferta x Demanda'!A17</f>
        <v>NTS MG 1</v>
      </c>
      <c r="C42" s="317">
        <f>Demanda!C3</f>
        <v>864.5</v>
      </c>
      <c r="D42" s="317">
        <f>'Oferta x Demanda'!D17</f>
        <v>607</v>
      </c>
      <c r="G42" s="43">
        <f>IFERROR($C42*$H$20*Premissas!$F$20*1000," ")</f>
        <v>11770422.817107499</v>
      </c>
      <c r="H42" s="43">
        <f>IFERROR($D42*$H$20*Premissas!$F$20*1000," ")</f>
        <v>8264484.2683449984</v>
      </c>
      <c r="I42" s="96"/>
    </row>
    <row r="43" spans="1:10" x14ac:dyDescent="0.3">
      <c r="A43" s="2" t="s">
        <v>42</v>
      </c>
      <c r="B43" s="44" t="str">
        <f>'Oferta x Demanda'!A18</f>
        <v>NTS MG 2</v>
      </c>
      <c r="C43" s="317">
        <f>Demanda!C4</f>
        <v>1825.9</v>
      </c>
      <c r="D43" s="317">
        <f>'Oferta x Demanda'!D18</f>
        <v>1678</v>
      </c>
      <c r="E43" s="46"/>
      <c r="G43" s="43">
        <f>IFERROR($C43*$H$20*Premissas!$F$20*1000," ")</f>
        <v>24860167.752176501</v>
      </c>
      <c r="H43" s="43">
        <f>IFERROR($D43*$H$20*Premissas!$F$20*1000," ")</f>
        <v>22846465.572130002</v>
      </c>
      <c r="I43" s="96"/>
    </row>
    <row r="44" spans="1:10" x14ac:dyDescent="0.3">
      <c r="A44" s="2" t="s">
        <v>43</v>
      </c>
      <c r="B44" s="44" t="str">
        <f>'Oferta x Demanda'!A19</f>
        <v>NTS MG 3</v>
      </c>
      <c r="C44" s="317">
        <f>Demanda!C5</f>
        <v>3040.95</v>
      </c>
      <c r="D44" s="317">
        <f>'Oferta x Demanda'!D19</f>
        <v>2737</v>
      </c>
      <c r="E44" s="46"/>
      <c r="G44" s="43">
        <f>IFERROR($C44*$H$20*Premissas!$F$20*1000," ")</f>
        <v>41403432.348968253</v>
      </c>
      <c r="H44" s="43">
        <f>IFERROR($D44*$H$20*Premissas!$F$20*1000," ")</f>
        <v>37265063.331895001</v>
      </c>
      <c r="I44" s="96"/>
    </row>
    <row r="45" spans="1:10" x14ac:dyDescent="0.3">
      <c r="A45" s="2" t="s">
        <v>44</v>
      </c>
      <c r="B45" s="44" t="str">
        <f>'Oferta x Demanda'!A20</f>
        <v>NTS MG 4</v>
      </c>
      <c r="C45" s="317">
        <f>Demanda!C6</f>
        <v>1187.5</v>
      </c>
      <c r="D45" s="317">
        <f>'Oferta x Demanda'!D20</f>
        <v>335</v>
      </c>
      <c r="E45" s="46"/>
      <c r="G45" s="43">
        <f>IFERROR($C45*$H$20*Premissas!$F$20*1000," ")</f>
        <v>16168163.210312499</v>
      </c>
      <c r="H45" s="43">
        <f>IFERROR($D45*$H$20*Premissas!$F$20*1000," ")</f>
        <v>4561123.937225</v>
      </c>
      <c r="I45" s="96"/>
    </row>
    <row r="46" spans="1:10" x14ac:dyDescent="0.3">
      <c r="A46" s="2" t="s">
        <v>45</v>
      </c>
      <c r="B46" s="44" t="str">
        <f>'Oferta x Demanda'!A21</f>
        <v>NTS RJ 1</v>
      </c>
      <c r="C46" s="317">
        <f>Demanda!C7</f>
        <v>21185</v>
      </c>
      <c r="D46" s="317">
        <f>'Oferta x Demanda'!D21</f>
        <v>17793</v>
      </c>
      <c r="E46" s="46"/>
      <c r="G46" s="43">
        <f>IFERROR($C46*$H$20*Premissas!$F$20*1000," ")</f>
        <v>288440031.67197496</v>
      </c>
      <c r="H46" s="43">
        <f>IFERROR($D46*$H$20*Premissas!$F$20*1000," ")</f>
        <v>242256949.89565501</v>
      </c>
      <c r="I46" s="96"/>
    </row>
    <row r="47" spans="1:10" x14ac:dyDescent="0.3">
      <c r="A47" s="2" t="s">
        <v>46</v>
      </c>
      <c r="B47" s="44" t="str">
        <f>'Oferta x Demanda'!A22</f>
        <v>NTS RJ 2</v>
      </c>
      <c r="C47" s="317">
        <f>Demanda!C8</f>
        <v>11271.75</v>
      </c>
      <c r="D47" s="317">
        <f>'Oferta x Demanda'!D22</f>
        <v>8406</v>
      </c>
      <c r="E47" s="46"/>
      <c r="G47" s="43">
        <f>IFERROR($C47*$H$20*Premissas!$F$20*1000," ")</f>
        <v>153468205.19228625</v>
      </c>
      <c r="H47" s="43">
        <f>IFERROR($D47*$H$20*Premissas!$F$20*1000," ")</f>
        <v>114450172.58600999</v>
      </c>
      <c r="I47" s="96"/>
    </row>
    <row r="48" spans="1:10" x14ac:dyDescent="0.3">
      <c r="A48" s="2" t="s">
        <v>47</v>
      </c>
      <c r="B48" s="44" t="str">
        <f>'Oferta x Demanda'!A23</f>
        <v>NTS RJ 3</v>
      </c>
      <c r="C48" s="317">
        <f>Demanda!C9</f>
        <v>3249</v>
      </c>
      <c r="D48" s="317">
        <f>'Oferta x Demanda'!D23</f>
        <v>1714</v>
      </c>
      <c r="E48" s="46"/>
      <c r="G48" s="43">
        <f>IFERROR($C48*$H$20*Premissas!$F$20*1000," ")</f>
        <v>44236094.543414995</v>
      </c>
      <c r="H48" s="43">
        <f>IFERROR($D48*$H$20*Premissas!$F$20*1000," ")</f>
        <v>23336616.204189997</v>
      </c>
      <c r="I48" s="96"/>
    </row>
    <row r="49" spans="1:9" x14ac:dyDescent="0.3">
      <c r="A49" s="2" t="s">
        <v>48</v>
      </c>
      <c r="B49" s="44" t="str">
        <f>'Oferta x Demanda'!A24</f>
        <v>NTS RJ 4</v>
      </c>
      <c r="C49" s="317">
        <f>Demanda!C10</f>
        <v>498.75</v>
      </c>
      <c r="D49" s="317">
        <f>'Oferta x Demanda'!D24</f>
        <v>323</v>
      </c>
      <c r="E49" s="46"/>
      <c r="G49" s="43">
        <f>IFERROR($C49*$H$20*Premissas!$F$20*1000," ")</f>
        <v>6790628.5483312495</v>
      </c>
      <c r="H49" s="43">
        <f>IFERROR($D49*$H$20*Premissas!$F$20*1000," ")</f>
        <v>4397740.3932050001</v>
      </c>
      <c r="I49" s="96"/>
    </row>
    <row r="50" spans="1:9" x14ac:dyDescent="0.3">
      <c r="A50" s="2" t="s">
        <v>49</v>
      </c>
      <c r="B50" s="44" t="str">
        <f>'Oferta x Demanda'!A25</f>
        <v>NTS RJ 5</v>
      </c>
      <c r="C50" s="317">
        <f>Demanda!C11</f>
        <v>3321.2</v>
      </c>
      <c r="D50" s="317">
        <f>'Oferta x Demanda'!D25</f>
        <v>2128</v>
      </c>
      <c r="E50" s="46"/>
      <c r="G50" s="43">
        <f>IFERROR($C50*$H$20*Premissas!$F$20*1000," ")</f>
        <v>45219118.866601996</v>
      </c>
      <c r="H50" s="43">
        <f>IFERROR($D50*$H$20*Premissas!$F$20*1000," ")</f>
        <v>28973348.472879995</v>
      </c>
      <c r="I50" s="96"/>
    </row>
    <row r="51" spans="1:9" x14ac:dyDescent="0.3">
      <c r="A51" s="2" t="s">
        <v>50</v>
      </c>
      <c r="B51" s="44" t="str">
        <f>'Oferta x Demanda'!A26</f>
        <v>NTS SP 1</v>
      </c>
      <c r="C51" s="317">
        <f>Demanda!C12</f>
        <v>14292.75</v>
      </c>
      <c r="D51" s="317">
        <f>'Oferta x Demanda'!D26</f>
        <v>1237</v>
      </c>
      <c r="E51" s="46"/>
      <c r="G51" s="43">
        <f>IFERROR($C51*$H$20*Premissas!$F$20*1000," ")</f>
        <v>194600012.39932126</v>
      </c>
      <c r="H51" s="43">
        <f>IFERROR($D51*$H$20*Premissas!$F$20*1000," ")</f>
        <v>16842120.329395</v>
      </c>
      <c r="I51" s="96"/>
    </row>
    <row r="52" spans="1:9" x14ac:dyDescent="0.3">
      <c r="A52" s="2" t="s">
        <v>51</v>
      </c>
      <c r="B52" s="44" t="str">
        <f>'Oferta x Demanda'!A27</f>
        <v>NTS SP 2</v>
      </c>
      <c r="C52" s="317">
        <f>Demanda!C13</f>
        <v>3971</v>
      </c>
      <c r="D52" s="317">
        <f>'Oferta x Demanda'!D27</f>
        <v>2972</v>
      </c>
      <c r="E52" s="46"/>
      <c r="G52" s="43">
        <f>IFERROR($C52*$H$20*Premissas!$F$20*1000," ")</f>
        <v>54066337.775284998</v>
      </c>
      <c r="H52" s="43">
        <f>IFERROR($D52*$H$20*Premissas!$F$20*1000," ")</f>
        <v>40464657.735619992</v>
      </c>
      <c r="I52" s="96"/>
    </row>
    <row r="53" spans="1:9" x14ac:dyDescent="0.3">
      <c r="A53" s="2" t="s">
        <v>52</v>
      </c>
      <c r="B53" s="44" t="str">
        <f>'Oferta x Demanda'!A28</f>
        <v>NTS SP 3</v>
      </c>
      <c r="C53" s="317">
        <f>Demanda!C14</f>
        <v>9941.75</v>
      </c>
      <c r="D53" s="317">
        <f>'Oferta x Demanda'!D28</f>
        <v>7969</v>
      </c>
      <c r="E53" s="46"/>
      <c r="G53" s="43">
        <f>IFERROR($C53*$H$20*Premissas!$F$20*1000," ")</f>
        <v>135359862.39673626</v>
      </c>
      <c r="H53" s="43">
        <f>IFERROR($D53*$H$20*Premissas!$F$20*1000," ")</f>
        <v>108500288.52461499</v>
      </c>
      <c r="I53" s="96"/>
    </row>
    <row r="54" spans="1:9" x14ac:dyDescent="0.3">
      <c r="A54" s="2" t="s">
        <v>53</v>
      </c>
      <c r="B54" s="44" t="str">
        <f>'Oferta x Demanda'!A29</f>
        <v>NTS SP 4</v>
      </c>
      <c r="C54" s="317">
        <f>Demanda!C15</f>
        <v>3809.5</v>
      </c>
      <c r="D54" s="317">
        <f>'Oferta x Demanda'!D29</f>
        <v>3281</v>
      </c>
      <c r="E54" s="46"/>
      <c r="G54" s="43">
        <f>IFERROR($C54*$H$20*Premissas!$F$20*1000," ")</f>
        <v>51867467.578682497</v>
      </c>
      <c r="H54" s="43">
        <f>IFERROR($D54*$H$20*Premissas!$F$20*1000," ")</f>
        <v>44671783.994134992</v>
      </c>
      <c r="I54" s="96"/>
    </row>
    <row r="55" spans="1:9" x14ac:dyDescent="0.3">
      <c r="A55" s="2" t="s">
        <v>54</v>
      </c>
      <c r="B55" s="44" t="str">
        <f>'Oferta x Demanda'!A30</f>
        <v>PE-GUARAREMA (INTERCONEXÃO)</v>
      </c>
      <c r="C55" s="254"/>
      <c r="D55" s="254"/>
      <c r="E55" s="279" t="s">
        <v>471</v>
      </c>
      <c r="G55" s="43">
        <f>IFERROR($C55*$H$20*Premissas!$F$20*1000," ")</f>
        <v>0</v>
      </c>
      <c r="H55" s="43">
        <f>IFERROR($D55*$H$20*Premissas!$F$20*1000," ")</f>
        <v>0</v>
      </c>
      <c r="I55" s="96"/>
    </row>
    <row r="56" spans="1:9" x14ac:dyDescent="0.3">
      <c r="A56" s="2" t="s">
        <v>55</v>
      </c>
      <c r="B56" s="44" t="str">
        <f>'Oferta x Demanda'!A31</f>
        <v>PE-REPLAN (INTERCONEXÃO)</v>
      </c>
      <c r="C56" s="254"/>
      <c r="D56" s="254"/>
      <c r="E56" s="279" t="s">
        <v>471</v>
      </c>
      <c r="G56" s="43">
        <f>IFERROR($C56*$H$20*Premissas!$F$20*1000," ")</f>
        <v>0</v>
      </c>
      <c r="H56" s="43">
        <f>IFERROR($D56*$H$20*Premissas!$F$20*1000," ")</f>
        <v>0</v>
      </c>
      <c r="I56" s="96"/>
    </row>
    <row r="57" spans="1:9" x14ac:dyDescent="0.3">
      <c r="A57" s="2" t="s">
        <v>56</v>
      </c>
      <c r="B57" s="44" t="str">
        <f>'Oferta x Demanda'!A32</f>
        <v>PE-TECAB (INTERCONEXÃO)</v>
      </c>
      <c r="C57" s="254"/>
      <c r="D57" s="254"/>
      <c r="E57" s="279" t="s">
        <v>471</v>
      </c>
      <c r="G57" s="43">
        <f>IFERROR($C57*$H$20*Premissas!$F$20*1000," ")</f>
        <v>0</v>
      </c>
      <c r="H57" s="43">
        <f>IFERROR($D57*$H$20*Premissas!$F$20*1000," ")</f>
        <v>0</v>
      </c>
      <c r="I57" s="96"/>
    </row>
    <row r="58" spans="1:9" x14ac:dyDescent="0.3">
      <c r="C58" s="108">
        <f>SUM(C42:C57)</f>
        <v>78459.549999999988</v>
      </c>
      <c r="D58" s="108">
        <f>SUM(D42:D57)</f>
        <v>51180</v>
      </c>
      <c r="E58" s="108"/>
      <c r="G58" s="108">
        <f>SUM(G42:G57)</f>
        <v>1068249945.1011992</v>
      </c>
      <c r="H58" s="108">
        <f>SUM(H42:H57)</f>
        <v>696830815.24529994</v>
      </c>
      <c r="I58" s="96"/>
    </row>
    <row r="59" spans="1:9" x14ac:dyDescent="0.3">
      <c r="C59" s="107"/>
      <c r="D59" s="107"/>
      <c r="E59" s="107"/>
      <c r="G59" s="107"/>
      <c r="H59" s="107"/>
      <c r="I59" s="96"/>
    </row>
    <row r="60" spans="1:9" x14ac:dyDescent="0.3">
      <c r="C60" s="107"/>
      <c r="D60" s="107"/>
      <c r="E60" s="107"/>
      <c r="F60" s="107"/>
      <c r="G60" s="107"/>
      <c r="H60" s="107"/>
      <c r="I60" s="96"/>
    </row>
    <row r="61" spans="1:9" x14ac:dyDescent="0.3">
      <c r="C61" s="96"/>
      <c r="D61" s="96"/>
      <c r="F61" s="96"/>
      <c r="G61" s="96"/>
      <c r="H61" s="96"/>
    </row>
    <row r="62" spans="1:9" s="98" customFormat="1" x14ac:dyDescent="0.3">
      <c r="A62" s="98" t="s">
        <v>141</v>
      </c>
      <c r="B62" s="98" t="s">
        <v>142</v>
      </c>
    </row>
    <row r="63" spans="1:9" x14ac:dyDescent="0.3">
      <c r="A63" s="3"/>
    </row>
    <row r="64" spans="1:9" x14ac:dyDescent="0.3">
      <c r="A64" t="s">
        <v>125</v>
      </c>
      <c r="B64" t="s">
        <v>126</v>
      </c>
    </row>
    <row r="65" spans="1:12" ht="15.6" x14ac:dyDescent="0.35">
      <c r="A65" t="s">
        <v>299</v>
      </c>
      <c r="B65" t="s">
        <v>143</v>
      </c>
    </row>
    <row r="66" spans="1:12" x14ac:dyDescent="0.3">
      <c r="C66" s="2" t="s">
        <v>248</v>
      </c>
      <c r="D66" s="2" t="s">
        <v>133</v>
      </c>
      <c r="E66" s="2" t="s">
        <v>134</v>
      </c>
      <c r="F66" s="2" t="s">
        <v>135</v>
      </c>
      <c r="G66" s="2" t="s">
        <v>136</v>
      </c>
      <c r="H66" s="2" t="s">
        <v>249</v>
      </c>
      <c r="I66" s="2" t="s">
        <v>137</v>
      </c>
      <c r="J66" s="2" t="s">
        <v>250</v>
      </c>
      <c r="K66" s="2" t="s">
        <v>138</v>
      </c>
      <c r="L66" s="2" t="s">
        <v>139</v>
      </c>
    </row>
    <row r="67" spans="1:12" ht="22.8" x14ac:dyDescent="0.3">
      <c r="C67" s="45" t="s">
        <v>261</v>
      </c>
      <c r="D67" s="45" t="s">
        <v>26</v>
      </c>
      <c r="E67" s="45" t="s">
        <v>512</v>
      </c>
      <c r="F67" s="45" t="s">
        <v>253</v>
      </c>
      <c r="G67" s="45" t="s">
        <v>27</v>
      </c>
      <c r="H67" s="45" t="s">
        <v>29</v>
      </c>
      <c r="I67" s="45" t="s">
        <v>24</v>
      </c>
      <c r="J67" s="45" t="s">
        <v>274</v>
      </c>
      <c r="K67" s="45" t="s">
        <v>276</v>
      </c>
      <c r="L67" s="45" t="s">
        <v>275</v>
      </c>
    </row>
    <row r="68" spans="1:12" x14ac:dyDescent="0.3">
      <c r="A68" s="2" t="s">
        <v>41</v>
      </c>
      <c r="B68" s="44" t="str">
        <f>B42</f>
        <v>NTS MG 1</v>
      </c>
      <c r="C68" s="318">
        <f ca="1">VLOOKUP($B68,'Matriz Distâncias NTS'!$S$2:$AC$18,2,0)</f>
        <v>447.1</v>
      </c>
      <c r="D68" s="318">
        <f ca="1">VLOOKUP($B68,'Matriz Distâncias NTS'!$S$2:$AC$18,3,0)</f>
        <v>251.935</v>
      </c>
      <c r="E68" s="318">
        <f ca="1">VLOOKUP($B68,'Matriz Distâncias NTS'!$S$2:$AC$18,4,0)</f>
        <v>301.35699999999997</v>
      </c>
      <c r="F68" s="318">
        <f ca="1">VLOOKUP($B68,'Matriz Distâncias NTS'!$S$2:$AC$18,8,0)</f>
        <v>550.255</v>
      </c>
      <c r="G68" s="318">
        <f ca="1">VLOOKUP($B68,'Matriz Distâncias NTS'!$S$2:$AC$18,7,0)</f>
        <v>133.93299999999999</v>
      </c>
      <c r="H68" s="318">
        <f ca="1">VLOOKUP($B68,'Matriz Distâncias NTS'!$S$2:$AC$18,9,0)</f>
        <v>519.08299999999997</v>
      </c>
      <c r="I68" s="318">
        <f ca="1">VLOOKUP($B68,'Matriz Distâncias NTS'!$S$2:$AC$18,10,0)</f>
        <v>432.233</v>
      </c>
      <c r="J68" s="318">
        <f ca="1">VLOOKUP($B68,'Matriz Distâncias NTS'!$S$2:$AC$18,5,0)</f>
        <v>412.91999999999996</v>
      </c>
      <c r="K68" s="318">
        <f ca="1">VLOOKUP($B68,'Matriz Distâncias NTS'!$S$2:$AC$18,8,0)</f>
        <v>550.255</v>
      </c>
      <c r="L68" s="318">
        <f ca="1">VLOOKUP($B68,'Matriz Distâncias NTS'!$S$2:$AC$18,11,0)</f>
        <v>432.233</v>
      </c>
    </row>
    <row r="69" spans="1:12" x14ac:dyDescent="0.3">
      <c r="A69" s="2" t="s">
        <v>42</v>
      </c>
      <c r="B69" s="44" t="str">
        <f>B43</f>
        <v>NTS MG 2</v>
      </c>
      <c r="C69" s="318">
        <f ca="1">VLOOKUP($B69,'Matriz Distâncias NTS'!$S$2:$AC$18,2,0)</f>
        <v>544.26400000000001</v>
      </c>
      <c r="D69" s="318">
        <f ca="1">VLOOKUP($B69,'Matriz Distâncias NTS'!$S$2:$AC$18,3,0)</f>
        <v>349.09899999999999</v>
      </c>
      <c r="E69" s="318">
        <f ca="1">VLOOKUP($B69,'Matriz Distâncias NTS'!$S$2:$AC$18,4,0)</f>
        <v>398.52100000000002</v>
      </c>
      <c r="F69" s="318">
        <f ca="1">VLOOKUP($B69,'Matriz Distâncias NTS'!$S$2:$AC$18,8,0)</f>
        <v>647.41899999999998</v>
      </c>
      <c r="G69" s="318">
        <f ca="1">VLOOKUP($B69,'Matriz Distâncias NTS'!$S$2:$AC$18,7,0)</f>
        <v>231.09699999999998</v>
      </c>
      <c r="H69" s="318">
        <f ca="1">VLOOKUP($B69,'Matriz Distâncias NTS'!$S$2:$AC$18,9,0)</f>
        <v>616.24699999999996</v>
      </c>
      <c r="I69" s="318">
        <f ca="1">VLOOKUP($B69,'Matriz Distâncias NTS'!$S$2:$AC$18,10,0)</f>
        <v>529.39700000000005</v>
      </c>
      <c r="J69" s="318">
        <f ca="1">VLOOKUP($B69,'Matriz Distâncias NTS'!$S$2:$AC$18,5,0)</f>
        <v>510.08400000000006</v>
      </c>
      <c r="K69" s="318">
        <f ca="1">VLOOKUP($B69,'Matriz Distâncias NTS'!$S$2:$AC$18,8,0)</f>
        <v>647.41899999999998</v>
      </c>
      <c r="L69" s="318">
        <f ca="1">VLOOKUP($B69,'Matriz Distâncias NTS'!$S$2:$AC$18,11,0)</f>
        <v>529.39700000000005</v>
      </c>
    </row>
    <row r="70" spans="1:12" x14ac:dyDescent="0.3">
      <c r="A70" s="2" t="s">
        <v>43</v>
      </c>
      <c r="B70" s="44" t="str">
        <f>B44</f>
        <v>NTS MG 3</v>
      </c>
      <c r="C70" s="318">
        <f ca="1">VLOOKUP($B70,'Matriz Distâncias NTS'!$S$2:$AC$18,2,0)</f>
        <v>661.42919999999992</v>
      </c>
      <c r="D70" s="318">
        <f ca="1">VLOOKUP($B70,'Matriz Distâncias NTS'!$S$2:$AC$18,3,0)</f>
        <v>466.26419999999996</v>
      </c>
      <c r="E70" s="318">
        <f ca="1">VLOOKUP($B70,'Matriz Distâncias NTS'!$S$2:$AC$18,4,0)</f>
        <v>515.68619999999999</v>
      </c>
      <c r="F70" s="318">
        <f ca="1">VLOOKUP($B70,'Matriz Distâncias NTS'!$S$2:$AC$18,8,0)</f>
        <v>764.58420000000001</v>
      </c>
      <c r="G70" s="318">
        <f ca="1">VLOOKUP($B70,'Matriz Distâncias NTS'!$S$2:$AC$18,7,0)</f>
        <v>348.26220000000001</v>
      </c>
      <c r="H70" s="318">
        <f ca="1">VLOOKUP($B70,'Matriz Distâncias NTS'!$S$2:$AC$18,9,0)</f>
        <v>733.4122000000001</v>
      </c>
      <c r="I70" s="318">
        <f ca="1">VLOOKUP($B70,'Matriz Distâncias NTS'!$S$2:$AC$18,10,0)</f>
        <v>646.56219999999996</v>
      </c>
      <c r="J70" s="318">
        <f ca="1">VLOOKUP($B70,'Matriz Distâncias NTS'!$S$2:$AC$18,5,0)</f>
        <v>627.24920000000009</v>
      </c>
      <c r="K70" s="318">
        <f ca="1">VLOOKUP($B70,'Matriz Distâncias NTS'!$S$2:$AC$18,8,0)</f>
        <v>764.58420000000001</v>
      </c>
      <c r="L70" s="318">
        <f ca="1">VLOOKUP($B70,'Matriz Distâncias NTS'!$S$2:$AC$18,11,0)</f>
        <v>646.56219999999996</v>
      </c>
    </row>
    <row r="71" spans="1:12" x14ac:dyDescent="0.3">
      <c r="A71" s="2" t="s">
        <v>44</v>
      </c>
      <c r="B71" s="44" t="str">
        <f t="shared" ref="B71:B83" si="0">B45</f>
        <v>NTS MG 4</v>
      </c>
      <c r="C71" s="318">
        <f ca="1">VLOOKUP($B71,'Matriz Distâncias NTS'!$S$2:$AC$18,2,0)</f>
        <v>394.62900000000002</v>
      </c>
      <c r="D71" s="318">
        <f ca="1">VLOOKUP($B71,'Matriz Distâncias NTS'!$S$2:$AC$18,3,0)</f>
        <v>596.17999999999995</v>
      </c>
      <c r="E71" s="318">
        <f ca="1">VLOOKUP($B71,'Matriz Distâncias NTS'!$S$2:$AC$18,4,0)</f>
        <v>645.60199999999998</v>
      </c>
      <c r="F71" s="318">
        <f ca="1">VLOOKUP($B71,'Matriz Distâncias NTS'!$S$2:$AC$18,8,0)</f>
        <v>93.766000000000005</v>
      </c>
      <c r="G71" s="318">
        <f ca="1">VLOOKUP($B71,'Matriz Distâncias NTS'!$S$2:$AC$18,7,0)</f>
        <v>598.4799999999999</v>
      </c>
      <c r="H71" s="318">
        <f ca="1">VLOOKUP($B71,'Matriz Distâncias NTS'!$S$2:$AC$18,9,0)</f>
        <v>466.61200000000002</v>
      </c>
      <c r="I71" s="318">
        <f ca="1">VLOOKUP($B71,'Matriz Distâncias NTS'!$S$2:$AC$18,10,0)</f>
        <v>776.47799999999995</v>
      </c>
      <c r="J71" s="318">
        <f ca="1">VLOOKUP($B71,'Matriz Distâncias NTS'!$S$2:$AC$18,5,0)</f>
        <v>360.44900000000001</v>
      </c>
      <c r="K71" s="318">
        <f ca="1">VLOOKUP($B71,'Matriz Distâncias NTS'!$S$2:$AC$18,8,0)</f>
        <v>93.766000000000005</v>
      </c>
      <c r="L71" s="318">
        <f ca="1">VLOOKUP($B71,'Matriz Distâncias NTS'!$S$2:$AC$18,11,0)</f>
        <v>776.47799999999995</v>
      </c>
    </row>
    <row r="72" spans="1:12" x14ac:dyDescent="0.3">
      <c r="A72" s="2" t="s">
        <v>45</v>
      </c>
      <c r="B72" s="44" t="str">
        <f t="shared" si="0"/>
        <v>NTS RJ 1</v>
      </c>
      <c r="C72" s="318">
        <f ca="1">VLOOKUP($B72,'Matriz Distâncias NTS'!$S$2:$AC$18,2,0)</f>
        <v>460.82099999999997</v>
      </c>
      <c r="D72" s="318">
        <f ca="1">VLOOKUP($B72,'Matriz Distâncias NTS'!$S$2:$AC$18,3,0)</f>
        <v>64.091333333333338</v>
      </c>
      <c r="E72" s="318">
        <f ca="1">VLOOKUP($B72,'Matriz Distâncias NTS'!$S$2:$AC$18,4,0)</f>
        <v>75.091333333333338</v>
      </c>
      <c r="F72" s="318">
        <f ca="1">VLOOKUP($B72,'Matriz Distâncias NTS'!$S$2:$AC$18,8,0)</f>
        <v>563.976</v>
      </c>
      <c r="G72" s="318">
        <f ca="1">VLOOKUP($B72,'Matriz Distâncias NTS'!$S$2:$AC$18,7,0)</f>
        <v>64.091333333333338</v>
      </c>
      <c r="H72" s="318">
        <f ca="1">VLOOKUP($B72,'Matriz Distâncias NTS'!$S$2:$AC$18,9,0)</f>
        <v>530.12266666666665</v>
      </c>
      <c r="I72" s="318">
        <f ca="1">VLOOKUP($B72,'Matriz Distâncias NTS'!$S$2:$AC$18,10,0)</f>
        <v>120.26933333333334</v>
      </c>
      <c r="J72" s="318">
        <f ca="1">VLOOKUP($B72,'Matriz Distâncias NTS'!$S$2:$AC$18,5,0)</f>
        <v>423.95966666666664</v>
      </c>
      <c r="K72" s="318">
        <f ca="1">VLOOKUP($B72,'Matriz Distâncias NTS'!$S$2:$AC$18,8,0)</f>
        <v>563.976</v>
      </c>
      <c r="L72" s="318">
        <f ca="1">VLOOKUP($B72,'Matriz Distâncias NTS'!$S$2:$AC$18,11,0)</f>
        <v>120.26933333333334</v>
      </c>
    </row>
    <row r="73" spans="1:12" x14ac:dyDescent="0.3">
      <c r="A73" s="2" t="s">
        <v>46</v>
      </c>
      <c r="B73" s="44" t="str">
        <f t="shared" si="0"/>
        <v>NTS RJ 2</v>
      </c>
      <c r="C73" s="318">
        <f ca="1">VLOOKUP($B73,'Matriz Distâncias NTS'!$S$2:$AC$18,2,0)</f>
        <v>352.80099999999999</v>
      </c>
      <c r="D73" s="318">
        <f ca="1">VLOOKUP($B73,'Matriz Distâncias NTS'!$S$2:$AC$18,3,0)</f>
        <v>46.097999999999992</v>
      </c>
      <c r="E73" s="318">
        <f ca="1">VLOOKUP($B73,'Matriz Distâncias NTS'!$S$2:$AC$18,4,0)</f>
        <v>95.519999999999982</v>
      </c>
      <c r="F73" s="318">
        <f ca="1">VLOOKUP($B73,'Matriz Distâncias NTS'!$S$2:$AC$18,8,0)</f>
        <v>456.31599999999997</v>
      </c>
      <c r="G73" s="318">
        <f ca="1">VLOOKUP($B73,'Matriz Distâncias NTS'!$S$2:$AC$18,7,0)</f>
        <v>45.943333333333328</v>
      </c>
      <c r="H73" s="318">
        <f ca="1">VLOOKUP($B73,'Matriz Distâncias NTS'!$S$2:$AC$18,9,0)</f>
        <v>424.06400000000002</v>
      </c>
      <c r="I73" s="318">
        <f ca="1">VLOOKUP($B73,'Matriz Distâncias NTS'!$S$2:$AC$18,10,0)</f>
        <v>226.39599999999999</v>
      </c>
      <c r="J73" s="318">
        <f ca="1">VLOOKUP($B73,'Matriz Distâncias NTS'!$S$2:$AC$18,5,0)</f>
        <v>318.62100000000004</v>
      </c>
      <c r="K73" s="318">
        <f ca="1">VLOOKUP($B73,'Matriz Distâncias NTS'!$S$2:$AC$18,8,0)</f>
        <v>456.31599999999997</v>
      </c>
      <c r="L73" s="318">
        <f ca="1">VLOOKUP($B73,'Matriz Distâncias NTS'!$S$2:$AC$18,11,0)</f>
        <v>226.39599999999999</v>
      </c>
    </row>
    <row r="74" spans="1:12" x14ac:dyDescent="0.3">
      <c r="A74" s="2" t="s">
        <v>47</v>
      </c>
      <c r="B74" s="44" t="str">
        <f t="shared" si="0"/>
        <v>NTS RJ 3</v>
      </c>
      <c r="C74" s="318">
        <f ca="1">VLOOKUP($B74,'Matriz Distâncias NTS'!$S$2:$AC$18,2,0)</f>
        <v>307.62360000000001</v>
      </c>
      <c r="D74" s="318">
        <f ca="1">VLOOKUP($B74,'Matriz Distâncias NTS'!$S$2:$AC$18,3,0)</f>
        <v>92.737400000000008</v>
      </c>
      <c r="E74" s="318">
        <f ca="1">VLOOKUP($B74,'Matriz Distâncias NTS'!$S$2:$AC$18,4,0)</f>
        <v>142.15940000000001</v>
      </c>
      <c r="F74" s="318">
        <f ca="1">VLOOKUP($B74,'Matriz Distâncias NTS'!$S$2:$AC$18,8,0)</f>
        <v>448.94899999999996</v>
      </c>
      <c r="G74" s="318">
        <f ca="1">VLOOKUP($B74,'Matriz Distâncias NTS'!$S$2:$AC$18,7,0)</f>
        <v>89.951799999999992</v>
      </c>
      <c r="H74" s="318">
        <f ca="1">VLOOKUP($B74,'Matriz Distâncias NTS'!$S$2:$AC$18,9,0)</f>
        <v>379.60659999999996</v>
      </c>
      <c r="I74" s="318">
        <f ca="1">VLOOKUP($B74,'Matriz Distâncias NTS'!$S$2:$AC$18,10,0)</f>
        <v>273.03540000000004</v>
      </c>
      <c r="J74" s="318">
        <f ca="1">VLOOKUP($B74,'Matriz Distâncias NTS'!$S$2:$AC$18,5,0)</f>
        <v>273.44359999999995</v>
      </c>
      <c r="K74" s="318">
        <f ca="1">VLOOKUP($B74,'Matriz Distâncias NTS'!$S$2:$AC$18,8,0)</f>
        <v>448.94899999999996</v>
      </c>
      <c r="L74" s="318">
        <f ca="1">VLOOKUP($B74,'Matriz Distâncias NTS'!$S$2:$AC$18,11,0)</f>
        <v>273.03540000000004</v>
      </c>
    </row>
    <row r="75" spans="1:12" x14ac:dyDescent="0.3">
      <c r="A75" s="2" t="s">
        <v>48</v>
      </c>
      <c r="B75" s="44" t="str">
        <f t="shared" si="0"/>
        <v>NTS RJ 4</v>
      </c>
      <c r="C75" s="318">
        <f ca="1">VLOOKUP($B75,'Matriz Distâncias NTS'!$S$2:$AC$18,2,0)</f>
        <v>244.471</v>
      </c>
      <c r="D75" s="318">
        <f ca="1">VLOOKUP($B75,'Matriz Distâncias NTS'!$S$2:$AC$18,3,0)</f>
        <v>154.518</v>
      </c>
      <c r="E75" s="318">
        <f ca="1">VLOOKUP($B75,'Matriz Distâncias NTS'!$S$2:$AC$18,4,0)</f>
        <v>203.93999999999997</v>
      </c>
      <c r="F75" s="318">
        <f ca="1">VLOOKUP($B75,'Matriz Distâncias NTS'!$S$2:$AC$18,8,0)</f>
        <v>347.89600000000002</v>
      </c>
      <c r="G75" s="318">
        <f ca="1">VLOOKUP($B75,'Matriz Distâncias NTS'!$S$2:$AC$18,7,0)</f>
        <v>156.81800000000001</v>
      </c>
      <c r="H75" s="318">
        <f ca="1">VLOOKUP($B75,'Matriz Distâncias NTS'!$S$2:$AC$18,9,0)</f>
        <v>316.72399999999999</v>
      </c>
      <c r="I75" s="318">
        <f ca="1">VLOOKUP($B75,'Matriz Distâncias NTS'!$S$2:$AC$18,10,0)</f>
        <v>334.81599999999997</v>
      </c>
      <c r="J75" s="318">
        <f ca="1">VLOOKUP($B75,'Matriz Distâncias NTS'!$S$2:$AC$18,5,0)</f>
        <v>210.56099999999998</v>
      </c>
      <c r="K75" s="318">
        <f ca="1">VLOOKUP($B75,'Matriz Distâncias NTS'!$S$2:$AC$18,8,0)</f>
        <v>347.89600000000002</v>
      </c>
      <c r="L75" s="318">
        <f ca="1">VLOOKUP($B75,'Matriz Distâncias NTS'!$S$2:$AC$18,11,0)</f>
        <v>334.81599999999997</v>
      </c>
    </row>
    <row r="76" spans="1:12" x14ac:dyDescent="0.3">
      <c r="A76" s="2" t="s">
        <v>49</v>
      </c>
      <c r="B76" s="44" t="str">
        <f t="shared" si="0"/>
        <v>NTS RJ 5</v>
      </c>
      <c r="C76" s="318">
        <f ca="1">VLOOKUP($B76,'Matriz Distâncias NTS'!$S$2:$AC$18,2,0)</f>
        <v>395.91849999999999</v>
      </c>
      <c r="D76" s="318">
        <f ca="1">VLOOKUP($B76,'Matriz Distâncias NTS'!$S$2:$AC$18,3,0)</f>
        <v>36.580500000000001</v>
      </c>
      <c r="E76" s="318">
        <f ca="1">VLOOKUP($B76,'Matriz Distâncias NTS'!$S$2:$AC$18,4,0)</f>
        <v>87.152500000000003</v>
      </c>
      <c r="F76" s="318">
        <f ca="1">VLOOKUP($B76,'Matriz Distâncias NTS'!$S$2:$AC$18,8,0)</f>
        <v>499.07349999999997</v>
      </c>
      <c r="G76" s="318">
        <f ca="1">VLOOKUP($B76,'Matriz Distâncias NTS'!$S$2:$AC$18,7,0)</f>
        <v>34.080500000000001</v>
      </c>
      <c r="H76" s="318">
        <f ca="1">VLOOKUP($B76,'Matriz Distâncias NTS'!$S$2:$AC$18,9,0)</f>
        <v>463.87950000000001</v>
      </c>
      <c r="I76" s="318">
        <f ca="1">VLOOKUP($B76,'Matriz Distâncias NTS'!$S$2:$AC$18,10,0)</f>
        <v>218.02850000000001</v>
      </c>
      <c r="J76" s="318">
        <f ca="1">VLOOKUP($B76,'Matriz Distâncias NTS'!$S$2:$AC$18,5,0)</f>
        <v>357.71899999999999</v>
      </c>
      <c r="K76" s="318">
        <f ca="1">VLOOKUP($B76,'Matriz Distâncias NTS'!$S$2:$AC$18,8,0)</f>
        <v>499.07349999999997</v>
      </c>
      <c r="L76" s="318">
        <f ca="1">VLOOKUP($B76,'Matriz Distâncias NTS'!$S$2:$AC$18,11,0)</f>
        <v>218.02850000000001</v>
      </c>
    </row>
    <row r="77" spans="1:12" x14ac:dyDescent="0.3">
      <c r="A77" s="2" t="s">
        <v>50</v>
      </c>
      <c r="B77" s="44" t="str">
        <f t="shared" si="0"/>
        <v>NTS SP 1</v>
      </c>
      <c r="C77" s="318">
        <f ca="1">VLOOKUP($B77,'Matriz Distâncias NTS'!$S$2:$AC$18,2,0)</f>
        <v>162.84283333333335</v>
      </c>
      <c r="D77" s="318">
        <f ca="1">VLOOKUP($B77,'Matriz Distâncias NTS'!$S$2:$AC$18,3,0)</f>
        <v>343.1248333333333</v>
      </c>
      <c r="E77" s="318">
        <f ca="1">VLOOKUP($B77,'Matriz Distâncias NTS'!$S$2:$AC$18,4,0)</f>
        <v>329.05316666666664</v>
      </c>
      <c r="F77" s="318">
        <f ca="1">VLOOKUP($B77,'Matriz Distâncias NTS'!$S$2:$AC$18,8,0)</f>
        <v>222.24283333333335</v>
      </c>
      <c r="G77" s="318">
        <f ca="1">VLOOKUP($B77,'Matriz Distâncias NTS'!$S$2:$AC$18,7,0)</f>
        <v>278.44916666666666</v>
      </c>
      <c r="H77" s="318">
        <f ca="1">VLOOKUP($B77,'Matriz Distâncias NTS'!$S$2:$AC$18,9,0)</f>
        <v>234.82583333333335</v>
      </c>
      <c r="I77" s="318">
        <f ca="1">VLOOKUP($B77,'Matriz Distâncias NTS'!$S$2:$AC$18,10,0)</f>
        <v>459.92916666666662</v>
      </c>
      <c r="J77" s="318">
        <f ca="1">VLOOKUP($B77,'Matriz Distâncias NTS'!$S$2:$AC$18,5,0)</f>
        <v>128.66283333333334</v>
      </c>
      <c r="K77" s="318">
        <f ca="1">VLOOKUP($B77,'Matriz Distâncias NTS'!$S$2:$AC$18,8,0)</f>
        <v>222.24283333333335</v>
      </c>
      <c r="L77" s="318">
        <f ca="1">VLOOKUP($B77,'Matriz Distâncias NTS'!$S$2:$AC$18,11,0)</f>
        <v>459.92916666666662</v>
      </c>
    </row>
    <row r="78" spans="1:12" x14ac:dyDescent="0.3">
      <c r="A78" s="2" t="s">
        <v>51</v>
      </c>
      <c r="B78" s="44" t="str">
        <f t="shared" si="0"/>
        <v>NTS SP 2</v>
      </c>
      <c r="C78" s="318">
        <f ca="1">VLOOKUP($B78,'Matriz Distâncias NTS'!$S$2:$AC$18,2,0)</f>
        <v>77.567999999999998</v>
      </c>
      <c r="D78" s="318">
        <f ca="1">VLOOKUP($B78,'Matriz Distâncias NTS'!$S$2:$AC$18,3,0)</f>
        <v>319.46766666666667</v>
      </c>
      <c r="E78" s="318">
        <f ca="1">VLOOKUP($B78,'Matriz Distâncias NTS'!$S$2:$AC$18,4,0)</f>
        <v>367.80966666666671</v>
      </c>
      <c r="F78" s="318">
        <f ca="1">VLOOKUP($B78,'Matriz Distâncias NTS'!$S$2:$AC$18,8,0)</f>
        <v>221.07166666666669</v>
      </c>
      <c r="G78" s="318">
        <f ca="1">VLOOKUP($B78,'Matriz Distâncias NTS'!$S$2:$AC$18,7,0)</f>
        <v>321.76766666666668</v>
      </c>
      <c r="H78" s="318">
        <f ca="1">VLOOKUP($B78,'Matriz Distâncias NTS'!$S$2:$AC$18,9,0)</f>
        <v>151.77433333333332</v>
      </c>
      <c r="I78" s="318">
        <f ca="1">VLOOKUP($B78,'Matriz Distâncias NTS'!$S$2:$AC$18,10,0)</f>
        <v>498.68566666666669</v>
      </c>
      <c r="J78" s="318">
        <f ca="1">VLOOKUP($B78,'Matriz Distâncias NTS'!$S$2:$AC$18,5,0)</f>
        <v>45.611333333333334</v>
      </c>
      <c r="K78" s="318">
        <f ca="1">VLOOKUP($B78,'Matriz Distâncias NTS'!$S$2:$AC$18,8,0)</f>
        <v>221.07166666666669</v>
      </c>
      <c r="L78" s="318">
        <f ca="1">VLOOKUP($B78,'Matriz Distâncias NTS'!$S$2:$AC$18,11,0)</f>
        <v>498.68566666666669</v>
      </c>
    </row>
    <row r="79" spans="1:12" x14ac:dyDescent="0.3">
      <c r="A79" s="2" t="s">
        <v>52</v>
      </c>
      <c r="B79" s="44" t="str">
        <f t="shared" si="0"/>
        <v>NTS SP 3</v>
      </c>
      <c r="C79" s="318">
        <f ca="1">VLOOKUP($B79,'Matriz Distâncias NTS'!$S$2:$AC$18,2,0)</f>
        <v>176.60120000000001</v>
      </c>
      <c r="D79" s="318">
        <f ca="1">VLOOKUP($B79,'Matriz Distâncias NTS'!$S$2:$AC$18,3,0)</f>
        <v>435.43320000000006</v>
      </c>
      <c r="E79" s="318">
        <f ca="1">VLOOKUP($B79,'Matriz Distâncias NTS'!$S$2:$AC$18,4,0)</f>
        <v>483.80799999999999</v>
      </c>
      <c r="F79" s="318">
        <f ca="1">VLOOKUP($B79,'Matriz Distâncias NTS'!$S$2:$AC$18,8,0)</f>
        <v>337.03720000000004</v>
      </c>
      <c r="G79" s="318">
        <f ca="1">VLOOKUP($B79,'Matriz Distâncias NTS'!$S$2:$AC$18,7,0)</f>
        <v>437.73320000000001</v>
      </c>
      <c r="H79" s="318">
        <f ca="1">VLOOKUP($B79,'Matriz Distâncias NTS'!$S$2:$AC$18,9,0)</f>
        <v>46.044000000000004</v>
      </c>
      <c r="I79" s="318">
        <f ca="1">VLOOKUP($B79,'Matriz Distâncias NTS'!$S$2:$AC$18,10,0)</f>
        <v>614.68399999999997</v>
      </c>
      <c r="J79" s="318">
        <f ca="1">VLOOKUP($B79,'Matriz Distâncias NTS'!$S$2:$AC$18,5,0)</f>
        <v>70.354199999999992</v>
      </c>
      <c r="K79" s="318">
        <f ca="1">VLOOKUP($B79,'Matriz Distâncias NTS'!$S$2:$AC$18,8,0)</f>
        <v>337.03720000000004</v>
      </c>
      <c r="L79" s="318">
        <f ca="1">VLOOKUP($B79,'Matriz Distâncias NTS'!$S$2:$AC$18,11,0)</f>
        <v>614.68399999999997</v>
      </c>
    </row>
    <row r="80" spans="1:12" x14ac:dyDescent="0.3">
      <c r="A80" s="2" t="s">
        <v>53</v>
      </c>
      <c r="B80" s="44" t="str">
        <f t="shared" si="0"/>
        <v>NTS SP 4</v>
      </c>
      <c r="C80" s="318">
        <f ca="1">VLOOKUP($B80,'Matriz Distâncias NTS'!$S$2:$AC$18,2,0)</f>
        <v>211.58399999999997</v>
      </c>
      <c r="D80" s="318">
        <f ca="1">VLOOKUP($B80,'Matriz Distâncias NTS'!$S$2:$AC$18,3,0)</f>
        <v>470.416</v>
      </c>
      <c r="E80" s="318">
        <f ca="1">VLOOKUP($B80,'Matriz Distâncias NTS'!$S$2:$AC$18,4,0)</f>
        <v>519.83799999999997</v>
      </c>
      <c r="F80" s="318">
        <f ca="1">VLOOKUP($B80,'Matriz Distâncias NTS'!$S$2:$AC$18,8,0)</f>
        <v>372.02</v>
      </c>
      <c r="G80" s="318">
        <f ca="1">VLOOKUP($B80,'Matriz Distâncias NTS'!$S$2:$AC$18,7,0)</f>
        <v>472.71600000000007</v>
      </c>
      <c r="H80" s="318">
        <f ca="1">VLOOKUP($B80,'Matriz Distâncias NTS'!$S$2:$AC$18,9,0)</f>
        <v>0.82600000000000007</v>
      </c>
      <c r="I80" s="318">
        <f ca="1">VLOOKUP($B80,'Matriz Distâncias NTS'!$S$2:$AC$18,10,0)</f>
        <v>650.71399999999994</v>
      </c>
      <c r="J80" s="318">
        <f ca="1">VLOOKUP($B80,'Matriz Distâncias NTS'!$S$2:$AC$18,5,0)</f>
        <v>105.337</v>
      </c>
      <c r="K80" s="318">
        <f ca="1">VLOOKUP($B80,'Matriz Distâncias NTS'!$S$2:$AC$18,8,0)</f>
        <v>372.02</v>
      </c>
      <c r="L80" s="318">
        <f ca="1">VLOOKUP($B80,'Matriz Distâncias NTS'!$S$2:$AC$18,11,0)</f>
        <v>650.71399999999994</v>
      </c>
    </row>
    <row r="81" spans="1:12" x14ac:dyDescent="0.3">
      <c r="A81" s="2" t="s">
        <v>54</v>
      </c>
      <c r="B81" s="44" t="str">
        <f t="shared" si="0"/>
        <v>PE-GUARAREMA (INTERCONEXÃO)</v>
      </c>
      <c r="C81" s="318">
        <f>VLOOKUP($B81,'Matriz Distâncias NTS'!$S$2:$AC$18,2,0)</f>
        <v>106.247</v>
      </c>
      <c r="D81" s="318">
        <f>VLOOKUP($B81,'Matriz Distâncias NTS'!$S$2:$AC$18,3,0)</f>
        <v>365.07900000000001</v>
      </c>
      <c r="E81" s="318">
        <f>VLOOKUP($B81,'Matriz Distâncias NTS'!$S$2:$AC$18,4,0)</f>
        <v>414.50099999999998</v>
      </c>
      <c r="F81" s="318">
        <f>VLOOKUP($B81,'Matriz Distâncias NTS'!$S$2:$AC$18,8,0)</f>
        <v>266.68299999999999</v>
      </c>
      <c r="G81" s="318">
        <f>VLOOKUP($B81,'Matriz Distâncias NTS'!$S$2:$AC$18,7,0)</f>
        <v>367.37900000000002</v>
      </c>
      <c r="H81" s="318">
        <f>VLOOKUP($B81,'Matriz Distâncias NTS'!$S$2:$AC$18,9,0)</f>
        <v>106.163</v>
      </c>
      <c r="I81" s="318">
        <f>VLOOKUP($B81,'Matriz Distâncias NTS'!$S$2:$AC$18,10,0)</f>
        <v>545.37699999999995</v>
      </c>
      <c r="J81" s="318">
        <f>VLOOKUP($B81,'Matriz Distâncias NTS'!$S$2:$AC$18,5,0)</f>
        <v>0</v>
      </c>
      <c r="K81" s="318">
        <f>VLOOKUP($B81,'Matriz Distâncias NTS'!$S$2:$AC$18,8,0)</f>
        <v>266.68299999999999</v>
      </c>
      <c r="L81" s="318">
        <f>VLOOKUP($B81,'Matriz Distâncias NTS'!$S$2:$AC$18,11,0)</f>
        <v>545.37699999999995</v>
      </c>
    </row>
    <row r="82" spans="1:12" x14ac:dyDescent="0.3">
      <c r="A82" s="2" t="s">
        <v>55</v>
      </c>
      <c r="B82" s="44" t="str">
        <f t="shared" si="0"/>
        <v>PE-REPLAN (INTERCONEXÃO)</v>
      </c>
      <c r="C82" s="318">
        <f>VLOOKUP($B82,'Matriz Distâncias NTS'!$S$2:$AC$18,2,0)</f>
        <v>300.863</v>
      </c>
      <c r="D82" s="318">
        <f>VLOOKUP($B82,'Matriz Distâncias NTS'!$S$2:$AC$18,3,0)</f>
        <v>502.41399999999999</v>
      </c>
      <c r="E82" s="318">
        <f>VLOOKUP($B82,'Matriz Distâncias NTS'!$S$2:$AC$18,4,0)</f>
        <v>551.83600000000001</v>
      </c>
      <c r="F82" s="318">
        <f>VLOOKUP($B82,'Matriz Distâncias NTS'!$S$2:$AC$18,8,0)</f>
        <v>0</v>
      </c>
      <c r="G82" s="318">
        <f>VLOOKUP($B82,'Matriz Distâncias NTS'!$S$2:$AC$18,7,0)</f>
        <v>504.714</v>
      </c>
      <c r="H82" s="318">
        <f>VLOOKUP($B82,'Matriz Distâncias NTS'!$S$2:$AC$18,9,0)</f>
        <v>372.846</v>
      </c>
      <c r="I82" s="318">
        <f>VLOOKUP($B82,'Matriz Distâncias NTS'!$S$2:$AC$18,10,0)</f>
        <v>682.71199999999999</v>
      </c>
      <c r="J82" s="318">
        <f>VLOOKUP($B82,'Matriz Distâncias NTS'!$S$2:$AC$18,5,0)</f>
        <v>266.68299999999999</v>
      </c>
      <c r="K82" s="318">
        <f>VLOOKUP($B82,'Matriz Distâncias NTS'!$S$2:$AC$18,8,0)</f>
        <v>0</v>
      </c>
      <c r="L82" s="318">
        <f>VLOOKUP($B82,'Matriz Distâncias NTS'!$S$2:$AC$18,11,0)</f>
        <v>682.71199999999999</v>
      </c>
    </row>
    <row r="83" spans="1:12" x14ac:dyDescent="0.3">
      <c r="A83" s="2" t="s">
        <v>56</v>
      </c>
      <c r="B83" s="44" t="str">
        <f t="shared" si="0"/>
        <v>PE-TECAB (INTERCONEXÃO)</v>
      </c>
      <c r="C83" s="318">
        <f>VLOOKUP($B83,'Matriz Distâncias NTS'!$S$2:$AC$18,2,0)</f>
        <v>579.55700000000002</v>
      </c>
      <c r="D83" s="318">
        <f>VLOOKUP($B83,'Matriz Distâncias NTS'!$S$2:$AC$18,3,0)</f>
        <v>180.298</v>
      </c>
      <c r="E83" s="318">
        <f>VLOOKUP($B83,'Matriz Distâncias NTS'!$S$2:$AC$18,4,0)</f>
        <v>152.876</v>
      </c>
      <c r="F83" s="318">
        <f>VLOOKUP($B83,'Matriz Distâncias NTS'!$S$2:$AC$18,8,0)</f>
        <v>682.71199999999999</v>
      </c>
      <c r="G83" s="318">
        <f>VLOOKUP($B83,'Matriz Distâncias NTS'!$S$2:$AC$18,7,0)</f>
        <v>180.298</v>
      </c>
      <c r="H83" s="318">
        <f>VLOOKUP($B83,'Matriz Distâncias NTS'!$S$2:$AC$18,9,0)</f>
        <v>651.54</v>
      </c>
      <c r="I83" s="318">
        <f>VLOOKUP($B83,'Matriz Distâncias NTS'!$S$2:$AC$18,10,0)</f>
        <v>0</v>
      </c>
      <c r="J83" s="318">
        <f>VLOOKUP($B83,'Matriz Distâncias NTS'!$S$2:$AC$18,5,0)</f>
        <v>545.37699999999995</v>
      </c>
      <c r="K83" s="318">
        <f>VLOOKUP($B83,'Matriz Distâncias NTS'!$S$2:$AC$18,8,0)</f>
        <v>682.71199999999999</v>
      </c>
      <c r="L83" s="318">
        <f>VLOOKUP($B83,'Matriz Distâncias NTS'!$S$2:$AC$18,11,0)</f>
        <v>0</v>
      </c>
    </row>
    <row r="86" spans="1:12" s="98" customFormat="1" x14ac:dyDescent="0.3">
      <c r="A86" s="98" t="s">
        <v>144</v>
      </c>
      <c r="B86" s="98" t="s">
        <v>519</v>
      </c>
    </row>
    <row r="89" spans="1:12" x14ac:dyDescent="0.3">
      <c r="A89" t="s">
        <v>125</v>
      </c>
      <c r="B89" t="s">
        <v>126</v>
      </c>
    </row>
    <row r="90" spans="1:12" ht="15.6" x14ac:dyDescent="0.35">
      <c r="A90" t="s">
        <v>300</v>
      </c>
      <c r="B90" t="s">
        <v>145</v>
      </c>
    </row>
    <row r="91" spans="1:12" ht="15.6" x14ac:dyDescent="0.35">
      <c r="A91" t="s">
        <v>301</v>
      </c>
      <c r="B91" t="s">
        <v>146</v>
      </c>
    </row>
    <row r="93" spans="1:12" x14ac:dyDescent="0.3">
      <c r="A93" t="s">
        <v>147</v>
      </c>
    </row>
    <row r="94" spans="1:12" x14ac:dyDescent="0.3">
      <c r="A94" s="109"/>
      <c r="B94" s="109"/>
    </row>
    <row r="95" spans="1:12" x14ac:dyDescent="0.3">
      <c r="A95" s="109"/>
      <c r="B95" s="109"/>
    </row>
    <row r="96" spans="1:12" x14ac:dyDescent="0.3">
      <c r="A96" s="109"/>
      <c r="B96" s="109"/>
    </row>
    <row r="99" spans="1:27" ht="15.6" x14ac:dyDescent="0.35">
      <c r="A99" s="110" t="s">
        <v>302</v>
      </c>
      <c r="B99" s="111" t="s">
        <v>148</v>
      </c>
      <c r="D99" s="110" t="s">
        <v>303</v>
      </c>
      <c r="E99" s="111" t="s">
        <v>148</v>
      </c>
      <c r="G99" s="112" t="s">
        <v>302</v>
      </c>
      <c r="H99" s="95" t="s">
        <v>304</v>
      </c>
      <c r="I99" s="95" t="s">
        <v>305</v>
      </c>
      <c r="J99" s="95" t="s">
        <v>306</v>
      </c>
      <c r="K99" s="95" t="s">
        <v>307</v>
      </c>
      <c r="L99" s="95" t="s">
        <v>308</v>
      </c>
      <c r="M99" s="95" t="s">
        <v>309</v>
      </c>
      <c r="N99" s="95" t="s">
        <v>310</v>
      </c>
      <c r="O99" s="95" t="s">
        <v>311</v>
      </c>
      <c r="P99" s="95" t="s">
        <v>312</v>
      </c>
      <c r="Q99" s="95" t="s">
        <v>313</v>
      </c>
      <c r="R99" s="95"/>
      <c r="S99" s="95"/>
      <c r="T99" s="95"/>
      <c r="U99" s="95"/>
      <c r="V99" s="95"/>
      <c r="W99" s="95"/>
      <c r="X99" s="95"/>
      <c r="Y99" s="95"/>
      <c r="Z99" s="95"/>
      <c r="AA99" s="95"/>
    </row>
    <row r="100" spans="1:27" ht="15.6" x14ac:dyDescent="0.35">
      <c r="A100" t="s">
        <v>304</v>
      </c>
      <c r="B100" s="113">
        <f>H25/$H$35</f>
        <v>0.22855576870375446</v>
      </c>
      <c r="C100" s="9"/>
      <c r="D100" t="s">
        <v>314</v>
      </c>
      <c r="E100" s="113">
        <f>H42/$H$58</f>
        <v>1.1860101602188354E-2</v>
      </c>
      <c r="G100" s="112" t="s">
        <v>148</v>
      </c>
      <c r="H100" s="114">
        <f>H25/$H$35</f>
        <v>0.22855576870375446</v>
      </c>
      <c r="I100" s="114">
        <f>H26/$H$35</f>
        <v>0.32240904034949142</v>
      </c>
      <c r="J100" s="114">
        <f>$H27/$H$35</f>
        <v>0.20956587622716941</v>
      </c>
      <c r="K100" s="114">
        <f>$H28/$H$35</f>
        <v>0</v>
      </c>
      <c r="L100" s="114">
        <f>$H29/$H$35</f>
        <v>0</v>
      </c>
      <c r="M100" s="114">
        <f>$H30/$H$35</f>
        <v>0</v>
      </c>
      <c r="N100" s="114">
        <f>$H31/$H$35</f>
        <v>0.23946931471958471</v>
      </c>
      <c r="O100" s="114">
        <f>$H32/$H$35</f>
        <v>0</v>
      </c>
      <c r="P100" s="114">
        <f>$H33/$H$35</f>
        <v>0</v>
      </c>
      <c r="Q100" s="114">
        <f>$H34/$H$35</f>
        <v>0</v>
      </c>
      <c r="R100" s="114">
        <f>SUM(H100:Q100)</f>
        <v>1</v>
      </c>
      <c r="S100" s="113"/>
      <c r="T100" s="113"/>
      <c r="U100" s="113"/>
      <c r="V100" s="113"/>
      <c r="W100" s="113"/>
    </row>
    <row r="101" spans="1:27" ht="15.6" x14ac:dyDescent="0.35">
      <c r="A101" t="s">
        <v>305</v>
      </c>
      <c r="B101" s="113">
        <f t="shared" ref="B101:B109" si="1">H26/$H$35</f>
        <v>0.32240904034949142</v>
      </c>
      <c r="C101" s="4"/>
      <c r="D101" t="s">
        <v>315</v>
      </c>
      <c r="E101" s="113">
        <f t="shared" ref="E101:E115" si="2">H43/$H$58</f>
        <v>3.2786244626807355E-2</v>
      </c>
      <c r="W101" s="116"/>
    </row>
    <row r="102" spans="1:27" ht="15.6" x14ac:dyDescent="0.35">
      <c r="A102" t="s">
        <v>306</v>
      </c>
      <c r="B102" s="113">
        <f t="shared" si="1"/>
        <v>0.20956587622716941</v>
      </c>
      <c r="C102" s="4"/>
      <c r="D102" t="s">
        <v>316</v>
      </c>
      <c r="E102" s="113">
        <f t="shared" si="2"/>
        <v>5.3477921062915205E-2</v>
      </c>
      <c r="G102" s="113"/>
    </row>
    <row r="103" spans="1:27" ht="15.6" x14ac:dyDescent="0.35">
      <c r="A103" t="s">
        <v>307</v>
      </c>
      <c r="B103" s="113">
        <f t="shared" si="1"/>
        <v>0</v>
      </c>
      <c r="C103" s="4"/>
      <c r="D103" t="s">
        <v>317</v>
      </c>
      <c r="E103" s="113">
        <f t="shared" si="2"/>
        <v>6.5455255959359134E-3</v>
      </c>
      <c r="G103" s="113"/>
      <c r="H103" s="115"/>
      <c r="I103" s="115"/>
    </row>
    <row r="104" spans="1:27" ht="15.6" x14ac:dyDescent="0.35">
      <c r="A104" t="s">
        <v>308</v>
      </c>
      <c r="B104" s="113">
        <f t="shared" si="1"/>
        <v>0</v>
      </c>
      <c r="C104" s="4"/>
      <c r="D104" t="s">
        <v>318</v>
      </c>
      <c r="E104" s="113">
        <f t="shared" si="2"/>
        <v>0.34765533411488869</v>
      </c>
      <c r="G104" s="113"/>
      <c r="H104" s="115"/>
      <c r="I104" s="115"/>
    </row>
    <row r="105" spans="1:27" ht="15.6" x14ac:dyDescent="0.35">
      <c r="A105" t="s">
        <v>309</v>
      </c>
      <c r="B105" s="113">
        <f t="shared" si="1"/>
        <v>0</v>
      </c>
      <c r="C105" s="4"/>
      <c r="D105" t="s">
        <v>319</v>
      </c>
      <c r="E105" s="113">
        <f t="shared" si="2"/>
        <v>0.1642438452520516</v>
      </c>
      <c r="G105" s="113"/>
      <c r="H105" s="115"/>
      <c r="I105" s="115"/>
    </row>
    <row r="106" spans="1:27" ht="15.6" x14ac:dyDescent="0.35">
      <c r="A106" t="s">
        <v>310</v>
      </c>
      <c r="B106" s="113">
        <f t="shared" si="1"/>
        <v>0.23946931471958471</v>
      </c>
      <c r="C106" s="4"/>
      <c r="D106" t="s">
        <v>320</v>
      </c>
      <c r="E106" s="113">
        <f t="shared" si="2"/>
        <v>3.3489644392340756E-2</v>
      </c>
      <c r="G106" s="113"/>
      <c r="H106" s="115"/>
      <c r="I106" s="115"/>
    </row>
    <row r="107" spans="1:27" ht="15.6" x14ac:dyDescent="0.35">
      <c r="A107" t="s">
        <v>311</v>
      </c>
      <c r="B107" s="113">
        <f t="shared" si="1"/>
        <v>0</v>
      </c>
      <c r="C107" s="4"/>
      <c r="D107" t="s">
        <v>321</v>
      </c>
      <c r="E107" s="113">
        <f t="shared" si="2"/>
        <v>6.311059007424776E-3</v>
      </c>
      <c r="G107" s="113"/>
      <c r="H107" s="115"/>
      <c r="I107" s="115"/>
    </row>
    <row r="108" spans="1:27" ht="15.6" x14ac:dyDescent="0.35">
      <c r="A108" t="s">
        <v>312</v>
      </c>
      <c r="B108" s="113">
        <f t="shared" si="1"/>
        <v>0</v>
      </c>
      <c r="C108" s="4"/>
      <c r="D108" t="s">
        <v>322</v>
      </c>
      <c r="E108" s="113">
        <f t="shared" si="2"/>
        <v>4.1578741695974988E-2</v>
      </c>
      <c r="G108" s="113"/>
      <c r="H108" s="115"/>
      <c r="I108" s="115"/>
    </row>
    <row r="109" spans="1:27" ht="15.6" x14ac:dyDescent="0.35">
      <c r="A109" t="s">
        <v>313</v>
      </c>
      <c r="B109" s="113">
        <f t="shared" si="1"/>
        <v>0</v>
      </c>
      <c r="D109" t="s">
        <v>323</v>
      </c>
      <c r="E109" s="113">
        <f t="shared" si="2"/>
        <v>2.4169597499023057E-2</v>
      </c>
      <c r="G109" s="113"/>
    </row>
    <row r="110" spans="1:27" ht="15.6" x14ac:dyDescent="0.35">
      <c r="B110" s="113">
        <f>SUM(B100:B109)</f>
        <v>1</v>
      </c>
      <c r="D110" t="s">
        <v>324</v>
      </c>
      <c r="E110" s="113">
        <f t="shared" si="2"/>
        <v>5.8069558421258299E-2</v>
      </c>
      <c r="G110" s="113"/>
    </row>
    <row r="111" spans="1:27" ht="15.6" x14ac:dyDescent="0.35">
      <c r="B111" s="115"/>
      <c r="D111" t="s">
        <v>325</v>
      </c>
      <c r="E111" s="113">
        <f t="shared" si="2"/>
        <v>0.155705353653771</v>
      </c>
      <c r="G111" s="113"/>
    </row>
    <row r="112" spans="1:27" ht="15.6" x14ac:dyDescent="0.35">
      <c r="B112" s="115"/>
      <c r="D112" t="s">
        <v>326</v>
      </c>
      <c r="E112" s="113">
        <f t="shared" si="2"/>
        <v>6.4107073075420087E-2</v>
      </c>
    </row>
    <row r="113" spans="1:5" ht="15.6" x14ac:dyDescent="0.35">
      <c r="B113" s="115"/>
      <c r="D113" t="s">
        <v>327</v>
      </c>
      <c r="E113" s="113">
        <f t="shared" si="2"/>
        <v>0</v>
      </c>
    </row>
    <row r="114" spans="1:5" ht="15.6" x14ac:dyDescent="0.35">
      <c r="B114" s="115"/>
      <c r="D114" t="s">
        <v>328</v>
      </c>
      <c r="E114" s="113">
        <f t="shared" si="2"/>
        <v>0</v>
      </c>
    </row>
    <row r="115" spans="1:5" ht="15.6" x14ac:dyDescent="0.35">
      <c r="B115" s="115"/>
      <c r="D115" t="s">
        <v>329</v>
      </c>
      <c r="E115" s="113">
        <f t="shared" si="2"/>
        <v>0</v>
      </c>
    </row>
    <row r="116" spans="1:5" x14ac:dyDescent="0.3">
      <c r="E116" s="113">
        <f>SUM(E100:E115)</f>
        <v>1</v>
      </c>
    </row>
    <row r="118" spans="1:5" s="98" customFormat="1" x14ac:dyDescent="0.3">
      <c r="A118" s="98" t="s">
        <v>149</v>
      </c>
      <c r="B118" s="98" t="s">
        <v>522</v>
      </c>
    </row>
    <row r="120" spans="1:5" x14ac:dyDescent="0.3">
      <c r="A120" t="s">
        <v>125</v>
      </c>
      <c r="B120" t="s">
        <v>126</v>
      </c>
    </row>
    <row r="121" spans="1:5" ht="15.6" x14ac:dyDescent="0.35">
      <c r="A121" t="s">
        <v>330</v>
      </c>
      <c r="B121" t="s">
        <v>150</v>
      </c>
    </row>
    <row r="122" spans="1:5" ht="15.6" x14ac:dyDescent="0.35">
      <c r="A122" t="s">
        <v>331</v>
      </c>
      <c r="B122" t="s">
        <v>151</v>
      </c>
    </row>
    <row r="124" spans="1:5" x14ac:dyDescent="0.3">
      <c r="A124" t="s">
        <v>147</v>
      </c>
    </row>
    <row r="125" spans="1:5" x14ac:dyDescent="0.3">
      <c r="A125" s="109"/>
      <c r="B125" s="109"/>
    </row>
    <row r="126" spans="1:5" x14ac:dyDescent="0.3">
      <c r="A126" s="109"/>
      <c r="B126" s="109"/>
    </row>
    <row r="127" spans="1:5" x14ac:dyDescent="0.3">
      <c r="A127" s="109"/>
      <c r="B127" s="109"/>
    </row>
    <row r="128" spans="1:5" x14ac:dyDescent="0.3">
      <c r="A128" s="109"/>
      <c r="B128" s="109"/>
    </row>
    <row r="130" spans="1:5" ht="15.6" x14ac:dyDescent="0.3">
      <c r="A130" s="110" t="s">
        <v>332</v>
      </c>
      <c r="B130" s="111" t="s">
        <v>148</v>
      </c>
      <c r="D130" s="110" t="s">
        <v>333</v>
      </c>
      <c r="E130" s="111" t="s">
        <v>148</v>
      </c>
    </row>
    <row r="131" spans="1:5" ht="15.6" x14ac:dyDescent="0.35">
      <c r="A131" t="s">
        <v>334</v>
      </c>
      <c r="B131" s="113">
        <f ca="1">SUMPRODUCT($E$100:$E$115,C$68:C$83)</f>
        <v>357.06304582714608</v>
      </c>
      <c r="C131" s="117"/>
      <c r="D131" t="s">
        <v>335</v>
      </c>
      <c r="E131" s="4">
        <f ca="1">SUMPRODUCT($H$100:$Q$100,$C68:$L68)</f>
        <v>350.07408983927911</v>
      </c>
    </row>
    <row r="132" spans="1:5" ht="15.6" x14ac:dyDescent="0.35">
      <c r="A132" t="s">
        <v>336</v>
      </c>
      <c r="B132" s="113">
        <f ca="1">SUMPRODUCT($E$100:$E$115,D$68:D$83)</f>
        <v>203.52647278168561</v>
      </c>
      <c r="C132" s="117"/>
      <c r="D132" t="s">
        <v>337</v>
      </c>
      <c r="E132" s="4">
        <f t="shared" ref="E132:E146" ca="1" si="3">SUMPRODUCT($H$100:$Q$100,$C69:$L69)</f>
        <v>447.2380898392791</v>
      </c>
    </row>
    <row r="133" spans="1:5" ht="15.6" x14ac:dyDescent="0.35">
      <c r="A133" t="s">
        <v>338</v>
      </c>
      <c r="B133" s="113">
        <f ca="1">SUMPRODUCT($E$100:$E$115,E$68:E$83)</f>
        <v>237.87828895076203</v>
      </c>
      <c r="C133" s="117"/>
      <c r="D133" t="s">
        <v>339</v>
      </c>
      <c r="E133" s="4">
        <f t="shared" ca="1" si="3"/>
        <v>564.40328983927907</v>
      </c>
    </row>
    <row r="134" spans="1:5" ht="15.6" x14ac:dyDescent="0.35">
      <c r="A134" t="s">
        <v>340</v>
      </c>
      <c r="B134" s="113">
        <f ca="1">SUMPRODUCT($E$100:$E$115,F$68:F$83)</f>
        <v>472.7892446925884</v>
      </c>
      <c r="C134" s="117"/>
      <c r="D134" t="s">
        <v>341</v>
      </c>
      <c r="E134" s="4">
        <f t="shared" ca="1" si="3"/>
        <v>603.6473595022004</v>
      </c>
    </row>
    <row r="135" spans="1:5" ht="15.6" x14ac:dyDescent="0.35">
      <c r="A135" t="s">
        <v>342</v>
      </c>
      <c r="B135" s="113">
        <f ca="1">SUMPRODUCT($E$100:$E$115,G$68:G$83)</f>
        <v>190.83048821610006</v>
      </c>
      <c r="C135" s="117"/>
      <c r="D135" t="s">
        <v>343</v>
      </c>
      <c r="E135" s="4">
        <f t="shared" ca="1" si="3"/>
        <v>170.52431906673328</v>
      </c>
    </row>
    <row r="136" spans="1:5" ht="15.6" x14ac:dyDescent="0.35">
      <c r="A136" t="s">
        <v>344</v>
      </c>
      <c r="B136" s="113">
        <f ca="1">SUMPRODUCT($E$100:$E$115,H$68:H$83)</f>
        <v>378.29690127588907</v>
      </c>
      <c r="C136" s="117"/>
      <c r="D136" t="s">
        <v>345</v>
      </c>
      <c r="E136" s="4">
        <f t="shared" ca="1" si="3"/>
        <v>169.72974316895844</v>
      </c>
    </row>
    <row r="137" spans="1:5" ht="15.6" x14ac:dyDescent="0.35">
      <c r="A137" t="s">
        <v>346</v>
      </c>
      <c r="B137" s="113">
        <f ca="1">SUMPRODUCT($E$100:$E$115,I$68:I$83)</f>
        <v>338.96092212778433</v>
      </c>
      <c r="D137" t="s">
        <v>347</v>
      </c>
      <c r="E137" s="4">
        <f t="shared" ca="1" si="3"/>
        <v>195.38388386503959</v>
      </c>
    </row>
    <row r="138" spans="1:5" ht="15.6" x14ac:dyDescent="0.35">
      <c r="A138" t="s">
        <v>348</v>
      </c>
      <c r="B138" s="113">
        <f ca="1">SUMPRODUCT($E$100:$E$115,J$68:J$83)</f>
        <v>306.07333005275507</v>
      </c>
      <c r="D138" t="s">
        <v>349</v>
      </c>
      <c r="E138" s="4">
        <f t="shared" ca="1" si="3"/>
        <v>228.61028030241965</v>
      </c>
    </row>
    <row r="139" spans="1:5" ht="15.6" x14ac:dyDescent="0.35">
      <c r="A139" t="s">
        <v>350</v>
      </c>
      <c r="B139" s="113">
        <f ca="1">SUMPRODUCT($E$100:$E$115,K$68:K$83)</f>
        <v>472.7892446925884</v>
      </c>
      <c r="D139" t="s">
        <v>351</v>
      </c>
      <c r="E139" s="4">
        <f t="shared" ca="1" si="3"/>
        <v>172.75866652426933</v>
      </c>
    </row>
    <row r="140" spans="1:5" ht="15.6" x14ac:dyDescent="0.35">
      <c r="A140" t="s">
        <v>352</v>
      </c>
      <c r="B140" s="113">
        <f ca="1">SUMPRODUCT($E$100:$E$115,L$68:L$83)</f>
        <v>338.96092212778433</v>
      </c>
      <c r="D140" t="s">
        <v>353</v>
      </c>
      <c r="E140" s="4">
        <f t="shared" ca="1" si="3"/>
        <v>326.94245474451765</v>
      </c>
    </row>
    <row r="141" spans="1:5" ht="15.6" x14ac:dyDescent="0.35">
      <c r="B141" s="113"/>
      <c r="D141" t="s">
        <v>354</v>
      </c>
      <c r="E141" s="4">
        <f t="shared" ca="1" si="3"/>
        <v>317.22814763647307</v>
      </c>
    </row>
    <row r="142" spans="1:5" ht="15.6" x14ac:dyDescent="0.35">
      <c r="B142" s="113"/>
      <c r="D142" t="s">
        <v>355</v>
      </c>
      <c r="E142" s="4">
        <f t="shared" ca="1" si="3"/>
        <v>429.3384268631213</v>
      </c>
    </row>
    <row r="143" spans="1:5" ht="15.6" x14ac:dyDescent="0.35">
      <c r="B143" s="113"/>
      <c r="D143" t="s">
        <v>356</v>
      </c>
      <c r="E143" s="4">
        <f t="shared" ca="1" si="3"/>
        <v>464.7914565150806</v>
      </c>
    </row>
    <row r="144" spans="1:5" ht="15.6" x14ac:dyDescent="0.35">
      <c r="B144" s="113"/>
      <c r="D144" t="s">
        <v>357</v>
      </c>
      <c r="E144" s="4">
        <f t="shared" si="3"/>
        <v>359.45445651508066</v>
      </c>
    </row>
    <row r="145" spans="1:5" ht="15.6" x14ac:dyDescent="0.35">
      <c r="B145" s="113"/>
      <c r="D145" t="s">
        <v>358</v>
      </c>
      <c r="E145" s="4">
        <f t="shared" si="3"/>
        <v>509.88135950220044</v>
      </c>
    </row>
    <row r="146" spans="1:5" ht="15.6" x14ac:dyDescent="0.35">
      <c r="B146" s="113"/>
      <c r="D146" t="s">
        <v>359</v>
      </c>
      <c r="E146" s="4">
        <f t="shared" si="3"/>
        <v>222.62839369367919</v>
      </c>
    </row>
    <row r="148" spans="1:5" s="98" customFormat="1" x14ac:dyDescent="0.3">
      <c r="A148" s="98" t="s">
        <v>152</v>
      </c>
      <c r="B148" s="98" t="s">
        <v>517</v>
      </c>
    </row>
    <row r="150" spans="1:5" x14ac:dyDescent="0.3">
      <c r="A150" t="s">
        <v>125</v>
      </c>
      <c r="B150" t="s">
        <v>126</v>
      </c>
    </row>
    <row r="151" spans="1:5" ht="15.6" x14ac:dyDescent="0.35">
      <c r="A151" t="s">
        <v>360</v>
      </c>
      <c r="B151" t="s">
        <v>153</v>
      </c>
    </row>
    <row r="152" spans="1:5" ht="15.6" x14ac:dyDescent="0.35">
      <c r="A152" t="s">
        <v>361</v>
      </c>
      <c r="B152" t="s">
        <v>154</v>
      </c>
    </row>
    <row r="154" spans="1:5" x14ac:dyDescent="0.3">
      <c r="A154" t="s">
        <v>147</v>
      </c>
    </row>
    <row r="155" spans="1:5" x14ac:dyDescent="0.3">
      <c r="A155" s="109"/>
      <c r="B155" s="109"/>
    </row>
    <row r="156" spans="1:5" x14ac:dyDescent="0.3">
      <c r="A156" s="109"/>
      <c r="B156" s="109"/>
    </row>
    <row r="157" spans="1:5" x14ac:dyDescent="0.3">
      <c r="A157" s="109"/>
      <c r="B157" s="109"/>
    </row>
    <row r="158" spans="1:5" x14ac:dyDescent="0.3">
      <c r="A158" s="109"/>
      <c r="B158" s="109"/>
    </row>
    <row r="159" spans="1:5" x14ac:dyDescent="0.3">
      <c r="A159" s="109"/>
      <c r="B159" s="109"/>
    </row>
    <row r="160" spans="1:5" x14ac:dyDescent="0.3">
      <c r="A160" s="109"/>
      <c r="B160" s="109"/>
    </row>
    <row r="162" spans="1:9" ht="15.6" x14ac:dyDescent="0.3">
      <c r="A162" s="110" t="s">
        <v>362</v>
      </c>
      <c r="B162" s="111" t="s">
        <v>148</v>
      </c>
      <c r="D162" s="110" t="s">
        <v>363</v>
      </c>
      <c r="E162" s="111" t="s">
        <v>148</v>
      </c>
    </row>
    <row r="163" spans="1:9" ht="15.6" x14ac:dyDescent="0.35">
      <c r="A163" t="s">
        <v>364</v>
      </c>
      <c r="B163" s="118">
        <f ca="1">($H25*$B131)/SUMPRODUCT($H$25:$H$34,$B$131:$B$140)</f>
        <v>0.29329367098637027</v>
      </c>
      <c r="C163" s="36"/>
      <c r="D163" t="s">
        <v>365</v>
      </c>
      <c r="E163" s="118">
        <f t="shared" ref="E163:E178" ca="1" si="4">($H42*$E131)/SUMPRODUCT($H$42:$H$57,$E$131:$E$146)</f>
        <v>1.4921551312392306E-2</v>
      </c>
    </row>
    <row r="164" spans="1:9" ht="15.6" x14ac:dyDescent="0.35">
      <c r="A164" t="s">
        <v>366</v>
      </c>
      <c r="B164" s="118">
        <f t="shared" ref="B164:B172" ca="1" si="5">($H26*$B132)/SUMPRODUCT($H$25:$H$34,$B$131:$B$140)</f>
        <v>0.23582710294549777</v>
      </c>
      <c r="C164" s="4"/>
      <c r="D164" t="s">
        <v>367</v>
      </c>
      <c r="E164" s="118">
        <f t="shared" ca="1" si="4"/>
        <v>5.2698233530292134E-2</v>
      </c>
    </row>
    <row r="165" spans="1:9" ht="15.6" x14ac:dyDescent="0.35">
      <c r="A165" t="s">
        <v>368</v>
      </c>
      <c r="B165" s="118">
        <f t="shared" ca="1" si="5"/>
        <v>0.1791599664191687</v>
      </c>
      <c r="C165" s="4"/>
      <c r="D165" t="s">
        <v>369</v>
      </c>
      <c r="E165" s="118">
        <f t="shared" ca="1" si="4"/>
        <v>0.10847499810910814</v>
      </c>
      <c r="H165" s="119"/>
      <c r="I165" s="119"/>
    </row>
    <row r="166" spans="1:9" ht="15.6" x14ac:dyDescent="0.35">
      <c r="A166" t="s">
        <v>370</v>
      </c>
      <c r="B166" s="118">
        <f t="shared" ca="1" si="5"/>
        <v>0</v>
      </c>
      <c r="C166" s="4"/>
      <c r="D166" t="s">
        <v>371</v>
      </c>
      <c r="E166" s="118">
        <f t="shared" ca="1" si="4"/>
        <v>1.4200166270235183E-2</v>
      </c>
    </row>
    <row r="167" spans="1:9" ht="15.6" x14ac:dyDescent="0.35">
      <c r="A167" t="s">
        <v>372</v>
      </c>
      <c r="B167" s="118">
        <f t="shared" ca="1" si="5"/>
        <v>0</v>
      </c>
      <c r="C167" s="4"/>
      <c r="D167" t="s">
        <v>373</v>
      </c>
      <c r="E167" s="118">
        <f t="shared" ca="1" si="4"/>
        <v>0.21305945904873777</v>
      </c>
    </row>
    <row r="168" spans="1:9" ht="15.6" x14ac:dyDescent="0.35">
      <c r="A168" t="s">
        <v>374</v>
      </c>
      <c r="B168" s="118">
        <f t="shared" ca="1" si="5"/>
        <v>0</v>
      </c>
      <c r="C168" s="4"/>
      <c r="D168" t="s">
        <v>375</v>
      </c>
      <c r="E168" s="118">
        <f t="shared" ca="1" si="4"/>
        <v>0.1001872963720751</v>
      </c>
    </row>
    <row r="169" spans="1:9" ht="15.6" x14ac:dyDescent="0.35">
      <c r="A169" t="s">
        <v>376</v>
      </c>
      <c r="B169" s="118">
        <f t="shared" ca="1" si="5"/>
        <v>0.29171925964896328</v>
      </c>
      <c r="C169" s="4"/>
      <c r="D169" t="s">
        <v>377</v>
      </c>
      <c r="E169" s="118">
        <f t="shared" ca="1" si="4"/>
        <v>2.351607697975228E-2</v>
      </c>
    </row>
    <row r="170" spans="1:9" ht="15.6" x14ac:dyDescent="0.35">
      <c r="A170" t="s">
        <v>378</v>
      </c>
      <c r="B170" s="118">
        <f t="shared" ca="1" si="5"/>
        <v>0</v>
      </c>
      <c r="C170" s="4"/>
      <c r="D170" t="s">
        <v>379</v>
      </c>
      <c r="E170" s="118">
        <f t="shared" ca="1" si="4"/>
        <v>5.1851771170696335E-3</v>
      </c>
    </row>
    <row r="171" spans="1:9" ht="15.6" x14ac:dyDescent="0.35">
      <c r="A171" t="s">
        <v>380</v>
      </c>
      <c r="B171" s="118">
        <f t="shared" ca="1" si="5"/>
        <v>0</v>
      </c>
      <c r="D171" t="s">
        <v>381</v>
      </c>
      <c r="E171" s="118">
        <f t="shared" ca="1" si="4"/>
        <v>2.5815276683259423E-2</v>
      </c>
    </row>
    <row r="172" spans="1:9" ht="15.6" x14ac:dyDescent="0.35">
      <c r="A172" t="s">
        <v>382</v>
      </c>
      <c r="B172" s="118">
        <f t="shared" ca="1" si="5"/>
        <v>0</v>
      </c>
      <c r="D172" t="s">
        <v>383</v>
      </c>
      <c r="E172" s="118">
        <f t="shared" ca="1" si="4"/>
        <v>2.8399215023429448E-2</v>
      </c>
    </row>
    <row r="173" spans="1:9" ht="15.6" x14ac:dyDescent="0.35">
      <c r="B173" s="237">
        <f ca="1">SUM(B163:B172)</f>
        <v>1</v>
      </c>
      <c r="D173" t="s">
        <v>384</v>
      </c>
      <c r="E173" s="118">
        <f t="shared" ca="1" si="4"/>
        <v>6.6204245070387066E-2</v>
      </c>
    </row>
    <row r="174" spans="1:9" ht="15.6" x14ac:dyDescent="0.35">
      <c r="B174" s="118"/>
      <c r="D174" t="s">
        <v>385</v>
      </c>
      <c r="E174" s="118">
        <f t="shared" ca="1" si="4"/>
        <v>0.24025304725923832</v>
      </c>
    </row>
    <row r="175" spans="1:9" ht="15.6" x14ac:dyDescent="0.35">
      <c r="B175" s="118"/>
      <c r="D175" t="s">
        <v>386</v>
      </c>
      <c r="E175" s="118">
        <f t="shared" ca="1" si="4"/>
        <v>0.10708525722402309</v>
      </c>
    </row>
    <row r="176" spans="1:9" ht="15.6" x14ac:dyDescent="0.35">
      <c r="B176" s="118"/>
      <c r="D176" t="s">
        <v>387</v>
      </c>
      <c r="E176" s="118">
        <f t="shared" ca="1" si="4"/>
        <v>0</v>
      </c>
    </row>
    <row r="177" spans="1:5" ht="15.6" x14ac:dyDescent="0.35">
      <c r="B177" s="118"/>
      <c r="D177" t="s">
        <v>388</v>
      </c>
      <c r="E177" s="118">
        <f t="shared" ca="1" si="4"/>
        <v>0</v>
      </c>
    </row>
    <row r="178" spans="1:5" ht="15.6" x14ac:dyDescent="0.35">
      <c r="B178" s="118"/>
      <c r="D178" t="s">
        <v>389</v>
      </c>
      <c r="E178" s="118">
        <f t="shared" ca="1" si="4"/>
        <v>0</v>
      </c>
    </row>
    <row r="179" spans="1:5" x14ac:dyDescent="0.3">
      <c r="E179" s="237">
        <f ca="1">SUM(E163:E178)</f>
        <v>1</v>
      </c>
    </row>
    <row r="181" spans="1:5" s="98" customFormat="1" x14ac:dyDescent="0.3">
      <c r="A181" s="98" t="s">
        <v>155</v>
      </c>
      <c r="B181" s="98" t="s">
        <v>156</v>
      </c>
    </row>
    <row r="183" spans="1:5" x14ac:dyDescent="0.3">
      <c r="A183" t="s">
        <v>125</v>
      </c>
      <c r="B183" t="s">
        <v>126</v>
      </c>
    </row>
    <row r="184" spans="1:5" ht="15.6" x14ac:dyDescent="0.35">
      <c r="A184" t="s">
        <v>390</v>
      </c>
      <c r="B184" t="s">
        <v>157</v>
      </c>
    </row>
    <row r="185" spans="1:5" ht="15.6" x14ac:dyDescent="0.35">
      <c r="A185" t="s">
        <v>391</v>
      </c>
      <c r="B185" t="s">
        <v>158</v>
      </c>
    </row>
    <row r="187" spans="1:5" x14ac:dyDescent="0.3">
      <c r="A187" t="s">
        <v>147</v>
      </c>
    </row>
    <row r="188" spans="1:5" x14ac:dyDescent="0.3">
      <c r="A188" s="109"/>
      <c r="B188" s="109"/>
    </row>
    <row r="189" spans="1:5" x14ac:dyDescent="0.3">
      <c r="A189" s="109"/>
      <c r="B189" s="109"/>
    </row>
    <row r="190" spans="1:5" x14ac:dyDescent="0.3">
      <c r="A190" s="109"/>
      <c r="B190" s="109"/>
    </row>
    <row r="191" spans="1:5" x14ac:dyDescent="0.3">
      <c r="A191" s="109"/>
      <c r="B191" s="109"/>
    </row>
    <row r="193" spans="1:5" ht="15.6" x14ac:dyDescent="0.3">
      <c r="A193" s="110" t="s">
        <v>362</v>
      </c>
      <c r="B193" s="111" t="s">
        <v>148</v>
      </c>
      <c r="D193" s="110" t="s">
        <v>363</v>
      </c>
      <c r="E193" s="111" t="s">
        <v>148</v>
      </c>
    </row>
    <row r="194" spans="1:5" ht="15.6" x14ac:dyDescent="0.35">
      <c r="A194" t="s">
        <v>392</v>
      </c>
      <c r="B194" s="7">
        <f t="shared" ref="B194:B203" ca="1" si="6">$B163*$D$6</f>
        <v>1391.9572774600852</v>
      </c>
      <c r="C194" s="47"/>
      <c r="D194" t="s">
        <v>393</v>
      </c>
      <c r="E194" s="6">
        <f t="shared" ref="E194:E209" ca="1" si="7">$E163*$D$9</f>
        <v>30.230633123348102</v>
      </c>
    </row>
    <row r="195" spans="1:5" ht="15.6" x14ac:dyDescent="0.35">
      <c r="A195" t="s">
        <v>394</v>
      </c>
      <c r="B195" s="7">
        <f t="shared" ca="1" si="6"/>
        <v>1119.2237836682436</v>
      </c>
      <c r="D195" t="s">
        <v>395</v>
      </c>
      <c r="E195" s="6">
        <f t="shared" ca="1" si="7"/>
        <v>106.76510308815659</v>
      </c>
    </row>
    <row r="196" spans="1:5" ht="15.6" x14ac:dyDescent="0.35">
      <c r="A196" t="s">
        <v>396</v>
      </c>
      <c r="B196" s="7">
        <f t="shared" ca="1" si="6"/>
        <v>850.28435236250118</v>
      </c>
      <c r="D196" t="s">
        <v>397</v>
      </c>
      <c r="E196" s="6">
        <f t="shared" ca="1" si="7"/>
        <v>219.76722139935308</v>
      </c>
    </row>
    <row r="197" spans="1:5" ht="15.6" x14ac:dyDescent="0.35">
      <c r="A197" t="s">
        <v>398</v>
      </c>
      <c r="B197" s="7">
        <f t="shared" ca="1" si="6"/>
        <v>0</v>
      </c>
      <c r="D197" t="s">
        <v>399</v>
      </c>
      <c r="E197" s="6">
        <f t="shared" ca="1" si="7"/>
        <v>28.769127808414019</v>
      </c>
    </row>
    <row r="198" spans="1:5" ht="15.6" x14ac:dyDescent="0.35">
      <c r="A198" t="s">
        <v>400</v>
      </c>
      <c r="B198" s="7">
        <f t="shared" ca="1" si="6"/>
        <v>0</v>
      </c>
      <c r="D198" t="s">
        <v>401</v>
      </c>
      <c r="E198" s="6">
        <f t="shared" ca="1" si="7"/>
        <v>431.65232656555168</v>
      </c>
    </row>
    <row r="199" spans="1:5" ht="15.6" x14ac:dyDescent="0.35">
      <c r="A199" t="s">
        <v>402</v>
      </c>
      <c r="B199" s="7">
        <f t="shared" ca="1" si="6"/>
        <v>0</v>
      </c>
      <c r="D199" t="s">
        <v>403</v>
      </c>
      <c r="E199" s="6">
        <f t="shared" ca="1" si="7"/>
        <v>202.97657641863273</v>
      </c>
    </row>
    <row r="200" spans="1:5" ht="15.6" x14ac:dyDescent="0.35">
      <c r="A200" t="s">
        <v>404</v>
      </c>
      <c r="B200" s="7">
        <f t="shared" ca="1" si="6"/>
        <v>1384.4851990089917</v>
      </c>
      <c r="D200" t="s">
        <v>405</v>
      </c>
      <c r="E200" s="6">
        <f t="shared" ca="1" si="7"/>
        <v>47.642894548430611</v>
      </c>
    </row>
    <row r="201" spans="1:5" ht="15.6" x14ac:dyDescent="0.35">
      <c r="A201" t="s">
        <v>406</v>
      </c>
      <c r="B201" s="7">
        <f t="shared" ca="1" si="6"/>
        <v>0</v>
      </c>
      <c r="D201" t="s">
        <v>407</v>
      </c>
      <c r="E201" s="6">
        <f t="shared" ca="1" si="7"/>
        <v>10.505019473111382</v>
      </c>
    </row>
    <row r="202" spans="1:5" ht="15.6" x14ac:dyDescent="0.35">
      <c r="A202" t="s">
        <v>408</v>
      </c>
      <c r="B202" s="7">
        <f t="shared" ca="1" si="6"/>
        <v>0</v>
      </c>
      <c r="D202" t="s">
        <v>409</v>
      </c>
      <c r="E202" s="6">
        <f t="shared" ca="1" si="7"/>
        <v>52.301006916164816</v>
      </c>
    </row>
    <row r="203" spans="1:5" ht="15.6" x14ac:dyDescent="0.35">
      <c r="A203" t="s">
        <v>410</v>
      </c>
      <c r="B203" s="7">
        <f t="shared" ca="1" si="6"/>
        <v>0</v>
      </c>
      <c r="D203" t="s">
        <v>411</v>
      </c>
      <c r="E203" s="6">
        <f t="shared" ca="1" si="7"/>
        <v>57.535991559494732</v>
      </c>
    </row>
    <row r="204" spans="1:5" ht="15.6" x14ac:dyDescent="0.35">
      <c r="B204" s="7">
        <f ca="1">SUM(B194:B203)</f>
        <v>4745.9506124998215</v>
      </c>
      <c r="D204" t="s">
        <v>412</v>
      </c>
      <c r="E204" s="6">
        <f t="shared" ca="1" si="7"/>
        <v>134.12789340937658</v>
      </c>
    </row>
    <row r="205" spans="1:5" ht="15.6" x14ac:dyDescent="0.35">
      <c r="B205" s="7"/>
      <c r="D205" t="s">
        <v>413</v>
      </c>
      <c r="E205" s="6">
        <f t="shared" ca="1" si="7"/>
        <v>486.74575293177088</v>
      </c>
    </row>
    <row r="206" spans="1:5" ht="15.6" x14ac:dyDescent="0.35">
      <c r="B206" s="7"/>
      <c r="D206" t="s">
        <v>414</v>
      </c>
      <c r="E206" s="6">
        <f t="shared" ca="1" si="7"/>
        <v>216.95164639954513</v>
      </c>
    </row>
    <row r="207" spans="1:5" ht="15.6" x14ac:dyDescent="0.35">
      <c r="B207" s="7"/>
      <c r="D207" t="s">
        <v>415</v>
      </c>
      <c r="E207" s="6">
        <f t="shared" ca="1" si="7"/>
        <v>0</v>
      </c>
    </row>
    <row r="208" spans="1:5" ht="15.6" x14ac:dyDescent="0.35">
      <c r="B208" s="7"/>
      <c r="D208" t="s">
        <v>416</v>
      </c>
      <c r="E208" s="6">
        <f t="shared" ca="1" si="7"/>
        <v>0</v>
      </c>
    </row>
    <row r="209" spans="1:5" ht="15.6" x14ac:dyDescent="0.35">
      <c r="B209" s="7"/>
      <c r="D209" t="s">
        <v>417</v>
      </c>
      <c r="E209" s="6">
        <f t="shared" ca="1" si="7"/>
        <v>0</v>
      </c>
    </row>
    <row r="210" spans="1:5" x14ac:dyDescent="0.3">
      <c r="B210" s="7"/>
      <c r="E210" s="6">
        <f ca="1">SUM(E194:E209)</f>
        <v>2025.9711936413505</v>
      </c>
    </row>
    <row r="211" spans="1:5" x14ac:dyDescent="0.3">
      <c r="B211" s="119"/>
      <c r="E211" s="120"/>
    </row>
    <row r="212" spans="1:5" s="98" customFormat="1" x14ac:dyDescent="0.3">
      <c r="A212" s="98" t="s">
        <v>159</v>
      </c>
      <c r="B212" s="98" t="s">
        <v>160</v>
      </c>
    </row>
    <row r="214" spans="1:5" x14ac:dyDescent="0.3">
      <c r="A214" t="s">
        <v>125</v>
      </c>
      <c r="B214" t="s">
        <v>126</v>
      </c>
    </row>
    <row r="215" spans="1:5" ht="15.6" x14ac:dyDescent="0.35">
      <c r="A215" t="s">
        <v>418</v>
      </c>
      <c r="B215" t="s">
        <v>161</v>
      </c>
    </row>
    <row r="216" spans="1:5" ht="15.6" x14ac:dyDescent="0.35">
      <c r="A216" t="s">
        <v>419</v>
      </c>
      <c r="B216" t="s">
        <v>162</v>
      </c>
    </row>
    <row r="218" spans="1:5" x14ac:dyDescent="0.3">
      <c r="A218" t="s">
        <v>147</v>
      </c>
    </row>
    <row r="219" spans="1:5" x14ac:dyDescent="0.3">
      <c r="A219" s="109"/>
      <c r="B219" s="109"/>
    </row>
    <row r="220" spans="1:5" x14ac:dyDescent="0.3">
      <c r="A220" s="109"/>
      <c r="B220" s="109"/>
    </row>
    <row r="221" spans="1:5" x14ac:dyDescent="0.3">
      <c r="A221" s="109"/>
      <c r="B221" s="109"/>
    </row>
    <row r="222" spans="1:5" x14ac:dyDescent="0.3">
      <c r="A222" s="109"/>
      <c r="B222" s="109"/>
    </row>
    <row r="223" spans="1:5" x14ac:dyDescent="0.3">
      <c r="A223" s="109"/>
      <c r="B223" s="109"/>
    </row>
    <row r="224" spans="1:5" x14ac:dyDescent="0.3">
      <c r="A224" s="109"/>
      <c r="B224" s="109"/>
    </row>
    <row r="226" spans="1:21" ht="15.6" x14ac:dyDescent="0.3">
      <c r="A226" s="111" t="s">
        <v>420</v>
      </c>
      <c r="B226" s="111" t="s">
        <v>163</v>
      </c>
      <c r="C226" s="111" t="s">
        <v>421</v>
      </c>
      <c r="E226" s="121"/>
      <c r="F226" s="121"/>
      <c r="G226" s="122"/>
      <c r="H226" s="110" t="s">
        <v>422</v>
      </c>
      <c r="I226" s="111" t="s">
        <v>164</v>
      </c>
      <c r="J226" s="111" t="s">
        <v>423</v>
      </c>
      <c r="Q226" s="123"/>
      <c r="R226" s="122"/>
      <c r="S226" s="121"/>
      <c r="T226" s="121"/>
      <c r="U226" s="121"/>
    </row>
    <row r="227" spans="1:21" ht="15.6" x14ac:dyDescent="0.3">
      <c r="A227" s="49" t="s">
        <v>424</v>
      </c>
      <c r="B227" s="49" t="str">
        <f>B25</f>
        <v>PR-CARAGUATATUBA</v>
      </c>
      <c r="C227" s="12">
        <f ca="1">IFERROR($B194/$H25*1000000," ")</f>
        <v>7.2108069338406002</v>
      </c>
      <c r="D227" s="124"/>
      <c r="E227" s="8"/>
      <c r="F227" s="8"/>
      <c r="G227" s="125"/>
      <c r="H227" s="49" t="s">
        <v>425</v>
      </c>
      <c r="I227" s="49" t="str">
        <f t="shared" ref="I227:I242" si="8">B42</f>
        <v>NTS MG 1</v>
      </c>
      <c r="J227" s="12">
        <f ca="1">IFERROR($E194/$H42*1000000," ")</f>
        <v>3.6578971103059437</v>
      </c>
      <c r="L227" s="21"/>
      <c r="M227" s="126"/>
      <c r="Q227" s="8"/>
      <c r="R227" s="127"/>
      <c r="S227" s="128"/>
      <c r="T227" s="128"/>
      <c r="U227" s="128"/>
    </row>
    <row r="228" spans="1:21" ht="15.6" x14ac:dyDescent="0.3">
      <c r="A228" s="49" t="s">
        <v>426</v>
      </c>
      <c r="B228" s="49" t="str">
        <f t="shared" ref="B228:B236" si="9">B26</f>
        <v>PR-GNLBGB</v>
      </c>
      <c r="C228" s="12">
        <f t="shared" ref="C228:C236" ca="1" si="10">IFERROR($B195/$H26*1000000," ")</f>
        <v>4.1101707900199713</v>
      </c>
      <c r="D228" s="124"/>
      <c r="E228" s="8"/>
      <c r="F228" s="8"/>
      <c r="G228" s="125"/>
      <c r="H228" s="49" t="s">
        <v>427</v>
      </c>
      <c r="I228" s="49" t="str">
        <f t="shared" si="8"/>
        <v>NTS MG 2</v>
      </c>
      <c r="J228" s="12">
        <f t="shared" ref="J228:J242" ca="1" si="11">IFERROR($E195/$H43*1000000," ")</f>
        <v>4.6731562372780084</v>
      </c>
      <c r="L228" s="21"/>
      <c r="M228" s="126"/>
      <c r="Q228" s="8"/>
      <c r="R228" s="127"/>
      <c r="S228" s="128"/>
      <c r="T228" s="128"/>
      <c r="U228" s="128"/>
    </row>
    <row r="229" spans="1:21" ht="15.6" x14ac:dyDescent="0.3">
      <c r="A229" s="49" t="s">
        <v>428</v>
      </c>
      <c r="B229" s="49" t="str">
        <f t="shared" si="9"/>
        <v>PR-ITABORAÍ</v>
      </c>
      <c r="C229" s="12">
        <f t="shared" ca="1" si="10"/>
        <v>4.8038978982066514</v>
      </c>
      <c r="D229" s="124"/>
      <c r="E229" s="8"/>
      <c r="F229" s="8"/>
      <c r="G229" s="125"/>
      <c r="H229" s="49" t="s">
        <v>429</v>
      </c>
      <c r="I229" s="49" t="str">
        <f t="shared" si="8"/>
        <v>NTS MG 3</v>
      </c>
      <c r="J229" s="12">
        <f t="shared" ca="1" si="11"/>
        <v>5.8974063573173989</v>
      </c>
      <c r="L229" s="21"/>
      <c r="M229" s="126"/>
      <c r="Q229" s="8"/>
      <c r="R229" s="127"/>
      <c r="S229" s="128"/>
      <c r="T229" s="128"/>
      <c r="U229" s="128"/>
    </row>
    <row r="230" spans="1:21" ht="15.6" x14ac:dyDescent="0.3">
      <c r="A230" s="49" t="s">
        <v>430</v>
      </c>
      <c r="B230" s="49" t="str">
        <f t="shared" si="9"/>
        <v>PR-GASPAJ (INTERCONEXÃO)</v>
      </c>
      <c r="C230" s="12" t="str">
        <f t="shared" ca="1" si="10"/>
        <v xml:space="preserve"> </v>
      </c>
      <c r="D230" s="124"/>
      <c r="E230" s="8"/>
      <c r="F230" s="8"/>
      <c r="G230" s="125"/>
      <c r="H230" s="49" t="s">
        <v>431</v>
      </c>
      <c r="I230" s="49" t="str">
        <f t="shared" si="8"/>
        <v>NTS MG 4</v>
      </c>
      <c r="J230" s="12">
        <f t="shared" ca="1" si="11"/>
        <v>6.3074646083651986</v>
      </c>
      <c r="L230" s="21"/>
      <c r="M230" s="126"/>
      <c r="Q230" s="8"/>
      <c r="R230" s="127"/>
      <c r="S230" s="128"/>
      <c r="T230" s="128"/>
      <c r="U230" s="128"/>
    </row>
    <row r="231" spans="1:21" ht="15.6" x14ac:dyDescent="0.3">
      <c r="A231" s="49" t="s">
        <v>432</v>
      </c>
      <c r="B231" s="49" t="str">
        <f t="shared" si="9"/>
        <v>PR-REDUC</v>
      </c>
      <c r="C231" s="12" t="str">
        <f t="shared" ca="1" si="10"/>
        <v xml:space="preserve"> </v>
      </c>
      <c r="D231" s="124"/>
      <c r="E231" s="8"/>
      <c r="F231" s="8"/>
      <c r="G231" s="125"/>
      <c r="H231" s="49" t="s">
        <v>433</v>
      </c>
      <c r="I231" s="49" t="str">
        <f t="shared" si="8"/>
        <v>NTS RJ 1</v>
      </c>
      <c r="J231" s="12">
        <f t="shared" ca="1" si="11"/>
        <v>1.7817954314684186</v>
      </c>
      <c r="L231" s="21"/>
      <c r="M231" s="126"/>
      <c r="Q231" s="8"/>
      <c r="R231" s="127"/>
      <c r="S231" s="128"/>
      <c r="T231" s="128"/>
      <c r="U231" s="128"/>
    </row>
    <row r="232" spans="1:21" ht="15.6" x14ac:dyDescent="0.3">
      <c r="A232" s="49" t="s">
        <v>434</v>
      </c>
      <c r="B232" s="49" t="str">
        <f t="shared" si="9"/>
        <v>PR-RPBC</v>
      </c>
      <c r="C232" s="12" t="str">
        <f t="shared" ca="1" si="10"/>
        <v xml:space="preserve"> </v>
      </c>
      <c r="D232" s="124"/>
      <c r="E232" s="8"/>
      <c r="F232" s="8"/>
      <c r="G232" s="125"/>
      <c r="H232" s="49" t="s">
        <v>435</v>
      </c>
      <c r="I232" s="49" t="str">
        <f t="shared" si="8"/>
        <v>NTS RJ 2</v>
      </c>
      <c r="J232" s="12">
        <f t="shared" ca="1" si="11"/>
        <v>1.7734929693189811</v>
      </c>
      <c r="L232" s="21"/>
      <c r="M232" s="126"/>
      <c r="Q232" s="8"/>
      <c r="R232" s="127"/>
      <c r="S232" s="128"/>
      <c r="T232" s="128"/>
      <c r="U232" s="128"/>
    </row>
    <row r="233" spans="1:21" ht="15.6" x14ac:dyDescent="0.3">
      <c r="A233" s="49" t="s">
        <v>436</v>
      </c>
      <c r="B233" s="49" t="str">
        <f t="shared" si="9"/>
        <v>PR-TECAB</v>
      </c>
      <c r="C233" s="12">
        <f t="shared" ca="1" si="10"/>
        <v>6.8452386662361491</v>
      </c>
      <c r="D233" s="124"/>
      <c r="E233" s="8"/>
      <c r="F233" s="8"/>
      <c r="G233" s="125"/>
      <c r="H233" s="49" t="s">
        <v>437</v>
      </c>
      <c r="I233" s="49" t="str">
        <f t="shared" si="8"/>
        <v>NTS RJ 3</v>
      </c>
      <c r="J233" s="12">
        <f t="shared" ca="1" si="11"/>
        <v>2.0415511028491147</v>
      </c>
      <c r="L233" s="21"/>
      <c r="M233" s="126"/>
      <c r="Q233" s="8"/>
      <c r="R233" s="127"/>
      <c r="S233" s="128"/>
      <c r="T233" s="128"/>
      <c r="U233" s="128"/>
    </row>
    <row r="234" spans="1:21" ht="15.6" x14ac:dyDescent="0.3">
      <c r="A234" s="49" t="s">
        <v>438</v>
      </c>
      <c r="B234" s="49" t="str">
        <f t="shared" si="9"/>
        <v>PR-GUARAREMA (INTERCONEXÃO)</v>
      </c>
      <c r="C234" s="12" t="str">
        <f t="shared" ca="1" si="10"/>
        <v xml:space="preserve"> </v>
      </c>
      <c r="D234" s="124"/>
      <c r="E234" s="8"/>
      <c r="F234" s="8"/>
      <c r="G234" s="125"/>
      <c r="H234" s="49" t="s">
        <v>439</v>
      </c>
      <c r="I234" s="49" t="str">
        <f t="shared" si="8"/>
        <v>NTS RJ 4</v>
      </c>
      <c r="J234" s="12">
        <f t="shared" ca="1" si="11"/>
        <v>2.3887311514210365</v>
      </c>
      <c r="L234" s="21"/>
      <c r="M234" s="126"/>
      <c r="Q234" s="8"/>
      <c r="R234" s="127"/>
      <c r="S234" s="128"/>
      <c r="T234" s="128"/>
      <c r="U234" s="128"/>
    </row>
    <row r="235" spans="1:21" ht="15.6" x14ac:dyDescent="0.3">
      <c r="A235" s="49" t="s">
        <v>440</v>
      </c>
      <c r="B235" s="49" t="str">
        <f t="shared" si="9"/>
        <v>PR-REPLAN (INTERCONEXÃO)</v>
      </c>
      <c r="C235" s="12" t="str">
        <f t="shared" ca="1" si="10"/>
        <v xml:space="preserve"> </v>
      </c>
      <c r="D235" s="119"/>
      <c r="E235" s="8"/>
      <c r="F235" s="8"/>
      <c r="G235" s="119"/>
      <c r="H235" s="49" t="s">
        <v>441</v>
      </c>
      <c r="I235" s="49" t="str">
        <f t="shared" si="8"/>
        <v>NTS RJ 5</v>
      </c>
      <c r="J235" s="12">
        <f t="shared" ca="1" si="11"/>
        <v>1.8051419553773798</v>
      </c>
      <c r="L235" s="21"/>
      <c r="Q235" s="8"/>
      <c r="R235" s="127"/>
      <c r="S235" s="128"/>
      <c r="T235" s="128"/>
      <c r="U235" s="128"/>
    </row>
    <row r="236" spans="1:21" ht="15.6" x14ac:dyDescent="0.3">
      <c r="A236" s="49" t="s">
        <v>442</v>
      </c>
      <c r="B236" s="49" t="str">
        <f t="shared" si="9"/>
        <v>PR-TECAB (INTERCONEXÃO)</v>
      </c>
      <c r="C236" s="12" t="str">
        <f t="shared" ca="1" si="10"/>
        <v xml:space="preserve"> </v>
      </c>
      <c r="D236" s="119"/>
      <c r="E236" s="8"/>
      <c r="F236" s="8"/>
      <c r="G236" s="119"/>
      <c r="H236" s="49" t="s">
        <v>443</v>
      </c>
      <c r="I236" s="49" t="str">
        <f t="shared" si="8"/>
        <v>NTS SP 1</v>
      </c>
      <c r="J236" s="12">
        <f t="shared" ca="1" si="11"/>
        <v>3.4161964428597296</v>
      </c>
      <c r="L236" s="21"/>
      <c r="Q236" s="8"/>
      <c r="R236" s="127"/>
      <c r="S236" s="128"/>
      <c r="T236" s="128"/>
      <c r="U236" s="128"/>
    </row>
    <row r="237" spans="1:21" ht="15.6" x14ac:dyDescent="0.3">
      <c r="D237" s="119"/>
      <c r="E237" s="8"/>
      <c r="F237" s="8"/>
      <c r="G237" s="119"/>
      <c r="H237" s="49" t="s">
        <v>444</v>
      </c>
      <c r="I237" s="49" t="str">
        <f t="shared" si="8"/>
        <v>NTS SP 2</v>
      </c>
      <c r="J237" s="12">
        <f t="shared" ca="1" si="11"/>
        <v>3.3146923986288228</v>
      </c>
      <c r="K237" s="119"/>
      <c r="L237" s="21"/>
      <c r="Q237" s="8"/>
      <c r="R237" s="127"/>
      <c r="S237" s="128"/>
      <c r="T237" s="128"/>
      <c r="U237" s="128"/>
    </row>
    <row r="238" spans="1:21" ht="15.6" x14ac:dyDescent="0.3">
      <c r="D238" s="119"/>
      <c r="E238" s="8"/>
      <c r="F238" s="8"/>
      <c r="G238" s="119"/>
      <c r="H238" s="49" t="s">
        <v>445</v>
      </c>
      <c r="I238" s="49" t="str">
        <f t="shared" si="8"/>
        <v>NTS SP 3</v>
      </c>
      <c r="J238" s="12">
        <f t="shared" ca="1" si="11"/>
        <v>4.4861240421618325</v>
      </c>
      <c r="L238" s="21"/>
      <c r="Q238" s="8"/>
      <c r="R238" s="127"/>
      <c r="S238" s="128"/>
      <c r="T238" s="128"/>
      <c r="U238" s="128"/>
    </row>
    <row r="239" spans="1:21" ht="15.6" x14ac:dyDescent="0.3">
      <c r="D239" s="119"/>
      <c r="E239" s="8"/>
      <c r="F239" s="8"/>
      <c r="G239" s="119"/>
      <c r="H239" s="49" t="s">
        <v>446</v>
      </c>
      <c r="I239" s="49" t="str">
        <f t="shared" si="8"/>
        <v>NTS SP 4</v>
      </c>
      <c r="J239" s="12">
        <f t="shared" ca="1" si="11"/>
        <v>4.8565700091142308</v>
      </c>
      <c r="L239" s="21"/>
      <c r="Q239" s="8"/>
      <c r="R239" s="127"/>
      <c r="S239" s="128"/>
      <c r="T239" s="128"/>
      <c r="U239" s="128"/>
    </row>
    <row r="240" spans="1:21" ht="15.6" x14ac:dyDescent="0.3">
      <c r="D240" s="119"/>
      <c r="E240" s="8"/>
      <c r="F240" s="8"/>
      <c r="G240" s="119"/>
      <c r="H240" s="49" t="s">
        <v>447</v>
      </c>
      <c r="I240" s="49" t="str">
        <f t="shared" si="8"/>
        <v>PE-GUARAREMA (INTERCONEXÃO)</v>
      </c>
      <c r="J240" s="12" t="str">
        <f t="shared" ca="1" si="11"/>
        <v xml:space="preserve"> </v>
      </c>
      <c r="L240" s="21"/>
      <c r="Q240" s="8"/>
      <c r="R240" s="127"/>
      <c r="S240" s="10"/>
      <c r="T240" s="10"/>
      <c r="U240" s="10"/>
    </row>
    <row r="241" spans="1:22" ht="15.6" x14ac:dyDescent="0.3">
      <c r="E241" s="8"/>
      <c r="F241" s="8"/>
      <c r="G241" s="119"/>
      <c r="H241" s="49" t="s">
        <v>448</v>
      </c>
      <c r="I241" s="49" t="str">
        <f t="shared" si="8"/>
        <v>PE-REPLAN (INTERCONEXÃO)</v>
      </c>
      <c r="J241" s="12" t="str">
        <f t="shared" ca="1" si="11"/>
        <v xml:space="preserve"> </v>
      </c>
      <c r="L241" s="21"/>
      <c r="Q241" s="8"/>
      <c r="R241" s="129"/>
      <c r="S241" s="10"/>
      <c r="T241" s="10"/>
      <c r="U241" s="10"/>
      <c r="V241" s="119"/>
    </row>
    <row r="242" spans="1:22" ht="15.6" x14ac:dyDescent="0.3">
      <c r="E242" s="8"/>
      <c r="F242" s="8"/>
      <c r="G242" s="119"/>
      <c r="H242" s="49" t="s">
        <v>449</v>
      </c>
      <c r="I242" s="49" t="str">
        <f t="shared" si="8"/>
        <v>PE-TECAB (INTERCONEXÃO)</v>
      </c>
      <c r="J242" s="12" t="str">
        <f t="shared" ca="1" si="11"/>
        <v xml:space="preserve"> </v>
      </c>
      <c r="L242" s="21"/>
      <c r="P242" s="125"/>
      <c r="Q242" s="129"/>
      <c r="R242" s="129"/>
      <c r="S242" s="8"/>
      <c r="T242" s="8"/>
      <c r="U242" s="8"/>
      <c r="V242" s="119"/>
    </row>
    <row r="243" spans="1:22" x14ac:dyDescent="0.3">
      <c r="L243" s="21"/>
    </row>
    <row r="244" spans="1:22" x14ac:dyDescent="0.3">
      <c r="L244" s="21"/>
    </row>
    <row r="245" spans="1:22" ht="15.6" x14ac:dyDescent="0.3">
      <c r="A245" s="111" t="s">
        <v>420</v>
      </c>
      <c r="B245" s="111" t="s">
        <v>163</v>
      </c>
      <c r="C245" s="111" t="s">
        <v>421</v>
      </c>
      <c r="D245" s="111" t="s">
        <v>450</v>
      </c>
      <c r="E245" s="111" t="s">
        <v>451</v>
      </c>
      <c r="F245" s="264" t="s">
        <v>467</v>
      </c>
      <c r="G245" s="122"/>
      <c r="H245" s="111" t="s">
        <v>422</v>
      </c>
      <c r="I245" s="111" t="s">
        <v>164</v>
      </c>
      <c r="J245" s="111" t="s">
        <v>423</v>
      </c>
      <c r="K245" s="111" t="s">
        <v>452</v>
      </c>
      <c r="L245" s="111" t="s">
        <v>453</v>
      </c>
      <c r="M245" s="264" t="s">
        <v>467</v>
      </c>
    </row>
    <row r="246" spans="1:22" ht="15.6" x14ac:dyDescent="0.3">
      <c r="A246" s="49" t="s">
        <v>424</v>
      </c>
      <c r="B246" s="49" t="str">
        <f t="shared" ref="B246:B255" si="12">B227</f>
        <v>PR-CARAGUATATUBA</v>
      </c>
      <c r="C246" s="12">
        <f ca="1">IF(H25=0," ",C227*(1-$C$12))</f>
        <v>1.4421613867681198</v>
      </c>
      <c r="D246" s="12">
        <f t="shared" ref="D246:D252" ca="1" si="13">$F$8*$C$12</f>
        <v>4.4953483413282074</v>
      </c>
      <c r="E246" s="12">
        <f ca="1">IFERROR(C246+D246," ")</f>
        <v>5.9375097280963267</v>
      </c>
      <c r="F246" s="261">
        <f ca="1">E246*H25</f>
        <v>1146162967.8679776</v>
      </c>
      <c r="G246" s="126"/>
      <c r="H246" s="49" t="s">
        <v>425</v>
      </c>
      <c r="I246" s="49" t="str">
        <f t="shared" ref="I246:I261" si="14">I227</f>
        <v>NTS MG 1</v>
      </c>
      <c r="J246" s="12">
        <f ca="1">IF(H42=0," ",J227*(1-$C$12))</f>
        <v>0.73157942206118853</v>
      </c>
      <c r="K246" s="12">
        <f t="shared" ref="K246:K258" ca="1" si="15">$F$11*$C$12</f>
        <v>2.3259260633336534</v>
      </c>
      <c r="L246" s="12">
        <f ca="1">IFERROR(J246+K246," ")</f>
        <v>3.057505485394842</v>
      </c>
      <c r="M246" s="261">
        <f ca="1">L246*H42</f>
        <v>25268705.984424211</v>
      </c>
      <c r="N246" s="134"/>
    </row>
    <row r="247" spans="1:22" ht="15.6" x14ac:dyDescent="0.3">
      <c r="A247" s="49" t="s">
        <v>426</v>
      </c>
      <c r="B247" s="49" t="str">
        <f t="shared" si="12"/>
        <v>PR-GNLBGB</v>
      </c>
      <c r="C247" s="12">
        <f t="shared" ref="C247:C255" ca="1" si="16">IF(H26=0," ",C228*(1-$C$12))</f>
        <v>0.82203415800399404</v>
      </c>
      <c r="D247" s="12">
        <f t="shared" ca="1" si="13"/>
        <v>4.4953483413282074</v>
      </c>
      <c r="E247" s="12">
        <f t="shared" ref="E247:E252" ca="1" si="17">IFERROR(C247+D247," ")</f>
        <v>5.3173824993322016</v>
      </c>
      <c r="F247" s="261">
        <f t="shared" ref="F247:F252" ca="1" si="18">E247*H26</f>
        <v>1447954662.7513673</v>
      </c>
      <c r="G247" s="126"/>
      <c r="H247" s="49" t="s">
        <v>427</v>
      </c>
      <c r="I247" s="49" t="str">
        <f t="shared" si="14"/>
        <v>NTS MG 2</v>
      </c>
      <c r="J247" s="12">
        <f t="shared" ref="J247:J248" ca="1" si="19">IF(H43=0," ",J228*(1-$C$12))</f>
        <v>0.93463124745560144</v>
      </c>
      <c r="K247" s="12">
        <f t="shared" ca="1" si="15"/>
        <v>2.3259260633336534</v>
      </c>
      <c r="L247" s="12">
        <f t="shared" ref="L247:L258" ca="1" si="20">IFERROR(J247+K247," ")</f>
        <v>3.2605573107892547</v>
      </c>
      <c r="M247" s="261">
        <f t="shared" ref="M247:M258" ca="1" si="21">L247*H43</f>
        <v>74492210.346903488</v>
      </c>
    </row>
    <row r="248" spans="1:22" ht="15.6" x14ac:dyDescent="0.3">
      <c r="A248" s="49" t="s">
        <v>428</v>
      </c>
      <c r="B248" s="49" t="str">
        <f t="shared" si="12"/>
        <v>PR-ITABORAÍ</v>
      </c>
      <c r="C248" s="12">
        <f t="shared" ca="1" si="16"/>
        <v>0.96077957964133009</v>
      </c>
      <c r="D248" s="12">
        <f t="shared" ca="1" si="13"/>
        <v>4.4953483413282074</v>
      </c>
      <c r="E248" s="12">
        <f t="shared" ca="1" si="17"/>
        <v>5.4561279209695375</v>
      </c>
      <c r="F248" s="261">
        <f t="shared" ca="1" si="18"/>
        <v>965728309.38401723</v>
      </c>
      <c r="G248" s="126"/>
      <c r="H248" s="49" t="s">
        <v>429</v>
      </c>
      <c r="I248" s="49" t="str">
        <f t="shared" si="14"/>
        <v>NTS MG 3</v>
      </c>
      <c r="J248" s="12">
        <f t="shared" ca="1" si="19"/>
        <v>1.1794812714634795</v>
      </c>
      <c r="K248" s="12">
        <f t="shared" ca="1" si="15"/>
        <v>2.3259260633336534</v>
      </c>
      <c r="L248" s="12">
        <f t="shared" ca="1" si="20"/>
        <v>3.5054073347971331</v>
      </c>
      <c r="M248" s="261">
        <f t="shared" ca="1" si="21"/>
        <v>130629226.33530442</v>
      </c>
    </row>
    <row r="249" spans="1:22" ht="15.6" x14ac:dyDescent="0.3">
      <c r="A249" s="49" t="s">
        <v>430</v>
      </c>
      <c r="B249" s="49" t="str">
        <f t="shared" si="12"/>
        <v>PR-GASPAJ (INTERCONEXÃO)</v>
      </c>
      <c r="C249" s="12" t="str">
        <f t="shared" si="16"/>
        <v xml:space="preserve"> </v>
      </c>
      <c r="D249" s="12">
        <f t="shared" ca="1" si="13"/>
        <v>4.4953483413282074</v>
      </c>
      <c r="E249" s="130">
        <f ca="1">E271</f>
        <v>0.54869098529349725</v>
      </c>
      <c r="F249" s="261">
        <f t="shared" ca="1" si="18"/>
        <v>0</v>
      </c>
      <c r="G249" s="126"/>
      <c r="H249" s="49" t="s">
        <v>431</v>
      </c>
      <c r="I249" s="49" t="str">
        <f t="shared" si="14"/>
        <v>NTS MG 4</v>
      </c>
      <c r="J249" s="12">
        <f ca="1">IF(H45=0," ",J230*(1-$C$12))</f>
        <v>1.2614929216730395</v>
      </c>
      <c r="K249" s="12">
        <f t="shared" ca="1" si="15"/>
        <v>2.3259260633336534</v>
      </c>
      <c r="L249" s="12">
        <f t="shared" ca="1" si="20"/>
        <v>3.5874189850066927</v>
      </c>
      <c r="M249" s="261">
        <f t="shared" ca="1" si="21"/>
        <v>16362662.605369439</v>
      </c>
    </row>
    <row r="250" spans="1:22" ht="15.6" x14ac:dyDescent="0.3">
      <c r="A250" s="49" t="s">
        <v>432</v>
      </c>
      <c r="B250" s="49" t="str">
        <f t="shared" si="12"/>
        <v>PR-REDUC</v>
      </c>
      <c r="C250" s="12" t="str">
        <f t="shared" si="16"/>
        <v xml:space="preserve"> </v>
      </c>
      <c r="D250" s="12"/>
      <c r="E250" s="12" t="str">
        <f t="shared" si="17"/>
        <v xml:space="preserve"> </v>
      </c>
      <c r="F250" s="261"/>
      <c r="G250" s="126"/>
      <c r="H250" s="49" t="s">
        <v>433</v>
      </c>
      <c r="I250" s="49" t="str">
        <f t="shared" si="14"/>
        <v>NTS RJ 1</v>
      </c>
      <c r="J250" s="12">
        <f t="shared" ref="J250:J261" ca="1" si="22">IF(H46=0," ",J231*(1-$C$12))</f>
        <v>0.35635908629368362</v>
      </c>
      <c r="K250" s="12">
        <f t="shared" ca="1" si="15"/>
        <v>2.3259260633336534</v>
      </c>
      <c r="L250" s="12">
        <f t="shared" ca="1" si="20"/>
        <v>2.682285149627337</v>
      </c>
      <c r="M250" s="261">
        <f t="shared" ca="1" si="21"/>
        <v>649802219.09912932</v>
      </c>
    </row>
    <row r="251" spans="1:22" ht="15.6" x14ac:dyDescent="0.3">
      <c r="A251" s="49" t="s">
        <v>434</v>
      </c>
      <c r="B251" s="49" t="str">
        <f t="shared" si="12"/>
        <v>PR-RPBC</v>
      </c>
      <c r="C251" s="12" t="str">
        <f t="shared" si="16"/>
        <v xml:space="preserve"> </v>
      </c>
      <c r="D251" s="12"/>
      <c r="E251" s="12" t="str">
        <f t="shared" si="17"/>
        <v xml:space="preserve"> </v>
      </c>
      <c r="F251" s="261"/>
      <c r="G251" s="126"/>
      <c r="H251" s="49" t="s">
        <v>435</v>
      </c>
      <c r="I251" s="49" t="str">
        <f t="shared" si="14"/>
        <v>NTS RJ 2</v>
      </c>
      <c r="J251" s="12">
        <f t="shared" ca="1" si="22"/>
        <v>0.35469859386379615</v>
      </c>
      <c r="K251" s="12">
        <f t="shared" ca="1" si="15"/>
        <v>2.3259260633336534</v>
      </c>
      <c r="L251" s="12">
        <f t="shared" ca="1" si="20"/>
        <v>2.6806246571974497</v>
      </c>
      <c r="M251" s="261">
        <f t="shared" ca="1" si="21"/>
        <v>306797954.654562</v>
      </c>
    </row>
    <row r="252" spans="1:22" ht="15.6" x14ac:dyDescent="0.3">
      <c r="A252" s="49" t="s">
        <v>436</v>
      </c>
      <c r="B252" s="49" t="str">
        <f t="shared" si="12"/>
        <v>PR-TECAB</v>
      </c>
      <c r="C252" s="12">
        <f t="shared" ca="1" si="16"/>
        <v>1.3690477332472295</v>
      </c>
      <c r="D252" s="12">
        <f t="shared" ca="1" si="13"/>
        <v>4.4953483413282074</v>
      </c>
      <c r="E252" s="12">
        <f t="shared" ca="1" si="17"/>
        <v>5.8643960745754367</v>
      </c>
      <c r="F252" s="261">
        <f t="shared" ca="1" si="18"/>
        <v>1186104672.4964585</v>
      </c>
      <c r="G252" s="126"/>
      <c r="H252" s="49" t="s">
        <v>437</v>
      </c>
      <c r="I252" s="49" t="str">
        <f t="shared" si="14"/>
        <v>NTS RJ 3</v>
      </c>
      <c r="J252" s="12">
        <f t="shared" ca="1" si="22"/>
        <v>0.40831022056982286</v>
      </c>
      <c r="K252" s="12">
        <f t="shared" ca="1" si="15"/>
        <v>2.3259260633336534</v>
      </c>
      <c r="L252" s="12">
        <f t="shared" ca="1" si="20"/>
        <v>2.7342362839034764</v>
      </c>
      <c r="M252" s="261">
        <f t="shared" ca="1" si="21"/>
        <v>63807822.769026108</v>
      </c>
    </row>
    <row r="253" spans="1:22" ht="15.6" x14ac:dyDescent="0.3">
      <c r="A253" s="49" t="s">
        <v>438</v>
      </c>
      <c r="B253" s="49" t="str">
        <f t="shared" si="12"/>
        <v>PR-GUARAREMA (INTERCONEXÃO)</v>
      </c>
      <c r="C253" s="12" t="str">
        <f t="shared" si="16"/>
        <v xml:space="preserve"> </v>
      </c>
      <c r="D253" s="12"/>
      <c r="E253" s="130">
        <f ca="1">E269</f>
        <v>0.51043258732244456</v>
      </c>
      <c r="F253" s="262"/>
      <c r="G253" s="126"/>
      <c r="H253" s="49" t="s">
        <v>439</v>
      </c>
      <c r="I253" s="49" t="str">
        <f t="shared" si="14"/>
        <v>NTS RJ 4</v>
      </c>
      <c r="J253" s="12">
        <f t="shared" ca="1" si="22"/>
        <v>0.47774623028420721</v>
      </c>
      <c r="K253" s="12">
        <f t="shared" ca="1" si="15"/>
        <v>2.3259260633336534</v>
      </c>
      <c r="L253" s="12">
        <f t="shared" ca="1" si="20"/>
        <v>2.8036722936178604</v>
      </c>
      <c r="M253" s="261">
        <f t="shared" ca="1" si="21"/>
        <v>12329822.894952973</v>
      </c>
    </row>
    <row r="254" spans="1:22" ht="15.6" x14ac:dyDescent="0.3">
      <c r="A254" s="49" t="s">
        <v>440</v>
      </c>
      <c r="B254" s="49" t="str">
        <f t="shared" si="12"/>
        <v>PR-REPLAN (INTERCONEXÃO)</v>
      </c>
      <c r="C254" s="12" t="str">
        <f t="shared" si="16"/>
        <v xml:space="preserve"> </v>
      </c>
      <c r="D254" s="12"/>
      <c r="E254" s="130">
        <f ca="1">E268</f>
        <v>0.54869098529349725</v>
      </c>
      <c r="F254" s="263">
        <f ca="1">SUM(F246:F252)</f>
        <v>4745950612.4998207</v>
      </c>
      <c r="G254" s="126"/>
      <c r="H254" s="49" t="s">
        <v>441</v>
      </c>
      <c r="I254" s="49" t="str">
        <f t="shared" si="14"/>
        <v>NTS RJ 5</v>
      </c>
      <c r="J254" s="12">
        <f t="shared" ca="1" si="22"/>
        <v>0.36102839107547585</v>
      </c>
      <c r="K254" s="12">
        <f t="shared" ca="1" si="15"/>
        <v>2.3259260633336534</v>
      </c>
      <c r="L254" s="12">
        <f t="shared" ca="1" si="20"/>
        <v>2.6869544544091291</v>
      </c>
      <c r="M254" s="261">
        <f t="shared" ca="1" si="21"/>
        <v>77850067.738352835</v>
      </c>
    </row>
    <row r="255" spans="1:22" ht="15.6" x14ac:dyDescent="0.3">
      <c r="A255" s="49" t="s">
        <v>442</v>
      </c>
      <c r="B255" s="49" t="str">
        <f t="shared" si="12"/>
        <v>PR-TECAB (INTERCONEXÃO)</v>
      </c>
      <c r="C255" s="12" t="str">
        <f t="shared" si="16"/>
        <v xml:space="preserve"> </v>
      </c>
      <c r="D255" s="12"/>
      <c r="E255" s="130">
        <f ca="1">E270</f>
        <v>0.53611379504441448</v>
      </c>
      <c r="G255" s="126"/>
      <c r="H255" s="49" t="s">
        <v>443</v>
      </c>
      <c r="I255" s="49" t="str">
        <f t="shared" si="14"/>
        <v>NTS SP 1</v>
      </c>
      <c r="J255" s="12">
        <f t="shared" ca="1" si="22"/>
        <v>0.68323928857194571</v>
      </c>
      <c r="K255" s="12">
        <f t="shared" ca="1" si="15"/>
        <v>2.3259260633336534</v>
      </c>
      <c r="L255" s="12">
        <f t="shared" ca="1" si="20"/>
        <v>3.0091653519055992</v>
      </c>
      <c r="M255" s="261">
        <f t="shared" ca="1" si="21"/>
        <v>50680724.947840348</v>
      </c>
    </row>
    <row r="256" spans="1:22" ht="15.6" x14ac:dyDescent="0.3">
      <c r="F256" s="134"/>
      <c r="H256" s="49" t="s">
        <v>444</v>
      </c>
      <c r="I256" s="49" t="str">
        <f t="shared" si="14"/>
        <v>NTS SP 2</v>
      </c>
      <c r="J256" s="12">
        <f t="shared" ca="1" si="22"/>
        <v>0.66293847972576436</v>
      </c>
      <c r="K256" s="12">
        <f t="shared" ca="1" si="15"/>
        <v>2.3259260633336534</v>
      </c>
      <c r="L256" s="12">
        <f t="shared" ca="1" si="20"/>
        <v>2.9888645430594178</v>
      </c>
      <c r="M256" s="261">
        <f t="shared" ca="1" si="21"/>
        <v>120943380.75302958</v>
      </c>
    </row>
    <row r="257" spans="1:13" ht="15.6" x14ac:dyDescent="0.3">
      <c r="H257" s="49" t="s">
        <v>445</v>
      </c>
      <c r="I257" s="49" t="str">
        <f t="shared" si="14"/>
        <v>NTS SP 3</v>
      </c>
      <c r="J257" s="12">
        <f t="shared" ca="1" si="22"/>
        <v>0.89722480843236629</v>
      </c>
      <c r="K257" s="12">
        <f t="shared" ca="1" si="15"/>
        <v>2.3259260633336534</v>
      </c>
      <c r="L257" s="12">
        <f t="shared" ca="1" si="20"/>
        <v>3.2231508717660198</v>
      </c>
      <c r="M257" s="261">
        <f t="shared" ca="1" si="21"/>
        <v>349712799.54497749</v>
      </c>
    </row>
    <row r="258" spans="1:13" ht="15.6" x14ac:dyDescent="0.3">
      <c r="H258" s="49" t="s">
        <v>446</v>
      </c>
      <c r="I258" s="49" t="str">
        <f t="shared" si="14"/>
        <v>NTS SP 4</v>
      </c>
      <c r="J258" s="12">
        <f t="shared" ca="1" si="22"/>
        <v>0.97131400182284588</v>
      </c>
      <c r="K258" s="12">
        <f t="shared" ca="1" si="15"/>
        <v>2.3259260633336534</v>
      </c>
      <c r="L258" s="12">
        <f t="shared" ca="1" si="20"/>
        <v>3.2972400651564993</v>
      </c>
      <c r="M258" s="261">
        <f t="shared" ca="1" si="21"/>
        <v>147293595.96747872</v>
      </c>
    </row>
    <row r="259" spans="1:13" ht="15.6" x14ac:dyDescent="0.3">
      <c r="H259" s="49" t="s">
        <v>447</v>
      </c>
      <c r="I259" s="49" t="str">
        <f t="shared" si="14"/>
        <v>PE-GUARAREMA (INTERCONEXÃO)</v>
      </c>
      <c r="J259" s="12" t="str">
        <f t="shared" si="22"/>
        <v xml:space="preserve"> </v>
      </c>
      <c r="K259" s="12"/>
      <c r="L259" s="12">
        <f>0</f>
        <v>0</v>
      </c>
      <c r="M259" s="262"/>
    </row>
    <row r="260" spans="1:13" ht="15.6" x14ac:dyDescent="0.3">
      <c r="H260" s="49" t="s">
        <v>448</v>
      </c>
      <c r="I260" s="49" t="str">
        <f t="shared" si="14"/>
        <v>PE-REPLAN (INTERCONEXÃO)</v>
      </c>
      <c r="J260" s="12" t="str">
        <f t="shared" si="22"/>
        <v xml:space="preserve"> </v>
      </c>
      <c r="K260" s="12"/>
      <c r="L260" s="130">
        <f ca="1">E272</f>
        <v>0.28848130106136055</v>
      </c>
      <c r="M260" s="263">
        <f ca="1">SUM(M246:M258)</f>
        <v>2025971193.641351</v>
      </c>
    </row>
    <row r="261" spans="1:13" ht="15.6" x14ac:dyDescent="0.3">
      <c r="H261" s="49" t="s">
        <v>449</v>
      </c>
      <c r="I261" s="49" t="str">
        <f t="shared" si="14"/>
        <v>PE-TECAB (INTERCONEXÃO)</v>
      </c>
      <c r="J261" s="12" t="str">
        <f t="shared" si="22"/>
        <v xml:space="preserve"> </v>
      </c>
      <c r="K261" s="12"/>
      <c r="L261" s="130">
        <f ca="1">E273</f>
        <v>0.24946890835225088</v>
      </c>
    </row>
    <row r="263" spans="1:13" x14ac:dyDescent="0.3">
      <c r="A263" t="s">
        <v>165</v>
      </c>
      <c r="C263" s="97">
        <v>0.9</v>
      </c>
    </row>
    <row r="264" spans="1:13" x14ac:dyDescent="0.3">
      <c r="J264" s="126"/>
      <c r="K264" s="126"/>
      <c r="L264" s="126"/>
      <c r="M264" s="126"/>
    </row>
    <row r="265" spans="1:13" x14ac:dyDescent="0.3">
      <c r="A265" s="249" t="s">
        <v>474</v>
      </c>
      <c r="J265" s="126"/>
      <c r="K265" s="126"/>
      <c r="L265" s="126"/>
      <c r="M265" s="126"/>
    </row>
    <row r="266" spans="1:13" x14ac:dyDescent="0.3">
      <c r="E266" s="265"/>
      <c r="L266" s="131"/>
    </row>
    <row r="267" spans="1:13" ht="36" x14ac:dyDescent="0.3">
      <c r="B267" s="250" t="s">
        <v>459</v>
      </c>
      <c r="C267" s="269" t="s">
        <v>466</v>
      </c>
      <c r="D267" s="269" t="s">
        <v>465</v>
      </c>
      <c r="E267" s="275" t="s">
        <v>472</v>
      </c>
      <c r="F267" s="250" t="s">
        <v>477</v>
      </c>
      <c r="L267" s="131"/>
    </row>
    <row r="268" spans="1:13" ht="18" x14ac:dyDescent="0.35">
      <c r="B268" s="251" t="s">
        <v>460</v>
      </c>
      <c r="C268" s="276">
        <f>Oferta!F11</f>
        <v>200</v>
      </c>
      <c r="D268" s="270">
        <f ca="1">'CWD NTS 2025 (sem desconto)'!D267</f>
        <v>5.486909852934974</v>
      </c>
      <c r="E268" s="273">
        <f ca="1">D268*(1-$C$263)</f>
        <v>0.54869098529349725</v>
      </c>
      <c r="F268" s="271">
        <f ca="1">C268*E268*Premissas!$C$44*Premissas!$F$20*1000</f>
        <v>1494117.9624846214</v>
      </c>
      <c r="L268" s="131"/>
    </row>
    <row r="269" spans="1:13" ht="18" x14ac:dyDescent="0.35">
      <c r="B269" s="252" t="s">
        <v>461</v>
      </c>
      <c r="C269" s="276">
        <f>Oferta!F10</f>
        <v>6000</v>
      </c>
      <c r="D269" s="270">
        <f ca="1">'CWD NTS 2025 (sem desconto)'!D268</f>
        <v>5.1043258732244468</v>
      </c>
      <c r="E269" s="273">
        <f t="shared" ref="E269:E271" ca="1" si="23">D269*(1-$C$263)</f>
        <v>0.51043258732244456</v>
      </c>
      <c r="F269" s="271">
        <f ca="1">C269*E269*Premissas!$C$44*Premissas!$F$20*1000</f>
        <v>41698142.550019555</v>
      </c>
      <c r="G269" s="132"/>
      <c r="K269" s="132"/>
      <c r="L269" s="131"/>
    </row>
    <row r="270" spans="1:13" ht="18" x14ac:dyDescent="0.35">
      <c r="B270" s="253" t="s">
        <v>462</v>
      </c>
      <c r="C270" s="276">
        <f>Oferta!F12</f>
        <v>200</v>
      </c>
      <c r="D270" s="270">
        <f ca="1">'CWD NTS 2025 (sem desconto)'!D269</f>
        <v>5.3611379504441459</v>
      </c>
      <c r="E270" s="273">
        <f t="shared" ca="1" si="23"/>
        <v>0.53611379504441448</v>
      </c>
      <c r="F270" s="271">
        <f ca="1">C270*E270*Premissas!$C$44*Premissas!$F$20*1000</f>
        <v>1459869.5305394724</v>
      </c>
      <c r="K270" s="132"/>
      <c r="L270" s="131"/>
    </row>
    <row r="271" spans="1:13" ht="18" x14ac:dyDescent="0.35">
      <c r="B271" s="253" t="s">
        <v>253</v>
      </c>
      <c r="C271" s="276">
        <f>Oferta!F6</f>
        <v>335</v>
      </c>
      <c r="D271" s="270">
        <f ca="1">'CWD NTS 2025 (sem desconto)'!D270</f>
        <v>5.486909852934974</v>
      </c>
      <c r="E271" s="273">
        <f t="shared" ca="1" si="23"/>
        <v>0.54869098529349725</v>
      </c>
      <c r="F271" s="271">
        <f ca="1">C271*E271*Premissas!$C$44*Premissas!$F$20*1000</f>
        <v>2502647.5871617403</v>
      </c>
      <c r="K271" s="132"/>
      <c r="L271" s="131"/>
    </row>
    <row r="272" spans="1:13" ht="18" x14ac:dyDescent="0.35">
      <c r="B272" s="251" t="s">
        <v>463</v>
      </c>
      <c r="C272" s="276">
        <f>Demanda!F17</f>
        <v>7011</v>
      </c>
      <c r="D272" s="270">
        <f ca="1">'CWD NTS 2025 (sem desconto)'!D271</f>
        <v>2.8848130106136063</v>
      </c>
      <c r="E272" s="273">
        <f ca="1">D272*(1-$C$263)</f>
        <v>0.28848130106136055</v>
      </c>
      <c r="F272" s="271">
        <f ca="1">C272*E272*Premissas!$C$44*Premissas!$F$20*1000</f>
        <v>27537512.127266642</v>
      </c>
      <c r="K272" s="132"/>
      <c r="L272" s="131"/>
    </row>
    <row r="273" spans="2:13" ht="18" x14ac:dyDescent="0.35">
      <c r="B273" s="253" t="s">
        <v>464</v>
      </c>
      <c r="C273" s="276">
        <f>Demanda!F18</f>
        <v>200</v>
      </c>
      <c r="D273" s="270">
        <f ca="1">'CWD NTS 2025 (sem desconto)'!D272</f>
        <v>2.4946890835225095</v>
      </c>
      <c r="E273" s="273">
        <f ca="1">D273*(1-$C$263)</f>
        <v>0.24946890835225088</v>
      </c>
      <c r="F273" s="271">
        <f ca="1">C273*E273*Premissas!$C$44*Premissas!$F$20*1000</f>
        <v>679318.57282318862</v>
      </c>
      <c r="K273" s="132"/>
      <c r="L273" s="131"/>
    </row>
    <row r="274" spans="2:13" ht="18.600000000000001" thickBot="1" x14ac:dyDescent="0.4">
      <c r="B274" s="253"/>
      <c r="C274" s="274"/>
      <c r="D274" s="274"/>
      <c r="E274" s="274"/>
      <c r="F274" s="272">
        <f ca="1">SUM(F268:F273)</f>
        <v>75371608.33029522</v>
      </c>
      <c r="K274" s="132"/>
      <c r="L274" s="131"/>
    </row>
    <row r="275" spans="2:13" ht="15" thickTop="1" x14ac:dyDescent="0.3">
      <c r="K275" s="132"/>
      <c r="L275" s="131"/>
    </row>
    <row r="276" spans="2:13" x14ac:dyDescent="0.3">
      <c r="E276" t="s">
        <v>110</v>
      </c>
      <c r="F276" s="239">
        <f ca="1">F254+M260+F274</f>
        <v>6847293414.471467</v>
      </c>
      <c r="K276" s="132"/>
      <c r="L276" s="131"/>
    </row>
    <row r="277" spans="2:13" x14ac:dyDescent="0.3">
      <c r="E277" s="255" t="s">
        <v>467</v>
      </c>
      <c r="F277" s="256">
        <f ca="1">(F276/10^6)-D4</f>
        <v>0</v>
      </c>
      <c r="K277" s="132"/>
      <c r="L277" s="131"/>
    </row>
    <row r="278" spans="2:13" x14ac:dyDescent="0.3">
      <c r="K278" s="132"/>
    </row>
    <row r="279" spans="2:13" x14ac:dyDescent="0.3">
      <c r="K279" s="132"/>
    </row>
    <row r="280" spans="2:13" x14ac:dyDescent="0.3">
      <c r="K280" s="132"/>
      <c r="M280" s="133"/>
    </row>
    <row r="281" spans="2:13" x14ac:dyDescent="0.3">
      <c r="K281" s="132"/>
      <c r="M281" s="133"/>
    </row>
    <row r="282" spans="2:13" x14ac:dyDescent="0.3">
      <c r="K282" s="132"/>
      <c r="M282" s="133"/>
    </row>
    <row r="283" spans="2:13" x14ac:dyDescent="0.3">
      <c r="K283" s="132"/>
      <c r="M283" s="133"/>
    </row>
    <row r="284" spans="2:13" x14ac:dyDescent="0.3">
      <c r="K284" s="132"/>
      <c r="M284" s="133"/>
    </row>
    <row r="285" spans="2:13" x14ac:dyDescent="0.3">
      <c r="K285" s="132"/>
      <c r="M285" s="133"/>
    </row>
    <row r="286" spans="2:13" x14ac:dyDescent="0.3">
      <c r="K286" s="132"/>
      <c r="M286" s="133"/>
    </row>
    <row r="287" spans="2:13" x14ac:dyDescent="0.3">
      <c r="K287" s="132"/>
      <c r="M287" s="133"/>
    </row>
    <row r="288" spans="2:13" x14ac:dyDescent="0.3">
      <c r="M288" s="133"/>
    </row>
    <row r="289" spans="13:14" x14ac:dyDescent="0.3">
      <c r="M289" s="133"/>
    </row>
    <row r="290" spans="13:14" x14ac:dyDescent="0.3">
      <c r="M290" s="133"/>
    </row>
    <row r="291" spans="13:14" x14ac:dyDescent="0.3">
      <c r="M291" s="133"/>
    </row>
    <row r="292" spans="13:14" x14ac:dyDescent="0.3">
      <c r="M292" s="133"/>
    </row>
    <row r="293" spans="13:14" x14ac:dyDescent="0.3">
      <c r="M293" s="133"/>
    </row>
    <row r="294" spans="13:14" x14ac:dyDescent="0.3">
      <c r="M294" s="133"/>
    </row>
    <row r="295" spans="13:14" x14ac:dyDescent="0.3">
      <c r="M295" s="133"/>
    </row>
    <row r="296" spans="13:14" x14ac:dyDescent="0.3">
      <c r="M296" s="133"/>
    </row>
    <row r="297" spans="13:14" x14ac:dyDescent="0.3">
      <c r="M297" s="133"/>
    </row>
    <row r="298" spans="13:14" x14ac:dyDescent="0.3">
      <c r="M298" s="133"/>
    </row>
    <row r="299" spans="13:14" x14ac:dyDescent="0.3">
      <c r="M299" s="133"/>
    </row>
    <row r="303" spans="13:14" x14ac:dyDescent="0.3">
      <c r="N303" s="134"/>
    </row>
  </sheetData>
  <mergeCells count="8">
    <mergeCell ref="C40:D40"/>
    <mergeCell ref="G40:H40"/>
    <mergeCell ref="C22:D22"/>
    <mergeCell ref="G22:H22"/>
    <mergeCell ref="C23:D23"/>
    <mergeCell ref="G23:H23"/>
    <mergeCell ref="C39:D39"/>
    <mergeCell ref="G39:H39"/>
  </mergeCell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3">
    <tabColor theme="9" tint="0.79998168889431442"/>
  </sheetPr>
  <dimension ref="A1:V39"/>
  <sheetViews>
    <sheetView showGridLines="0" topLeftCell="A16" zoomScale="110" zoomScaleNormal="110" workbookViewId="0">
      <selection activeCell="H29" sqref="H29:H30"/>
    </sheetView>
  </sheetViews>
  <sheetFormatPr defaultColWidth="10.77734375" defaultRowHeight="14.4" x14ac:dyDescent="0.3"/>
  <cols>
    <col min="1" max="1" width="10.77734375" style="62"/>
    <col min="2" max="2" width="27.44140625" style="62" bestFit="1" customWidth="1"/>
    <col min="3" max="3" width="15.21875" style="64" customWidth="1"/>
    <col min="4" max="4" width="13.77734375" style="64" customWidth="1"/>
    <col min="5" max="5" width="14.21875" style="62" bestFit="1" customWidth="1"/>
    <col min="6" max="6" width="14.77734375" style="62" customWidth="1"/>
    <col min="7" max="7" width="14.21875" style="62" bestFit="1" customWidth="1"/>
    <col min="8" max="11" width="10.77734375" style="62"/>
    <col min="12" max="12" width="23" style="67" bestFit="1" customWidth="1"/>
    <col min="13" max="13" width="16.77734375" style="67" customWidth="1"/>
    <col min="14" max="22" width="14.77734375" style="67" customWidth="1"/>
    <col min="23" max="16384" width="10.77734375" style="62"/>
  </cols>
  <sheetData>
    <row r="1" spans="1:22" ht="25.95" customHeight="1" x14ac:dyDescent="0.3">
      <c r="A1" s="352" t="s">
        <v>131</v>
      </c>
      <c r="B1" s="353" t="s">
        <v>132</v>
      </c>
      <c r="C1" s="351" t="s">
        <v>262</v>
      </c>
      <c r="D1" s="351" t="s">
        <v>263</v>
      </c>
      <c r="E1" s="351" t="s">
        <v>265</v>
      </c>
      <c r="L1" s="238"/>
      <c r="M1" s="238" t="s">
        <v>28</v>
      </c>
      <c r="N1" s="238" t="s">
        <v>26</v>
      </c>
      <c r="O1" s="238" t="s">
        <v>512</v>
      </c>
      <c r="P1" s="238" t="s">
        <v>473</v>
      </c>
      <c r="Q1" s="238" t="s">
        <v>27</v>
      </c>
      <c r="R1" s="238" t="s">
        <v>29</v>
      </c>
      <c r="S1" s="238" t="s">
        <v>24</v>
      </c>
      <c r="T1" s="238" t="s">
        <v>274</v>
      </c>
      <c r="U1" s="238" t="s">
        <v>276</v>
      </c>
      <c r="V1" s="238" t="s">
        <v>275</v>
      </c>
    </row>
    <row r="2" spans="1:22" x14ac:dyDescent="0.3">
      <c r="A2" s="346" t="str">
        <f>'CWD NTS 2025 (Final)'!A246</f>
        <v>TEN1</v>
      </c>
      <c r="B2" s="347" t="str">
        <f>'CWD NTS 2025 (Final)'!B246</f>
        <v>PR-CARAGUATATUBA</v>
      </c>
      <c r="C2" s="348">
        <f>'CWD NTS 2025 (sem desconto)'!H24</f>
        <v>193037657.25962999</v>
      </c>
      <c r="D2" s="349">
        <f ca="1">'CWD NTS 2025 (Final)'!E246</f>
        <v>5.9375097280963267</v>
      </c>
      <c r="E2" s="350">
        <f t="shared" ref="E2:E11" ca="1" si="0">IFERROR(C2*D2," ")</f>
        <v>1146162967.8679776</v>
      </c>
      <c r="L2" s="71" t="s">
        <v>58</v>
      </c>
      <c r="M2" s="70">
        <f ca="1">IFERROR($D$2+$C34," ")</f>
        <v>9.3205984405204507</v>
      </c>
      <c r="N2" s="70">
        <f ca="1">IFERROR($D$3+$C34," ")</f>
        <v>8.7004712117563265</v>
      </c>
      <c r="O2" s="70">
        <f ca="1">IFERROR($D$4+$C34," ")</f>
        <v>8.8392166333936615</v>
      </c>
      <c r="P2" s="70">
        <f ca="1">IFERROR($D$5+$C34," ")</f>
        <v>3.9317796977176216</v>
      </c>
      <c r="Q2" s="70" t="str">
        <f ca="1">IFERROR($D$6+$C34," ")</f>
        <v xml:space="preserve"> </v>
      </c>
      <c r="R2" s="70" t="str">
        <f ca="1">IFERROR($D$7+$C34," ")</f>
        <v xml:space="preserve"> </v>
      </c>
      <c r="S2" s="70">
        <f ca="1">IFERROR($D$8+$C34," ")</f>
        <v>9.2474847869995607</v>
      </c>
      <c r="T2" s="70">
        <f ca="1">IFERROR($D$9+$C34," ")</f>
        <v>3.8935212997465691</v>
      </c>
      <c r="U2" s="70">
        <f ca="1">IFERROR($D$10+$C34," ")</f>
        <v>3.9317796977176216</v>
      </c>
      <c r="V2" s="70">
        <f ca="1">IFERROR($D$11+$C34," ")</f>
        <v>3.919202507468539</v>
      </c>
    </row>
    <row r="3" spans="1:22" s="65" customFormat="1" x14ac:dyDescent="0.3">
      <c r="A3" s="319" t="str">
        <f>'CWD NTS 2025 (Final)'!A247</f>
        <v>TEN2</v>
      </c>
      <c r="B3" s="322" t="str">
        <f>'CWD NTS 2025 (Final)'!B247</f>
        <v>PR-GNLBGB</v>
      </c>
      <c r="C3" s="323">
        <f>'CWD NTS 2025 (sem desconto)'!H25</f>
        <v>272305906.69999999</v>
      </c>
      <c r="D3" s="324">
        <f ca="1">'CWD NTS 2025 (Final)'!E247</f>
        <v>5.3173824993322016</v>
      </c>
      <c r="E3" s="325">
        <f t="shared" ca="1" si="0"/>
        <v>1447954662.7513673</v>
      </c>
      <c r="L3" s="71" t="s">
        <v>69</v>
      </c>
      <c r="M3" s="70">
        <f t="shared" ref="M3:M7" ca="1" si="1">IFERROR($D$2+$C35," ")</f>
        <v>8.6238862514843095</v>
      </c>
      <c r="N3" s="70">
        <f t="shared" ref="N3:N7" ca="1" si="2">IFERROR($D$3+$C35," ")</f>
        <v>8.0037590227201854</v>
      </c>
      <c r="O3" s="70">
        <f t="shared" ref="O3:O7" ca="1" si="3">IFERROR($D$4+$C35," ")</f>
        <v>8.1425044443575203</v>
      </c>
      <c r="P3" s="70">
        <f t="shared" ref="P3:P7" ca="1" si="4">IFERROR($D$5+$C35," ")</f>
        <v>3.2350675086814804</v>
      </c>
      <c r="Q3" s="70" t="str">
        <f t="shared" ref="Q3:Q7" ca="1" si="5">IFERROR($D$6+$C35," ")</f>
        <v xml:space="preserve"> </v>
      </c>
      <c r="R3" s="70" t="str">
        <f t="shared" ref="R3:R7" ca="1" si="6">IFERROR($D$7+$C35," ")</f>
        <v xml:space="preserve"> </v>
      </c>
      <c r="S3" s="70">
        <f t="shared" ref="S3:S7" ca="1" si="7">IFERROR($D$8+$C35," ")</f>
        <v>8.5507725979634195</v>
      </c>
      <c r="T3" s="70">
        <f t="shared" ref="T3:T7" ca="1" si="8">IFERROR($D$9+$C35," ")</f>
        <v>3.1968091107104279</v>
      </c>
      <c r="U3" s="70">
        <f t="shared" ref="U3:U7" ca="1" si="9">IFERROR($D$10+$C35," ")</f>
        <v>3.2350675086814804</v>
      </c>
      <c r="V3" s="70">
        <f t="shared" ref="V3:V7" ca="1" si="10">IFERROR($D$11+$C35," ")</f>
        <v>3.2224903184323979</v>
      </c>
    </row>
    <row r="4" spans="1:22" x14ac:dyDescent="0.3">
      <c r="A4" s="319" t="str">
        <f>'CWD NTS 2025 (Final)'!A248</f>
        <v>TEN3</v>
      </c>
      <c r="B4" s="322" t="str">
        <f>'CWD NTS 2025 (Final)'!B248</f>
        <v>PR-ITABORAÍ</v>
      </c>
      <c r="C4" s="323">
        <f>'CWD NTS 2025 (sem desconto)'!H26</f>
        <v>176998839.35499999</v>
      </c>
      <c r="D4" s="324">
        <f ca="1">'CWD NTS 2025 (Final)'!E248</f>
        <v>5.4561279209695375</v>
      </c>
      <c r="E4" s="323">
        <f t="shared" ca="1" si="0"/>
        <v>965728309.38401723</v>
      </c>
      <c r="L4" s="71" t="s">
        <v>268</v>
      </c>
      <c r="M4" s="70">
        <f t="shared" ca="1" si="1"/>
        <v>9.1142208292776257</v>
      </c>
      <c r="N4" s="70">
        <f t="shared" ca="1" si="2"/>
        <v>8.4940936005135015</v>
      </c>
      <c r="O4" s="70">
        <f t="shared" ca="1" si="3"/>
        <v>8.6328390221508364</v>
      </c>
      <c r="P4" s="70">
        <f t="shared" ca="1" si="4"/>
        <v>3.7254020864747961</v>
      </c>
      <c r="Q4" s="70" t="str">
        <f t="shared" ca="1" si="5"/>
        <v xml:space="preserve"> </v>
      </c>
      <c r="R4" s="70" t="str">
        <f t="shared" ca="1" si="6"/>
        <v xml:space="preserve"> </v>
      </c>
      <c r="S4" s="70">
        <f t="shared" ca="1" si="7"/>
        <v>9.0411071757567356</v>
      </c>
      <c r="T4" s="70">
        <f t="shared" ca="1" si="8"/>
        <v>3.6871436885037436</v>
      </c>
      <c r="U4" s="70">
        <f t="shared" ca="1" si="9"/>
        <v>3.7254020864747961</v>
      </c>
      <c r="V4" s="70">
        <f t="shared" ca="1" si="10"/>
        <v>3.7128248962257135</v>
      </c>
    </row>
    <row r="5" spans="1:22" ht="24" x14ac:dyDescent="0.3">
      <c r="A5" s="319" t="str">
        <f>'CWD NTS 2025 (Final)'!A249</f>
        <v>TEN4</v>
      </c>
      <c r="B5" s="322" t="str">
        <f>'CWD NTS 2025 (Final)'!B249</f>
        <v>PR-GASPAJ (INTERCONEXÃO)</v>
      </c>
      <c r="C5" s="323">
        <f>'CWD NTS 2025 (sem desconto)'!H27</f>
        <v>4561123.937225</v>
      </c>
      <c r="D5" s="324">
        <f ca="1">'CWD NTS 2025 (Final)'!E249</f>
        <v>0.54869098529349725</v>
      </c>
      <c r="E5" s="323">
        <f t="shared" ca="1" si="0"/>
        <v>2502647.5871617408</v>
      </c>
      <c r="L5" s="135" t="str">
        <f>B28</f>
        <v>PE-GUARAREMA (INTERCONEXÃO)</v>
      </c>
      <c r="M5" s="70" t="str">
        <f t="shared" ca="1" si="1"/>
        <v xml:space="preserve"> </v>
      </c>
      <c r="N5" s="70" t="str">
        <f t="shared" ca="1" si="2"/>
        <v xml:space="preserve"> </v>
      </c>
      <c r="O5" s="70" t="str">
        <f t="shared" ca="1" si="3"/>
        <v xml:space="preserve"> </v>
      </c>
      <c r="P5" s="70" t="str">
        <f t="shared" ca="1" si="4"/>
        <v xml:space="preserve"> </v>
      </c>
      <c r="Q5" s="70" t="str">
        <f t="shared" si="5"/>
        <v xml:space="preserve"> </v>
      </c>
      <c r="R5" s="70" t="str">
        <f t="shared" si="6"/>
        <v xml:space="preserve"> </v>
      </c>
      <c r="S5" s="70" t="str">
        <f t="shared" ca="1" si="7"/>
        <v xml:space="preserve"> </v>
      </c>
      <c r="T5" s="70" t="str">
        <f t="shared" ca="1" si="8"/>
        <v xml:space="preserve"> </v>
      </c>
      <c r="U5" s="70" t="str">
        <f t="shared" ca="1" si="9"/>
        <v xml:space="preserve"> </v>
      </c>
      <c r="V5" s="70" t="str">
        <f t="shared" ca="1" si="10"/>
        <v xml:space="preserve"> </v>
      </c>
    </row>
    <row r="6" spans="1:22" x14ac:dyDescent="0.3">
      <c r="A6" s="319" t="str">
        <f>'CWD NTS 2025 (Final)'!A250</f>
        <v>TEN5</v>
      </c>
      <c r="B6" s="322" t="str">
        <f>'CWD NTS 2025 (Final)'!B250</f>
        <v>PR-REDUC</v>
      </c>
      <c r="C6" s="323">
        <f>'CWD NTS 2025 (sem desconto)'!H28</f>
        <v>0</v>
      </c>
      <c r="D6" s="324" t="str">
        <f>'CWD NTS 2025 (Final)'!E250</f>
        <v xml:space="preserve"> </v>
      </c>
      <c r="E6" s="323" t="str">
        <f t="shared" si="0"/>
        <v xml:space="preserve"> </v>
      </c>
      <c r="L6" s="135" t="str">
        <f t="shared" ref="L6:L7" si="11">B29</f>
        <v>PE-REPLAN (INTERCONEXÃO)</v>
      </c>
      <c r="M6" s="70">
        <f t="shared" ca="1" si="1"/>
        <v>6.2259910291576874</v>
      </c>
      <c r="N6" s="70">
        <f t="shared" ca="1" si="2"/>
        <v>5.6058638003935624</v>
      </c>
      <c r="O6" s="70">
        <f t="shared" ca="1" si="3"/>
        <v>5.7446092220308982</v>
      </c>
      <c r="P6" s="70">
        <f t="shared" ca="1" si="4"/>
        <v>0.83717228635485785</v>
      </c>
      <c r="Q6" s="70" t="str">
        <f t="shared" ca="1" si="5"/>
        <v xml:space="preserve"> </v>
      </c>
      <c r="R6" s="70" t="str">
        <f t="shared" ca="1" si="6"/>
        <v xml:space="preserve"> </v>
      </c>
      <c r="S6" s="70">
        <f t="shared" ca="1" si="7"/>
        <v>6.1528773756367974</v>
      </c>
      <c r="T6" s="70">
        <f t="shared" ca="1" si="8"/>
        <v>0.79891388838380517</v>
      </c>
      <c r="U6" s="70">
        <f t="shared" ca="1" si="9"/>
        <v>0.83717228635485785</v>
      </c>
      <c r="V6" s="70">
        <f t="shared" ca="1" si="10"/>
        <v>0.82459509610577508</v>
      </c>
    </row>
    <row r="7" spans="1:22" x14ac:dyDescent="0.3">
      <c r="A7" s="319" t="str">
        <f>'CWD NTS 2025 (Final)'!A251</f>
        <v>TEN6</v>
      </c>
      <c r="B7" s="322" t="str">
        <f>'CWD NTS 2025 (Final)'!B251</f>
        <v>PR-RPBC</v>
      </c>
      <c r="C7" s="323">
        <f>'CWD NTS 2025 (sem desconto)'!H29</f>
        <v>0</v>
      </c>
      <c r="D7" s="324" t="str">
        <f>'CWD NTS 2025 (Final)'!E251</f>
        <v xml:space="preserve"> </v>
      </c>
      <c r="E7" s="323" t="str">
        <f t="shared" si="0"/>
        <v xml:space="preserve"> </v>
      </c>
      <c r="L7" s="135" t="str">
        <f t="shared" si="11"/>
        <v>PE-TECAB (INTERCONEXÃO)</v>
      </c>
      <c r="M7" s="70">
        <f t="shared" ca="1" si="1"/>
        <v>6.1869786364485773</v>
      </c>
      <c r="N7" s="70">
        <f t="shared" ca="1" si="2"/>
        <v>5.5668514076844522</v>
      </c>
      <c r="O7" s="70">
        <f t="shared" ca="1" si="3"/>
        <v>5.705596829321788</v>
      </c>
      <c r="P7" s="70">
        <f t="shared" ca="1" si="4"/>
        <v>0.79815989364574813</v>
      </c>
      <c r="Q7" s="70" t="str">
        <f t="shared" ca="1" si="5"/>
        <v xml:space="preserve"> </v>
      </c>
      <c r="R7" s="70" t="str">
        <f t="shared" ca="1" si="6"/>
        <v xml:space="preserve"> </v>
      </c>
      <c r="S7" s="70">
        <f t="shared" ca="1" si="7"/>
        <v>6.1138649829276872</v>
      </c>
      <c r="T7" s="70">
        <f t="shared" ca="1" si="8"/>
        <v>0.75990149567469545</v>
      </c>
      <c r="U7" s="70">
        <f t="shared" ca="1" si="9"/>
        <v>0.79815989364574813</v>
      </c>
      <c r="V7" s="70">
        <f t="shared" ca="1" si="10"/>
        <v>0.78558270339666536</v>
      </c>
    </row>
    <row r="8" spans="1:22" x14ac:dyDescent="0.3">
      <c r="A8" s="319" t="str">
        <f>'CWD NTS 2025 (Final)'!A252</f>
        <v>TEN7</v>
      </c>
      <c r="B8" s="322" t="str">
        <f>'CWD NTS 2025 (Final)'!B252</f>
        <v>PR-TECAB</v>
      </c>
      <c r="C8" s="323">
        <f>'CWD NTS 2025 (sem desconto)'!H30</f>
        <v>202255212.20142499</v>
      </c>
      <c r="D8" s="324">
        <f ca="1">'CWD NTS 2025 (Final)'!E252</f>
        <v>5.8643960745754367</v>
      </c>
      <c r="E8" s="323">
        <f t="shared" ca="1" si="0"/>
        <v>1186104672.4964585</v>
      </c>
      <c r="L8" s="64"/>
    </row>
    <row r="9" spans="1:22" x14ac:dyDescent="0.3">
      <c r="A9" s="319" t="str">
        <f>'CWD NTS 2025 (Final)'!A253</f>
        <v>TEN8</v>
      </c>
      <c r="B9" s="322" t="str">
        <f>'CWD NTS 2025 (Final)'!B253</f>
        <v>PR-GUARAREMA (INTERCONEXÃO)</v>
      </c>
      <c r="C9" s="323">
        <f>'CWD NTS 2025 (sem desconto)'!H31</f>
        <v>81691772.010000005</v>
      </c>
      <c r="D9" s="324">
        <f ca="1">'CWD NTS 2025 (Final)'!E253</f>
        <v>0.51043258732244456</v>
      </c>
      <c r="E9" s="323">
        <f t="shared" ca="1" si="0"/>
        <v>41698142.550019562</v>
      </c>
      <c r="L9" s="64"/>
    </row>
    <row r="10" spans="1:22" x14ac:dyDescent="0.3">
      <c r="A10" s="319" t="str">
        <f>'CWD NTS 2025 (Final)'!A254</f>
        <v>TEN9</v>
      </c>
      <c r="B10" s="322" t="str">
        <f>'CWD NTS 2025 (Final)'!B254</f>
        <v>PR-REPLAN (INTERCONEXÃO)</v>
      </c>
      <c r="C10" s="323">
        <f>'CWD NTS 2025 (sem desconto)'!H32</f>
        <v>2723059.0670000003</v>
      </c>
      <c r="D10" s="324">
        <f ca="1">'CWD NTS 2025 (Final)'!E254</f>
        <v>0.54869098529349725</v>
      </c>
      <c r="E10" s="323">
        <f t="shared" ca="1" si="0"/>
        <v>1494117.9624846214</v>
      </c>
      <c r="L10" s="64"/>
    </row>
    <row r="11" spans="1:22" x14ac:dyDescent="0.3">
      <c r="A11" s="319" t="str">
        <f>'CWD NTS 2025 (Final)'!A255</f>
        <v>TEN10</v>
      </c>
      <c r="B11" s="322" t="str">
        <f>'CWD NTS 2025 (Final)'!B255</f>
        <v>PR-TECAB (INTERCONEXÃO)</v>
      </c>
      <c r="C11" s="323">
        <f>'CWD NTS 2025 (sem desconto)'!H33</f>
        <v>2723059.0670000003</v>
      </c>
      <c r="D11" s="324">
        <f ca="1">'CWD NTS 2025 (Final)'!E255</f>
        <v>0.53611379504441448</v>
      </c>
      <c r="E11" s="323">
        <f t="shared" ca="1" si="0"/>
        <v>1459869.5305394726</v>
      </c>
      <c r="L11" s="64"/>
    </row>
    <row r="12" spans="1:22" x14ac:dyDescent="0.3">
      <c r="E12" s="68">
        <f ca="1">SUM(E2:E11)</f>
        <v>4793105390.1300249</v>
      </c>
      <c r="L12" s="64"/>
    </row>
    <row r="13" spans="1:22" x14ac:dyDescent="0.3">
      <c r="F13" s="63"/>
      <c r="L13" s="62"/>
    </row>
    <row r="14" spans="1:22" ht="24" x14ac:dyDescent="0.3">
      <c r="A14" s="321" t="s">
        <v>131</v>
      </c>
      <c r="B14" s="321" t="s">
        <v>140</v>
      </c>
      <c r="C14" s="321" t="s">
        <v>262</v>
      </c>
      <c r="D14" s="321" t="s">
        <v>264</v>
      </c>
      <c r="E14" s="321" t="s">
        <v>263</v>
      </c>
      <c r="F14" s="321" t="s">
        <v>265</v>
      </c>
      <c r="G14" s="321" t="s">
        <v>266</v>
      </c>
      <c r="H14" s="321" t="s">
        <v>510</v>
      </c>
      <c r="L14" s="62"/>
    </row>
    <row r="15" spans="1:22" x14ac:dyDescent="0.3">
      <c r="A15" s="323" t="str">
        <f>'CWD NTS 2025 (Final)'!H246</f>
        <v>TEX1</v>
      </c>
      <c r="B15" s="323" t="str">
        <f>'CWD NTS 2025 (Final)'!I246</f>
        <v>NTS MG 1</v>
      </c>
      <c r="C15" s="323">
        <f>'CWD NTS 2025 (sem desconto)'!H41</f>
        <v>8264484.2683449984</v>
      </c>
      <c r="D15" s="323"/>
      <c r="E15" s="326">
        <f ca="1">'CWD NTS 2025 (Final)'!L246</f>
        <v>3.057505485394842</v>
      </c>
      <c r="F15" s="332">
        <f ca="1">IFERROR(C15*E15," ")</f>
        <v>25268705.984424211</v>
      </c>
      <c r="G15" s="335"/>
      <c r="H15" s="341" t="str">
        <f>IFERROR(G15/D15," ")</f>
        <v xml:space="preserve"> </v>
      </c>
      <c r="I15" s="69"/>
      <c r="J15" s="69"/>
      <c r="L15" s="62"/>
    </row>
    <row r="16" spans="1:22" x14ac:dyDescent="0.3">
      <c r="A16" s="323" t="str">
        <f>'CWD NTS 2025 (Final)'!H247</f>
        <v>TEX2</v>
      </c>
      <c r="B16" s="323" t="str">
        <f>'CWD NTS 2025 (Final)'!I247</f>
        <v>NTS MG 2</v>
      </c>
      <c r="C16" s="323">
        <f>'CWD NTS 2025 (sem desconto)'!H42</f>
        <v>22846465.572130002</v>
      </c>
      <c r="D16" s="323"/>
      <c r="E16" s="326">
        <f ca="1">'CWD NTS 2025 (Final)'!L247</f>
        <v>3.2605573107892547</v>
      </c>
      <c r="F16" s="332">
        <f t="shared" ref="F16:F30" ca="1" si="12">IFERROR(C16*E16," ")</f>
        <v>74492210.346903488</v>
      </c>
      <c r="G16" s="344"/>
      <c r="H16" s="342" t="str">
        <f t="shared" ref="H16:H30" si="13">IFERROR(G16/D16," ")</f>
        <v xml:space="preserve"> </v>
      </c>
      <c r="I16" s="69"/>
      <c r="J16" s="69"/>
      <c r="L16" s="62"/>
    </row>
    <row r="17" spans="1:12" x14ac:dyDescent="0.3">
      <c r="A17" s="323" t="str">
        <f>'CWD NTS 2025 (Final)'!H248</f>
        <v>TEX3</v>
      </c>
      <c r="B17" s="323" t="str">
        <f>'CWD NTS 2025 (Final)'!I248</f>
        <v>NTS MG 3</v>
      </c>
      <c r="C17" s="323">
        <f>'CWD NTS 2025 (sem desconto)'!H43</f>
        <v>37265063.331895001</v>
      </c>
      <c r="D17" s="323"/>
      <c r="E17" s="326">
        <f ca="1">'CWD NTS 2025 (Final)'!L248</f>
        <v>3.5054073347971331</v>
      </c>
      <c r="F17" s="332">
        <f ca="1">IFERROR(C17*E17," ")</f>
        <v>130629226.33530442</v>
      </c>
      <c r="G17" s="337"/>
      <c r="H17" s="343" t="str">
        <f t="shared" si="13"/>
        <v xml:space="preserve"> </v>
      </c>
      <c r="I17" s="69"/>
      <c r="J17" s="69"/>
      <c r="L17" s="62"/>
    </row>
    <row r="18" spans="1:12" x14ac:dyDescent="0.3">
      <c r="A18" s="328" t="str">
        <f>'CWD NTS 2025 (Final)'!H249</f>
        <v>TEX4</v>
      </c>
      <c r="B18" s="328" t="str">
        <f>'CWD NTS 2025 (Final)'!I249</f>
        <v>NTS MG 4</v>
      </c>
      <c r="C18" s="328">
        <f>'CWD NTS 2025 (sem desconto)'!H44</f>
        <v>4561123.937225</v>
      </c>
      <c r="D18" s="328">
        <f>SUM(C15:C18)</f>
        <v>72937137.109595001</v>
      </c>
      <c r="E18" s="329">
        <f ca="1">'CWD NTS 2025 (Final)'!L249</f>
        <v>3.5874189850066927</v>
      </c>
      <c r="F18" s="328">
        <f ca="1">IFERROR(C18*E18," ")</f>
        <v>16362662.605369439</v>
      </c>
      <c r="G18" s="340">
        <f ca="1">SUM(F15:F18)</f>
        <v>246752805.27200156</v>
      </c>
      <c r="H18" s="338">
        <f t="shared" ca="1" si="13"/>
        <v>3.3830887124241245</v>
      </c>
      <c r="I18"/>
      <c r="J18"/>
      <c r="L18" s="62"/>
    </row>
    <row r="19" spans="1:12" x14ac:dyDescent="0.3">
      <c r="A19" s="323" t="str">
        <f>'CWD NTS 2025 (Final)'!H250</f>
        <v>TEX5</v>
      </c>
      <c r="B19" s="323" t="str">
        <f>'CWD NTS 2025 (Final)'!I250</f>
        <v>NTS RJ 1</v>
      </c>
      <c r="C19" s="323">
        <f>'CWD NTS 2025 (sem desconto)'!H45</f>
        <v>242256949.89565501</v>
      </c>
      <c r="D19" s="323"/>
      <c r="E19" s="326">
        <f ca="1">'CWD NTS 2025 (Final)'!L250</f>
        <v>2.682285149627337</v>
      </c>
      <c r="F19" s="332">
        <f t="shared" ca="1" si="12"/>
        <v>649802219.09912932</v>
      </c>
      <c r="G19" s="335"/>
      <c r="H19" s="341" t="str">
        <f t="shared" si="13"/>
        <v xml:space="preserve"> </v>
      </c>
      <c r="I19"/>
      <c r="J19"/>
      <c r="L19" s="62"/>
    </row>
    <row r="20" spans="1:12" x14ac:dyDescent="0.3">
      <c r="A20" s="323" t="str">
        <f>'CWD NTS 2025 (Final)'!H251</f>
        <v>TEX6</v>
      </c>
      <c r="B20" s="323" t="str">
        <f>'CWD NTS 2025 (Final)'!I251</f>
        <v>NTS RJ 2</v>
      </c>
      <c r="C20" s="323">
        <f>'CWD NTS 2025 (sem desconto)'!H46</f>
        <v>114450172.58600999</v>
      </c>
      <c r="D20" s="323"/>
      <c r="E20" s="326">
        <f ca="1">'CWD NTS 2025 (Final)'!L251</f>
        <v>2.6806246571974497</v>
      </c>
      <c r="F20" s="332">
        <f t="shared" ca="1" si="12"/>
        <v>306797954.654562</v>
      </c>
      <c r="G20" s="336"/>
      <c r="H20" s="342" t="str">
        <f t="shared" si="13"/>
        <v xml:space="preserve"> </v>
      </c>
      <c r="I20"/>
      <c r="J20"/>
      <c r="L20" s="62"/>
    </row>
    <row r="21" spans="1:12" x14ac:dyDescent="0.3">
      <c r="A21" s="323" t="str">
        <f>'CWD NTS 2025 (Final)'!H252</f>
        <v>TEX7</v>
      </c>
      <c r="B21" s="323" t="str">
        <f>'CWD NTS 2025 (Final)'!I252</f>
        <v>NTS RJ 3</v>
      </c>
      <c r="C21" s="323">
        <f>'CWD NTS 2025 (sem desconto)'!H47</f>
        <v>23336616.204189997</v>
      </c>
      <c r="D21" s="331"/>
      <c r="E21" s="326">
        <f ca="1">'CWD NTS 2025 (Final)'!L252</f>
        <v>2.7342362839034764</v>
      </c>
      <c r="F21" s="332">
        <f t="shared" ca="1" si="12"/>
        <v>63807822.769026108</v>
      </c>
      <c r="G21" s="339"/>
      <c r="H21" s="342" t="str">
        <f t="shared" si="13"/>
        <v xml:space="preserve"> </v>
      </c>
      <c r="I21"/>
      <c r="J21"/>
      <c r="L21" s="62"/>
    </row>
    <row r="22" spans="1:12" x14ac:dyDescent="0.3">
      <c r="A22" s="323" t="str">
        <f>'CWD NTS 2025 (Final)'!H253</f>
        <v>TEX8</v>
      </c>
      <c r="B22" s="323" t="str">
        <f>'CWD NTS 2025 (Final)'!I253</f>
        <v>NTS RJ 4</v>
      </c>
      <c r="C22" s="323">
        <f>'CWD NTS 2025 (sem desconto)'!H48</f>
        <v>4397740.3932050001</v>
      </c>
      <c r="D22" s="323"/>
      <c r="E22" s="326">
        <f ca="1">'CWD NTS 2025 (Final)'!L253</f>
        <v>2.8036722936178604</v>
      </c>
      <c r="F22" s="332">
        <f t="shared" ca="1" si="12"/>
        <v>12329822.894952973</v>
      </c>
      <c r="G22" s="337"/>
      <c r="H22" s="343" t="str">
        <f t="shared" si="13"/>
        <v xml:space="preserve"> </v>
      </c>
      <c r="I22"/>
      <c r="J22"/>
      <c r="L22" s="62"/>
    </row>
    <row r="23" spans="1:12" x14ac:dyDescent="0.3">
      <c r="A23" s="328" t="str">
        <f>'CWD NTS 2025 (Final)'!H254</f>
        <v>TEX9</v>
      </c>
      <c r="B23" s="328" t="str">
        <f>'CWD NTS 2025 (Final)'!I254</f>
        <v>NTS RJ 5</v>
      </c>
      <c r="C23" s="328">
        <f>'CWD NTS 2025 (sem desconto)'!H49</f>
        <v>28973348.472879995</v>
      </c>
      <c r="D23" s="328">
        <f>SUM(C19:C23)</f>
        <v>413414827.55194002</v>
      </c>
      <c r="E23" s="329">
        <f ca="1">'CWD NTS 2025 (Final)'!L254</f>
        <v>2.6869544544091291</v>
      </c>
      <c r="F23" s="328">
        <f t="shared" ca="1" si="12"/>
        <v>77850067.738352835</v>
      </c>
      <c r="G23" s="340">
        <f ca="1">SUM(F19:F23)</f>
        <v>1110587887.1560233</v>
      </c>
      <c r="H23" s="338">
        <f t="shared" ca="1" si="13"/>
        <v>2.6863765233879833</v>
      </c>
      <c r="I23"/>
      <c r="J23"/>
    </row>
    <row r="24" spans="1:12" x14ac:dyDescent="0.3">
      <c r="A24" s="323" t="str">
        <f>'CWD NTS 2025 (Final)'!H255</f>
        <v>TEX10</v>
      </c>
      <c r="B24" s="323" t="str">
        <f>'CWD NTS 2025 (Final)'!I255</f>
        <v>NTS SP 1</v>
      </c>
      <c r="C24" s="323">
        <f>'CWD NTS 2025 (sem desconto)'!H50</f>
        <v>16842120.329395</v>
      </c>
      <c r="D24" s="323"/>
      <c r="E24" s="326">
        <f ca="1">'CWD NTS 2025 (Final)'!L255</f>
        <v>3.0091653519055992</v>
      </c>
      <c r="F24" s="332">
        <f t="shared" ca="1" si="12"/>
        <v>50680724.947840348</v>
      </c>
      <c r="G24" s="335"/>
      <c r="H24" s="341" t="str">
        <f t="shared" si="13"/>
        <v xml:space="preserve"> </v>
      </c>
      <c r="I24"/>
      <c r="J24"/>
    </row>
    <row r="25" spans="1:12" x14ac:dyDescent="0.3">
      <c r="A25" s="323" t="str">
        <f>'CWD NTS 2025 (Final)'!H256</f>
        <v>TEX11</v>
      </c>
      <c r="B25" s="323" t="str">
        <f>'CWD NTS 2025 (Final)'!I256</f>
        <v>NTS SP 2</v>
      </c>
      <c r="C25" s="323">
        <f>'CWD NTS 2025 (sem desconto)'!H51</f>
        <v>40464657.735619992</v>
      </c>
      <c r="D25" s="323"/>
      <c r="E25" s="326">
        <f ca="1">'CWD NTS 2025 (Final)'!L256</f>
        <v>2.9888645430594178</v>
      </c>
      <c r="F25" s="332">
        <f t="shared" ca="1" si="12"/>
        <v>120943380.75302958</v>
      </c>
      <c r="G25" s="336"/>
      <c r="H25" s="342" t="str">
        <f t="shared" si="13"/>
        <v xml:space="preserve"> </v>
      </c>
      <c r="I25"/>
      <c r="J25"/>
    </row>
    <row r="26" spans="1:12" x14ac:dyDescent="0.3">
      <c r="A26" s="323" t="str">
        <f>'CWD NTS 2025 (Final)'!H257</f>
        <v>TEX12</v>
      </c>
      <c r="B26" s="323" t="str">
        <f>'CWD NTS 2025 (Final)'!I257</f>
        <v>NTS SP 3</v>
      </c>
      <c r="C26" s="323">
        <f>'CWD NTS 2025 (sem desconto)'!H52</f>
        <v>108500288.52461499</v>
      </c>
      <c r="D26" s="331"/>
      <c r="E26" s="326">
        <f ca="1">'CWD NTS 2025 (Final)'!L257</f>
        <v>3.2231508717660198</v>
      </c>
      <c r="F26" s="332">
        <f t="shared" ca="1" si="12"/>
        <v>349712799.54497749</v>
      </c>
      <c r="G26" s="345"/>
      <c r="H26" s="343" t="str">
        <f t="shared" si="13"/>
        <v xml:space="preserve"> </v>
      </c>
      <c r="I26"/>
      <c r="J26"/>
    </row>
    <row r="27" spans="1:12" x14ac:dyDescent="0.3">
      <c r="A27" s="328" t="str">
        <f>'CWD NTS 2025 (Final)'!H258</f>
        <v>TEX13</v>
      </c>
      <c r="B27" s="328" t="str">
        <f>'CWD NTS 2025 (Final)'!I258</f>
        <v>NTS SP 4</v>
      </c>
      <c r="C27" s="328">
        <f>'CWD NTS 2025 (sem desconto)'!H53</f>
        <v>44671783.994134992</v>
      </c>
      <c r="D27" s="328">
        <f>SUM(C24:C27)</f>
        <v>210478850.58376497</v>
      </c>
      <c r="E27" s="329">
        <f ca="1">'CWD NTS 2025 (Final)'!L258</f>
        <v>3.2972400651564993</v>
      </c>
      <c r="F27" s="328">
        <f t="shared" ca="1" si="12"/>
        <v>147293595.96747872</v>
      </c>
      <c r="G27" s="333">
        <f ca="1">SUM(F24:F27)</f>
        <v>668630501.2133261</v>
      </c>
      <c r="H27" s="334">
        <f t="shared" ca="1" si="13"/>
        <v>3.176711101181299</v>
      </c>
      <c r="I27"/>
      <c r="J27"/>
    </row>
    <row r="28" spans="1:12" x14ac:dyDescent="0.3">
      <c r="A28" s="323" t="str">
        <f>'CWD NTS 2025 (Final)'!H259</f>
        <v>TEX14</v>
      </c>
      <c r="B28" s="323" t="str">
        <f>'CWD NTS 2025 (Final)'!I259</f>
        <v>PE-GUARAREMA (INTERCONEXÃO)</v>
      </c>
      <c r="C28" s="323">
        <f>'CWD NTS 2025 (sem desconto)'!H54</f>
        <v>0</v>
      </c>
      <c r="D28" s="323">
        <f>C28</f>
        <v>0</v>
      </c>
      <c r="E28" s="326">
        <f>'CWD NTS 2025 (Final)'!L259</f>
        <v>0</v>
      </c>
      <c r="F28" s="323">
        <f t="shared" si="12"/>
        <v>0</v>
      </c>
      <c r="G28" s="323">
        <f>F28</f>
        <v>0</v>
      </c>
      <c r="H28" s="327" t="str">
        <f t="shared" si="13"/>
        <v xml:space="preserve"> </v>
      </c>
      <c r="I28"/>
      <c r="J28"/>
    </row>
    <row r="29" spans="1:12" x14ac:dyDescent="0.3">
      <c r="A29" s="328" t="str">
        <f>'CWD NTS 2025 (Final)'!H260</f>
        <v>TEX15</v>
      </c>
      <c r="B29" s="328" t="str">
        <f>'CWD NTS 2025 (Final)'!I260</f>
        <v>PE-REPLAN (INTERCONEXÃO)</v>
      </c>
      <c r="C29" s="328">
        <f>'CWD NTS 2025 (sem desconto)'!H55</f>
        <v>95456835.593685001</v>
      </c>
      <c r="D29" s="328">
        <f t="shared" ref="D29:D30" si="14">C29</f>
        <v>95456835.593685001</v>
      </c>
      <c r="E29" s="329">
        <f ca="1">'CWD NTS 2025 (Final)'!L260</f>
        <v>0.28848130106136055</v>
      </c>
      <c r="F29" s="328">
        <f t="shared" ca="1" si="12"/>
        <v>27537512.127266642</v>
      </c>
      <c r="G29" s="328">
        <f t="shared" ref="G29:G30" ca="1" si="15">F29</f>
        <v>27537512.127266642</v>
      </c>
      <c r="H29" s="330">
        <f t="shared" ca="1" si="13"/>
        <v>0.28848130106136055</v>
      </c>
      <c r="I29"/>
      <c r="J29"/>
    </row>
    <row r="30" spans="1:12" x14ac:dyDescent="0.3">
      <c r="A30" s="323" t="str">
        <f>'CWD NTS 2025 (Final)'!H261</f>
        <v>TEX16</v>
      </c>
      <c r="B30" s="323" t="str">
        <f>'CWD NTS 2025 (Final)'!I261</f>
        <v>PE-TECAB (INTERCONEXÃO)</v>
      </c>
      <c r="C30" s="323">
        <f>'CWD NTS 2025 (sem desconto)'!H56</f>
        <v>2723059.0670000003</v>
      </c>
      <c r="D30" s="323">
        <f t="shared" si="14"/>
        <v>2723059.0670000003</v>
      </c>
      <c r="E30" s="326">
        <f ca="1">'CWD NTS 2025 (Final)'!L261</f>
        <v>0.24946890835225088</v>
      </c>
      <c r="F30" s="323">
        <f t="shared" ca="1" si="12"/>
        <v>679318.57282318885</v>
      </c>
      <c r="G30" s="323">
        <f t="shared" ca="1" si="15"/>
        <v>679318.57282318885</v>
      </c>
      <c r="H30" s="327">
        <f t="shared" ca="1" si="13"/>
        <v>0.24946890835225088</v>
      </c>
      <c r="I30" s="69"/>
      <c r="J30" s="69"/>
    </row>
    <row r="31" spans="1:12" x14ac:dyDescent="0.3">
      <c r="C31" s="68">
        <f>SUM(C15:C30)</f>
        <v>795010709.905985</v>
      </c>
      <c r="D31" s="68">
        <f>SUM(D15:D30)</f>
        <v>795010709.90598512</v>
      </c>
      <c r="F31" s="68">
        <f ca="1">SUM(F15:F30)</f>
        <v>2054188024.3414409</v>
      </c>
      <c r="G31" s="68">
        <f ca="1">SUM(G15:G30)</f>
        <v>2054188024.3414407</v>
      </c>
    </row>
    <row r="32" spans="1:12" x14ac:dyDescent="0.3">
      <c r="C32" s="68"/>
      <c r="D32" s="68"/>
      <c r="F32" s="68"/>
      <c r="G32" s="68"/>
    </row>
    <row r="33" spans="2:3" x14ac:dyDescent="0.3">
      <c r="C33" s="66" t="s">
        <v>267</v>
      </c>
    </row>
    <row r="34" spans="2:3" x14ac:dyDescent="0.3">
      <c r="B34" s="71" t="s">
        <v>58</v>
      </c>
      <c r="C34" s="69">
        <f ca="1">H18</f>
        <v>3.3830887124241245</v>
      </c>
    </row>
    <row r="35" spans="2:3" x14ac:dyDescent="0.3">
      <c r="B35" s="71" t="s">
        <v>69</v>
      </c>
      <c r="C35" s="69">
        <f ca="1">H23</f>
        <v>2.6863765233879833</v>
      </c>
    </row>
    <row r="36" spans="2:3" x14ac:dyDescent="0.3">
      <c r="B36" s="71" t="s">
        <v>268</v>
      </c>
      <c r="C36" s="69">
        <f ca="1">H27</f>
        <v>3.176711101181299</v>
      </c>
    </row>
    <row r="37" spans="2:3" x14ac:dyDescent="0.3">
      <c r="B37" s="135" t="s">
        <v>279</v>
      </c>
      <c r="C37" s="69" t="str">
        <f>H28</f>
        <v xml:space="preserve"> </v>
      </c>
    </row>
    <row r="38" spans="2:3" x14ac:dyDescent="0.3">
      <c r="B38" s="135" t="s">
        <v>278</v>
      </c>
      <c r="C38" s="69">
        <f t="shared" ref="C38:C39" ca="1" si="16">H29</f>
        <v>0.28848130106136055</v>
      </c>
    </row>
    <row r="39" spans="2:3" x14ac:dyDescent="0.3">
      <c r="B39" s="135" t="s">
        <v>277</v>
      </c>
      <c r="C39" s="69">
        <f t="shared" ca="1" si="16"/>
        <v>0.24946890835225088</v>
      </c>
    </row>
  </sheetData>
  <pageMargins left="0.511811024" right="0.511811024" top="0.78740157499999996" bottom="0.78740157499999996" header="0.31496062000000002" footer="0.31496062000000002"/>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7">
    <tabColor theme="4" tint="0.79998168889431442"/>
  </sheetPr>
  <dimension ref="A2:AA302"/>
  <sheetViews>
    <sheetView showGridLines="0" zoomScale="70" zoomScaleNormal="70" workbookViewId="0">
      <selection activeCell="D4" sqref="D4"/>
    </sheetView>
  </sheetViews>
  <sheetFormatPr defaultColWidth="8.77734375" defaultRowHeight="14.4" x14ac:dyDescent="0.3"/>
  <cols>
    <col min="2" max="2" width="33" customWidth="1"/>
    <col min="3" max="3" width="20.5546875" bestFit="1" customWidth="1"/>
    <col min="4" max="4" width="26" bestFit="1" customWidth="1"/>
    <col min="5" max="5" width="25.21875" bestFit="1" customWidth="1"/>
    <col min="6" max="6" width="21.77734375" bestFit="1" customWidth="1"/>
    <col min="7" max="7" width="23.21875" customWidth="1"/>
    <col min="8" max="8" width="16.77734375" bestFit="1" customWidth="1"/>
    <col min="9" max="9" width="35.44140625" bestFit="1" customWidth="1"/>
    <col min="10" max="10" width="22" bestFit="1" customWidth="1"/>
    <col min="11" max="11" width="21.5546875" bestFit="1" customWidth="1"/>
    <col min="12" max="12" width="18.77734375" bestFit="1" customWidth="1"/>
    <col min="13" max="13" width="10.44140625" customWidth="1"/>
    <col min="14" max="14" width="10" customWidth="1"/>
    <col min="15" max="15" width="33.21875" bestFit="1" customWidth="1"/>
    <col min="16" max="16" width="13.77734375" bestFit="1" customWidth="1"/>
    <col min="17" max="17" width="8.77734375" customWidth="1"/>
    <col min="18" max="18" width="12.21875" bestFit="1" customWidth="1"/>
    <col min="19" max="19" width="23.44140625" bestFit="1" customWidth="1"/>
    <col min="20" max="20" width="27.44140625" bestFit="1" customWidth="1"/>
    <col min="21" max="27" width="9.21875" bestFit="1" customWidth="1"/>
  </cols>
  <sheetData>
    <row r="2" spans="1:9" x14ac:dyDescent="0.3">
      <c r="B2" s="93" t="s">
        <v>108</v>
      </c>
      <c r="G2" s="94" t="s">
        <v>109</v>
      </c>
    </row>
    <row r="3" spans="1:9" ht="15" thickBot="1" x14ac:dyDescent="0.35">
      <c r="D3" s="265" t="s">
        <v>507</v>
      </c>
      <c r="G3" s="209">
        <v>2025</v>
      </c>
    </row>
    <row r="4" spans="1:9" ht="16.2" thickBot="1" x14ac:dyDescent="0.35">
      <c r="A4" s="224"/>
      <c r="B4" s="225" t="s">
        <v>110</v>
      </c>
      <c r="C4" s="226" t="s">
        <v>280</v>
      </c>
      <c r="D4" s="227">
        <f>(Premissas!E40-Premissas!E37)/1000</f>
        <v>6871.9543162385626</v>
      </c>
      <c r="E4" s="228" t="s">
        <v>111</v>
      </c>
      <c r="F4" s="224"/>
      <c r="G4" s="224"/>
      <c r="H4" s="239"/>
      <c r="I4" s="239"/>
    </row>
    <row r="5" spans="1:9" ht="15.6" x14ac:dyDescent="0.3">
      <c r="A5" s="210">
        <f>HLOOKUP($G$3,Premissas!$B$5:$F$13,9,FALSE)</f>
        <v>0.7</v>
      </c>
      <c r="B5" s="211" t="s">
        <v>112</v>
      </c>
      <c r="C5" s="212" t="s">
        <v>281</v>
      </c>
      <c r="D5" s="213">
        <f>$A$5*$D$4</f>
        <v>4810.3680213669932</v>
      </c>
      <c r="E5" s="214" t="s">
        <v>113</v>
      </c>
      <c r="F5" s="215"/>
      <c r="G5" s="215"/>
      <c r="H5" s="239"/>
    </row>
    <row r="6" spans="1:9" ht="28.8" x14ac:dyDescent="0.3">
      <c r="A6" s="95"/>
      <c r="B6" s="216" t="s">
        <v>114</v>
      </c>
      <c r="C6" s="217" t="s">
        <v>282</v>
      </c>
      <c r="D6" s="218">
        <f>$D$34*Premissas!$F$20</f>
        <v>25100320</v>
      </c>
      <c r="E6" s="216" t="s">
        <v>115</v>
      </c>
      <c r="F6" s="234">
        <f>H34</f>
        <v>936296629.59728003</v>
      </c>
      <c r="G6" s="85" t="s">
        <v>116</v>
      </c>
    </row>
    <row r="7" spans="1:9" ht="16.8" thickBot="1" x14ac:dyDescent="0.35">
      <c r="A7" s="219"/>
      <c r="B7" s="220" t="s">
        <v>117</v>
      </c>
      <c r="C7" s="221" t="s">
        <v>283</v>
      </c>
      <c r="D7" s="222">
        <f>$D$5/$D$6*1000</f>
        <v>0.19164568504971224</v>
      </c>
      <c r="E7" s="223" t="s">
        <v>118</v>
      </c>
      <c r="F7" s="236">
        <f>$D$5/$F$6*1000000</f>
        <v>5.1376538901309816</v>
      </c>
      <c r="G7" s="232" t="s">
        <v>15</v>
      </c>
      <c r="I7" s="239"/>
    </row>
    <row r="8" spans="1:9" ht="15.6" x14ac:dyDescent="0.3">
      <c r="A8" s="210">
        <f>1-A5</f>
        <v>0.30000000000000004</v>
      </c>
      <c r="B8" s="211" t="s">
        <v>119</v>
      </c>
      <c r="C8" s="212" t="s">
        <v>284</v>
      </c>
      <c r="D8" s="213">
        <f>$A$8*$D$4</f>
        <v>2061.586294871569</v>
      </c>
      <c r="E8" s="214" t="s">
        <v>113</v>
      </c>
      <c r="F8" s="235"/>
      <c r="G8" s="233"/>
    </row>
    <row r="9" spans="1:9" ht="28.8" x14ac:dyDescent="0.3">
      <c r="B9" s="216" t="s">
        <v>120</v>
      </c>
      <c r="C9" s="217" t="s">
        <v>285</v>
      </c>
      <c r="D9" s="218">
        <f>$D$57*Premissas!$F$20</f>
        <v>21312715</v>
      </c>
      <c r="E9" s="216" t="s">
        <v>115</v>
      </c>
      <c r="F9" s="234">
        <f>H57</f>
        <v>795010709.905985</v>
      </c>
      <c r="G9" s="85" t="s">
        <v>116</v>
      </c>
    </row>
    <row r="10" spans="1:9" ht="16.8" thickBot="1" x14ac:dyDescent="0.35">
      <c r="A10" s="229"/>
      <c r="B10" s="220" t="s">
        <v>121</v>
      </c>
      <c r="C10" s="221" t="s">
        <v>286</v>
      </c>
      <c r="D10" s="222">
        <f>$D$8/$D$9*1000</f>
        <v>9.6730345940044191E-2</v>
      </c>
      <c r="E10" s="223" t="s">
        <v>118</v>
      </c>
      <c r="F10" s="236">
        <f>$D$8/$F$9*1000000</f>
        <v>2.5931553741148523</v>
      </c>
      <c r="G10" s="232" t="s">
        <v>15</v>
      </c>
    </row>
    <row r="11" spans="1:9" ht="15" thickBot="1" x14ac:dyDescent="0.35">
      <c r="A11" s="224"/>
      <c r="B11" s="224" t="s">
        <v>122</v>
      </c>
      <c r="C11" s="230">
        <f>HLOOKUP($G$3,Premissas!$B$5:$F$8,4,FALSE)</f>
        <v>0.8</v>
      </c>
      <c r="D11" s="224"/>
      <c r="E11" s="224"/>
      <c r="F11" s="231"/>
      <c r="G11" s="224"/>
    </row>
    <row r="13" spans="1:9" s="98" customFormat="1" x14ac:dyDescent="0.3">
      <c r="A13" s="98" t="s">
        <v>123</v>
      </c>
      <c r="B13" s="98" t="s">
        <v>124</v>
      </c>
    </row>
    <row r="14" spans="1:9" x14ac:dyDescent="0.3">
      <c r="I14" s="96"/>
    </row>
    <row r="15" spans="1:9" x14ac:dyDescent="0.3">
      <c r="A15" s="99" t="s">
        <v>125</v>
      </c>
      <c r="B15" s="100" t="s">
        <v>126</v>
      </c>
      <c r="C15" s="101"/>
      <c r="I15" s="96"/>
    </row>
    <row r="16" spans="1:9" ht="15.6" x14ac:dyDescent="0.35">
      <c r="A16" t="s">
        <v>287</v>
      </c>
      <c r="B16" t="s">
        <v>127</v>
      </c>
      <c r="C16" s="47"/>
      <c r="I16" s="96"/>
    </row>
    <row r="17" spans="1:9" ht="15.6" x14ac:dyDescent="0.35">
      <c r="A17" t="s">
        <v>288</v>
      </c>
      <c r="B17" t="s">
        <v>128</v>
      </c>
      <c r="C17" s="47"/>
      <c r="I17" s="96"/>
    </row>
    <row r="18" spans="1:9" ht="15.6" x14ac:dyDescent="0.35">
      <c r="A18" t="s">
        <v>289</v>
      </c>
      <c r="B18" t="s">
        <v>129</v>
      </c>
      <c r="C18" s="47"/>
      <c r="H18">
        <v>37.302179000000002</v>
      </c>
      <c r="I18" s="96"/>
    </row>
    <row r="19" spans="1:9" ht="15.6" x14ac:dyDescent="0.35">
      <c r="A19" t="s">
        <v>290</v>
      </c>
      <c r="B19" t="s">
        <v>130</v>
      </c>
      <c r="C19" s="47"/>
      <c r="H19" s="102">
        <v>3.7302178999999998E-2</v>
      </c>
      <c r="I19" s="96"/>
    </row>
    <row r="20" spans="1:9" x14ac:dyDescent="0.3">
      <c r="C20" s="47"/>
      <c r="H20" s="102"/>
      <c r="I20" s="96"/>
    </row>
    <row r="21" spans="1:9" x14ac:dyDescent="0.3">
      <c r="A21" s="266"/>
      <c r="B21" s="266"/>
      <c r="C21" s="381">
        <f>G3</f>
        <v>2025</v>
      </c>
      <c r="D21" s="382"/>
      <c r="G21" s="380">
        <f>G3</f>
        <v>2025</v>
      </c>
      <c r="H21" s="380"/>
      <c r="I21" s="96"/>
    </row>
    <row r="22" spans="1:9" ht="16.05" customHeight="1" x14ac:dyDescent="0.3">
      <c r="A22" s="267"/>
      <c r="B22" s="267"/>
      <c r="C22" s="383" t="s">
        <v>246</v>
      </c>
      <c r="D22" s="384"/>
      <c r="G22" s="380" t="s">
        <v>247</v>
      </c>
      <c r="H22" s="380"/>
      <c r="I22" s="96"/>
    </row>
    <row r="23" spans="1:9" ht="33.6" x14ac:dyDescent="0.3">
      <c r="A23" s="268" t="s">
        <v>131</v>
      </c>
      <c r="B23" s="268" t="s">
        <v>132</v>
      </c>
      <c r="C23" s="105" t="s">
        <v>291</v>
      </c>
      <c r="D23" s="106" t="s">
        <v>292</v>
      </c>
      <c r="G23" s="105" t="s">
        <v>293</v>
      </c>
      <c r="H23" s="106" t="s">
        <v>294</v>
      </c>
      <c r="I23" s="96"/>
    </row>
    <row r="24" spans="1:9" x14ac:dyDescent="0.3">
      <c r="A24" s="2" t="s">
        <v>248</v>
      </c>
      <c r="B24" s="44" t="str">
        <f>'Oferta x Demanda'!O2</f>
        <v>PR-CARAGUATATUBA</v>
      </c>
      <c r="C24" s="317">
        <f>Oferta!C3</f>
        <v>20000</v>
      </c>
      <c r="D24" s="317">
        <f>'Oferta x Demanda'!C2</f>
        <v>14178</v>
      </c>
      <c r="F24" s="107"/>
      <c r="G24" s="43">
        <f>IFERROR($C24*$H$19*Premissas!$F$20*1000," ")</f>
        <v>272305906.69999999</v>
      </c>
      <c r="H24" s="43">
        <f>IFERROR($D24*$H$19*Premissas!$F$20*1000," ")</f>
        <v>193037657.25962999</v>
      </c>
      <c r="I24" s="96"/>
    </row>
    <row r="25" spans="1:9" x14ac:dyDescent="0.3">
      <c r="A25" s="2" t="s">
        <v>133</v>
      </c>
      <c r="B25" s="44" t="str">
        <f>'Oferta x Demanda'!O3</f>
        <v>PR-GNLBGB</v>
      </c>
      <c r="C25" s="317">
        <f>Oferta!C4</f>
        <v>20000</v>
      </c>
      <c r="D25" s="317">
        <f>'Oferta x Demanda'!C3</f>
        <v>20000</v>
      </c>
      <c r="F25" s="107"/>
      <c r="G25" s="43">
        <f>IFERROR($C25*$H$19*Premissas!$F$20*1000," ")</f>
        <v>272305906.69999999</v>
      </c>
      <c r="H25" s="43">
        <f>IFERROR($D25*$H$19*Premissas!$F$20*1000," ")</f>
        <v>272305906.69999999</v>
      </c>
      <c r="I25" s="96"/>
    </row>
    <row r="26" spans="1:9" x14ac:dyDescent="0.3">
      <c r="A26" s="2" t="s">
        <v>134</v>
      </c>
      <c r="B26" s="44" t="str">
        <f>'Oferta x Demanda'!O4</f>
        <v>PR-ITABORAÍ</v>
      </c>
      <c r="C26" s="317">
        <f>Oferta!C5</f>
        <v>12000</v>
      </c>
      <c r="D26" s="317">
        <f>'Oferta x Demanda'!C4</f>
        <v>13000</v>
      </c>
      <c r="E26" s="46"/>
      <c r="F26" s="107"/>
      <c r="G26" s="43">
        <f>IFERROR($C26*$H$19*Premissas!$F$20*1000," ")</f>
        <v>163383544.02000001</v>
      </c>
      <c r="H26" s="43">
        <f>IFERROR($D26*$H$19*Premissas!$F$20*1000," ")</f>
        <v>176998839.35499999</v>
      </c>
      <c r="I26" s="96"/>
    </row>
    <row r="27" spans="1:9" x14ac:dyDescent="0.3">
      <c r="A27" s="2" t="s">
        <v>135</v>
      </c>
      <c r="B27" s="44" t="str">
        <f>'Oferta x Demanda'!O5</f>
        <v>PR-GASPAJ (INTERCONEXÃO)</v>
      </c>
      <c r="C27" s="317">
        <f>Oferta!C6</f>
        <v>1250</v>
      </c>
      <c r="D27" s="317">
        <f>'Oferta x Demanda'!C5</f>
        <v>335</v>
      </c>
      <c r="E27" s="46"/>
      <c r="F27" s="107"/>
      <c r="G27" s="43">
        <f>IFERROR($C27*$H$19*Premissas!$F$20*1000," ")</f>
        <v>17019119.168749999</v>
      </c>
      <c r="H27" s="43">
        <f>IFERROR($D27*$H$19*Premissas!$F$20*1000," ")</f>
        <v>4561123.937225</v>
      </c>
      <c r="I27" s="96"/>
    </row>
    <row r="28" spans="1:9" x14ac:dyDescent="0.3">
      <c r="A28" s="2" t="s">
        <v>136</v>
      </c>
      <c r="B28" s="44" t="str">
        <f>'Oferta x Demanda'!O6</f>
        <v>PR-REDUC</v>
      </c>
      <c r="C28" s="317">
        <f>Oferta!C7</f>
        <v>5000</v>
      </c>
      <c r="D28" s="317">
        <f>'Oferta x Demanda'!C6</f>
        <v>0</v>
      </c>
      <c r="E28" s="46"/>
      <c r="F28" s="107"/>
      <c r="G28" s="43">
        <f>IFERROR($C28*$H$19*Premissas!$F$20*1000," ")</f>
        <v>68076476.674999997</v>
      </c>
      <c r="H28" s="43">
        <f>IFERROR($D28*$H$19*Premissas!$F$20*1000," ")</f>
        <v>0</v>
      </c>
      <c r="I28" s="96"/>
    </row>
    <row r="29" spans="1:9" x14ac:dyDescent="0.3">
      <c r="A29" s="2" t="s">
        <v>249</v>
      </c>
      <c r="B29" s="44" t="str">
        <f>'Oferta x Demanda'!O7</f>
        <v>PR-RPBC</v>
      </c>
      <c r="C29" s="317">
        <f>Oferta!C8</f>
        <v>2200</v>
      </c>
      <c r="D29" s="317">
        <f>'Oferta x Demanda'!C7</f>
        <v>0</v>
      </c>
      <c r="E29" s="46"/>
      <c r="F29" s="107"/>
      <c r="G29" s="43">
        <f>IFERROR($C29*$H$19*Premissas!$F$20*1000," ")</f>
        <v>29953649.736999996</v>
      </c>
      <c r="H29" s="43">
        <f>IFERROR($D29*$H$19*Premissas!$F$20*1000," ")</f>
        <v>0</v>
      </c>
      <c r="I29" s="96"/>
    </row>
    <row r="30" spans="1:9" x14ac:dyDescent="0.3">
      <c r="A30" s="2" t="s">
        <v>137</v>
      </c>
      <c r="B30" s="44" t="str">
        <f>'Oferta x Demanda'!O8</f>
        <v>PR-TECAB</v>
      </c>
      <c r="C30" s="317">
        <f>Oferta!C9</f>
        <v>25160</v>
      </c>
      <c r="D30" s="317">
        <f>'Oferta x Demanda'!C8</f>
        <v>14855</v>
      </c>
      <c r="E30" s="46"/>
      <c r="F30" s="107"/>
      <c r="G30" s="43">
        <f>IFERROR($C30*$H$19*Premissas!$F$20*1000," ")</f>
        <v>342560830.6286</v>
      </c>
      <c r="H30" s="43">
        <f>IFERROR($D30*$H$19*Premissas!$F$20*1000," ")</f>
        <v>202255212.20142499</v>
      </c>
      <c r="I30" s="96"/>
    </row>
    <row r="31" spans="1:9" x14ac:dyDescent="0.3">
      <c r="A31" s="2" t="s">
        <v>250</v>
      </c>
      <c r="B31" s="44" t="str">
        <f>'Oferta x Demanda'!O9</f>
        <v>PR-GUARAREMA (INTERCONEXÃO)</v>
      </c>
      <c r="C31" s="317">
        <f>Oferta!C10</f>
        <v>0</v>
      </c>
      <c r="D31" s="317">
        <f>'Oferta x Demanda'!C9</f>
        <v>6000</v>
      </c>
      <c r="E31" s="46"/>
      <c r="F31" s="107"/>
      <c r="G31" s="43">
        <f>IFERROR($C31*$H$19*Premissas!$F$20*1000," ")</f>
        <v>0</v>
      </c>
      <c r="H31" s="43">
        <f>IFERROR($D31*$H$19*Premissas!$F$20*1000," ")</f>
        <v>81691772.010000005</v>
      </c>
      <c r="I31" s="96"/>
    </row>
    <row r="32" spans="1:9" x14ac:dyDescent="0.3">
      <c r="A32" s="2" t="s">
        <v>138</v>
      </c>
      <c r="B32" s="44" t="str">
        <f>'Oferta x Demanda'!O10</f>
        <v>PR-REPLAN (INTERCONEXÃO)</v>
      </c>
      <c r="C32" s="317">
        <f>Oferta!C11</f>
        <v>0</v>
      </c>
      <c r="D32" s="317">
        <f>'Oferta x Demanda'!C10</f>
        <v>200</v>
      </c>
      <c r="E32" s="46"/>
      <c r="F32" s="107"/>
      <c r="G32" s="43">
        <f>IFERROR($C32*$H$19*Premissas!$F$20*1000," ")</f>
        <v>0</v>
      </c>
      <c r="H32" s="43">
        <f>IFERROR($D32*$H$19*Premissas!$F$20*1000," ")</f>
        <v>2723059.0670000003</v>
      </c>
      <c r="I32" s="96"/>
    </row>
    <row r="33" spans="1:10" x14ac:dyDescent="0.3">
      <c r="A33" s="2" t="s">
        <v>139</v>
      </c>
      <c r="B33" s="44" t="str">
        <f>'Oferta x Demanda'!O11</f>
        <v>PR-TECAB (INTERCONEXÃO)</v>
      </c>
      <c r="C33" s="317">
        <f>Oferta!C12</f>
        <v>0</v>
      </c>
      <c r="D33" s="317">
        <f>'Oferta x Demanda'!C11</f>
        <v>200</v>
      </c>
      <c r="E33" s="46"/>
      <c r="F33" s="107"/>
      <c r="G33" s="43">
        <f>IFERROR($C33*$H$19*Premissas!$F$20*1000," ")</f>
        <v>0</v>
      </c>
      <c r="H33" s="43">
        <f>IFERROR($D33*$H$19*Premissas!$F$20*1000," ")</f>
        <v>2723059.0670000003</v>
      </c>
      <c r="I33" s="96"/>
    </row>
    <row r="34" spans="1:10" x14ac:dyDescent="0.3">
      <c r="C34" s="108">
        <f>SUM(C24:C33)</f>
        <v>85610</v>
      </c>
      <c r="D34" s="108">
        <f>SUM(D24:D33)</f>
        <v>68768</v>
      </c>
      <c r="E34" s="108"/>
      <c r="F34" s="107"/>
      <c r="G34" s="108">
        <f>SUM(G24:G33)</f>
        <v>1165605433.6293499</v>
      </c>
      <c r="H34" s="108">
        <f>SUM(H24:H33)</f>
        <v>936296629.59728003</v>
      </c>
      <c r="I34" s="96"/>
    </row>
    <row r="35" spans="1:10" x14ac:dyDescent="0.3">
      <c r="C35" s="107">
        <f>Oferta!C13</f>
        <v>85610</v>
      </c>
      <c r="D35" s="107">
        <f>'Oferta x Demanda'!C12</f>
        <v>68768</v>
      </c>
      <c r="E35" s="107"/>
      <c r="F35" s="107"/>
      <c r="G35" s="107">
        <f>Oferta!C13*Premissas!C19*Premissas!C20</f>
        <v>1165605433.6293502</v>
      </c>
      <c r="H35" s="107">
        <f>Oferta!F13*Premissas!F19*Premissas!D20</f>
        <v>936296629.59728003</v>
      </c>
      <c r="I35" s="96"/>
    </row>
    <row r="36" spans="1:10" x14ac:dyDescent="0.3">
      <c r="C36" s="107">
        <f>C34-C35</f>
        <v>0</v>
      </c>
      <c r="D36" s="107">
        <f>D34-D35</f>
        <v>0</v>
      </c>
      <c r="E36" s="107"/>
      <c r="F36" s="107">
        <f>F34-F35</f>
        <v>0</v>
      </c>
      <c r="G36" s="107">
        <f>G34-G35</f>
        <v>0</v>
      </c>
      <c r="H36" s="107">
        <f>H34-H35</f>
        <v>0</v>
      </c>
      <c r="I36" s="96"/>
    </row>
    <row r="37" spans="1:10" x14ac:dyDescent="0.3">
      <c r="C37" s="107"/>
      <c r="D37" s="107"/>
      <c r="E37" s="107"/>
      <c r="F37" s="107"/>
      <c r="G37" s="107"/>
      <c r="H37" s="107"/>
      <c r="I37" s="96"/>
    </row>
    <row r="38" spans="1:10" x14ac:dyDescent="0.3">
      <c r="A38" s="266"/>
      <c r="B38" s="266"/>
      <c r="C38" s="380">
        <f>C21</f>
        <v>2025</v>
      </c>
      <c r="D38" s="380"/>
      <c r="G38" s="380">
        <f>G21</f>
        <v>2025</v>
      </c>
      <c r="H38" s="380"/>
      <c r="J38" s="96"/>
    </row>
    <row r="39" spans="1:10" ht="16.05" customHeight="1" x14ac:dyDescent="0.3">
      <c r="A39" s="267"/>
      <c r="B39" s="267"/>
      <c r="C39" s="380" t="s">
        <v>246</v>
      </c>
      <c r="D39" s="380"/>
      <c r="G39" s="380" t="s">
        <v>247</v>
      </c>
      <c r="H39" s="380"/>
      <c r="I39" s="96"/>
    </row>
    <row r="40" spans="1:10" ht="33.6" x14ac:dyDescent="0.3">
      <c r="A40" s="103" t="s">
        <v>131</v>
      </c>
      <c r="B40" s="268" t="s">
        <v>140</v>
      </c>
      <c r="C40" s="105" t="s">
        <v>295</v>
      </c>
      <c r="D40" s="106" t="s">
        <v>296</v>
      </c>
      <c r="G40" s="105" t="s">
        <v>297</v>
      </c>
      <c r="H40" s="106" t="s">
        <v>298</v>
      </c>
      <c r="I40" s="96"/>
    </row>
    <row r="41" spans="1:10" x14ac:dyDescent="0.3">
      <c r="A41" s="2" t="s">
        <v>41</v>
      </c>
      <c r="B41" s="44" t="str">
        <f>'Oferta x Demanda'!A17</f>
        <v>NTS MG 1</v>
      </c>
      <c r="C41" s="317">
        <f>Demanda!C3</f>
        <v>864.5</v>
      </c>
      <c r="D41" s="317">
        <f>'Oferta x Demanda'!C17</f>
        <v>607</v>
      </c>
      <c r="G41" s="43">
        <f>IFERROR($C41*$H$19*Premissas!$F$20*1000," ")</f>
        <v>11770422.817107499</v>
      </c>
      <c r="H41" s="43">
        <f>IFERROR($D41*$H$19*Premissas!$F$20*1000," ")</f>
        <v>8264484.2683449984</v>
      </c>
      <c r="I41" s="96"/>
    </row>
    <row r="42" spans="1:10" x14ac:dyDescent="0.3">
      <c r="A42" s="2" t="s">
        <v>42</v>
      </c>
      <c r="B42" s="44" t="str">
        <f>'Oferta x Demanda'!A18</f>
        <v>NTS MG 2</v>
      </c>
      <c r="C42" s="317">
        <f>Demanda!C4</f>
        <v>1825.9</v>
      </c>
      <c r="D42" s="317">
        <f>'Oferta x Demanda'!C18</f>
        <v>1678</v>
      </c>
      <c r="G42" s="43">
        <f>IFERROR($C42*$H$19*Premissas!$F$20*1000," ")</f>
        <v>24860167.752176501</v>
      </c>
      <c r="H42" s="43">
        <f>IFERROR($D42*$H$19*Premissas!$F$20*1000," ")</f>
        <v>22846465.572130002</v>
      </c>
      <c r="I42" s="96"/>
    </row>
    <row r="43" spans="1:10" x14ac:dyDescent="0.3">
      <c r="A43" s="2" t="s">
        <v>43</v>
      </c>
      <c r="B43" s="44" t="str">
        <f>'Oferta x Demanda'!A19</f>
        <v>NTS MG 3</v>
      </c>
      <c r="C43" s="317">
        <f>Demanda!C5</f>
        <v>3040.95</v>
      </c>
      <c r="D43" s="317">
        <f>'Oferta x Demanda'!C19</f>
        <v>2737</v>
      </c>
      <c r="E43" s="46"/>
      <c r="G43" s="43">
        <f>IFERROR($C43*$H$19*Premissas!$F$20*1000," ")</f>
        <v>41403432.348968253</v>
      </c>
      <c r="H43" s="43">
        <f>IFERROR($D43*$H$19*Premissas!$F$20*1000," ")</f>
        <v>37265063.331895001</v>
      </c>
      <c r="I43" s="96"/>
    </row>
    <row r="44" spans="1:10" x14ac:dyDescent="0.3">
      <c r="A44" s="2" t="s">
        <v>44</v>
      </c>
      <c r="B44" s="44" t="str">
        <f>'Oferta x Demanda'!A20</f>
        <v>NTS MG 4</v>
      </c>
      <c r="C44" s="317">
        <f>Demanda!C6</f>
        <v>1187.5</v>
      </c>
      <c r="D44" s="317">
        <f>'Oferta x Demanda'!C20</f>
        <v>335</v>
      </c>
      <c r="E44" s="46"/>
      <c r="G44" s="43">
        <f>IFERROR($C44*$H$19*Premissas!$F$20*1000," ")</f>
        <v>16168163.210312499</v>
      </c>
      <c r="H44" s="43">
        <f>IFERROR($D44*$H$19*Premissas!$F$20*1000," ")</f>
        <v>4561123.937225</v>
      </c>
      <c r="I44" s="96"/>
    </row>
    <row r="45" spans="1:10" x14ac:dyDescent="0.3">
      <c r="A45" s="2" t="s">
        <v>45</v>
      </c>
      <c r="B45" s="44" t="str">
        <f>'Oferta x Demanda'!A21</f>
        <v>NTS RJ 1</v>
      </c>
      <c r="C45" s="317">
        <f>Demanda!C7</f>
        <v>21185</v>
      </c>
      <c r="D45" s="317">
        <f>'Oferta x Demanda'!C21</f>
        <v>17793</v>
      </c>
      <c r="E45" s="46"/>
      <c r="G45" s="43">
        <f>IFERROR($C45*$H$19*Premissas!$F$20*1000," ")</f>
        <v>288440031.67197496</v>
      </c>
      <c r="H45" s="43">
        <f>IFERROR($D45*$H$19*Premissas!$F$20*1000," ")</f>
        <v>242256949.89565501</v>
      </c>
      <c r="I45" s="96"/>
    </row>
    <row r="46" spans="1:10" x14ac:dyDescent="0.3">
      <c r="A46" s="2" t="s">
        <v>46</v>
      </c>
      <c r="B46" s="44" t="str">
        <f>'Oferta x Demanda'!A22</f>
        <v>NTS RJ 2</v>
      </c>
      <c r="C46" s="317">
        <f>Demanda!C8</f>
        <v>11271.75</v>
      </c>
      <c r="D46" s="317">
        <f>'Oferta x Demanda'!C22</f>
        <v>8406</v>
      </c>
      <c r="E46" s="46"/>
      <c r="G46" s="43">
        <f>IFERROR($C46*$H$19*Premissas!$F$20*1000," ")</f>
        <v>153468205.19228625</v>
      </c>
      <c r="H46" s="43">
        <f>IFERROR($D46*$H$19*Premissas!$F$20*1000," ")</f>
        <v>114450172.58600999</v>
      </c>
      <c r="I46" s="96"/>
    </row>
    <row r="47" spans="1:10" x14ac:dyDescent="0.3">
      <c r="A47" s="2" t="s">
        <v>47</v>
      </c>
      <c r="B47" s="44" t="str">
        <f>'Oferta x Demanda'!A23</f>
        <v>NTS RJ 3</v>
      </c>
      <c r="C47" s="317">
        <f>Demanda!C9</f>
        <v>3249</v>
      </c>
      <c r="D47" s="317">
        <f>'Oferta x Demanda'!C23</f>
        <v>1714</v>
      </c>
      <c r="E47" s="46"/>
      <c r="G47" s="43">
        <f>IFERROR($C47*$H$19*Premissas!$F$20*1000," ")</f>
        <v>44236094.543414995</v>
      </c>
      <c r="H47" s="43">
        <f>IFERROR($D47*$H$19*Premissas!$F$20*1000," ")</f>
        <v>23336616.204189997</v>
      </c>
      <c r="I47" s="96"/>
    </row>
    <row r="48" spans="1:10" x14ac:dyDescent="0.3">
      <c r="A48" s="2" t="s">
        <v>48</v>
      </c>
      <c r="B48" s="44" t="str">
        <f>'Oferta x Demanda'!A24</f>
        <v>NTS RJ 4</v>
      </c>
      <c r="C48" s="317">
        <f>Demanda!C10</f>
        <v>498.75</v>
      </c>
      <c r="D48" s="317">
        <f>'Oferta x Demanda'!C24</f>
        <v>323</v>
      </c>
      <c r="E48" s="46"/>
      <c r="G48" s="43">
        <f>IFERROR($C48*$H$19*Premissas!$F$20*1000," ")</f>
        <v>6790628.5483312495</v>
      </c>
      <c r="H48" s="43">
        <f>IFERROR($D48*$H$19*Premissas!$F$20*1000," ")</f>
        <v>4397740.3932050001</v>
      </c>
      <c r="I48" s="96"/>
    </row>
    <row r="49" spans="1:9" x14ac:dyDescent="0.3">
      <c r="A49" s="2" t="s">
        <v>49</v>
      </c>
      <c r="B49" s="44" t="str">
        <f>'Oferta x Demanda'!A25</f>
        <v>NTS RJ 5</v>
      </c>
      <c r="C49" s="317">
        <f>Demanda!C11</f>
        <v>3321.2</v>
      </c>
      <c r="D49" s="317">
        <f>'Oferta x Demanda'!C25</f>
        <v>2128</v>
      </c>
      <c r="E49" s="46"/>
      <c r="G49" s="43">
        <f>IFERROR($C49*$H$19*Premissas!$F$20*1000," ")</f>
        <v>45219118.866601996</v>
      </c>
      <c r="H49" s="43">
        <f>IFERROR($D49*$H$19*Premissas!$F$20*1000," ")</f>
        <v>28973348.472879995</v>
      </c>
      <c r="I49" s="96"/>
    </row>
    <row r="50" spans="1:9" x14ac:dyDescent="0.3">
      <c r="A50" s="2" t="s">
        <v>50</v>
      </c>
      <c r="B50" s="44" t="str">
        <f>'Oferta x Demanda'!A26</f>
        <v>NTS SP 1</v>
      </c>
      <c r="C50" s="317">
        <f>Demanda!C12</f>
        <v>14292.75</v>
      </c>
      <c r="D50" s="317">
        <f>'Oferta x Demanda'!C26</f>
        <v>1237</v>
      </c>
      <c r="E50" s="46"/>
      <c r="G50" s="43">
        <f>IFERROR($C50*$H$19*Premissas!$F$20*1000," ")</f>
        <v>194600012.39932126</v>
      </c>
      <c r="H50" s="43">
        <f>IFERROR($D50*$H$19*Premissas!$F$20*1000," ")</f>
        <v>16842120.329395</v>
      </c>
      <c r="I50" s="96"/>
    </row>
    <row r="51" spans="1:9" x14ac:dyDescent="0.3">
      <c r="A51" s="2" t="s">
        <v>51</v>
      </c>
      <c r="B51" s="44" t="str">
        <f>'Oferta x Demanda'!A27</f>
        <v>NTS SP 2</v>
      </c>
      <c r="C51" s="317">
        <f>Demanda!C13</f>
        <v>3971</v>
      </c>
      <c r="D51" s="317">
        <f>'Oferta x Demanda'!C27</f>
        <v>2972</v>
      </c>
      <c r="E51" s="46"/>
      <c r="G51" s="43">
        <f>IFERROR($C51*$H$19*Premissas!$F$20*1000," ")</f>
        <v>54066337.775284998</v>
      </c>
      <c r="H51" s="43">
        <f>IFERROR($D51*$H$19*Premissas!$F$20*1000," ")</f>
        <v>40464657.735619992</v>
      </c>
      <c r="I51" s="96"/>
    </row>
    <row r="52" spans="1:9" x14ac:dyDescent="0.3">
      <c r="A52" s="2" t="s">
        <v>52</v>
      </c>
      <c r="B52" s="44" t="str">
        <f>'Oferta x Demanda'!A28</f>
        <v>NTS SP 3</v>
      </c>
      <c r="C52" s="317">
        <f>Demanda!C14</f>
        <v>9941.75</v>
      </c>
      <c r="D52" s="317">
        <f>'Oferta x Demanda'!C28</f>
        <v>7969</v>
      </c>
      <c r="E52" s="46"/>
      <c r="G52" s="43">
        <f>IFERROR($C52*$H$19*Premissas!$F$20*1000," ")</f>
        <v>135359862.39673626</v>
      </c>
      <c r="H52" s="43">
        <f>IFERROR($D52*$H$19*Premissas!$F$20*1000," ")</f>
        <v>108500288.52461499</v>
      </c>
      <c r="I52" s="96"/>
    </row>
    <row r="53" spans="1:9" x14ac:dyDescent="0.3">
      <c r="A53" s="2" t="s">
        <v>53</v>
      </c>
      <c r="B53" s="44" t="str">
        <f>'Oferta x Demanda'!A29</f>
        <v>NTS SP 4</v>
      </c>
      <c r="C53" s="317">
        <f>Demanda!C15</f>
        <v>3809.5</v>
      </c>
      <c r="D53" s="317">
        <f>'Oferta x Demanda'!C29</f>
        <v>3281</v>
      </c>
      <c r="E53" s="46"/>
      <c r="G53" s="43">
        <f>IFERROR($C53*$H$19*Premissas!$F$20*1000," ")</f>
        <v>51867467.578682497</v>
      </c>
      <c r="H53" s="43">
        <f>IFERROR($D53*$H$19*Premissas!$F$20*1000," ")</f>
        <v>44671783.994134992</v>
      </c>
      <c r="I53" s="96"/>
    </row>
    <row r="54" spans="1:9" x14ac:dyDescent="0.3">
      <c r="A54" s="2" t="s">
        <v>54</v>
      </c>
      <c r="B54" s="44" t="str">
        <f>'Oferta x Demanda'!A30</f>
        <v>PE-GUARAREMA (INTERCONEXÃO)</v>
      </c>
      <c r="C54" s="317">
        <f>Demanda!C16</f>
        <v>0</v>
      </c>
      <c r="D54" s="317">
        <f>'Oferta x Demanda'!C30</f>
        <v>0</v>
      </c>
      <c r="E54" s="46"/>
      <c r="G54" s="43">
        <f>IFERROR($C54*$H$19*Premissas!$F$20*1000," ")</f>
        <v>0</v>
      </c>
      <c r="H54" s="43">
        <f>IFERROR($D54*$H$19*Premissas!$F$20*1000," ")</f>
        <v>0</v>
      </c>
      <c r="I54" s="96"/>
    </row>
    <row r="55" spans="1:9" x14ac:dyDescent="0.3">
      <c r="A55" s="2" t="s">
        <v>55</v>
      </c>
      <c r="B55" s="44" t="str">
        <f>'Oferta x Demanda'!A31</f>
        <v>PE-REPLAN (INTERCONEXÃO)</v>
      </c>
      <c r="C55" s="317">
        <f>Demanda!C17</f>
        <v>0</v>
      </c>
      <c r="D55" s="317">
        <f>'Oferta x Demanda'!C31</f>
        <v>7011</v>
      </c>
      <c r="E55" s="46"/>
      <c r="G55" s="43">
        <f>IFERROR($C55*$H$19*Premissas!$F$20*1000," ")</f>
        <v>0</v>
      </c>
      <c r="H55" s="43">
        <f>IFERROR($D55*$H$19*Premissas!$F$20*1000," ")</f>
        <v>95456835.593685001</v>
      </c>
      <c r="I55" s="96"/>
    </row>
    <row r="56" spans="1:9" x14ac:dyDescent="0.3">
      <c r="A56" s="2" t="s">
        <v>56</v>
      </c>
      <c r="B56" s="44" t="str">
        <f>'Oferta x Demanda'!A32</f>
        <v>PE-TECAB (INTERCONEXÃO)</v>
      </c>
      <c r="C56" s="317">
        <f>Demanda!C18</f>
        <v>0</v>
      </c>
      <c r="D56" s="317">
        <f>'Oferta x Demanda'!C32</f>
        <v>200</v>
      </c>
      <c r="E56" s="46"/>
      <c r="G56" s="43">
        <f>IFERROR($C56*$H$19*Premissas!$F$20*1000," ")</f>
        <v>0</v>
      </c>
      <c r="H56" s="43">
        <f>IFERROR($D56*$H$19*Premissas!$F$20*1000," ")</f>
        <v>2723059.0670000003</v>
      </c>
      <c r="I56" s="96"/>
    </row>
    <row r="57" spans="1:9" x14ac:dyDescent="0.3">
      <c r="C57" s="108">
        <f>SUM(C41:C56)</f>
        <v>78459.549999999988</v>
      </c>
      <c r="D57" s="108">
        <f>SUM(D41:D56)</f>
        <v>58391</v>
      </c>
      <c r="E57" s="108"/>
      <c r="G57" s="108">
        <f>SUM(G41:G56)</f>
        <v>1068249945.1011992</v>
      </c>
      <c r="H57" s="108">
        <f>SUM(H41:H56)</f>
        <v>795010709.905985</v>
      </c>
      <c r="I57" s="96"/>
    </row>
    <row r="58" spans="1:9" x14ac:dyDescent="0.3">
      <c r="C58" s="107">
        <f>Demanda!C19</f>
        <v>78459.549999999988</v>
      </c>
      <c r="D58" s="107">
        <f>Demanda!E19</f>
        <v>58391</v>
      </c>
      <c r="E58" s="107"/>
      <c r="G58" s="107">
        <f>Demanda!C19*Premissas!C19*Premissas!F20</f>
        <v>1068249945.1011992</v>
      </c>
      <c r="H58" s="107">
        <f>'Oferta x Demanda'!R33</f>
        <v>795010709.90598512</v>
      </c>
      <c r="I58" s="96"/>
    </row>
    <row r="59" spans="1:9" x14ac:dyDescent="0.3">
      <c r="C59" s="107">
        <f>C57-C58</f>
        <v>0</v>
      </c>
      <c r="D59" s="107">
        <f>D57-D58</f>
        <v>0</v>
      </c>
      <c r="E59" s="107"/>
      <c r="F59" s="107"/>
      <c r="G59" s="107">
        <f>G57-G58</f>
        <v>0</v>
      </c>
      <c r="H59" s="107">
        <f>H57-H58</f>
        <v>0</v>
      </c>
      <c r="I59" s="96"/>
    </row>
    <row r="60" spans="1:9" x14ac:dyDescent="0.3">
      <c r="C60" s="96"/>
      <c r="D60" s="96"/>
      <c r="F60" s="96"/>
      <c r="G60" s="96"/>
      <c r="H60" s="96"/>
    </row>
    <row r="61" spans="1:9" s="98" customFormat="1" x14ac:dyDescent="0.3">
      <c r="A61" s="98" t="s">
        <v>141</v>
      </c>
      <c r="B61" s="98" t="s">
        <v>142</v>
      </c>
    </row>
    <row r="62" spans="1:9" x14ac:dyDescent="0.3">
      <c r="A62" s="3"/>
    </row>
    <row r="63" spans="1:9" x14ac:dyDescent="0.3">
      <c r="A63" t="s">
        <v>125</v>
      </c>
      <c r="B63" t="s">
        <v>126</v>
      </c>
    </row>
    <row r="64" spans="1:9" ht="15.6" x14ac:dyDescent="0.35">
      <c r="A64" t="s">
        <v>299</v>
      </c>
      <c r="B64" t="s">
        <v>143</v>
      </c>
    </row>
    <row r="65" spans="1:12" x14ac:dyDescent="0.3">
      <c r="C65" s="2" t="s">
        <v>248</v>
      </c>
      <c r="D65" s="2" t="s">
        <v>133</v>
      </c>
      <c r="E65" s="2" t="s">
        <v>134</v>
      </c>
      <c r="F65" s="2" t="s">
        <v>135</v>
      </c>
      <c r="G65" s="2" t="s">
        <v>136</v>
      </c>
      <c r="H65" s="2" t="s">
        <v>249</v>
      </c>
      <c r="I65" s="2" t="s">
        <v>137</v>
      </c>
      <c r="J65" s="2" t="s">
        <v>250</v>
      </c>
      <c r="K65" s="2" t="s">
        <v>138</v>
      </c>
      <c r="L65" s="2" t="s">
        <v>139</v>
      </c>
    </row>
    <row r="66" spans="1:12" ht="22.8" x14ac:dyDescent="0.3">
      <c r="C66" s="45" t="s">
        <v>261</v>
      </c>
      <c r="D66" s="45" t="s">
        <v>26</v>
      </c>
      <c r="E66" s="45" t="s">
        <v>512</v>
      </c>
      <c r="F66" s="45" t="s">
        <v>253</v>
      </c>
      <c r="G66" s="45" t="s">
        <v>27</v>
      </c>
      <c r="H66" s="45" t="s">
        <v>29</v>
      </c>
      <c r="I66" s="45" t="s">
        <v>24</v>
      </c>
      <c r="J66" s="45" t="s">
        <v>274</v>
      </c>
      <c r="K66" s="45" t="s">
        <v>276</v>
      </c>
      <c r="L66" s="45" t="s">
        <v>275</v>
      </c>
    </row>
    <row r="67" spans="1:12" x14ac:dyDescent="0.3">
      <c r="A67" s="2" t="s">
        <v>41</v>
      </c>
      <c r="B67" s="44" t="str">
        <f>B41</f>
        <v>NTS MG 1</v>
      </c>
      <c r="C67" s="318">
        <f ca="1">VLOOKUP($B67,'Matriz Distâncias NTS'!$S$2:$AC$18,2,0)</f>
        <v>447.1</v>
      </c>
      <c r="D67" s="318">
        <f ca="1">VLOOKUP($B67,'Matriz Distâncias NTS'!$S$2:$AC$18,3,0)</f>
        <v>251.935</v>
      </c>
      <c r="E67" s="318">
        <f ca="1">VLOOKUP($B67,'Matriz Distâncias NTS'!$S$2:$AC$18,4,0)</f>
        <v>301.35699999999997</v>
      </c>
      <c r="F67" s="318">
        <f ca="1">VLOOKUP($B67,'Matriz Distâncias NTS'!$S$2:$AC$18,8,0)</f>
        <v>550.255</v>
      </c>
      <c r="G67" s="318">
        <f ca="1">VLOOKUP($B67,'Matriz Distâncias NTS'!$S$2:$AC$18,7,0)</f>
        <v>133.93299999999999</v>
      </c>
      <c r="H67" s="318">
        <f ca="1">VLOOKUP($B67,'Matriz Distâncias NTS'!$S$2:$AC$18,9,0)</f>
        <v>519.08299999999997</v>
      </c>
      <c r="I67" s="318">
        <f ca="1">VLOOKUP($B67,'Matriz Distâncias NTS'!$S$2:$AC$18,10,0)</f>
        <v>432.233</v>
      </c>
      <c r="J67" s="318">
        <f ca="1">VLOOKUP($B67,'Matriz Distâncias NTS'!$S$2:$AC$18,5,0)</f>
        <v>412.91999999999996</v>
      </c>
      <c r="K67" s="318">
        <f ca="1">VLOOKUP($B67,'Matriz Distâncias NTS'!$S$2:$AC$18,8,0)</f>
        <v>550.255</v>
      </c>
      <c r="L67" s="318">
        <f ca="1">VLOOKUP($B67,'Matriz Distâncias NTS'!$S$2:$AC$18,11,0)</f>
        <v>432.233</v>
      </c>
    </row>
    <row r="68" spans="1:12" x14ac:dyDescent="0.3">
      <c r="A68" s="2" t="s">
        <v>42</v>
      </c>
      <c r="B68" s="44" t="str">
        <f>B42</f>
        <v>NTS MG 2</v>
      </c>
      <c r="C68" s="318">
        <f ca="1">VLOOKUP($B68,'Matriz Distâncias NTS'!$S$2:$AC$18,2,0)</f>
        <v>544.26400000000001</v>
      </c>
      <c r="D68" s="318">
        <f ca="1">VLOOKUP($B68,'Matriz Distâncias NTS'!$S$2:$AC$18,3,0)</f>
        <v>349.09899999999999</v>
      </c>
      <c r="E68" s="318">
        <f ca="1">VLOOKUP($B68,'Matriz Distâncias NTS'!$S$2:$AC$18,4,0)</f>
        <v>398.52100000000002</v>
      </c>
      <c r="F68" s="318">
        <f ca="1">VLOOKUP($B68,'Matriz Distâncias NTS'!$S$2:$AC$18,8,0)</f>
        <v>647.41899999999998</v>
      </c>
      <c r="G68" s="318">
        <f ca="1">VLOOKUP($B68,'Matriz Distâncias NTS'!$S$2:$AC$18,7,0)</f>
        <v>231.09699999999998</v>
      </c>
      <c r="H68" s="318">
        <f ca="1">VLOOKUP($B68,'Matriz Distâncias NTS'!$S$2:$AC$18,9,0)</f>
        <v>616.24699999999996</v>
      </c>
      <c r="I68" s="318">
        <f ca="1">VLOOKUP($B68,'Matriz Distâncias NTS'!$S$2:$AC$18,10,0)</f>
        <v>529.39700000000005</v>
      </c>
      <c r="J68" s="318">
        <f ca="1">VLOOKUP($B68,'Matriz Distâncias NTS'!$S$2:$AC$18,5,0)</f>
        <v>510.08400000000006</v>
      </c>
      <c r="K68" s="318">
        <f ca="1">VLOOKUP($B68,'Matriz Distâncias NTS'!$S$2:$AC$18,8,0)</f>
        <v>647.41899999999998</v>
      </c>
      <c r="L68" s="318">
        <f ca="1">VLOOKUP($B68,'Matriz Distâncias NTS'!$S$2:$AC$18,11,0)</f>
        <v>529.39700000000005</v>
      </c>
    </row>
    <row r="69" spans="1:12" x14ac:dyDescent="0.3">
      <c r="A69" s="2" t="s">
        <v>43</v>
      </c>
      <c r="B69" s="44" t="str">
        <f>B43</f>
        <v>NTS MG 3</v>
      </c>
      <c r="C69" s="318">
        <f ca="1">VLOOKUP($B69,'Matriz Distâncias NTS'!$S$2:$AC$18,2,0)</f>
        <v>661.42919999999992</v>
      </c>
      <c r="D69" s="318">
        <f ca="1">VLOOKUP($B69,'Matriz Distâncias NTS'!$S$2:$AC$18,3,0)</f>
        <v>466.26419999999996</v>
      </c>
      <c r="E69" s="318">
        <f ca="1">VLOOKUP($B69,'Matriz Distâncias NTS'!$S$2:$AC$18,4,0)</f>
        <v>515.68619999999999</v>
      </c>
      <c r="F69" s="318">
        <f ca="1">VLOOKUP($B69,'Matriz Distâncias NTS'!$S$2:$AC$18,8,0)</f>
        <v>764.58420000000001</v>
      </c>
      <c r="G69" s="318">
        <f ca="1">VLOOKUP($B69,'Matriz Distâncias NTS'!$S$2:$AC$18,7,0)</f>
        <v>348.26220000000001</v>
      </c>
      <c r="H69" s="318">
        <f ca="1">VLOOKUP($B69,'Matriz Distâncias NTS'!$S$2:$AC$18,9,0)</f>
        <v>733.4122000000001</v>
      </c>
      <c r="I69" s="318">
        <f ca="1">VLOOKUP($B69,'Matriz Distâncias NTS'!$S$2:$AC$18,10,0)</f>
        <v>646.56219999999996</v>
      </c>
      <c r="J69" s="318">
        <f ca="1">VLOOKUP($B69,'Matriz Distâncias NTS'!$S$2:$AC$18,5,0)</f>
        <v>627.24920000000009</v>
      </c>
      <c r="K69" s="318">
        <f ca="1">VLOOKUP($B69,'Matriz Distâncias NTS'!$S$2:$AC$18,8,0)</f>
        <v>764.58420000000001</v>
      </c>
      <c r="L69" s="318">
        <f ca="1">VLOOKUP($B69,'Matriz Distâncias NTS'!$S$2:$AC$18,11,0)</f>
        <v>646.56219999999996</v>
      </c>
    </row>
    <row r="70" spans="1:12" x14ac:dyDescent="0.3">
      <c r="A70" s="2" t="s">
        <v>44</v>
      </c>
      <c r="B70" s="44" t="str">
        <f t="shared" ref="B70:B82" si="0">B44</f>
        <v>NTS MG 4</v>
      </c>
      <c r="C70" s="318">
        <f ca="1">VLOOKUP($B70,'Matriz Distâncias NTS'!$S$2:$AC$18,2,0)</f>
        <v>394.62900000000002</v>
      </c>
      <c r="D70" s="318">
        <f ca="1">VLOOKUP($B70,'Matriz Distâncias NTS'!$S$2:$AC$18,3,0)</f>
        <v>596.17999999999995</v>
      </c>
      <c r="E70" s="318">
        <f ca="1">VLOOKUP($B70,'Matriz Distâncias NTS'!$S$2:$AC$18,4,0)</f>
        <v>645.60199999999998</v>
      </c>
      <c r="F70" s="318">
        <f ca="1">VLOOKUP($B70,'Matriz Distâncias NTS'!$S$2:$AC$18,8,0)</f>
        <v>93.766000000000005</v>
      </c>
      <c r="G70" s="318">
        <f ca="1">VLOOKUP($B70,'Matriz Distâncias NTS'!$S$2:$AC$18,7,0)</f>
        <v>598.4799999999999</v>
      </c>
      <c r="H70" s="318">
        <f ca="1">VLOOKUP($B70,'Matriz Distâncias NTS'!$S$2:$AC$18,9,0)</f>
        <v>466.61200000000002</v>
      </c>
      <c r="I70" s="318">
        <f ca="1">VLOOKUP($B70,'Matriz Distâncias NTS'!$S$2:$AC$18,10,0)</f>
        <v>776.47799999999995</v>
      </c>
      <c r="J70" s="318">
        <f ca="1">VLOOKUP($B70,'Matriz Distâncias NTS'!$S$2:$AC$18,5,0)</f>
        <v>360.44900000000001</v>
      </c>
      <c r="K70" s="318">
        <f ca="1">VLOOKUP($B70,'Matriz Distâncias NTS'!$S$2:$AC$18,8,0)</f>
        <v>93.766000000000005</v>
      </c>
      <c r="L70" s="318">
        <f ca="1">VLOOKUP($B70,'Matriz Distâncias NTS'!$S$2:$AC$18,11,0)</f>
        <v>776.47799999999995</v>
      </c>
    </row>
    <row r="71" spans="1:12" x14ac:dyDescent="0.3">
      <c r="A71" s="2" t="s">
        <v>45</v>
      </c>
      <c r="B71" s="44" t="str">
        <f t="shared" si="0"/>
        <v>NTS RJ 1</v>
      </c>
      <c r="C71" s="318">
        <f ca="1">VLOOKUP($B71,'Matriz Distâncias NTS'!$S$2:$AC$18,2,0)</f>
        <v>460.82099999999997</v>
      </c>
      <c r="D71" s="318">
        <f ca="1">VLOOKUP($B71,'Matriz Distâncias NTS'!$S$2:$AC$18,3,0)</f>
        <v>64.091333333333338</v>
      </c>
      <c r="E71" s="318">
        <f ca="1">VLOOKUP($B71,'Matriz Distâncias NTS'!$S$2:$AC$18,4,0)</f>
        <v>75.091333333333338</v>
      </c>
      <c r="F71" s="318">
        <f ca="1">VLOOKUP($B71,'Matriz Distâncias NTS'!$S$2:$AC$18,8,0)</f>
        <v>563.976</v>
      </c>
      <c r="G71" s="318">
        <f ca="1">VLOOKUP($B71,'Matriz Distâncias NTS'!$S$2:$AC$18,7,0)</f>
        <v>64.091333333333338</v>
      </c>
      <c r="H71" s="318">
        <f ca="1">VLOOKUP($B71,'Matriz Distâncias NTS'!$S$2:$AC$18,9,0)</f>
        <v>530.12266666666665</v>
      </c>
      <c r="I71" s="318">
        <f ca="1">VLOOKUP($B71,'Matriz Distâncias NTS'!$S$2:$AC$18,10,0)</f>
        <v>120.26933333333334</v>
      </c>
      <c r="J71" s="318">
        <f ca="1">VLOOKUP($B71,'Matriz Distâncias NTS'!$S$2:$AC$18,5,0)</f>
        <v>423.95966666666664</v>
      </c>
      <c r="K71" s="318">
        <f ca="1">VLOOKUP($B71,'Matriz Distâncias NTS'!$S$2:$AC$18,8,0)</f>
        <v>563.976</v>
      </c>
      <c r="L71" s="318">
        <f ca="1">VLOOKUP($B71,'Matriz Distâncias NTS'!$S$2:$AC$18,11,0)</f>
        <v>120.26933333333334</v>
      </c>
    </row>
    <row r="72" spans="1:12" x14ac:dyDescent="0.3">
      <c r="A72" s="2" t="s">
        <v>46</v>
      </c>
      <c r="B72" s="44" t="str">
        <f t="shared" si="0"/>
        <v>NTS RJ 2</v>
      </c>
      <c r="C72" s="318">
        <f ca="1">VLOOKUP($B72,'Matriz Distâncias NTS'!$S$2:$AC$18,2,0)</f>
        <v>352.80099999999999</v>
      </c>
      <c r="D72" s="318">
        <f ca="1">VLOOKUP($B72,'Matriz Distâncias NTS'!$S$2:$AC$18,3,0)</f>
        <v>46.097999999999992</v>
      </c>
      <c r="E72" s="318">
        <f ca="1">VLOOKUP($B72,'Matriz Distâncias NTS'!$S$2:$AC$18,4,0)</f>
        <v>95.519999999999982</v>
      </c>
      <c r="F72" s="318">
        <f ca="1">VLOOKUP($B72,'Matriz Distâncias NTS'!$S$2:$AC$18,8,0)</f>
        <v>456.31599999999997</v>
      </c>
      <c r="G72" s="318">
        <f ca="1">VLOOKUP($B72,'Matriz Distâncias NTS'!$S$2:$AC$18,7,0)</f>
        <v>45.943333333333328</v>
      </c>
      <c r="H72" s="318">
        <f ca="1">VLOOKUP($B72,'Matriz Distâncias NTS'!$S$2:$AC$18,9,0)</f>
        <v>424.06400000000002</v>
      </c>
      <c r="I72" s="318">
        <f ca="1">VLOOKUP($B72,'Matriz Distâncias NTS'!$S$2:$AC$18,10,0)</f>
        <v>226.39599999999999</v>
      </c>
      <c r="J72" s="318">
        <f ca="1">VLOOKUP($B72,'Matriz Distâncias NTS'!$S$2:$AC$18,5,0)</f>
        <v>318.62100000000004</v>
      </c>
      <c r="K72" s="318">
        <f ca="1">VLOOKUP($B72,'Matriz Distâncias NTS'!$S$2:$AC$18,8,0)</f>
        <v>456.31599999999997</v>
      </c>
      <c r="L72" s="318">
        <f ca="1">VLOOKUP($B72,'Matriz Distâncias NTS'!$S$2:$AC$18,11,0)</f>
        <v>226.39599999999999</v>
      </c>
    </row>
    <row r="73" spans="1:12" x14ac:dyDescent="0.3">
      <c r="A73" s="2" t="s">
        <v>47</v>
      </c>
      <c r="B73" s="44" t="str">
        <f t="shared" si="0"/>
        <v>NTS RJ 3</v>
      </c>
      <c r="C73" s="318">
        <f ca="1">VLOOKUP($B73,'Matriz Distâncias NTS'!$S$2:$AC$18,2,0)</f>
        <v>307.62360000000001</v>
      </c>
      <c r="D73" s="318">
        <f ca="1">VLOOKUP($B73,'Matriz Distâncias NTS'!$S$2:$AC$18,3,0)</f>
        <v>92.737400000000008</v>
      </c>
      <c r="E73" s="318">
        <f ca="1">VLOOKUP($B73,'Matriz Distâncias NTS'!$S$2:$AC$18,4,0)</f>
        <v>142.15940000000001</v>
      </c>
      <c r="F73" s="318">
        <f ca="1">VLOOKUP($B73,'Matriz Distâncias NTS'!$S$2:$AC$18,8,0)</f>
        <v>448.94899999999996</v>
      </c>
      <c r="G73" s="318">
        <f ca="1">VLOOKUP($B73,'Matriz Distâncias NTS'!$S$2:$AC$18,7,0)</f>
        <v>89.951799999999992</v>
      </c>
      <c r="H73" s="318">
        <f ca="1">VLOOKUP($B73,'Matriz Distâncias NTS'!$S$2:$AC$18,9,0)</f>
        <v>379.60659999999996</v>
      </c>
      <c r="I73" s="318">
        <f ca="1">VLOOKUP($B73,'Matriz Distâncias NTS'!$S$2:$AC$18,10,0)</f>
        <v>273.03540000000004</v>
      </c>
      <c r="J73" s="318">
        <f ca="1">VLOOKUP($B73,'Matriz Distâncias NTS'!$S$2:$AC$18,5,0)</f>
        <v>273.44359999999995</v>
      </c>
      <c r="K73" s="318">
        <f ca="1">VLOOKUP($B73,'Matriz Distâncias NTS'!$S$2:$AC$18,8,0)</f>
        <v>448.94899999999996</v>
      </c>
      <c r="L73" s="318">
        <f ca="1">VLOOKUP($B73,'Matriz Distâncias NTS'!$S$2:$AC$18,11,0)</f>
        <v>273.03540000000004</v>
      </c>
    </row>
    <row r="74" spans="1:12" x14ac:dyDescent="0.3">
      <c r="A74" s="2" t="s">
        <v>48</v>
      </c>
      <c r="B74" s="44" t="str">
        <f t="shared" si="0"/>
        <v>NTS RJ 4</v>
      </c>
      <c r="C74" s="318">
        <f ca="1">VLOOKUP($B74,'Matriz Distâncias NTS'!$S$2:$AC$18,2,0)</f>
        <v>244.471</v>
      </c>
      <c r="D74" s="318">
        <f ca="1">VLOOKUP($B74,'Matriz Distâncias NTS'!$S$2:$AC$18,3,0)</f>
        <v>154.518</v>
      </c>
      <c r="E74" s="318">
        <f ca="1">VLOOKUP($B74,'Matriz Distâncias NTS'!$S$2:$AC$18,4,0)</f>
        <v>203.93999999999997</v>
      </c>
      <c r="F74" s="318">
        <f ca="1">VLOOKUP($B74,'Matriz Distâncias NTS'!$S$2:$AC$18,8,0)</f>
        <v>347.89600000000002</v>
      </c>
      <c r="G74" s="318">
        <f ca="1">VLOOKUP($B74,'Matriz Distâncias NTS'!$S$2:$AC$18,7,0)</f>
        <v>156.81800000000001</v>
      </c>
      <c r="H74" s="318">
        <f ca="1">VLOOKUP($B74,'Matriz Distâncias NTS'!$S$2:$AC$18,9,0)</f>
        <v>316.72399999999999</v>
      </c>
      <c r="I74" s="318">
        <f ca="1">VLOOKUP($B74,'Matriz Distâncias NTS'!$S$2:$AC$18,10,0)</f>
        <v>334.81599999999997</v>
      </c>
      <c r="J74" s="318">
        <f ca="1">VLOOKUP($B74,'Matriz Distâncias NTS'!$S$2:$AC$18,5,0)</f>
        <v>210.56099999999998</v>
      </c>
      <c r="K74" s="318">
        <f ca="1">VLOOKUP($B74,'Matriz Distâncias NTS'!$S$2:$AC$18,8,0)</f>
        <v>347.89600000000002</v>
      </c>
      <c r="L74" s="318">
        <f ca="1">VLOOKUP($B74,'Matriz Distâncias NTS'!$S$2:$AC$18,11,0)</f>
        <v>334.81599999999997</v>
      </c>
    </row>
    <row r="75" spans="1:12" x14ac:dyDescent="0.3">
      <c r="A75" s="2" t="s">
        <v>49</v>
      </c>
      <c r="B75" s="44" t="str">
        <f t="shared" si="0"/>
        <v>NTS RJ 5</v>
      </c>
      <c r="C75" s="318">
        <f ca="1">VLOOKUP($B75,'Matriz Distâncias NTS'!$S$2:$AC$18,2,0)</f>
        <v>395.91849999999999</v>
      </c>
      <c r="D75" s="318">
        <f ca="1">VLOOKUP($B75,'Matriz Distâncias NTS'!$S$2:$AC$18,3,0)</f>
        <v>36.580500000000001</v>
      </c>
      <c r="E75" s="318">
        <f ca="1">VLOOKUP($B75,'Matriz Distâncias NTS'!$S$2:$AC$18,4,0)</f>
        <v>87.152500000000003</v>
      </c>
      <c r="F75" s="318">
        <f ca="1">VLOOKUP($B75,'Matriz Distâncias NTS'!$S$2:$AC$18,8,0)</f>
        <v>499.07349999999997</v>
      </c>
      <c r="G75" s="318">
        <f ca="1">VLOOKUP($B75,'Matriz Distâncias NTS'!$S$2:$AC$18,7,0)</f>
        <v>34.080500000000001</v>
      </c>
      <c r="H75" s="318">
        <f ca="1">VLOOKUP($B75,'Matriz Distâncias NTS'!$S$2:$AC$18,9,0)</f>
        <v>463.87950000000001</v>
      </c>
      <c r="I75" s="318">
        <f ca="1">VLOOKUP($B75,'Matriz Distâncias NTS'!$S$2:$AC$18,10,0)</f>
        <v>218.02850000000001</v>
      </c>
      <c r="J75" s="318">
        <f ca="1">VLOOKUP($B75,'Matriz Distâncias NTS'!$S$2:$AC$18,5,0)</f>
        <v>357.71899999999999</v>
      </c>
      <c r="K75" s="318">
        <f ca="1">VLOOKUP($B75,'Matriz Distâncias NTS'!$S$2:$AC$18,8,0)</f>
        <v>499.07349999999997</v>
      </c>
      <c r="L75" s="318">
        <f ca="1">VLOOKUP($B75,'Matriz Distâncias NTS'!$S$2:$AC$18,11,0)</f>
        <v>218.02850000000001</v>
      </c>
    </row>
    <row r="76" spans="1:12" x14ac:dyDescent="0.3">
      <c r="A76" s="2" t="s">
        <v>50</v>
      </c>
      <c r="B76" s="44" t="str">
        <f t="shared" si="0"/>
        <v>NTS SP 1</v>
      </c>
      <c r="C76" s="318">
        <f ca="1">VLOOKUP($B76,'Matriz Distâncias NTS'!$S$2:$AC$18,2,0)</f>
        <v>162.84283333333335</v>
      </c>
      <c r="D76" s="318">
        <f ca="1">VLOOKUP($B76,'Matriz Distâncias NTS'!$S$2:$AC$18,3,0)</f>
        <v>343.1248333333333</v>
      </c>
      <c r="E76" s="318">
        <f ca="1">VLOOKUP($B76,'Matriz Distâncias NTS'!$S$2:$AC$18,4,0)</f>
        <v>329.05316666666664</v>
      </c>
      <c r="F76" s="318">
        <f ca="1">VLOOKUP($B76,'Matriz Distâncias NTS'!$S$2:$AC$18,8,0)</f>
        <v>222.24283333333335</v>
      </c>
      <c r="G76" s="318">
        <f ca="1">VLOOKUP($B76,'Matriz Distâncias NTS'!$S$2:$AC$18,7,0)</f>
        <v>278.44916666666666</v>
      </c>
      <c r="H76" s="318">
        <f ca="1">VLOOKUP($B76,'Matriz Distâncias NTS'!$S$2:$AC$18,9,0)</f>
        <v>234.82583333333335</v>
      </c>
      <c r="I76" s="318">
        <f ca="1">VLOOKUP($B76,'Matriz Distâncias NTS'!$S$2:$AC$18,10,0)</f>
        <v>459.92916666666662</v>
      </c>
      <c r="J76" s="318">
        <f ca="1">VLOOKUP($B76,'Matriz Distâncias NTS'!$S$2:$AC$18,5,0)</f>
        <v>128.66283333333334</v>
      </c>
      <c r="K76" s="318">
        <f ca="1">VLOOKUP($B76,'Matriz Distâncias NTS'!$S$2:$AC$18,8,0)</f>
        <v>222.24283333333335</v>
      </c>
      <c r="L76" s="318">
        <f ca="1">VLOOKUP($B76,'Matriz Distâncias NTS'!$S$2:$AC$18,11,0)</f>
        <v>459.92916666666662</v>
      </c>
    </row>
    <row r="77" spans="1:12" x14ac:dyDescent="0.3">
      <c r="A77" s="2" t="s">
        <v>51</v>
      </c>
      <c r="B77" s="44" t="str">
        <f t="shared" si="0"/>
        <v>NTS SP 2</v>
      </c>
      <c r="C77" s="318">
        <f ca="1">VLOOKUP($B77,'Matriz Distâncias NTS'!$S$2:$AC$18,2,0)</f>
        <v>77.567999999999998</v>
      </c>
      <c r="D77" s="318">
        <f ca="1">VLOOKUP($B77,'Matriz Distâncias NTS'!$S$2:$AC$18,3,0)</f>
        <v>319.46766666666667</v>
      </c>
      <c r="E77" s="318">
        <f ca="1">VLOOKUP($B77,'Matriz Distâncias NTS'!$S$2:$AC$18,4,0)</f>
        <v>367.80966666666671</v>
      </c>
      <c r="F77" s="318">
        <f ca="1">VLOOKUP($B77,'Matriz Distâncias NTS'!$S$2:$AC$18,8,0)</f>
        <v>221.07166666666669</v>
      </c>
      <c r="G77" s="318">
        <f ca="1">VLOOKUP($B77,'Matriz Distâncias NTS'!$S$2:$AC$18,7,0)</f>
        <v>321.76766666666668</v>
      </c>
      <c r="H77" s="318">
        <f ca="1">VLOOKUP($B77,'Matriz Distâncias NTS'!$S$2:$AC$18,9,0)</f>
        <v>151.77433333333332</v>
      </c>
      <c r="I77" s="318">
        <f ca="1">VLOOKUP($B77,'Matriz Distâncias NTS'!$S$2:$AC$18,10,0)</f>
        <v>498.68566666666669</v>
      </c>
      <c r="J77" s="318">
        <f ca="1">VLOOKUP($B77,'Matriz Distâncias NTS'!$S$2:$AC$18,5,0)</f>
        <v>45.611333333333334</v>
      </c>
      <c r="K77" s="318">
        <f ca="1">VLOOKUP($B77,'Matriz Distâncias NTS'!$S$2:$AC$18,8,0)</f>
        <v>221.07166666666669</v>
      </c>
      <c r="L77" s="318">
        <f ca="1">VLOOKUP($B77,'Matriz Distâncias NTS'!$S$2:$AC$18,11,0)</f>
        <v>498.68566666666669</v>
      </c>
    </row>
    <row r="78" spans="1:12" x14ac:dyDescent="0.3">
      <c r="A78" s="2" t="s">
        <v>52</v>
      </c>
      <c r="B78" s="44" t="str">
        <f t="shared" si="0"/>
        <v>NTS SP 3</v>
      </c>
      <c r="C78" s="318">
        <f ca="1">VLOOKUP($B78,'Matriz Distâncias NTS'!$S$2:$AC$18,2,0)</f>
        <v>176.60120000000001</v>
      </c>
      <c r="D78" s="318">
        <f ca="1">VLOOKUP($B78,'Matriz Distâncias NTS'!$S$2:$AC$18,3,0)</f>
        <v>435.43320000000006</v>
      </c>
      <c r="E78" s="318">
        <f ca="1">VLOOKUP($B78,'Matriz Distâncias NTS'!$S$2:$AC$18,4,0)</f>
        <v>483.80799999999999</v>
      </c>
      <c r="F78" s="318">
        <f ca="1">VLOOKUP($B78,'Matriz Distâncias NTS'!$S$2:$AC$18,8,0)</f>
        <v>337.03720000000004</v>
      </c>
      <c r="G78" s="318">
        <f ca="1">VLOOKUP($B78,'Matriz Distâncias NTS'!$S$2:$AC$18,7,0)</f>
        <v>437.73320000000001</v>
      </c>
      <c r="H78" s="318">
        <f ca="1">VLOOKUP($B78,'Matriz Distâncias NTS'!$S$2:$AC$18,9,0)</f>
        <v>46.044000000000004</v>
      </c>
      <c r="I78" s="318">
        <f ca="1">VLOOKUP($B78,'Matriz Distâncias NTS'!$S$2:$AC$18,10,0)</f>
        <v>614.68399999999997</v>
      </c>
      <c r="J78" s="318">
        <f ca="1">VLOOKUP($B78,'Matriz Distâncias NTS'!$S$2:$AC$18,5,0)</f>
        <v>70.354199999999992</v>
      </c>
      <c r="K78" s="318">
        <f ca="1">VLOOKUP($B78,'Matriz Distâncias NTS'!$S$2:$AC$18,8,0)</f>
        <v>337.03720000000004</v>
      </c>
      <c r="L78" s="318">
        <f ca="1">VLOOKUP($B78,'Matriz Distâncias NTS'!$S$2:$AC$18,11,0)</f>
        <v>614.68399999999997</v>
      </c>
    </row>
    <row r="79" spans="1:12" x14ac:dyDescent="0.3">
      <c r="A79" s="2" t="s">
        <v>53</v>
      </c>
      <c r="B79" s="44" t="str">
        <f t="shared" si="0"/>
        <v>NTS SP 4</v>
      </c>
      <c r="C79" s="318">
        <f ca="1">VLOOKUP($B79,'Matriz Distâncias NTS'!$S$2:$AC$18,2,0)</f>
        <v>211.58399999999997</v>
      </c>
      <c r="D79" s="318">
        <f ca="1">VLOOKUP($B79,'Matriz Distâncias NTS'!$S$2:$AC$18,3,0)</f>
        <v>470.416</v>
      </c>
      <c r="E79" s="318">
        <f ca="1">VLOOKUP($B79,'Matriz Distâncias NTS'!$S$2:$AC$18,4,0)</f>
        <v>519.83799999999997</v>
      </c>
      <c r="F79" s="318">
        <f ca="1">VLOOKUP($B79,'Matriz Distâncias NTS'!$S$2:$AC$18,8,0)</f>
        <v>372.02</v>
      </c>
      <c r="G79" s="318">
        <f ca="1">VLOOKUP($B79,'Matriz Distâncias NTS'!$S$2:$AC$18,7,0)</f>
        <v>472.71600000000007</v>
      </c>
      <c r="H79" s="318">
        <f ca="1">VLOOKUP($B79,'Matriz Distâncias NTS'!$S$2:$AC$18,9,0)</f>
        <v>0.82600000000000007</v>
      </c>
      <c r="I79" s="318">
        <f ca="1">VLOOKUP($B79,'Matriz Distâncias NTS'!$S$2:$AC$18,10,0)</f>
        <v>650.71399999999994</v>
      </c>
      <c r="J79" s="318">
        <f ca="1">VLOOKUP($B79,'Matriz Distâncias NTS'!$S$2:$AC$18,5,0)</f>
        <v>105.337</v>
      </c>
      <c r="K79" s="318">
        <f ca="1">VLOOKUP($B79,'Matriz Distâncias NTS'!$S$2:$AC$18,8,0)</f>
        <v>372.02</v>
      </c>
      <c r="L79" s="318">
        <f ca="1">VLOOKUP($B79,'Matriz Distâncias NTS'!$S$2:$AC$18,11,0)</f>
        <v>650.71399999999994</v>
      </c>
    </row>
    <row r="80" spans="1:12" x14ac:dyDescent="0.3">
      <c r="A80" s="2" t="s">
        <v>54</v>
      </c>
      <c r="B80" s="44" t="str">
        <f t="shared" si="0"/>
        <v>PE-GUARAREMA (INTERCONEXÃO)</v>
      </c>
      <c r="C80" s="318">
        <f>VLOOKUP($B80,'Matriz Distâncias NTS'!$S$2:$AC$18,2,0)</f>
        <v>106.247</v>
      </c>
      <c r="D80" s="318">
        <f>VLOOKUP($B80,'Matriz Distâncias NTS'!$S$2:$AC$18,3,0)</f>
        <v>365.07900000000001</v>
      </c>
      <c r="E80" s="318">
        <f>VLOOKUP($B80,'Matriz Distâncias NTS'!$S$2:$AC$18,4,0)</f>
        <v>414.50099999999998</v>
      </c>
      <c r="F80" s="318">
        <f>VLOOKUP($B80,'Matriz Distâncias NTS'!$S$2:$AC$18,8,0)</f>
        <v>266.68299999999999</v>
      </c>
      <c r="G80" s="318">
        <f>VLOOKUP($B80,'Matriz Distâncias NTS'!$S$2:$AC$18,7,0)</f>
        <v>367.37900000000002</v>
      </c>
      <c r="H80" s="318">
        <f>VLOOKUP($B80,'Matriz Distâncias NTS'!$S$2:$AC$18,9,0)</f>
        <v>106.163</v>
      </c>
      <c r="I80" s="318">
        <f>VLOOKUP($B80,'Matriz Distâncias NTS'!$S$2:$AC$18,10,0)</f>
        <v>545.37699999999995</v>
      </c>
      <c r="J80" s="318">
        <f>VLOOKUP($B80,'Matriz Distâncias NTS'!$S$2:$AC$18,5,0)</f>
        <v>0</v>
      </c>
      <c r="K80" s="318">
        <f>VLOOKUP($B80,'Matriz Distâncias NTS'!$S$2:$AC$18,8,0)</f>
        <v>266.68299999999999</v>
      </c>
      <c r="L80" s="318">
        <f>VLOOKUP($B80,'Matriz Distâncias NTS'!$S$2:$AC$18,11,0)</f>
        <v>545.37699999999995</v>
      </c>
    </row>
    <row r="81" spans="1:12" x14ac:dyDescent="0.3">
      <c r="A81" s="2" t="s">
        <v>55</v>
      </c>
      <c r="B81" s="44" t="str">
        <f t="shared" si="0"/>
        <v>PE-REPLAN (INTERCONEXÃO)</v>
      </c>
      <c r="C81" s="318">
        <f>VLOOKUP($B81,'Matriz Distâncias NTS'!$S$2:$AC$18,2,0)</f>
        <v>300.863</v>
      </c>
      <c r="D81" s="318">
        <f>VLOOKUP($B81,'Matriz Distâncias NTS'!$S$2:$AC$18,3,0)</f>
        <v>502.41399999999999</v>
      </c>
      <c r="E81" s="318">
        <f>VLOOKUP($B81,'Matriz Distâncias NTS'!$S$2:$AC$18,4,0)</f>
        <v>551.83600000000001</v>
      </c>
      <c r="F81" s="318">
        <f>VLOOKUP($B81,'Matriz Distâncias NTS'!$S$2:$AC$18,8,0)</f>
        <v>0</v>
      </c>
      <c r="G81" s="318">
        <f>VLOOKUP($B81,'Matriz Distâncias NTS'!$S$2:$AC$18,7,0)</f>
        <v>504.714</v>
      </c>
      <c r="H81" s="318">
        <f>VLOOKUP($B81,'Matriz Distâncias NTS'!$S$2:$AC$18,9,0)</f>
        <v>372.846</v>
      </c>
      <c r="I81" s="318">
        <f>VLOOKUP($B81,'Matriz Distâncias NTS'!$S$2:$AC$18,10,0)</f>
        <v>682.71199999999999</v>
      </c>
      <c r="J81" s="318">
        <f>VLOOKUP($B81,'Matriz Distâncias NTS'!$S$2:$AC$18,5,0)</f>
        <v>266.68299999999999</v>
      </c>
      <c r="K81" s="318">
        <f>VLOOKUP($B81,'Matriz Distâncias NTS'!$S$2:$AC$18,8,0)</f>
        <v>0</v>
      </c>
      <c r="L81" s="318">
        <f>VLOOKUP($B81,'Matriz Distâncias NTS'!$S$2:$AC$18,11,0)</f>
        <v>682.71199999999999</v>
      </c>
    </row>
    <row r="82" spans="1:12" x14ac:dyDescent="0.3">
      <c r="A82" s="2" t="s">
        <v>56</v>
      </c>
      <c r="B82" s="44" t="str">
        <f t="shared" si="0"/>
        <v>PE-TECAB (INTERCONEXÃO)</v>
      </c>
      <c r="C82" s="318">
        <f>VLOOKUP($B82,'Matriz Distâncias NTS'!$S$2:$AC$18,2,0)</f>
        <v>579.55700000000002</v>
      </c>
      <c r="D82" s="318">
        <f>VLOOKUP($B82,'Matriz Distâncias NTS'!$S$2:$AC$18,3,0)</f>
        <v>180.298</v>
      </c>
      <c r="E82" s="318">
        <f>VLOOKUP($B82,'Matriz Distâncias NTS'!$S$2:$AC$18,4,0)</f>
        <v>152.876</v>
      </c>
      <c r="F82" s="318">
        <f>VLOOKUP($B82,'Matriz Distâncias NTS'!$S$2:$AC$18,8,0)</f>
        <v>682.71199999999999</v>
      </c>
      <c r="G82" s="318">
        <f>VLOOKUP($B82,'Matriz Distâncias NTS'!$S$2:$AC$18,7,0)</f>
        <v>180.298</v>
      </c>
      <c r="H82" s="318">
        <f>VLOOKUP($B82,'Matriz Distâncias NTS'!$S$2:$AC$18,9,0)</f>
        <v>651.54</v>
      </c>
      <c r="I82" s="318">
        <f>VLOOKUP($B82,'Matriz Distâncias NTS'!$S$2:$AC$18,10,0)</f>
        <v>0</v>
      </c>
      <c r="J82" s="318">
        <f>VLOOKUP($B82,'Matriz Distâncias NTS'!$S$2:$AC$18,5,0)</f>
        <v>545.37699999999995</v>
      </c>
      <c r="K82" s="318">
        <f>VLOOKUP($B82,'Matriz Distâncias NTS'!$S$2:$AC$18,8,0)</f>
        <v>682.71199999999999</v>
      </c>
      <c r="L82" s="318">
        <f>VLOOKUP($B82,'Matriz Distâncias NTS'!$S$2:$AC$18,11,0)</f>
        <v>0</v>
      </c>
    </row>
    <row r="85" spans="1:12" s="98" customFormat="1" x14ac:dyDescent="0.3">
      <c r="A85" s="98" t="s">
        <v>144</v>
      </c>
      <c r="B85" s="98" t="s">
        <v>519</v>
      </c>
    </row>
    <row r="88" spans="1:12" x14ac:dyDescent="0.3">
      <c r="A88" t="s">
        <v>125</v>
      </c>
      <c r="B88" t="s">
        <v>126</v>
      </c>
    </row>
    <row r="89" spans="1:12" ht="15.6" x14ac:dyDescent="0.35">
      <c r="A89" t="s">
        <v>300</v>
      </c>
      <c r="B89" t="s">
        <v>145</v>
      </c>
    </row>
    <row r="90" spans="1:12" ht="15.6" x14ac:dyDescent="0.35">
      <c r="A90" t="s">
        <v>301</v>
      </c>
      <c r="B90" t="s">
        <v>146</v>
      </c>
    </row>
    <row r="92" spans="1:12" x14ac:dyDescent="0.3">
      <c r="A92" t="s">
        <v>147</v>
      </c>
    </row>
    <row r="93" spans="1:12" x14ac:dyDescent="0.3">
      <c r="A93" s="109"/>
      <c r="B93" s="109"/>
    </row>
    <row r="94" spans="1:12" x14ac:dyDescent="0.3">
      <c r="A94" s="109"/>
      <c r="B94" s="109"/>
    </row>
    <row r="95" spans="1:12" x14ac:dyDescent="0.3">
      <c r="A95" s="109"/>
      <c r="B95" s="109"/>
    </row>
    <row r="98" spans="1:27" ht="15.6" x14ac:dyDescent="0.35">
      <c r="A98" s="110" t="s">
        <v>302</v>
      </c>
      <c r="B98" s="111" t="s">
        <v>148</v>
      </c>
      <c r="D98" s="110" t="s">
        <v>303</v>
      </c>
      <c r="E98" s="111" t="s">
        <v>148</v>
      </c>
      <c r="G98" s="112" t="s">
        <v>302</v>
      </c>
      <c r="H98" s="95" t="s">
        <v>304</v>
      </c>
      <c r="I98" s="95" t="s">
        <v>305</v>
      </c>
      <c r="J98" s="95" t="s">
        <v>306</v>
      </c>
      <c r="K98" s="95" t="s">
        <v>307</v>
      </c>
      <c r="L98" s="95" t="s">
        <v>308</v>
      </c>
      <c r="M98" s="95" t="s">
        <v>309</v>
      </c>
      <c r="N98" s="95" t="s">
        <v>310</v>
      </c>
      <c r="O98" s="95" t="s">
        <v>311</v>
      </c>
      <c r="P98" s="95" t="s">
        <v>312</v>
      </c>
      <c r="Q98" s="95" t="s">
        <v>313</v>
      </c>
      <c r="R98" s="95"/>
      <c r="S98" s="95"/>
      <c r="T98" s="95"/>
      <c r="U98" s="95"/>
      <c r="V98" s="95"/>
      <c r="W98" s="95"/>
      <c r="X98" s="95"/>
      <c r="Y98" s="95"/>
      <c r="Z98" s="95"/>
      <c r="AA98" s="95"/>
    </row>
    <row r="99" spans="1:27" ht="15.6" x14ac:dyDescent="0.35">
      <c r="A99" t="s">
        <v>304</v>
      </c>
      <c r="B99" s="115">
        <f>H24/$H$34</f>
        <v>0.20617147510469985</v>
      </c>
      <c r="C99" s="9"/>
      <c r="D99" t="s">
        <v>314</v>
      </c>
      <c r="E99" s="113">
        <f>H41/$H$57</f>
        <v>1.039543765306297E-2</v>
      </c>
      <c r="G99" s="112" t="s">
        <v>148</v>
      </c>
      <c r="H99" s="114">
        <f>H24/$H$34</f>
        <v>0.20617147510469985</v>
      </c>
      <c r="I99" s="114">
        <f>H25/$H$34</f>
        <v>0.29083294555607259</v>
      </c>
      <c r="J99" s="114">
        <f>$H26/$H$34</f>
        <v>0.18904141461144716</v>
      </c>
      <c r="K99" s="114">
        <f>$H27/$H$34</f>
        <v>4.8714518380642158E-3</v>
      </c>
      <c r="L99" s="114">
        <f>$H28/$H$34</f>
        <v>0</v>
      </c>
      <c r="M99" s="114">
        <f>$H29/$H$34</f>
        <v>0</v>
      </c>
      <c r="N99" s="114">
        <f>$H30/$H$34</f>
        <v>0.21601617031177289</v>
      </c>
      <c r="O99" s="114">
        <f>$H31/$H$34</f>
        <v>8.7249883666821779E-2</v>
      </c>
      <c r="P99" s="114">
        <f>$H32/$H$34</f>
        <v>2.9083294555607262E-3</v>
      </c>
      <c r="Q99" s="114">
        <f>$H33/$H$34</f>
        <v>2.9083294555607262E-3</v>
      </c>
      <c r="R99" s="114">
        <f>SUM(H99:Q99)</f>
        <v>1</v>
      </c>
      <c r="S99" s="113"/>
      <c r="T99" s="113"/>
      <c r="U99" s="113"/>
      <c r="V99" s="113"/>
      <c r="W99" s="113"/>
    </row>
    <row r="100" spans="1:27" ht="15.6" x14ac:dyDescent="0.35">
      <c r="A100" t="s">
        <v>305</v>
      </c>
      <c r="B100" s="115">
        <f t="shared" ref="B100:B108" si="1">H25/$H$34</f>
        <v>0.29083294555607259</v>
      </c>
      <c r="C100" s="4"/>
      <c r="D100" t="s">
        <v>315</v>
      </c>
      <c r="E100" s="113">
        <f t="shared" ref="E100:E114" si="2">H42/$H$57</f>
        <v>2.8737305406655138E-2</v>
      </c>
    </row>
    <row r="101" spans="1:27" ht="15.6" x14ac:dyDescent="0.35">
      <c r="A101" t="s">
        <v>306</v>
      </c>
      <c r="B101" s="115">
        <f t="shared" si="1"/>
        <v>0.18904141461144716</v>
      </c>
      <c r="C101" s="4"/>
      <c r="D101" t="s">
        <v>316</v>
      </c>
      <c r="E101" s="113">
        <f t="shared" si="2"/>
        <v>4.6873662036957753E-2</v>
      </c>
      <c r="G101" s="113"/>
    </row>
    <row r="102" spans="1:27" ht="15.6" x14ac:dyDescent="0.35">
      <c r="A102" t="s">
        <v>307</v>
      </c>
      <c r="B102" s="115">
        <f t="shared" si="1"/>
        <v>4.8714518380642158E-3</v>
      </c>
      <c r="C102" s="4"/>
      <c r="D102" t="s">
        <v>317</v>
      </c>
      <c r="E102" s="113">
        <f t="shared" si="2"/>
        <v>5.7371855251665497E-3</v>
      </c>
      <c r="G102" s="113"/>
      <c r="H102" s="115"/>
      <c r="I102" s="115"/>
    </row>
    <row r="103" spans="1:27" ht="15.6" x14ac:dyDescent="0.35">
      <c r="A103" t="s">
        <v>308</v>
      </c>
      <c r="B103" s="115">
        <f t="shared" si="1"/>
        <v>0</v>
      </c>
      <c r="C103" s="4"/>
      <c r="D103" t="s">
        <v>318</v>
      </c>
      <c r="E103" s="113">
        <f t="shared" si="2"/>
        <v>0.30472161805757736</v>
      </c>
      <c r="G103" s="113"/>
      <c r="H103" s="115"/>
      <c r="I103" s="115"/>
    </row>
    <row r="104" spans="1:27" ht="15.6" x14ac:dyDescent="0.35">
      <c r="A104" t="s">
        <v>309</v>
      </c>
      <c r="B104" s="115">
        <f t="shared" si="1"/>
        <v>0</v>
      </c>
      <c r="C104" s="4"/>
      <c r="D104" t="s">
        <v>319</v>
      </c>
      <c r="E104" s="113">
        <f t="shared" si="2"/>
        <v>0.14396054186432841</v>
      </c>
      <c r="G104" s="113"/>
      <c r="H104" s="115"/>
      <c r="I104" s="115"/>
    </row>
    <row r="105" spans="1:27" ht="15.6" x14ac:dyDescent="0.35">
      <c r="A105" t="s">
        <v>310</v>
      </c>
      <c r="B105" s="115">
        <f t="shared" si="1"/>
        <v>0.21601617031177289</v>
      </c>
      <c r="C105" s="4"/>
      <c r="D105" t="s">
        <v>320</v>
      </c>
      <c r="E105" s="113">
        <f t="shared" si="2"/>
        <v>2.9353838776523776E-2</v>
      </c>
      <c r="G105" s="113"/>
      <c r="H105" s="115"/>
      <c r="I105" s="115"/>
    </row>
    <row r="106" spans="1:27" ht="15.6" x14ac:dyDescent="0.35">
      <c r="A106" t="s">
        <v>311</v>
      </c>
      <c r="B106" s="115">
        <f t="shared" si="1"/>
        <v>8.7249883666821779E-2</v>
      </c>
      <c r="C106" s="4"/>
      <c r="D106" t="s">
        <v>321</v>
      </c>
      <c r="E106" s="113">
        <f t="shared" si="2"/>
        <v>5.5316744018770016E-3</v>
      </c>
      <c r="G106" s="113"/>
      <c r="H106" s="115"/>
      <c r="I106" s="115"/>
    </row>
    <row r="107" spans="1:27" ht="15.6" x14ac:dyDescent="0.35">
      <c r="A107" t="s">
        <v>312</v>
      </c>
      <c r="B107" s="115">
        <f t="shared" si="1"/>
        <v>2.9083294555607262E-3</v>
      </c>
      <c r="C107" s="4"/>
      <c r="D107" t="s">
        <v>322</v>
      </c>
      <c r="E107" s="113">
        <f t="shared" si="2"/>
        <v>3.6443972530013177E-2</v>
      </c>
      <c r="G107" s="113"/>
      <c r="H107" s="115"/>
      <c r="I107" s="115"/>
    </row>
    <row r="108" spans="1:27" ht="15.6" x14ac:dyDescent="0.35">
      <c r="A108" t="s">
        <v>313</v>
      </c>
      <c r="B108" s="115">
        <f t="shared" si="1"/>
        <v>2.9083294555607262E-3</v>
      </c>
      <c r="D108" t="s">
        <v>323</v>
      </c>
      <c r="E108" s="113">
        <f t="shared" si="2"/>
        <v>2.1184771625764244E-2</v>
      </c>
      <c r="G108" s="113"/>
    </row>
    <row r="109" spans="1:27" ht="15.6" x14ac:dyDescent="0.35">
      <c r="B109" s="115">
        <f>SUM(B99:B108)</f>
        <v>1</v>
      </c>
      <c r="D109" t="s">
        <v>324</v>
      </c>
      <c r="E109" s="113">
        <f t="shared" si="2"/>
        <v>5.0898254868044723E-2</v>
      </c>
      <c r="G109" s="113"/>
    </row>
    <row r="110" spans="1:27" ht="15.6" x14ac:dyDescent="0.35">
      <c r="B110" s="115"/>
      <c r="D110" t="s">
        <v>325</v>
      </c>
      <c r="E110" s="113">
        <f t="shared" si="2"/>
        <v>0.13647651179120068</v>
      </c>
      <c r="G110" s="113"/>
    </row>
    <row r="111" spans="1:27" ht="15.6" x14ac:dyDescent="0.35">
      <c r="B111" s="115"/>
      <c r="D111" t="s">
        <v>326</v>
      </c>
      <c r="E111" s="113">
        <f t="shared" si="2"/>
        <v>5.6190166292750587E-2</v>
      </c>
    </row>
    <row r="112" spans="1:27" ht="15.6" x14ac:dyDescent="0.35">
      <c r="B112" s="115"/>
      <c r="D112" t="s">
        <v>327</v>
      </c>
      <c r="E112" s="113">
        <f t="shared" si="2"/>
        <v>0</v>
      </c>
    </row>
    <row r="113" spans="1:5" ht="15.6" x14ac:dyDescent="0.35">
      <c r="B113" s="115"/>
      <c r="D113" t="s">
        <v>328</v>
      </c>
      <c r="E113" s="113">
        <f t="shared" si="2"/>
        <v>0.12006987378191845</v>
      </c>
    </row>
    <row r="114" spans="1:5" ht="15.6" x14ac:dyDescent="0.35">
      <c r="B114" s="115"/>
      <c r="D114" t="s">
        <v>329</v>
      </c>
      <c r="E114" s="113">
        <f t="shared" si="2"/>
        <v>3.4251853881591345E-3</v>
      </c>
    </row>
    <row r="115" spans="1:5" x14ac:dyDescent="0.3">
      <c r="E115" s="113">
        <f>SUM(E99:E114)</f>
        <v>1</v>
      </c>
    </row>
    <row r="117" spans="1:5" s="98" customFormat="1" x14ac:dyDescent="0.3">
      <c r="A117" s="98" t="s">
        <v>149</v>
      </c>
      <c r="B117" s="98" t="s">
        <v>518</v>
      </c>
    </row>
    <row r="119" spans="1:5" x14ac:dyDescent="0.3">
      <c r="A119" t="s">
        <v>125</v>
      </c>
      <c r="B119" t="s">
        <v>126</v>
      </c>
    </row>
    <row r="120" spans="1:5" ht="15.6" x14ac:dyDescent="0.35">
      <c r="A120" t="s">
        <v>330</v>
      </c>
      <c r="B120" t="s">
        <v>150</v>
      </c>
    </row>
    <row r="121" spans="1:5" ht="15.6" x14ac:dyDescent="0.35">
      <c r="A121" t="s">
        <v>331</v>
      </c>
      <c r="B121" t="s">
        <v>151</v>
      </c>
    </row>
    <row r="123" spans="1:5" x14ac:dyDescent="0.3">
      <c r="A123" t="s">
        <v>147</v>
      </c>
    </row>
    <row r="124" spans="1:5" x14ac:dyDescent="0.3">
      <c r="A124" s="109"/>
      <c r="B124" s="109"/>
    </row>
    <row r="125" spans="1:5" x14ac:dyDescent="0.3">
      <c r="A125" s="109"/>
      <c r="B125" s="109"/>
    </row>
    <row r="126" spans="1:5" x14ac:dyDescent="0.3">
      <c r="A126" s="109"/>
      <c r="B126" s="109"/>
    </row>
    <row r="127" spans="1:5" x14ac:dyDescent="0.3">
      <c r="A127" s="109"/>
      <c r="B127" s="109"/>
    </row>
    <row r="129" spans="1:5" ht="15.6" x14ac:dyDescent="0.3">
      <c r="A129" s="110" t="s">
        <v>332</v>
      </c>
      <c r="B129" s="111" t="s">
        <v>148</v>
      </c>
      <c r="D129" s="110" t="s">
        <v>333</v>
      </c>
      <c r="E129" s="111" t="s">
        <v>148</v>
      </c>
    </row>
    <row r="130" spans="1:5" ht="15.6" x14ac:dyDescent="0.35">
      <c r="A130" t="s">
        <v>334</v>
      </c>
      <c r="B130" s="113">
        <f ca="1">SUMPRODUCT($E$99:$E$114,C$67:C$82)</f>
        <v>351.07719645892911</v>
      </c>
      <c r="C130" s="117"/>
      <c r="D130" t="s">
        <v>335</v>
      </c>
      <c r="E130" s="4">
        <f ca="1">SUMPRODUCT($H$99:$Q$99,$C67:$L67)</f>
        <v>357.35369706840385</v>
      </c>
    </row>
    <row r="131" spans="1:5" ht="15.6" x14ac:dyDescent="0.35">
      <c r="A131" t="s">
        <v>336</v>
      </c>
      <c r="B131" s="113">
        <f ca="1">SUMPRODUCT($E$99:$E$114,D$67:D$82)</f>
        <v>239.33429862421721</v>
      </c>
      <c r="C131" s="117"/>
      <c r="D131" t="s">
        <v>337</v>
      </c>
      <c r="E131" s="4">
        <f t="shared" ref="E131:E145" ca="1" si="3">SUMPRODUCT($H$99:$Q$99,$C68:$L68)</f>
        <v>454.51769706840389</v>
      </c>
    </row>
    <row r="132" spans="1:5" ht="15.6" x14ac:dyDescent="0.35">
      <c r="A132" t="s">
        <v>338</v>
      </c>
      <c r="B132" s="113">
        <f ca="1">SUMPRODUCT($E$99:$E$114,E$67:E$82)</f>
        <v>275.28400309122975</v>
      </c>
      <c r="C132" s="117"/>
      <c r="D132" t="s">
        <v>339</v>
      </c>
      <c r="E132" s="4">
        <f t="shared" ca="1" si="3"/>
        <v>571.68289706840392</v>
      </c>
    </row>
    <row r="133" spans="1:5" ht="15.6" x14ac:dyDescent="0.35">
      <c r="A133" t="s">
        <v>340</v>
      </c>
      <c r="B133" s="113">
        <f ca="1">SUMPRODUCT($E$99:$E$114,F$67:F$82)</f>
        <v>416.74052411102173</v>
      </c>
      <c r="C133" s="117"/>
      <c r="D133" t="s">
        <v>341</v>
      </c>
      <c r="E133" s="4">
        <f t="shared" ca="1" si="3"/>
        <v>578.96421390763123</v>
      </c>
    </row>
    <row r="134" spans="1:5" ht="15.6" x14ac:dyDescent="0.35">
      <c r="A134" t="s">
        <v>342</v>
      </c>
      <c r="B134" s="113">
        <f ca="1">SUMPRODUCT($E$99:$E$114,G$67:G$82)</f>
        <v>228.48236613347947</v>
      </c>
      <c r="C134" s="117"/>
      <c r="D134" t="s">
        <v>343</v>
      </c>
      <c r="E134" s="4">
        <f t="shared" ca="1" si="3"/>
        <v>195.55133363386074</v>
      </c>
    </row>
    <row r="135" spans="1:5" ht="15.6" x14ac:dyDescent="0.35">
      <c r="A135" t="s">
        <v>344</v>
      </c>
      <c r="B135" s="113">
        <f ca="1">SUMPRODUCT($E$99:$E$114,H$67:H$82)</f>
        <v>378.57832051686046</v>
      </c>
      <c r="C135" s="117"/>
      <c r="D135" t="s">
        <v>345</v>
      </c>
      <c r="E135" s="4">
        <f t="shared" ca="1" si="3"/>
        <v>185.11487055025592</v>
      </c>
    </row>
    <row r="136" spans="1:5" ht="15.6" x14ac:dyDescent="0.35">
      <c r="A136" t="s">
        <v>346</v>
      </c>
      <c r="B136" s="113">
        <f ca="1">SUMPRODUCT($E$99:$E$114,I$67:I$82)</f>
        <v>379.07406666267065</v>
      </c>
      <c r="D136" t="s">
        <v>347</v>
      </c>
      <c r="E136" s="4">
        <f t="shared" ca="1" si="3"/>
        <v>204.39310235574683</v>
      </c>
    </row>
    <row r="137" spans="1:5" ht="15.6" x14ac:dyDescent="0.35">
      <c r="A137" t="s">
        <v>348</v>
      </c>
      <c r="B137" s="113">
        <f ca="1">SUMPRODUCT($E$99:$E$114,J$67:J$82)</f>
        <v>302.16339752872875</v>
      </c>
      <c r="D137" t="s">
        <v>349</v>
      </c>
      <c r="E137" s="4">
        <f t="shared" ca="1" si="3"/>
        <v>228.27238072940901</v>
      </c>
    </row>
    <row r="138" spans="1:5" ht="15.6" x14ac:dyDescent="0.35">
      <c r="A138" t="s">
        <v>350</v>
      </c>
      <c r="B138" s="113">
        <f ca="1">SUMPRODUCT($E$99:$E$114,K$67:K$82)</f>
        <v>416.74052411102173</v>
      </c>
      <c r="D138" t="s">
        <v>351</v>
      </c>
      <c r="E138" s="4">
        <f t="shared" ca="1" si="3"/>
        <v>191.56675173045602</v>
      </c>
    </row>
    <row r="139" spans="1:5" ht="15.6" x14ac:dyDescent="0.35">
      <c r="A139" t="s">
        <v>352</v>
      </c>
      <c r="B139" s="113">
        <f ca="1">SUMPRODUCT($E$99:$E$114,L$67:L$82)</f>
        <v>379.07406666267065</v>
      </c>
      <c r="D139" t="s">
        <v>353</v>
      </c>
      <c r="E139" s="4">
        <f t="shared" ca="1" si="3"/>
        <v>309.21480985826742</v>
      </c>
    </row>
    <row r="140" spans="1:5" ht="15.6" x14ac:dyDescent="0.35">
      <c r="B140" s="113"/>
      <c r="D140" t="s">
        <v>354</v>
      </c>
      <c r="E140" s="4">
        <f t="shared" ca="1" si="3"/>
        <v>293.30927404219017</v>
      </c>
    </row>
    <row r="141" spans="1:5" ht="15.6" x14ac:dyDescent="0.35">
      <c r="B141" s="113"/>
      <c r="D141" t="s">
        <v>355</v>
      </c>
      <c r="E141" s="4">
        <f t="shared" ca="1" si="3"/>
        <v>397.83805746277335</v>
      </c>
    </row>
    <row r="142" spans="1:5" ht="15.6" x14ac:dyDescent="0.35">
      <c r="B142" s="113"/>
      <c r="D142" t="s">
        <v>356</v>
      </c>
      <c r="E142" s="4">
        <f t="shared" ca="1" si="3"/>
        <v>433.24807936831087</v>
      </c>
    </row>
    <row r="143" spans="1:5" ht="15.6" x14ac:dyDescent="0.35">
      <c r="B143" s="113"/>
      <c r="D143" t="s">
        <v>357</v>
      </c>
      <c r="E143" s="4">
        <f t="shared" si="3"/>
        <v>327.91107936831082</v>
      </c>
    </row>
    <row r="144" spans="1:5" ht="15.6" x14ac:dyDescent="0.35">
      <c r="B144" s="113"/>
      <c r="D144" t="s">
        <v>358</v>
      </c>
      <c r="E144" s="4">
        <f t="shared" si="3"/>
        <v>485.19821390763138</v>
      </c>
    </row>
    <row r="145" spans="1:5" ht="15.6" x14ac:dyDescent="0.35">
      <c r="B145" s="113"/>
      <c r="D145" t="s">
        <v>359</v>
      </c>
      <c r="E145" s="4">
        <f t="shared" si="3"/>
        <v>253.72004516635641</v>
      </c>
    </row>
    <row r="147" spans="1:5" s="98" customFormat="1" x14ac:dyDescent="0.3">
      <c r="A147" s="98" t="s">
        <v>152</v>
      </c>
      <c r="B147" s="98" t="s">
        <v>517</v>
      </c>
    </row>
    <row r="149" spans="1:5" x14ac:dyDescent="0.3">
      <c r="A149" t="s">
        <v>125</v>
      </c>
      <c r="B149" t="s">
        <v>126</v>
      </c>
    </row>
    <row r="150" spans="1:5" ht="15.6" x14ac:dyDescent="0.35">
      <c r="A150" t="s">
        <v>360</v>
      </c>
      <c r="B150" t="s">
        <v>153</v>
      </c>
    </row>
    <row r="151" spans="1:5" ht="15.6" x14ac:dyDescent="0.35">
      <c r="A151" t="s">
        <v>361</v>
      </c>
      <c r="B151" t="s">
        <v>154</v>
      </c>
    </row>
    <row r="153" spans="1:5" x14ac:dyDescent="0.3">
      <c r="A153" t="s">
        <v>147</v>
      </c>
    </row>
    <row r="154" spans="1:5" x14ac:dyDescent="0.3">
      <c r="A154" s="109"/>
      <c r="B154" s="109"/>
    </row>
    <row r="155" spans="1:5" x14ac:dyDescent="0.3">
      <c r="A155" s="109"/>
      <c r="B155" s="109"/>
    </row>
    <row r="156" spans="1:5" x14ac:dyDescent="0.3">
      <c r="A156" s="109"/>
      <c r="B156" s="109"/>
    </row>
    <row r="157" spans="1:5" x14ac:dyDescent="0.3">
      <c r="A157" s="109"/>
      <c r="B157" s="109"/>
    </row>
    <row r="158" spans="1:5" x14ac:dyDescent="0.3">
      <c r="A158" s="109"/>
      <c r="B158" s="109"/>
    </row>
    <row r="159" spans="1:5" x14ac:dyDescent="0.3">
      <c r="A159" s="109"/>
      <c r="B159" s="109"/>
    </row>
    <row r="161" spans="1:9" ht="15.6" x14ac:dyDescent="0.3">
      <c r="A161" s="110" t="s">
        <v>362</v>
      </c>
      <c r="B161" s="111" t="s">
        <v>148</v>
      </c>
      <c r="D161" s="110" t="s">
        <v>363</v>
      </c>
      <c r="E161" s="111" t="s">
        <v>148</v>
      </c>
    </row>
    <row r="162" spans="1:9" ht="15.6" x14ac:dyDescent="0.35">
      <c r="A162" t="s">
        <v>364</v>
      </c>
      <c r="B162" s="118">
        <f ca="1">($H24*$B130)/SUMPRODUCT($H$24:$H$33,$B$130:$B$139)</f>
        <v>0.23606224865334369</v>
      </c>
      <c r="C162" s="36"/>
      <c r="D162" t="s">
        <v>365</v>
      </c>
      <c r="E162" s="118">
        <f t="shared" ref="E162:E177" ca="1" si="4">($H41*$E130)/SUMPRODUCT($H$41:$H$56,$E$130:$E$145)</f>
        <v>1.211536206679918E-2</v>
      </c>
    </row>
    <row r="163" spans="1:9" ht="15.6" x14ac:dyDescent="0.35">
      <c r="A163" t="s">
        <v>366</v>
      </c>
      <c r="B163" s="118">
        <f t="shared" ref="B163:B171" ca="1" si="5">($H25*$B131)/SUMPRODUCT($H$24:$H$33,$B$130:$B$139)</f>
        <v>0.22700942200551702</v>
      </c>
      <c r="C163" s="4"/>
      <c r="D163" t="s">
        <v>367</v>
      </c>
      <c r="E163" s="118">
        <f t="shared" ca="1" si="4"/>
        <v>4.2598291486368581E-2</v>
      </c>
    </row>
    <row r="164" spans="1:9" ht="15.6" x14ac:dyDescent="0.35">
      <c r="A164" t="s">
        <v>368</v>
      </c>
      <c r="B164" s="118">
        <f t="shared" ca="1" si="5"/>
        <v>0.16972009783978417</v>
      </c>
      <c r="C164" s="4"/>
      <c r="D164" t="s">
        <v>369</v>
      </c>
      <c r="E164" s="118">
        <f t="shared" ca="1" si="4"/>
        <v>8.7393558636060048E-2</v>
      </c>
      <c r="H164" s="119"/>
      <c r="I164" s="119"/>
    </row>
    <row r="165" spans="1:9" ht="15.6" x14ac:dyDescent="0.35">
      <c r="A165" t="s">
        <v>370</v>
      </c>
      <c r="B165" s="118">
        <f t="shared" ca="1" si="5"/>
        <v>6.6209374766300517E-3</v>
      </c>
      <c r="C165" s="4"/>
      <c r="D165" t="s">
        <v>371</v>
      </c>
      <c r="E165" s="118">
        <f t="shared" ca="1" si="4"/>
        <v>1.0832930441404012E-2</v>
      </c>
    </row>
    <row r="166" spans="1:9" ht="15.6" x14ac:dyDescent="0.35">
      <c r="A166" t="s">
        <v>372</v>
      </c>
      <c r="B166" s="118">
        <f t="shared" ca="1" si="5"/>
        <v>0</v>
      </c>
      <c r="C166" s="4"/>
      <c r="D166" t="s">
        <v>373</v>
      </c>
      <c r="E166" s="118">
        <f t="shared" ca="1" si="4"/>
        <v>0.19433874230799286</v>
      </c>
    </row>
    <row r="167" spans="1:9" ht="15.6" x14ac:dyDescent="0.35">
      <c r="A167" t="s">
        <v>374</v>
      </c>
      <c r="B167" s="118">
        <f t="shared" ca="1" si="5"/>
        <v>0</v>
      </c>
      <c r="C167" s="4"/>
      <c r="D167" t="s">
        <v>375</v>
      </c>
      <c r="E167" s="118">
        <f t="shared" ca="1" si="4"/>
        <v>8.6912075312291448E-2</v>
      </c>
    </row>
    <row r="168" spans="1:9" ht="15.6" x14ac:dyDescent="0.35">
      <c r="A168" t="s">
        <v>376</v>
      </c>
      <c r="B168" s="118">
        <f t="shared" ca="1" si="5"/>
        <v>0.26705805187810078</v>
      </c>
      <c r="C168" s="4"/>
      <c r="D168" t="s">
        <v>377</v>
      </c>
      <c r="E168" s="118">
        <f t="shared" ca="1" si="4"/>
        <v>1.9567100701725487E-2</v>
      </c>
    </row>
    <row r="169" spans="1:9" ht="15.6" x14ac:dyDescent="0.35">
      <c r="A169" t="s">
        <v>378</v>
      </c>
      <c r="B169" s="118">
        <f t="shared" ca="1" si="5"/>
        <v>8.598091283011694E-2</v>
      </c>
      <c r="C169" s="4"/>
      <c r="D169" t="s">
        <v>379</v>
      </c>
      <c r="E169" s="118">
        <f t="shared" ca="1" si="4"/>
        <v>4.1181799277950635E-3</v>
      </c>
    </row>
    <row r="170" spans="1:9" ht="15.6" x14ac:dyDescent="0.35">
      <c r="A170" t="s">
        <v>380</v>
      </c>
      <c r="B170" s="118">
        <f t="shared" ca="1" si="5"/>
        <v>3.9527984935104794E-3</v>
      </c>
      <c r="D170" t="s">
        <v>381</v>
      </c>
      <c r="E170" s="118">
        <f t="shared" ca="1" si="4"/>
        <v>2.2768854708290067E-2</v>
      </c>
    </row>
    <row r="171" spans="1:9" ht="15.6" x14ac:dyDescent="0.35">
      <c r="A171" t="s">
        <v>382</v>
      </c>
      <c r="B171" s="118">
        <f t="shared" ca="1" si="5"/>
        <v>3.5955308229969813E-3</v>
      </c>
      <c r="D171" t="s">
        <v>383</v>
      </c>
      <c r="E171" s="118">
        <f t="shared" ca="1" si="4"/>
        <v>2.1363844727225391E-2</v>
      </c>
    </row>
    <row r="172" spans="1:9" ht="15.6" x14ac:dyDescent="0.35">
      <c r="B172" s="237">
        <f ca="1">SUM(B162:B171)</f>
        <v>1.0000000000000002</v>
      </c>
      <c r="D172" t="s">
        <v>384</v>
      </c>
      <c r="E172" s="118">
        <f t="shared" ca="1" si="4"/>
        <v>4.8688234530612502E-2</v>
      </c>
    </row>
    <row r="173" spans="1:9" ht="15.6" x14ac:dyDescent="0.35">
      <c r="B173" s="118"/>
      <c r="D173" t="s">
        <v>385</v>
      </c>
      <c r="E173" s="118">
        <f t="shared" ca="1" si="4"/>
        <v>0.17707594959013301</v>
      </c>
    </row>
    <row r="174" spans="1:9" ht="15.6" x14ac:dyDescent="0.35">
      <c r="B174" s="118"/>
      <c r="D174" t="s">
        <v>386</v>
      </c>
      <c r="E174" s="118">
        <f t="shared" ca="1" si="4"/>
        <v>7.939484467779484E-2</v>
      </c>
    </row>
    <row r="175" spans="1:9" ht="15.6" x14ac:dyDescent="0.35">
      <c r="B175" s="118"/>
      <c r="D175" t="s">
        <v>387</v>
      </c>
      <c r="E175" s="118">
        <f t="shared" ca="1" si="4"/>
        <v>0</v>
      </c>
    </row>
    <row r="176" spans="1:9" ht="15.6" x14ac:dyDescent="0.35">
      <c r="B176" s="118"/>
      <c r="D176" t="s">
        <v>388</v>
      </c>
      <c r="E176" s="118">
        <f t="shared" ca="1" si="4"/>
        <v>0.18999780668102992</v>
      </c>
    </row>
    <row r="177" spans="1:5" ht="15.6" x14ac:dyDescent="0.35">
      <c r="B177" s="118"/>
      <c r="D177" t="s">
        <v>389</v>
      </c>
      <c r="E177" s="118">
        <f t="shared" ca="1" si="4"/>
        <v>2.8342242044775007E-3</v>
      </c>
    </row>
    <row r="178" spans="1:5" x14ac:dyDescent="0.3">
      <c r="E178" s="237">
        <f ca="1">SUM(E162:E177)</f>
        <v>0.99999999999999989</v>
      </c>
    </row>
    <row r="180" spans="1:5" s="98" customFormat="1" x14ac:dyDescent="0.3">
      <c r="A180" s="98" t="s">
        <v>155</v>
      </c>
      <c r="B180" s="98" t="s">
        <v>156</v>
      </c>
    </row>
    <row r="182" spans="1:5" x14ac:dyDescent="0.3">
      <c r="A182" t="s">
        <v>125</v>
      </c>
      <c r="B182" t="s">
        <v>126</v>
      </c>
    </row>
    <row r="183" spans="1:5" ht="15.6" x14ac:dyDescent="0.35">
      <c r="A183" t="s">
        <v>390</v>
      </c>
      <c r="B183" t="s">
        <v>157</v>
      </c>
    </row>
    <row r="184" spans="1:5" ht="15.6" x14ac:dyDescent="0.35">
      <c r="A184" t="s">
        <v>391</v>
      </c>
      <c r="B184" t="s">
        <v>158</v>
      </c>
    </row>
    <row r="186" spans="1:5" x14ac:dyDescent="0.3">
      <c r="A186" t="s">
        <v>147</v>
      </c>
    </row>
    <row r="187" spans="1:5" x14ac:dyDescent="0.3">
      <c r="A187" s="109"/>
      <c r="B187" s="109"/>
    </row>
    <row r="188" spans="1:5" x14ac:dyDescent="0.3">
      <c r="A188" s="109"/>
      <c r="B188" s="109"/>
    </row>
    <row r="189" spans="1:5" x14ac:dyDescent="0.3">
      <c r="A189" s="109"/>
      <c r="B189" s="109"/>
    </row>
    <row r="190" spans="1:5" x14ac:dyDescent="0.3">
      <c r="A190" s="109"/>
      <c r="B190" s="109"/>
    </row>
    <row r="192" spans="1:5" ht="15.6" x14ac:dyDescent="0.3">
      <c r="A192" s="110" t="s">
        <v>362</v>
      </c>
      <c r="B192" s="111" t="s">
        <v>148</v>
      </c>
      <c r="D192" s="110" t="s">
        <v>363</v>
      </c>
      <c r="E192" s="111" t="s">
        <v>148</v>
      </c>
    </row>
    <row r="193" spans="1:5" ht="15.6" x14ac:dyDescent="0.35">
      <c r="A193" t="s">
        <v>392</v>
      </c>
      <c r="B193" s="7">
        <f t="shared" ref="B193:B202" ca="1" si="6">$B162*$D$5</f>
        <v>1135.546291974028</v>
      </c>
      <c r="C193" s="47"/>
      <c r="D193" t="s">
        <v>393</v>
      </c>
      <c r="E193" s="6">
        <f t="shared" ref="E193:E208" ca="1" si="7">$E162*$D$8</f>
        <v>24.976864394320074</v>
      </c>
    </row>
    <row r="194" spans="1:5" ht="15.6" x14ac:dyDescent="0.35">
      <c r="A194" t="s">
        <v>394</v>
      </c>
      <c r="B194" s="7">
        <f t="shared" ca="1" si="6"/>
        <v>1091.9988641643436</v>
      </c>
      <c r="D194" t="s">
        <v>395</v>
      </c>
      <c r="E194" s="6">
        <f t="shared" ca="1" si="7"/>
        <v>87.820053913241708</v>
      </c>
    </row>
    <row r="195" spans="1:5" ht="15.6" x14ac:dyDescent="0.35">
      <c r="A195" t="s">
        <v>396</v>
      </c>
      <c r="B195" s="7">
        <f t="shared" ca="1" si="6"/>
        <v>816.41613123177513</v>
      </c>
      <c r="D195" t="s">
        <v>397</v>
      </c>
      <c r="E195" s="6">
        <f t="shared" ca="1" si="7"/>
        <v>180.16936274415625</v>
      </c>
    </row>
    <row r="196" spans="1:5" ht="15.6" x14ac:dyDescent="0.35">
      <c r="A196" t="s">
        <v>398</v>
      </c>
      <c r="B196" s="7">
        <f t="shared" ca="1" si="6"/>
        <v>31.849145909051476</v>
      </c>
      <c r="D196" t="s">
        <v>399</v>
      </c>
      <c r="E196" s="6">
        <f t="shared" ca="1" si="7"/>
        <v>22.333020931295525</v>
      </c>
    </row>
    <row r="197" spans="1:5" ht="15.6" x14ac:dyDescent="0.35">
      <c r="A197" t="s">
        <v>400</v>
      </c>
      <c r="B197" s="7">
        <f t="shared" ca="1" si="6"/>
        <v>0</v>
      </c>
      <c r="D197" t="s">
        <v>401</v>
      </c>
      <c r="E197" s="6">
        <f t="shared" ca="1" si="7"/>
        <v>400.64608770473563</v>
      </c>
    </row>
    <row r="198" spans="1:5" ht="15.6" x14ac:dyDescent="0.35">
      <c r="A198" t="s">
        <v>402</v>
      </c>
      <c r="B198" s="7">
        <f t="shared" ca="1" si="6"/>
        <v>0</v>
      </c>
      <c r="D198" t="s">
        <v>403</v>
      </c>
      <c r="E198" s="6">
        <f t="shared" ca="1" si="7"/>
        <v>179.17674332266569</v>
      </c>
    </row>
    <row r="199" spans="1:5" ht="15.6" x14ac:dyDescent="0.35">
      <c r="A199" t="s">
        <v>404</v>
      </c>
      <c r="B199" s="7">
        <f t="shared" ca="1" si="6"/>
        <v>1284.6475126029834</v>
      </c>
      <c r="D199" t="s">
        <v>405</v>
      </c>
      <c r="E199" s="6">
        <f t="shared" ca="1" si="7"/>
        <v>40.339266637049121</v>
      </c>
    </row>
    <row r="200" spans="1:5" ht="15.6" x14ac:dyDescent="0.35">
      <c r="A200" t="s">
        <v>406</v>
      </c>
      <c r="B200" s="7">
        <f t="shared" ca="1" si="6"/>
        <v>413.59983352593753</v>
      </c>
      <c r="D200" t="s">
        <v>407</v>
      </c>
      <c r="E200" s="6">
        <f t="shared" ca="1" si="7"/>
        <v>8.4899832989574904</v>
      </c>
    </row>
    <row r="201" spans="1:5" ht="15.6" x14ac:dyDescent="0.35">
      <c r="A201" t="s">
        <v>408</v>
      </c>
      <c r="B201" s="7">
        <f t="shared" ca="1" si="6"/>
        <v>19.014415468090437</v>
      </c>
      <c r="D201" t="s">
        <v>409</v>
      </c>
      <c r="E201" s="6">
        <f t="shared" ca="1" si="7"/>
        <v>46.939958816532794</v>
      </c>
    </row>
    <row r="202" spans="1:5" ht="15.6" x14ac:dyDescent="0.35">
      <c r="A202" t="s">
        <v>410</v>
      </c>
      <c r="B202" s="7">
        <f t="shared" ca="1" si="6"/>
        <v>17.295826490784027</v>
      </c>
      <c r="D202" t="s">
        <v>411</v>
      </c>
      <c r="E202" s="6">
        <f t="shared" ca="1" si="7"/>
        <v>44.043409495412099</v>
      </c>
    </row>
    <row r="203" spans="1:5" ht="15.6" x14ac:dyDescent="0.35">
      <c r="B203" s="7">
        <f ca="1">SUM(B193:B202)</f>
        <v>4810.3680213669932</v>
      </c>
      <c r="D203" t="s">
        <v>412</v>
      </c>
      <c r="E203" s="6">
        <f t="shared" ca="1" si="7"/>
        <v>100.37499702980341</v>
      </c>
    </row>
    <row r="204" spans="1:5" ht="15.6" x14ac:dyDescent="0.35">
      <c r="B204" s="7"/>
      <c r="D204" t="s">
        <v>413</v>
      </c>
      <c r="E204" s="6">
        <f t="shared" ca="1" si="7"/>
        <v>365.05735082638705</v>
      </c>
    </row>
    <row r="205" spans="1:5" ht="15.6" x14ac:dyDescent="0.35">
      <c r="B205" s="7"/>
      <c r="D205" t="s">
        <v>414</v>
      </c>
      <c r="E205" s="6">
        <f t="shared" ca="1" si="7"/>
        <v>163.67932367119877</v>
      </c>
    </row>
    <row r="206" spans="1:5" ht="15.6" x14ac:dyDescent="0.35">
      <c r="B206" s="7"/>
      <c r="D206" t="s">
        <v>415</v>
      </c>
      <c r="E206" s="6">
        <f t="shared" ca="1" si="7"/>
        <v>0</v>
      </c>
    </row>
    <row r="207" spans="1:5" ht="15.6" x14ac:dyDescent="0.35">
      <c r="B207" s="7"/>
      <c r="D207" t="s">
        <v>416</v>
      </c>
      <c r="E207" s="6">
        <f t="shared" ca="1" si="7"/>
        <v>391.69687430926911</v>
      </c>
    </row>
    <row r="208" spans="1:5" ht="15.6" x14ac:dyDescent="0.35">
      <c r="B208" s="7"/>
      <c r="D208" t="s">
        <v>417</v>
      </c>
      <c r="E208" s="6">
        <f t="shared" ca="1" si="7"/>
        <v>5.8429977765440908</v>
      </c>
    </row>
    <row r="209" spans="1:5" x14ac:dyDescent="0.3">
      <c r="B209" s="7"/>
      <c r="E209" s="6">
        <f ca="1">SUM(E193:E208)</f>
        <v>2061.586294871569</v>
      </c>
    </row>
    <row r="210" spans="1:5" x14ac:dyDescent="0.3">
      <c r="B210" s="119"/>
      <c r="E210" s="120"/>
    </row>
    <row r="211" spans="1:5" s="98" customFormat="1" x14ac:dyDescent="0.3">
      <c r="A211" s="98" t="s">
        <v>159</v>
      </c>
      <c r="B211" s="98" t="s">
        <v>160</v>
      </c>
    </row>
    <row r="213" spans="1:5" x14ac:dyDescent="0.3">
      <c r="A213" t="s">
        <v>125</v>
      </c>
      <c r="B213" t="s">
        <v>126</v>
      </c>
    </row>
    <row r="214" spans="1:5" ht="15.6" x14ac:dyDescent="0.35">
      <c r="A214" t="s">
        <v>418</v>
      </c>
      <c r="B214" t="s">
        <v>161</v>
      </c>
    </row>
    <row r="215" spans="1:5" ht="15.6" x14ac:dyDescent="0.35">
      <c r="A215" t="s">
        <v>419</v>
      </c>
      <c r="B215" t="s">
        <v>162</v>
      </c>
    </row>
    <row r="217" spans="1:5" x14ac:dyDescent="0.3">
      <c r="A217" t="s">
        <v>147</v>
      </c>
    </row>
    <row r="218" spans="1:5" x14ac:dyDescent="0.3">
      <c r="A218" s="109"/>
      <c r="B218" s="109"/>
    </row>
    <row r="219" spans="1:5" x14ac:dyDescent="0.3">
      <c r="A219" s="109"/>
      <c r="B219" s="109"/>
    </row>
    <row r="220" spans="1:5" x14ac:dyDescent="0.3">
      <c r="A220" s="109"/>
      <c r="B220" s="109"/>
    </row>
    <row r="221" spans="1:5" x14ac:dyDescent="0.3">
      <c r="A221" s="109"/>
      <c r="B221" s="109"/>
    </row>
    <row r="222" spans="1:5" x14ac:dyDescent="0.3">
      <c r="A222" s="109"/>
      <c r="B222" s="109"/>
    </row>
    <row r="223" spans="1:5" x14ac:dyDescent="0.3">
      <c r="A223" s="109"/>
      <c r="B223" s="109"/>
    </row>
    <row r="225" spans="1:22" ht="15.6" x14ac:dyDescent="0.3">
      <c r="A225" s="111" t="s">
        <v>420</v>
      </c>
      <c r="B225" s="111" t="s">
        <v>163</v>
      </c>
      <c r="C225" s="111" t="s">
        <v>421</v>
      </c>
      <c r="E225" s="121"/>
      <c r="F225" s="121"/>
      <c r="G225" s="122"/>
      <c r="H225" s="110" t="s">
        <v>422</v>
      </c>
      <c r="I225" s="111" t="s">
        <v>164</v>
      </c>
      <c r="J225" s="111" t="s">
        <v>423</v>
      </c>
      <c r="Q225" s="123"/>
      <c r="R225" s="122"/>
      <c r="S225" s="121"/>
      <c r="T225" s="121"/>
      <c r="U225" s="121"/>
    </row>
    <row r="226" spans="1:22" ht="15.6" x14ac:dyDescent="0.3">
      <c r="A226" s="49" t="s">
        <v>424</v>
      </c>
      <c r="B226" s="49" t="str">
        <f>B24</f>
        <v>PR-CARAGUATATUBA</v>
      </c>
      <c r="C226" s="12">
        <f ca="1">IFERROR($B193/$H24*1000000," ")</f>
        <v>5.8825117756518956</v>
      </c>
      <c r="D226" s="124"/>
      <c r="E226" s="8"/>
      <c r="F226" s="8"/>
      <c r="G226" s="125"/>
      <c r="H226" s="49" t="s">
        <v>425</v>
      </c>
      <c r="I226" s="49" t="str">
        <f t="shared" ref="I226:I241" si="8">B41</f>
        <v>NTS MG 1</v>
      </c>
      <c r="J226" s="12">
        <f ca="1">IFERROR($E193/$H41*1000000," ")</f>
        <v>3.0221927446807046</v>
      </c>
      <c r="L226" s="21"/>
      <c r="M226" s="126"/>
      <c r="Q226" s="8"/>
      <c r="R226" s="127"/>
      <c r="S226" s="128"/>
      <c r="T226" s="128"/>
      <c r="U226" s="128"/>
    </row>
    <row r="227" spans="1:22" ht="15.6" x14ac:dyDescent="0.3">
      <c r="A227" s="49" t="s">
        <v>426</v>
      </c>
      <c r="B227" s="49" t="str">
        <f t="shared" ref="B227:B235" si="9">B25</f>
        <v>PR-GNLBGB</v>
      </c>
      <c r="C227" s="12">
        <f t="shared" ref="C227:C235" ca="1" si="10">IFERROR($B194/$H25*1000000," ")</f>
        <v>4.0101916164727234</v>
      </c>
      <c r="D227" s="124"/>
      <c r="E227" s="8"/>
      <c r="F227" s="8"/>
      <c r="G227" s="125"/>
      <c r="H227" s="49" t="s">
        <v>427</v>
      </c>
      <c r="I227" s="49" t="str">
        <f t="shared" si="8"/>
        <v>NTS MG 2</v>
      </c>
      <c r="J227" s="12">
        <f t="shared" ref="J227:J241" ca="1" si="11">IFERROR($E194/$H42*1000000," ")</f>
        <v>3.8439229751306403</v>
      </c>
      <c r="L227" s="21"/>
      <c r="M227" s="126"/>
      <c r="Q227" s="8"/>
      <c r="R227" s="127"/>
      <c r="S227" s="128"/>
      <c r="T227" s="128"/>
      <c r="U227" s="128"/>
    </row>
    <row r="228" spans="1:22" ht="15.6" x14ac:dyDescent="0.3">
      <c r="A228" s="49" t="s">
        <v>428</v>
      </c>
      <c r="B228" s="49" t="str">
        <f t="shared" si="9"/>
        <v>PR-ITABORAÍ</v>
      </c>
      <c r="C228" s="12">
        <f t="shared" ca="1" si="10"/>
        <v>4.6125507613884382</v>
      </c>
      <c r="D228" s="124"/>
      <c r="E228" s="8"/>
      <c r="F228" s="8"/>
      <c r="G228" s="125"/>
      <c r="H228" s="49" t="s">
        <v>429</v>
      </c>
      <c r="I228" s="49" t="str">
        <f t="shared" si="8"/>
        <v>NTS MG 3</v>
      </c>
      <c r="J228" s="12">
        <f t="shared" ca="1" si="11"/>
        <v>4.8348062940215133</v>
      </c>
      <c r="L228" s="21"/>
      <c r="M228" s="126"/>
      <c r="Q228" s="8"/>
      <c r="R228" s="127"/>
      <c r="S228" s="128"/>
      <c r="T228" s="128"/>
      <c r="U228" s="128"/>
    </row>
    <row r="229" spans="1:22" ht="15.6" x14ac:dyDescent="0.3">
      <c r="A229" s="49" t="s">
        <v>430</v>
      </c>
      <c r="B229" s="49" t="str">
        <f t="shared" si="9"/>
        <v>PR-GASPAJ (INTERCONEXÃO)</v>
      </c>
      <c r="C229" s="12">
        <f t="shared" ca="1" si="10"/>
        <v>6.9827407339491367</v>
      </c>
      <c r="D229" s="124"/>
      <c r="E229" s="8"/>
      <c r="F229" s="8"/>
      <c r="G229" s="125"/>
      <c r="H229" s="49" t="s">
        <v>431</v>
      </c>
      <c r="I229" s="49" t="str">
        <f t="shared" si="8"/>
        <v>NTS MG 4</v>
      </c>
      <c r="J229" s="12">
        <f t="shared" ca="1" si="11"/>
        <v>4.8963854608351189</v>
      </c>
      <c r="L229" s="21"/>
      <c r="M229" s="126"/>
      <c r="Q229" s="8"/>
      <c r="R229" s="127"/>
      <c r="S229" s="128"/>
      <c r="T229" s="128"/>
      <c r="U229" s="128"/>
    </row>
    <row r="230" spans="1:22" ht="15.6" x14ac:dyDescent="0.3">
      <c r="A230" s="49" t="s">
        <v>432</v>
      </c>
      <c r="B230" s="49" t="str">
        <f t="shared" si="9"/>
        <v>PR-REDUC</v>
      </c>
      <c r="C230" s="12" t="str">
        <f t="shared" ca="1" si="10"/>
        <v xml:space="preserve"> </v>
      </c>
      <c r="D230" s="124"/>
      <c r="E230" s="8"/>
      <c r="F230" s="8"/>
      <c r="G230" s="125"/>
      <c r="H230" s="49" t="s">
        <v>433</v>
      </c>
      <c r="I230" s="49" t="str">
        <f t="shared" si="8"/>
        <v>NTS RJ 1</v>
      </c>
      <c r="J230" s="12">
        <f t="shared" ca="1" si="11"/>
        <v>1.6538063732631905</v>
      </c>
      <c r="L230" s="21"/>
      <c r="M230" s="126"/>
      <c r="Q230" s="8"/>
      <c r="R230" s="127"/>
      <c r="S230" s="128"/>
      <c r="T230" s="128"/>
      <c r="U230" s="128"/>
    </row>
    <row r="231" spans="1:22" ht="15.6" x14ac:dyDescent="0.3">
      <c r="A231" s="49" t="s">
        <v>434</v>
      </c>
      <c r="B231" s="49" t="str">
        <f t="shared" si="9"/>
        <v>PR-RPBC</v>
      </c>
      <c r="C231" s="12" t="str">
        <f t="shared" ca="1" si="10"/>
        <v xml:space="preserve"> </v>
      </c>
      <c r="D231" s="124"/>
      <c r="E231" s="8"/>
      <c r="F231" s="8"/>
      <c r="G231" s="125"/>
      <c r="H231" s="49" t="s">
        <v>435</v>
      </c>
      <c r="I231" s="49" t="str">
        <f t="shared" si="8"/>
        <v>NTS RJ 2</v>
      </c>
      <c r="J231" s="12">
        <f t="shared" ca="1" si="11"/>
        <v>1.565543670875754</v>
      </c>
      <c r="L231" s="21"/>
      <c r="M231" s="126"/>
      <c r="Q231" s="8"/>
      <c r="R231" s="127"/>
      <c r="S231" s="128"/>
      <c r="T231" s="128"/>
      <c r="U231" s="128"/>
    </row>
    <row r="232" spans="1:22" ht="15.6" x14ac:dyDescent="0.3">
      <c r="A232" s="49" t="s">
        <v>436</v>
      </c>
      <c r="B232" s="49" t="str">
        <f t="shared" si="9"/>
        <v>PR-TECAB</v>
      </c>
      <c r="C232" s="12">
        <f t="shared" ca="1" si="10"/>
        <v>6.3516163495633879</v>
      </c>
      <c r="D232" s="124"/>
      <c r="E232" s="8"/>
      <c r="F232" s="8"/>
      <c r="G232" s="125"/>
      <c r="H232" s="49" t="s">
        <v>437</v>
      </c>
      <c r="I232" s="49" t="str">
        <f t="shared" si="8"/>
        <v>NTS RJ 3</v>
      </c>
      <c r="J232" s="12">
        <f t="shared" ca="1" si="11"/>
        <v>1.7285825110243003</v>
      </c>
      <c r="L232" s="21"/>
      <c r="M232" s="126"/>
      <c r="Q232" s="8"/>
      <c r="R232" s="127"/>
      <c r="S232" s="128"/>
      <c r="T232" s="128"/>
      <c r="U232" s="128"/>
    </row>
    <row r="233" spans="1:22" ht="15.6" x14ac:dyDescent="0.3">
      <c r="A233" s="49" t="s">
        <v>438</v>
      </c>
      <c r="B233" s="49" t="str">
        <f t="shared" si="9"/>
        <v>PR-GUARAREMA (INTERCONEXÃO)</v>
      </c>
      <c r="C233" s="12">
        <f t="shared" ca="1" si="10"/>
        <v>5.062931349748518</v>
      </c>
      <c r="D233" s="124"/>
      <c r="E233" s="8"/>
      <c r="F233" s="8"/>
      <c r="G233" s="125"/>
      <c r="H233" s="49" t="s">
        <v>439</v>
      </c>
      <c r="I233" s="49" t="str">
        <f t="shared" si="8"/>
        <v>NTS RJ 4</v>
      </c>
      <c r="J233" s="12">
        <f t="shared" ca="1" si="11"/>
        <v>1.9305330783225547</v>
      </c>
      <c r="L233" s="21"/>
      <c r="M233" s="126"/>
      <c r="Q233" s="8"/>
      <c r="R233" s="127"/>
      <c r="S233" s="128"/>
      <c r="T233" s="128"/>
      <c r="U233" s="128"/>
    </row>
    <row r="234" spans="1:22" ht="15.6" x14ac:dyDescent="0.3">
      <c r="A234" s="49" t="s">
        <v>440</v>
      </c>
      <c r="B234" s="49" t="str">
        <f t="shared" si="9"/>
        <v>PR-REPLAN (INTERCONEXÃO)</v>
      </c>
      <c r="C234" s="12">
        <f t="shared" ca="1" si="10"/>
        <v>6.9827407339491376</v>
      </c>
      <c r="D234" s="119"/>
      <c r="E234" s="8"/>
      <c r="F234" s="8"/>
      <c r="G234" s="119"/>
      <c r="H234" s="49" t="s">
        <v>441</v>
      </c>
      <c r="I234" s="49" t="str">
        <f t="shared" si="8"/>
        <v>NTS RJ 5</v>
      </c>
      <c r="J234" s="12">
        <f t="shared" ca="1" si="11"/>
        <v>1.620108178399543</v>
      </c>
      <c r="L234" s="21"/>
      <c r="Q234" s="8"/>
      <c r="R234" s="127"/>
      <c r="S234" s="128"/>
      <c r="T234" s="128"/>
      <c r="U234" s="128"/>
    </row>
    <row r="235" spans="1:22" ht="15.6" x14ac:dyDescent="0.3">
      <c r="A235" s="49" t="s">
        <v>442</v>
      </c>
      <c r="B235" s="49" t="str">
        <f t="shared" si="9"/>
        <v>PR-TECAB (INTERCONEXÃO)</v>
      </c>
      <c r="C235" s="12">
        <f t="shared" ca="1" si="10"/>
        <v>6.3516163495633879</v>
      </c>
      <c r="D235" s="119"/>
      <c r="E235" s="8"/>
      <c r="F235" s="8"/>
      <c r="G235" s="119"/>
      <c r="H235" s="49" t="s">
        <v>443</v>
      </c>
      <c r="I235" s="49" t="str">
        <f t="shared" si="8"/>
        <v>NTS SP 1</v>
      </c>
      <c r="J235" s="12">
        <f t="shared" ca="1" si="11"/>
        <v>2.615075099454192</v>
      </c>
      <c r="L235" s="21"/>
      <c r="Q235" s="8"/>
      <c r="R235" s="127"/>
      <c r="S235" s="128"/>
      <c r="T235" s="128"/>
      <c r="U235" s="128"/>
    </row>
    <row r="236" spans="1:22" ht="15.6" x14ac:dyDescent="0.3">
      <c r="D236" s="119"/>
      <c r="E236" s="8"/>
      <c r="F236" s="8"/>
      <c r="G236" s="119"/>
      <c r="H236" s="49" t="s">
        <v>444</v>
      </c>
      <c r="I236" s="49" t="str">
        <f t="shared" si="8"/>
        <v>NTS SP 2</v>
      </c>
      <c r="J236" s="12">
        <f t="shared" ca="1" si="11"/>
        <v>2.480559645051585</v>
      </c>
      <c r="K236" s="119"/>
      <c r="L236" s="21"/>
      <c r="Q236" s="8"/>
      <c r="R236" s="127"/>
      <c r="S236" s="128"/>
      <c r="T236" s="128"/>
      <c r="U236" s="128"/>
    </row>
    <row r="237" spans="1:22" ht="15.6" x14ac:dyDescent="0.3">
      <c r="D237" s="119"/>
      <c r="E237" s="8"/>
      <c r="F237" s="8"/>
      <c r="G237" s="119"/>
      <c r="H237" s="49" t="s">
        <v>445</v>
      </c>
      <c r="I237" s="49" t="str">
        <f t="shared" si="8"/>
        <v>NTS SP 3</v>
      </c>
      <c r="J237" s="12">
        <f t="shared" ca="1" si="11"/>
        <v>3.3645749314626756</v>
      </c>
      <c r="L237" s="21"/>
      <c r="Q237" s="8"/>
      <c r="R237" s="127"/>
      <c r="S237" s="128"/>
      <c r="T237" s="128"/>
      <c r="U237" s="128"/>
    </row>
    <row r="238" spans="1:22" ht="15.6" x14ac:dyDescent="0.3">
      <c r="D238" s="119"/>
      <c r="E238" s="8"/>
      <c r="F238" s="8"/>
      <c r="G238" s="119"/>
      <c r="H238" s="49" t="s">
        <v>446</v>
      </c>
      <c r="I238" s="49" t="str">
        <f t="shared" si="8"/>
        <v>NTS SP 4</v>
      </c>
      <c r="J238" s="12">
        <f t="shared" ca="1" si="11"/>
        <v>3.664042691751205</v>
      </c>
      <c r="L238" s="21"/>
      <c r="Q238" s="8"/>
      <c r="R238" s="127"/>
      <c r="S238" s="128"/>
      <c r="T238" s="128"/>
      <c r="U238" s="128"/>
    </row>
    <row r="239" spans="1:22" ht="15.6" x14ac:dyDescent="0.3">
      <c r="D239" s="119"/>
      <c r="E239" s="8"/>
      <c r="F239" s="8"/>
      <c r="G239" s="119"/>
      <c r="H239" s="49" t="s">
        <v>447</v>
      </c>
      <c r="I239" s="49" t="str">
        <f t="shared" si="8"/>
        <v>PE-GUARAREMA (INTERCONEXÃO)</v>
      </c>
      <c r="J239" s="12" t="str">
        <f t="shared" ca="1" si="11"/>
        <v xml:space="preserve"> </v>
      </c>
      <c r="L239" s="21"/>
      <c r="Q239" s="8"/>
      <c r="R239" s="127"/>
      <c r="S239" s="10"/>
      <c r="T239" s="10"/>
      <c r="U239" s="10"/>
    </row>
    <row r="240" spans="1:22" ht="15.6" x14ac:dyDescent="0.3">
      <c r="E240" s="8"/>
      <c r="F240" s="8"/>
      <c r="G240" s="119"/>
      <c r="H240" s="49" t="s">
        <v>448</v>
      </c>
      <c r="I240" s="49" t="str">
        <f t="shared" si="8"/>
        <v>PE-REPLAN (INTERCONEXÃO)</v>
      </c>
      <c r="J240" s="12">
        <f t="shared" ca="1" si="11"/>
        <v>4.1033926158681719</v>
      </c>
      <c r="L240" s="21"/>
      <c r="Q240" s="8"/>
      <c r="R240" s="129"/>
      <c r="S240" s="10"/>
      <c r="T240" s="10"/>
      <c r="U240" s="10"/>
      <c r="V240" s="119"/>
    </row>
    <row r="241" spans="1:22" ht="15.6" x14ac:dyDescent="0.3">
      <c r="E241" s="8"/>
      <c r="F241" s="8"/>
      <c r="G241" s="119"/>
      <c r="H241" s="49" t="s">
        <v>449</v>
      </c>
      <c r="I241" s="49" t="str">
        <f t="shared" si="8"/>
        <v>PE-TECAB (INTERCONEXÃO)</v>
      </c>
      <c r="J241" s="12">
        <f t="shared" ca="1" si="11"/>
        <v>2.1457477171001411</v>
      </c>
      <c r="L241" s="21"/>
      <c r="P241" s="125"/>
      <c r="Q241" s="129"/>
      <c r="R241" s="129"/>
      <c r="S241" s="8"/>
      <c r="T241" s="8"/>
      <c r="U241" s="8"/>
      <c r="V241" s="119"/>
    </row>
    <row r="242" spans="1:22" x14ac:dyDescent="0.3">
      <c r="L242" s="21"/>
    </row>
    <row r="243" spans="1:22" x14ac:dyDescent="0.3">
      <c r="L243" s="21"/>
    </row>
    <row r="244" spans="1:22" ht="15.6" x14ac:dyDescent="0.3">
      <c r="A244" s="111" t="s">
        <v>420</v>
      </c>
      <c r="B244" s="111" t="s">
        <v>163</v>
      </c>
      <c r="C244" s="111" t="s">
        <v>421</v>
      </c>
      <c r="D244" s="111" t="s">
        <v>450</v>
      </c>
      <c r="E244" s="111" t="s">
        <v>451</v>
      </c>
      <c r="G244" s="122"/>
      <c r="H244" s="111" t="s">
        <v>422</v>
      </c>
      <c r="I244" s="111" t="s">
        <v>164</v>
      </c>
      <c r="J244" s="111" t="s">
        <v>423</v>
      </c>
      <c r="K244" s="111" t="s">
        <v>452</v>
      </c>
      <c r="L244" s="111" t="s">
        <v>453</v>
      </c>
    </row>
    <row r="245" spans="1:22" ht="15.6" x14ac:dyDescent="0.3">
      <c r="A245" s="49" t="s">
        <v>424</v>
      </c>
      <c r="B245" s="49" t="str">
        <f t="shared" ref="B245:B254" si="12">B226</f>
        <v>PR-CARAGUATATUBA</v>
      </c>
      <c r="C245" s="12">
        <f ca="1">IF(H24=0," ",C226*(1-$C$11))</f>
        <v>1.1765023551303788</v>
      </c>
      <c r="D245" s="12">
        <f t="shared" ref="D245:D254" si="13">$F$7*$C$11</f>
        <v>4.1101231121047856</v>
      </c>
      <c r="E245" s="12">
        <f ca="1">IFERROR(C245+D245," ")</f>
        <v>5.2866254672351642</v>
      </c>
      <c r="G245" s="126"/>
      <c r="H245" s="49" t="s">
        <v>425</v>
      </c>
      <c r="I245" s="49" t="str">
        <f t="shared" ref="I245:I260" si="14">I226</f>
        <v>NTS MG 1</v>
      </c>
      <c r="J245" s="12">
        <f ca="1">IF(H41=0," ",J226*(1-$C$11))</f>
        <v>0.6044385489361408</v>
      </c>
      <c r="K245" s="12">
        <f t="shared" ref="K245:K260" si="15">$F$10*$C$11</f>
        <v>2.0745242992918818</v>
      </c>
      <c r="L245" s="12">
        <f ca="1">IFERROR(J245+K245," ")</f>
        <v>2.6789628482280223</v>
      </c>
    </row>
    <row r="246" spans="1:22" ht="15.6" x14ac:dyDescent="0.3">
      <c r="A246" s="49" t="s">
        <v>426</v>
      </c>
      <c r="B246" s="49" t="str">
        <f t="shared" si="12"/>
        <v>PR-GNLBGB</v>
      </c>
      <c r="C246" s="12">
        <f t="shared" ref="C246:C254" ca="1" si="16">IF(H25=0," ",C227*(1-$C$11))</f>
        <v>0.8020383232945445</v>
      </c>
      <c r="D246" s="12">
        <f t="shared" si="13"/>
        <v>4.1101231121047856</v>
      </c>
      <c r="E246" s="12">
        <f t="shared" ref="E246:E254" ca="1" si="17">IFERROR(C246+D246," ")</f>
        <v>4.9121614353993301</v>
      </c>
      <c r="G246" s="126"/>
      <c r="H246" s="49" t="s">
        <v>427</v>
      </c>
      <c r="I246" s="49" t="str">
        <f t="shared" si="14"/>
        <v>NTS MG 2</v>
      </c>
      <c r="J246" s="12">
        <f t="shared" ref="J246:J247" ca="1" si="18">IF(H42=0," ",J227*(1-$C$11))</f>
        <v>0.76878459502612784</v>
      </c>
      <c r="K246" s="12">
        <f t="shared" si="15"/>
        <v>2.0745242992918818</v>
      </c>
      <c r="L246" s="12">
        <f t="shared" ref="L246:L260" ca="1" si="19">IFERROR(J246+K246," ")</f>
        <v>2.8433088943180094</v>
      </c>
    </row>
    <row r="247" spans="1:22" ht="15.6" x14ac:dyDescent="0.3">
      <c r="A247" s="49" t="s">
        <v>428</v>
      </c>
      <c r="B247" s="49" t="str">
        <f t="shared" si="12"/>
        <v>PR-ITABORAÍ</v>
      </c>
      <c r="C247" s="12">
        <f t="shared" ca="1" si="16"/>
        <v>0.9225101522776874</v>
      </c>
      <c r="D247" s="12">
        <f t="shared" si="13"/>
        <v>4.1101231121047856</v>
      </c>
      <c r="E247" s="12">
        <f t="shared" ca="1" si="17"/>
        <v>5.0326332643824729</v>
      </c>
      <c r="G247" s="126"/>
      <c r="H247" s="49" t="s">
        <v>429</v>
      </c>
      <c r="I247" s="49" t="str">
        <f t="shared" si="14"/>
        <v>NTS MG 3</v>
      </c>
      <c r="J247" s="12">
        <f t="shared" ca="1" si="18"/>
        <v>0.96696125880430239</v>
      </c>
      <c r="K247" s="12">
        <f t="shared" si="15"/>
        <v>2.0745242992918818</v>
      </c>
      <c r="L247" s="12">
        <f t="shared" ca="1" si="19"/>
        <v>3.0414855580961841</v>
      </c>
    </row>
    <row r="248" spans="1:22" ht="15.6" x14ac:dyDescent="0.3">
      <c r="A248" s="49" t="s">
        <v>430</v>
      </c>
      <c r="B248" s="49" t="str">
        <f t="shared" si="12"/>
        <v>PR-GASPAJ (INTERCONEXÃO)</v>
      </c>
      <c r="C248" s="12">
        <f t="shared" ca="1" si="16"/>
        <v>1.3965481467898271</v>
      </c>
      <c r="D248" s="12">
        <f t="shared" si="13"/>
        <v>4.1101231121047856</v>
      </c>
      <c r="E248" s="12">
        <f t="shared" ca="1" si="17"/>
        <v>5.5066712588946132</v>
      </c>
      <c r="G248" s="126"/>
      <c r="H248" s="49" t="s">
        <v>431</v>
      </c>
      <c r="I248" s="49" t="str">
        <f t="shared" si="14"/>
        <v>NTS MG 4</v>
      </c>
      <c r="J248" s="12">
        <f ca="1">IF(H44=0," ",J229*(1-$C$11))</f>
        <v>0.97927709216702352</v>
      </c>
      <c r="K248" s="12">
        <f t="shared" si="15"/>
        <v>2.0745242992918818</v>
      </c>
      <c r="L248" s="12">
        <f t="shared" ca="1" si="19"/>
        <v>3.0538013914589053</v>
      </c>
    </row>
    <row r="249" spans="1:22" ht="15.6" x14ac:dyDescent="0.3">
      <c r="A249" s="49" t="s">
        <v>432</v>
      </c>
      <c r="B249" s="49" t="str">
        <f t="shared" si="12"/>
        <v>PR-REDUC</v>
      </c>
      <c r="C249" s="12" t="str">
        <f t="shared" si="16"/>
        <v xml:space="preserve"> </v>
      </c>
      <c r="D249" s="12"/>
      <c r="E249" s="12" t="str">
        <f t="shared" si="17"/>
        <v xml:space="preserve"> </v>
      </c>
      <c r="G249" s="126"/>
      <c r="H249" s="49" t="s">
        <v>433</v>
      </c>
      <c r="I249" s="49" t="str">
        <f t="shared" si="14"/>
        <v>NTS RJ 1</v>
      </c>
      <c r="J249" s="12">
        <f t="shared" ref="J249:J260" ca="1" si="20">IF(H45=0," ",J230*(1-$C$11))</f>
        <v>0.33076127465263799</v>
      </c>
      <c r="K249" s="12">
        <f t="shared" si="15"/>
        <v>2.0745242992918818</v>
      </c>
      <c r="L249" s="12">
        <f t="shared" ca="1" si="19"/>
        <v>2.4052855739445196</v>
      </c>
    </row>
    <row r="250" spans="1:22" ht="15.6" x14ac:dyDescent="0.3">
      <c r="A250" s="49" t="s">
        <v>434</v>
      </c>
      <c r="B250" s="49" t="str">
        <f t="shared" si="12"/>
        <v>PR-RPBC</v>
      </c>
      <c r="C250" s="12" t="str">
        <f t="shared" si="16"/>
        <v xml:space="preserve"> </v>
      </c>
      <c r="D250" s="12"/>
      <c r="E250" s="12" t="str">
        <f t="shared" si="17"/>
        <v xml:space="preserve"> </v>
      </c>
      <c r="G250" s="126"/>
      <c r="H250" s="49" t="s">
        <v>435</v>
      </c>
      <c r="I250" s="49" t="str">
        <f t="shared" si="14"/>
        <v>NTS RJ 2</v>
      </c>
      <c r="J250" s="12">
        <f t="shared" ca="1" si="20"/>
        <v>0.31310873417515073</v>
      </c>
      <c r="K250" s="12">
        <f t="shared" si="15"/>
        <v>2.0745242992918818</v>
      </c>
      <c r="L250" s="12">
        <f t="shared" ca="1" si="19"/>
        <v>2.3876330334670324</v>
      </c>
    </row>
    <row r="251" spans="1:22" ht="15.6" x14ac:dyDescent="0.3">
      <c r="A251" s="49" t="s">
        <v>436</v>
      </c>
      <c r="B251" s="49" t="str">
        <f t="shared" si="12"/>
        <v>PR-TECAB</v>
      </c>
      <c r="C251" s="12">
        <f t="shared" ca="1" si="16"/>
        <v>1.2703232699126774</v>
      </c>
      <c r="D251" s="12">
        <f t="shared" si="13"/>
        <v>4.1101231121047856</v>
      </c>
      <c r="E251" s="12">
        <f t="shared" ca="1" si="17"/>
        <v>5.3804463820174631</v>
      </c>
      <c r="G251" s="126"/>
      <c r="H251" s="49" t="s">
        <v>437</v>
      </c>
      <c r="I251" s="49" t="str">
        <f t="shared" si="14"/>
        <v>NTS RJ 3</v>
      </c>
      <c r="J251" s="12">
        <f t="shared" ca="1" si="20"/>
        <v>0.34571650220486</v>
      </c>
      <c r="K251" s="12">
        <f t="shared" si="15"/>
        <v>2.0745242992918818</v>
      </c>
      <c r="L251" s="12">
        <f t="shared" ca="1" si="19"/>
        <v>2.4202408014967416</v>
      </c>
    </row>
    <row r="252" spans="1:22" ht="15.6" x14ac:dyDescent="0.3">
      <c r="A252" s="49" t="s">
        <v>438</v>
      </c>
      <c r="B252" s="49" t="str">
        <f t="shared" si="12"/>
        <v>PR-GUARAREMA (INTERCONEXÃO)</v>
      </c>
      <c r="C252" s="12">
        <f t="shared" ca="1" si="16"/>
        <v>1.0125862699497035</v>
      </c>
      <c r="D252" s="12">
        <f t="shared" si="13"/>
        <v>4.1101231121047856</v>
      </c>
      <c r="E252" s="12">
        <f t="shared" ca="1" si="17"/>
        <v>5.1227093820544889</v>
      </c>
      <c r="G252" s="126"/>
      <c r="H252" s="49" t="s">
        <v>439</v>
      </c>
      <c r="I252" s="49" t="str">
        <f t="shared" si="14"/>
        <v>NTS RJ 4</v>
      </c>
      <c r="J252" s="12">
        <f t="shared" ca="1" si="20"/>
        <v>0.38610661566451088</v>
      </c>
      <c r="K252" s="12">
        <f t="shared" si="15"/>
        <v>2.0745242992918818</v>
      </c>
      <c r="L252" s="12">
        <f t="shared" ca="1" si="19"/>
        <v>2.4606309149563925</v>
      </c>
    </row>
    <row r="253" spans="1:22" ht="15.6" x14ac:dyDescent="0.3">
      <c r="A253" s="49" t="s">
        <v>440</v>
      </c>
      <c r="B253" s="49" t="str">
        <f t="shared" si="12"/>
        <v>PR-REPLAN (INTERCONEXÃO)</v>
      </c>
      <c r="C253" s="12">
        <f t="shared" ca="1" si="16"/>
        <v>1.3965481467898273</v>
      </c>
      <c r="D253" s="12">
        <f t="shared" si="13"/>
        <v>4.1101231121047856</v>
      </c>
      <c r="E253" s="12">
        <f t="shared" ca="1" si="17"/>
        <v>5.5066712588946132</v>
      </c>
      <c r="G253" s="126"/>
      <c r="H253" s="49" t="s">
        <v>441</v>
      </c>
      <c r="I253" s="49" t="str">
        <f t="shared" si="14"/>
        <v>NTS RJ 5</v>
      </c>
      <c r="J253" s="12">
        <f t="shared" ca="1" si="20"/>
        <v>0.32402163567990855</v>
      </c>
      <c r="K253" s="12">
        <f t="shared" si="15"/>
        <v>2.0745242992918818</v>
      </c>
      <c r="L253" s="12">
        <f t="shared" ca="1" si="19"/>
        <v>2.3985459349717901</v>
      </c>
    </row>
    <row r="254" spans="1:22" ht="15.6" x14ac:dyDescent="0.3">
      <c r="A254" s="49" t="s">
        <v>442</v>
      </c>
      <c r="B254" s="49" t="str">
        <f t="shared" si="12"/>
        <v>PR-TECAB (INTERCONEXÃO)</v>
      </c>
      <c r="C254" s="12">
        <f t="shared" ca="1" si="16"/>
        <v>1.2703232699126774</v>
      </c>
      <c r="D254" s="12">
        <f t="shared" si="13"/>
        <v>4.1101231121047856</v>
      </c>
      <c r="E254" s="12">
        <f t="shared" ca="1" si="17"/>
        <v>5.3804463820174631</v>
      </c>
      <c r="G254" s="126"/>
      <c r="H254" s="49" t="s">
        <v>443</v>
      </c>
      <c r="I254" s="49" t="str">
        <f t="shared" si="14"/>
        <v>NTS SP 1</v>
      </c>
      <c r="J254" s="12">
        <f t="shared" ca="1" si="20"/>
        <v>0.52301501989083832</v>
      </c>
      <c r="K254" s="12">
        <f t="shared" si="15"/>
        <v>2.0745242992918818</v>
      </c>
      <c r="L254" s="12">
        <f t="shared" ca="1" si="19"/>
        <v>2.5975393191827201</v>
      </c>
    </row>
    <row r="255" spans="1:22" ht="15.6" x14ac:dyDescent="0.3">
      <c r="H255" s="49" t="s">
        <v>444</v>
      </c>
      <c r="I255" s="49" t="str">
        <f t="shared" si="14"/>
        <v>NTS SP 2</v>
      </c>
      <c r="J255" s="12">
        <f t="shared" ca="1" si="20"/>
        <v>0.49611192901031687</v>
      </c>
      <c r="K255" s="12">
        <f t="shared" si="15"/>
        <v>2.0745242992918818</v>
      </c>
      <c r="L255" s="12">
        <f t="shared" ca="1" si="19"/>
        <v>2.5706362283021988</v>
      </c>
    </row>
    <row r="256" spans="1:22" ht="15.6" x14ac:dyDescent="0.3">
      <c r="H256" s="49" t="s">
        <v>445</v>
      </c>
      <c r="I256" s="49" t="str">
        <f t="shared" si="14"/>
        <v>NTS SP 3</v>
      </c>
      <c r="J256" s="12">
        <f t="shared" ca="1" si="20"/>
        <v>0.67291498629253499</v>
      </c>
      <c r="K256" s="12">
        <f t="shared" si="15"/>
        <v>2.0745242992918818</v>
      </c>
      <c r="L256" s="12">
        <f t="shared" ca="1" si="19"/>
        <v>2.7474392855844165</v>
      </c>
    </row>
    <row r="257" spans="1:13" ht="15.6" x14ac:dyDescent="0.3">
      <c r="H257" s="49" t="s">
        <v>446</v>
      </c>
      <c r="I257" s="49" t="str">
        <f t="shared" si="14"/>
        <v>NTS SP 4</v>
      </c>
      <c r="J257" s="12">
        <f t="shared" ca="1" si="20"/>
        <v>0.73280853835024085</v>
      </c>
      <c r="K257" s="12">
        <f t="shared" si="15"/>
        <v>2.0745242992918818</v>
      </c>
      <c r="L257" s="12">
        <f t="shared" ca="1" si="19"/>
        <v>2.8073328376421225</v>
      </c>
    </row>
    <row r="258" spans="1:13" ht="15.6" x14ac:dyDescent="0.3">
      <c r="H258" s="49" t="s">
        <v>447</v>
      </c>
      <c r="I258" s="49" t="str">
        <f t="shared" si="14"/>
        <v>PE-GUARAREMA (INTERCONEXÃO)</v>
      </c>
      <c r="J258" s="12" t="str">
        <f t="shared" si="20"/>
        <v xml:space="preserve"> </v>
      </c>
      <c r="K258" s="12"/>
      <c r="L258" s="12" t="str">
        <f>IFERROR(J258+K258," ")</f>
        <v xml:space="preserve"> </v>
      </c>
    </row>
    <row r="259" spans="1:13" ht="15.6" x14ac:dyDescent="0.3">
      <c r="H259" s="49" t="s">
        <v>448</v>
      </c>
      <c r="I259" s="49" t="str">
        <f t="shared" si="14"/>
        <v>PE-REPLAN (INTERCONEXÃO)</v>
      </c>
      <c r="J259" s="12">
        <f t="shared" ca="1" si="20"/>
        <v>0.82067852317363421</v>
      </c>
      <c r="K259" s="12">
        <f t="shared" si="15"/>
        <v>2.0745242992918818</v>
      </c>
      <c r="L259" s="12">
        <f t="shared" ca="1" si="19"/>
        <v>2.895202822465516</v>
      </c>
    </row>
    <row r="260" spans="1:13" ht="15.6" x14ac:dyDescent="0.3">
      <c r="H260" s="49" t="s">
        <v>449</v>
      </c>
      <c r="I260" s="49" t="str">
        <f t="shared" si="14"/>
        <v>PE-TECAB (INTERCONEXÃO)</v>
      </c>
      <c r="J260" s="12">
        <f t="shared" ca="1" si="20"/>
        <v>0.42914954342002815</v>
      </c>
      <c r="K260" s="12">
        <f t="shared" si="15"/>
        <v>2.0745242992918818</v>
      </c>
      <c r="L260" s="12">
        <f t="shared" ca="1" si="19"/>
        <v>2.5036738427119101</v>
      </c>
    </row>
    <row r="262" spans="1:13" x14ac:dyDescent="0.3">
      <c r="A262" t="s">
        <v>165</v>
      </c>
      <c r="C262" s="97">
        <v>0.9</v>
      </c>
    </row>
    <row r="263" spans="1:13" x14ac:dyDescent="0.3">
      <c r="J263" s="126"/>
      <c r="K263" s="126"/>
      <c r="L263" s="126"/>
      <c r="M263" s="126"/>
    </row>
    <row r="264" spans="1:13" s="257" customFormat="1" x14ac:dyDescent="0.3">
      <c r="A264" s="249" t="s">
        <v>474</v>
      </c>
      <c r="K264" s="258">
        <f>IFERROR(#REF!*#REF!,0)</f>
        <v>0</v>
      </c>
      <c r="L264" s="259"/>
    </row>
    <row r="265" spans="1:13" x14ac:dyDescent="0.3">
      <c r="L265" s="131"/>
    </row>
    <row r="266" spans="1:13" ht="36" x14ac:dyDescent="0.3">
      <c r="B266" s="250" t="s">
        <v>459</v>
      </c>
      <c r="C266" s="269" t="s">
        <v>466</v>
      </c>
      <c r="D266" s="269" t="s">
        <v>465</v>
      </c>
      <c r="E266" s="275" t="s">
        <v>472</v>
      </c>
      <c r="F266" s="250" t="s">
        <v>476</v>
      </c>
      <c r="L266" s="131"/>
    </row>
    <row r="267" spans="1:13" ht="18" x14ac:dyDescent="0.35">
      <c r="B267" s="251" t="s">
        <v>460</v>
      </c>
      <c r="C267" s="276">
        <f>Oferta!F11</f>
        <v>200</v>
      </c>
      <c r="D267" s="270">
        <f ca="1">E253</f>
        <v>5.5066712588946132</v>
      </c>
      <c r="E267" s="273">
        <f ca="1">D267*(1-$C$262)</f>
        <v>0.55066712588946121</v>
      </c>
      <c r="F267" s="271">
        <f ca="1">C267*E267*Premissas!$C$44*Premissas!$F$20*1000</f>
        <v>1499499.1100521276</v>
      </c>
      <c r="L267" s="131"/>
    </row>
    <row r="268" spans="1:13" ht="18" x14ac:dyDescent="0.35">
      <c r="B268" s="252" t="s">
        <v>461</v>
      </c>
      <c r="C268" s="276">
        <f>Oferta!F10</f>
        <v>6000</v>
      </c>
      <c r="D268" s="270">
        <f ca="1">E252</f>
        <v>5.1227093820544889</v>
      </c>
      <c r="E268" s="273">
        <f t="shared" ref="E268:E270" ca="1" si="21">D268*(1-$C$262)</f>
        <v>0.51227093820544878</v>
      </c>
      <c r="F268" s="271">
        <f ca="1">C268*E268*Premissas!$C$44*Premissas!$F$20*1000</f>
        <v>41848320.691228323</v>
      </c>
      <c r="G268" s="132"/>
      <c r="K268" s="132"/>
      <c r="L268" s="131"/>
    </row>
    <row r="269" spans="1:13" ht="18" x14ac:dyDescent="0.35">
      <c r="B269" s="253" t="s">
        <v>462</v>
      </c>
      <c r="C269" s="276">
        <f>Oferta!F12</f>
        <v>200</v>
      </c>
      <c r="D269" s="270">
        <f ca="1">E254</f>
        <v>5.3804463820174631</v>
      </c>
      <c r="E269" s="273">
        <f t="shared" ca="1" si="21"/>
        <v>0.53804463820174619</v>
      </c>
      <c r="F269" s="271">
        <f ca="1">C269*E269*Premissas!$C$44*Premissas!$F$20*1000</f>
        <v>1465127.3305059995</v>
      </c>
      <c r="K269" s="132"/>
      <c r="L269" s="131"/>
    </row>
    <row r="270" spans="1:13" ht="18" x14ac:dyDescent="0.35">
      <c r="B270" s="253" t="s">
        <v>253</v>
      </c>
      <c r="C270" s="276">
        <f>Oferta!F6</f>
        <v>335</v>
      </c>
      <c r="D270" s="270">
        <f ca="1">E248</f>
        <v>5.5066712588946132</v>
      </c>
      <c r="E270" s="273">
        <f t="shared" ca="1" si="21"/>
        <v>0.55066712588946121</v>
      </c>
      <c r="F270" s="271">
        <f ca="1">C270*E270*Premissas!$C$44*Premissas!$F$20*1000</f>
        <v>2511661.0093373139</v>
      </c>
      <c r="K270" s="132"/>
      <c r="L270" s="131"/>
    </row>
    <row r="271" spans="1:13" ht="18" x14ac:dyDescent="0.35">
      <c r="B271" s="251" t="s">
        <v>463</v>
      </c>
      <c r="C271" s="276">
        <f>Demanda!F17</f>
        <v>7011</v>
      </c>
      <c r="D271" s="270">
        <f ca="1">L259</f>
        <v>2.895202822465516</v>
      </c>
      <c r="E271" s="273">
        <f ca="1">D271*(1-$C$262)</f>
        <v>0.28952028224655152</v>
      </c>
      <c r="F271" s="271">
        <f ca="1">C271*E271*Premissas!$C$44*Premissas!$F$20*1000</f>
        <v>27636689.983446345</v>
      </c>
      <c r="K271" s="132"/>
      <c r="L271" s="131"/>
    </row>
    <row r="272" spans="1:13" ht="18" x14ac:dyDescent="0.35">
      <c r="B272" s="253" t="s">
        <v>464</v>
      </c>
      <c r="C272" s="276">
        <f>Demanda!F18</f>
        <v>200</v>
      </c>
      <c r="D272" s="270">
        <f ca="1">L260</f>
        <v>2.5036738427119101</v>
      </c>
      <c r="E272" s="273">
        <f ca="1">D272*(1-$C$262)</f>
        <v>0.25036738427119093</v>
      </c>
      <c r="F272" s="271">
        <f ca="1">C272*E272*Premissas!$C$44*Premissas!$F$20*1000</f>
        <v>681765.17582073959</v>
      </c>
      <c r="K272" s="132"/>
      <c r="L272" s="131"/>
    </row>
    <row r="273" spans="2:13" ht="18.600000000000001" thickBot="1" x14ac:dyDescent="0.4">
      <c r="B273" s="253"/>
      <c r="C273" s="253"/>
      <c r="D273" s="253"/>
      <c r="E273" s="253"/>
      <c r="F273" s="272">
        <f ca="1">SUM(F267:F272)</f>
        <v>75643063.30039084</v>
      </c>
      <c r="K273" s="132"/>
      <c r="L273" s="131"/>
    </row>
    <row r="274" spans="2:13" ht="15" thickTop="1" x14ac:dyDescent="0.3">
      <c r="K274" s="132"/>
      <c r="L274" s="131"/>
    </row>
    <row r="275" spans="2:13" x14ac:dyDescent="0.3">
      <c r="K275" s="132"/>
      <c r="L275" s="131"/>
    </row>
    <row r="276" spans="2:13" x14ac:dyDescent="0.3">
      <c r="K276" s="132"/>
      <c r="L276" s="131"/>
    </row>
    <row r="277" spans="2:13" x14ac:dyDescent="0.3">
      <c r="K277" s="132"/>
    </row>
    <row r="278" spans="2:13" x14ac:dyDescent="0.3">
      <c r="K278" s="132"/>
    </row>
    <row r="279" spans="2:13" x14ac:dyDescent="0.3">
      <c r="K279" s="132"/>
      <c r="M279" s="133"/>
    </row>
    <row r="280" spans="2:13" x14ac:dyDescent="0.3">
      <c r="K280" s="132"/>
      <c r="M280" s="133"/>
    </row>
    <row r="281" spans="2:13" x14ac:dyDescent="0.3">
      <c r="K281" s="132"/>
      <c r="M281" s="133"/>
    </row>
    <row r="282" spans="2:13" x14ac:dyDescent="0.3">
      <c r="K282" s="132"/>
      <c r="M282" s="133"/>
    </row>
    <row r="283" spans="2:13" x14ac:dyDescent="0.3">
      <c r="K283" s="132"/>
      <c r="M283" s="133"/>
    </row>
    <row r="284" spans="2:13" x14ac:dyDescent="0.3">
      <c r="K284" s="132"/>
      <c r="M284" s="133"/>
    </row>
    <row r="285" spans="2:13" x14ac:dyDescent="0.3">
      <c r="K285" s="132"/>
      <c r="M285" s="133"/>
    </row>
    <row r="286" spans="2:13" x14ac:dyDescent="0.3">
      <c r="K286" s="132"/>
      <c r="M286" s="133"/>
    </row>
    <row r="287" spans="2:13" x14ac:dyDescent="0.3">
      <c r="M287" s="133"/>
    </row>
    <row r="288" spans="2:13" x14ac:dyDescent="0.3">
      <c r="M288" s="133"/>
    </row>
    <row r="289" spans="13:14" x14ac:dyDescent="0.3">
      <c r="M289" s="133"/>
    </row>
    <row r="290" spans="13:14" x14ac:dyDescent="0.3">
      <c r="M290" s="133"/>
    </row>
    <row r="291" spans="13:14" x14ac:dyDescent="0.3">
      <c r="M291" s="133"/>
    </row>
    <row r="292" spans="13:14" x14ac:dyDescent="0.3">
      <c r="M292" s="133"/>
    </row>
    <row r="293" spans="13:14" x14ac:dyDescent="0.3">
      <c r="M293" s="133"/>
    </row>
    <row r="294" spans="13:14" x14ac:dyDescent="0.3">
      <c r="M294" s="133"/>
    </row>
    <row r="295" spans="13:14" x14ac:dyDescent="0.3">
      <c r="M295" s="133"/>
    </row>
    <row r="296" spans="13:14" x14ac:dyDescent="0.3">
      <c r="M296" s="133"/>
    </row>
    <row r="297" spans="13:14" x14ac:dyDescent="0.3">
      <c r="M297" s="133"/>
    </row>
    <row r="298" spans="13:14" x14ac:dyDescent="0.3">
      <c r="M298" s="133"/>
    </row>
    <row r="302" spans="13:14" x14ac:dyDescent="0.3">
      <c r="N302" s="134"/>
    </row>
  </sheetData>
  <mergeCells count="8">
    <mergeCell ref="C39:D39"/>
    <mergeCell ref="G39:H39"/>
    <mergeCell ref="C21:D21"/>
    <mergeCell ref="G21:H21"/>
    <mergeCell ref="C22:D22"/>
    <mergeCell ref="G22:H22"/>
    <mergeCell ref="C38:D38"/>
    <mergeCell ref="G38:H38"/>
  </mergeCells>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8">
    <tabColor theme="4" tint="0.79998168889431442"/>
  </sheetPr>
  <dimension ref="A2:AA303"/>
  <sheetViews>
    <sheetView showGridLines="0" zoomScale="70" zoomScaleNormal="70" workbookViewId="0">
      <selection activeCell="B14" sqref="B14"/>
    </sheetView>
  </sheetViews>
  <sheetFormatPr defaultColWidth="8.77734375" defaultRowHeight="14.4" x14ac:dyDescent="0.3"/>
  <cols>
    <col min="2" max="2" width="33" customWidth="1"/>
    <col min="3" max="3" width="22.5546875" bestFit="1" customWidth="1"/>
    <col min="4" max="4" width="27" customWidth="1"/>
    <col min="5" max="5" width="25.77734375" customWidth="1"/>
    <col min="6" max="6" width="28.44140625" customWidth="1"/>
    <col min="7" max="7" width="27.77734375" bestFit="1" customWidth="1"/>
    <col min="8" max="8" width="16.77734375" bestFit="1" customWidth="1"/>
    <col min="9" max="9" width="35.44140625" bestFit="1" customWidth="1"/>
    <col min="10" max="10" width="22" bestFit="1" customWidth="1"/>
    <col min="11" max="11" width="25" bestFit="1" customWidth="1"/>
    <col min="12" max="12" width="18.77734375" bestFit="1" customWidth="1"/>
    <col min="13" max="13" width="27.77734375" bestFit="1" customWidth="1"/>
    <col min="14" max="14" width="18.77734375" bestFit="1" customWidth="1"/>
    <col min="15" max="15" width="33.21875" bestFit="1" customWidth="1"/>
    <col min="16" max="16" width="13.77734375" bestFit="1" customWidth="1"/>
    <col min="17" max="17" width="8.77734375" customWidth="1"/>
    <col min="18" max="18" width="12.21875" bestFit="1" customWidth="1"/>
    <col min="19" max="19" width="23.44140625" bestFit="1" customWidth="1"/>
    <col min="20" max="20" width="27.44140625" bestFit="1" customWidth="1"/>
    <col min="21" max="27" width="9.21875" bestFit="1" customWidth="1"/>
  </cols>
  <sheetData>
    <row r="2" spans="1:9" x14ac:dyDescent="0.3">
      <c r="B2" s="93" t="s">
        <v>108</v>
      </c>
      <c r="D2" s="239"/>
      <c r="G2" s="94" t="s">
        <v>109</v>
      </c>
    </row>
    <row r="3" spans="1:9" ht="15" thickBot="1" x14ac:dyDescent="0.35">
      <c r="D3" s="265" t="s">
        <v>507</v>
      </c>
      <c r="G3" s="209">
        <v>2025</v>
      </c>
    </row>
    <row r="4" spans="1:9" ht="16.2" thickBot="1" x14ac:dyDescent="0.35">
      <c r="A4" s="224"/>
      <c r="B4" s="225" t="s">
        <v>110</v>
      </c>
      <c r="C4" s="226" t="s">
        <v>280</v>
      </c>
      <c r="D4" s="227">
        <f>(Premissas!E40-Premissas!E37)/1000</f>
        <v>6871.9543162385626</v>
      </c>
      <c r="E4" s="228" t="s">
        <v>111</v>
      </c>
      <c r="F4" s="224"/>
      <c r="G4" s="224"/>
      <c r="H4" s="239"/>
      <c r="I4" s="239"/>
    </row>
    <row r="5" spans="1:9" ht="15" thickBot="1" x14ac:dyDescent="0.35">
      <c r="A5" s="215"/>
      <c r="B5" s="260" t="s">
        <v>470</v>
      </c>
      <c r="C5" s="212"/>
      <c r="D5" s="213">
        <f ca="1">D6+D9</f>
        <v>6796.3112529381715</v>
      </c>
      <c r="E5" s="228" t="s">
        <v>111</v>
      </c>
      <c r="F5" s="278" t="s">
        <v>475</v>
      </c>
      <c r="G5" s="215"/>
      <c r="H5" s="239"/>
      <c r="I5" s="239"/>
    </row>
    <row r="6" spans="1:9" ht="15.6" x14ac:dyDescent="0.3">
      <c r="A6" s="210">
        <f>HLOOKUP($G$3,Premissas!$B$5:$F$13,9,FALSE)</f>
        <v>0.7</v>
      </c>
      <c r="B6" s="211" t="s">
        <v>112</v>
      </c>
      <c r="C6" s="212" t="s">
        <v>281</v>
      </c>
      <c r="D6" s="213">
        <f ca="1">($A$6*$D$4)-(SUM($F$268:$F$271)/10^6)</f>
        <v>4763.0434132258697</v>
      </c>
      <c r="E6" s="214" t="s">
        <v>113</v>
      </c>
      <c r="F6" s="278" t="s">
        <v>468</v>
      </c>
      <c r="G6" s="215"/>
      <c r="H6" s="239"/>
    </row>
    <row r="7" spans="1:9" ht="28.8" x14ac:dyDescent="0.3">
      <c r="A7" s="95"/>
      <c r="B7" s="216" t="s">
        <v>114</v>
      </c>
      <c r="C7" s="217" t="s">
        <v>282</v>
      </c>
      <c r="D7" s="218">
        <f>$D$35*Premissas!$F$20</f>
        <v>22642045</v>
      </c>
      <c r="E7" s="216" t="s">
        <v>115</v>
      </c>
      <c r="F7" s="234">
        <f>H35</f>
        <v>844597615.51605499</v>
      </c>
      <c r="G7" s="85" t="s">
        <v>116</v>
      </c>
    </row>
    <row r="8" spans="1:9" ht="16.8" thickBot="1" x14ac:dyDescent="0.35">
      <c r="A8" s="219"/>
      <c r="B8" s="220" t="s">
        <v>117</v>
      </c>
      <c r="C8" s="221" t="s">
        <v>283</v>
      </c>
      <c r="D8" s="222">
        <f ca="1">$D$6/$D$7*1000</f>
        <v>0.2103627747946738</v>
      </c>
      <c r="E8" s="223" t="s">
        <v>118</v>
      </c>
      <c r="F8" s="236">
        <f ca="1">$D$6/$F$7*1000000</f>
        <v>5.6394232303339118</v>
      </c>
      <c r="G8" s="232" t="s">
        <v>15</v>
      </c>
      <c r="I8" s="239"/>
    </row>
    <row r="9" spans="1:9" ht="15.6" x14ac:dyDescent="0.3">
      <c r="A9" s="210">
        <f>1-A6</f>
        <v>0.30000000000000004</v>
      </c>
      <c r="B9" s="211" t="s">
        <v>119</v>
      </c>
      <c r="C9" s="212" t="s">
        <v>284</v>
      </c>
      <c r="D9" s="213">
        <f ca="1">($A$9*$D$4)-(SUM($F$272:$F$273)/10^6)</f>
        <v>2033.2678397123018</v>
      </c>
      <c r="E9" s="214" t="s">
        <v>113</v>
      </c>
      <c r="F9" s="278" t="s">
        <v>469</v>
      </c>
      <c r="G9" s="233"/>
    </row>
    <row r="10" spans="1:9" ht="28.8" x14ac:dyDescent="0.3">
      <c r="B10" s="216" t="s">
        <v>120</v>
      </c>
      <c r="C10" s="217" t="s">
        <v>285</v>
      </c>
      <c r="D10" s="218">
        <f>$D$58*Premissas!$F$20</f>
        <v>18680700</v>
      </c>
      <c r="E10" s="216" t="s">
        <v>115</v>
      </c>
      <c r="F10" s="234">
        <f>H58</f>
        <v>696830815.24529994</v>
      </c>
      <c r="G10" s="85" t="s">
        <v>116</v>
      </c>
    </row>
    <row r="11" spans="1:9" ht="16.8" thickBot="1" x14ac:dyDescent="0.35">
      <c r="A11" s="229"/>
      <c r="B11" s="220" t="s">
        <v>121</v>
      </c>
      <c r="C11" s="221" t="s">
        <v>286</v>
      </c>
      <c r="D11" s="222">
        <f ca="1">$D$9/$D$10*1000</f>
        <v>0.1088432360517701</v>
      </c>
      <c r="E11" s="223" t="s">
        <v>118</v>
      </c>
      <c r="F11" s="236">
        <f ca="1">$D$9/$F$10*1000000</f>
        <v>2.9178787665935042</v>
      </c>
      <c r="G11" s="232" t="s">
        <v>15</v>
      </c>
    </row>
    <row r="12" spans="1:9" ht="15" thickBot="1" x14ac:dyDescent="0.35">
      <c r="A12" s="224"/>
      <c r="B12" s="224" t="s">
        <v>122</v>
      </c>
      <c r="C12" s="230">
        <f>HLOOKUP($G$3,Premissas!$B$5:$F$8,4,FALSE)</f>
        <v>0.8</v>
      </c>
      <c r="D12" s="224"/>
      <c r="E12" s="224"/>
      <c r="F12" s="231"/>
      <c r="G12" s="224"/>
    </row>
    <row r="14" spans="1:9" s="98" customFormat="1" x14ac:dyDescent="0.3">
      <c r="A14" s="98" t="s">
        <v>123</v>
      </c>
      <c r="B14" s="98" t="s">
        <v>124</v>
      </c>
    </row>
    <row r="15" spans="1:9" x14ac:dyDescent="0.3">
      <c r="I15" s="96"/>
    </row>
    <row r="16" spans="1:9" x14ac:dyDescent="0.3">
      <c r="A16" s="99" t="s">
        <v>125</v>
      </c>
      <c r="B16" s="100" t="s">
        <v>126</v>
      </c>
      <c r="C16" s="101"/>
      <c r="I16" s="96"/>
    </row>
    <row r="17" spans="1:9" ht="15.6" x14ac:dyDescent="0.35">
      <c r="A17" t="s">
        <v>287</v>
      </c>
      <c r="B17" t="s">
        <v>127</v>
      </c>
      <c r="C17" s="47"/>
      <c r="I17" s="96"/>
    </row>
    <row r="18" spans="1:9" ht="15.6" x14ac:dyDescent="0.35">
      <c r="A18" t="s">
        <v>288</v>
      </c>
      <c r="B18" t="s">
        <v>128</v>
      </c>
      <c r="C18" s="47"/>
      <c r="I18" s="96"/>
    </row>
    <row r="19" spans="1:9" ht="15.6" x14ac:dyDescent="0.35">
      <c r="A19" t="s">
        <v>289</v>
      </c>
      <c r="B19" t="s">
        <v>129</v>
      </c>
      <c r="C19" s="47"/>
      <c r="H19">
        <v>37.302179000000002</v>
      </c>
      <c r="I19" s="96"/>
    </row>
    <row r="20" spans="1:9" ht="15.6" x14ac:dyDescent="0.35">
      <c r="A20" t="s">
        <v>290</v>
      </c>
      <c r="B20" t="s">
        <v>130</v>
      </c>
      <c r="C20" s="47"/>
      <c r="H20" s="102">
        <v>3.7302178999999998E-2</v>
      </c>
      <c r="I20" s="96"/>
    </row>
    <row r="21" spans="1:9" x14ac:dyDescent="0.3">
      <c r="C21" s="47"/>
      <c r="H21" s="102"/>
      <c r="I21" s="96"/>
    </row>
    <row r="22" spans="1:9" x14ac:dyDescent="0.3">
      <c r="C22" s="380">
        <f>G3</f>
        <v>2025</v>
      </c>
      <c r="D22" s="380"/>
      <c r="G22" s="380">
        <f>G3</f>
        <v>2025</v>
      </c>
      <c r="H22" s="380"/>
      <c r="I22" s="96"/>
    </row>
    <row r="23" spans="1:9" ht="16.05" customHeight="1" x14ac:dyDescent="0.3">
      <c r="C23" s="380" t="s">
        <v>246</v>
      </c>
      <c r="D23" s="380"/>
      <c r="G23" s="380" t="s">
        <v>247</v>
      </c>
      <c r="H23" s="380"/>
      <c r="I23" s="96"/>
    </row>
    <row r="24" spans="1:9" ht="33.6" x14ac:dyDescent="0.3">
      <c r="A24" s="103" t="s">
        <v>131</v>
      </c>
      <c r="B24" s="104" t="s">
        <v>132</v>
      </c>
      <c r="C24" s="105" t="s">
        <v>291</v>
      </c>
      <c r="D24" s="106" t="s">
        <v>292</v>
      </c>
      <c r="G24" s="105" t="s">
        <v>293</v>
      </c>
      <c r="H24" s="106" t="s">
        <v>294</v>
      </c>
      <c r="I24" s="96"/>
    </row>
    <row r="25" spans="1:9" x14ac:dyDescent="0.3">
      <c r="A25" s="2" t="s">
        <v>248</v>
      </c>
      <c r="B25" s="44" t="str">
        <f>'Oferta x Demanda'!O2</f>
        <v>PR-CARAGUATATUBA</v>
      </c>
      <c r="C25" s="317">
        <f>Oferta!C3</f>
        <v>20000</v>
      </c>
      <c r="D25" s="317">
        <f>'Oferta x Demanda'!D2</f>
        <v>14178</v>
      </c>
      <c r="F25" s="107"/>
      <c r="G25" s="43">
        <f>IFERROR($C25*$H$20*Premissas!$F$20*1000," ")</f>
        <v>272305906.69999999</v>
      </c>
      <c r="H25" s="43">
        <f>IFERROR($D25*$H$20*Premissas!$F$20*1000," ")</f>
        <v>193037657.25962999</v>
      </c>
      <c r="I25" s="96"/>
    </row>
    <row r="26" spans="1:9" x14ac:dyDescent="0.3">
      <c r="A26" s="2" t="s">
        <v>133</v>
      </c>
      <c r="B26" s="44" t="str">
        <f>'Oferta x Demanda'!O3</f>
        <v>PR-GNLBGB</v>
      </c>
      <c r="C26" s="317">
        <f>Oferta!C4</f>
        <v>20000</v>
      </c>
      <c r="D26" s="317">
        <f>'Oferta x Demanda'!D3</f>
        <v>20000</v>
      </c>
      <c r="F26" s="107"/>
      <c r="G26" s="43">
        <f>IFERROR($C26*$H$20*Premissas!$F$20*1000," ")</f>
        <v>272305906.69999999</v>
      </c>
      <c r="H26" s="43">
        <f>IFERROR($D26*$H$20*Premissas!$F$20*1000," ")</f>
        <v>272305906.69999999</v>
      </c>
      <c r="I26" s="96"/>
    </row>
    <row r="27" spans="1:9" x14ac:dyDescent="0.3">
      <c r="A27" s="2" t="s">
        <v>134</v>
      </c>
      <c r="B27" s="44" t="str">
        <f>'Oferta x Demanda'!O4</f>
        <v>PR-ITABORAÍ</v>
      </c>
      <c r="C27" s="317">
        <f>Oferta!C5</f>
        <v>12000</v>
      </c>
      <c r="D27" s="317">
        <f>'Oferta x Demanda'!D4</f>
        <v>13000</v>
      </c>
      <c r="E27" s="46"/>
      <c r="F27" s="107"/>
      <c r="G27" s="43">
        <f>IFERROR($C27*$H$20*Premissas!$F$20*1000," ")</f>
        <v>163383544.02000001</v>
      </c>
      <c r="H27" s="43">
        <f>IFERROR($D27*$H$20*Premissas!$F$20*1000," ")</f>
        <v>176998839.35499999</v>
      </c>
      <c r="I27" s="96"/>
    </row>
    <row r="28" spans="1:9" x14ac:dyDescent="0.3">
      <c r="A28" s="2" t="s">
        <v>135</v>
      </c>
      <c r="B28" s="44" t="str">
        <f>'Oferta x Demanda'!O5</f>
        <v>PR-GASPAJ (INTERCONEXÃO)</v>
      </c>
      <c r="C28" s="320"/>
      <c r="D28" s="320"/>
      <c r="E28" s="279" t="s">
        <v>471</v>
      </c>
      <c r="F28" s="107"/>
      <c r="G28" s="43">
        <f>IFERROR($C28*$H$20*Premissas!$F$20*1000," ")</f>
        <v>0</v>
      </c>
      <c r="H28" s="43">
        <f>IFERROR($D28*$H$20*Premissas!$F$20*1000," ")</f>
        <v>0</v>
      </c>
      <c r="I28" s="96"/>
    </row>
    <row r="29" spans="1:9" x14ac:dyDescent="0.3">
      <c r="A29" s="2" t="s">
        <v>136</v>
      </c>
      <c r="B29" s="44" t="str">
        <f>'Oferta x Demanda'!O6</f>
        <v>PR-REDUC</v>
      </c>
      <c r="C29" s="317">
        <f>Oferta!C7</f>
        <v>5000</v>
      </c>
      <c r="D29" s="317">
        <f>'Oferta x Demanda'!D6</f>
        <v>0</v>
      </c>
      <c r="E29" s="46"/>
      <c r="F29" s="107"/>
      <c r="G29" s="43">
        <f>IFERROR($C29*$H$20*Premissas!$F$20*1000," ")</f>
        <v>68076476.674999997</v>
      </c>
      <c r="H29" s="43">
        <f>IFERROR($D29*$H$20*Premissas!$F$20*1000," ")</f>
        <v>0</v>
      </c>
      <c r="I29" s="96"/>
    </row>
    <row r="30" spans="1:9" x14ac:dyDescent="0.3">
      <c r="A30" s="2" t="s">
        <v>249</v>
      </c>
      <c r="B30" s="44" t="str">
        <f>'Oferta x Demanda'!O7</f>
        <v>PR-RPBC</v>
      </c>
      <c r="C30" s="317">
        <f>Oferta!C8</f>
        <v>2200</v>
      </c>
      <c r="D30" s="317">
        <f>'Oferta x Demanda'!D7</f>
        <v>0</v>
      </c>
      <c r="E30" s="46"/>
      <c r="F30" s="107"/>
      <c r="G30" s="43">
        <f>IFERROR($C30*$H$20*Premissas!$F$20*1000," ")</f>
        <v>29953649.736999996</v>
      </c>
      <c r="H30" s="43">
        <f>IFERROR($D30*$H$20*Premissas!$F$20*1000," ")</f>
        <v>0</v>
      </c>
      <c r="I30" s="96"/>
    </row>
    <row r="31" spans="1:9" x14ac:dyDescent="0.3">
      <c r="A31" s="2" t="s">
        <v>137</v>
      </c>
      <c r="B31" s="44" t="str">
        <f>'Oferta x Demanda'!O8</f>
        <v>PR-TECAB</v>
      </c>
      <c r="C31" s="317">
        <f>Oferta!C9</f>
        <v>25160</v>
      </c>
      <c r="D31" s="317">
        <f>'Oferta x Demanda'!D8</f>
        <v>14855</v>
      </c>
      <c r="E31" s="46"/>
      <c r="F31" s="107"/>
      <c r="G31" s="43">
        <f>IFERROR($C31*$H$20*Premissas!$F$20*1000," ")</f>
        <v>342560830.6286</v>
      </c>
      <c r="H31" s="43">
        <f>IFERROR($D31*$H$20*Premissas!$F$20*1000," ")</f>
        <v>202255212.20142499</v>
      </c>
      <c r="I31" s="96"/>
    </row>
    <row r="32" spans="1:9" x14ac:dyDescent="0.3">
      <c r="A32" s="2" t="s">
        <v>250</v>
      </c>
      <c r="B32" s="44" t="str">
        <f>'Oferta x Demanda'!O9</f>
        <v>PR-GUARAREMA (INTERCONEXÃO)</v>
      </c>
      <c r="C32" s="254"/>
      <c r="D32" s="254"/>
      <c r="E32" s="279" t="s">
        <v>471</v>
      </c>
      <c r="F32" s="107"/>
      <c r="G32" s="43">
        <f>IFERROR($C32*$H$20*Premissas!$F$20*1000," ")</f>
        <v>0</v>
      </c>
      <c r="H32" s="43">
        <f>IFERROR($D32*$H$20*Premissas!$F$20*1000," ")</f>
        <v>0</v>
      </c>
      <c r="I32" s="96"/>
    </row>
    <row r="33" spans="1:10" x14ac:dyDescent="0.3">
      <c r="A33" s="2" t="s">
        <v>138</v>
      </c>
      <c r="B33" s="44" t="str">
        <f>'Oferta x Demanda'!O10</f>
        <v>PR-REPLAN (INTERCONEXÃO)</v>
      </c>
      <c r="C33" s="254"/>
      <c r="D33" s="254"/>
      <c r="E33" s="279" t="s">
        <v>471</v>
      </c>
      <c r="F33" s="107"/>
      <c r="G33" s="43">
        <f>IFERROR($C33*$H$20*Premissas!$F$20*1000," ")</f>
        <v>0</v>
      </c>
      <c r="H33" s="43">
        <f>IFERROR($D33*$H$20*Premissas!$F$20*1000," ")</f>
        <v>0</v>
      </c>
      <c r="I33" s="96"/>
    </row>
    <row r="34" spans="1:10" x14ac:dyDescent="0.3">
      <c r="A34" s="2" t="s">
        <v>139</v>
      </c>
      <c r="B34" s="44" t="str">
        <f>'Oferta x Demanda'!O11</f>
        <v>PR-TECAB (INTERCONEXÃO)</v>
      </c>
      <c r="C34" s="254"/>
      <c r="D34" s="254"/>
      <c r="E34" s="279" t="s">
        <v>471</v>
      </c>
      <c r="F34" s="107"/>
      <c r="G34" s="43">
        <f>IFERROR($C34*$H$20*Premissas!$F$20*1000," ")</f>
        <v>0</v>
      </c>
      <c r="H34" s="43">
        <f>IFERROR($D34*$H$20*Premissas!$F$20*1000," ")</f>
        <v>0</v>
      </c>
      <c r="I34" s="96"/>
    </row>
    <row r="35" spans="1:10" x14ac:dyDescent="0.3">
      <c r="C35" s="108">
        <f>SUM(C25:C34)</f>
        <v>84360</v>
      </c>
      <c r="D35" s="108">
        <f>SUM(D25:D34)</f>
        <v>62033</v>
      </c>
      <c r="E35" s="108"/>
      <c r="F35" s="107"/>
      <c r="G35" s="108">
        <f>SUM(G25:G34)</f>
        <v>1148586314.4605999</v>
      </c>
      <c r="H35" s="108">
        <f>SUM(H25:H34)</f>
        <v>844597615.51605499</v>
      </c>
      <c r="I35" s="96"/>
    </row>
    <row r="36" spans="1:10" x14ac:dyDescent="0.3">
      <c r="C36" s="107"/>
      <c r="D36" s="107"/>
      <c r="E36" s="107"/>
      <c r="F36" s="107"/>
      <c r="G36" s="107"/>
      <c r="H36" s="107"/>
      <c r="I36" s="96"/>
    </row>
    <row r="37" spans="1:10" x14ac:dyDescent="0.3">
      <c r="C37" s="107"/>
      <c r="D37" s="107"/>
      <c r="E37" s="107"/>
      <c r="F37" s="107"/>
      <c r="G37" s="107"/>
      <c r="H37" s="107"/>
      <c r="I37" s="96"/>
    </row>
    <row r="38" spans="1:10" x14ac:dyDescent="0.3">
      <c r="C38" s="107"/>
      <c r="D38" s="107"/>
      <c r="F38" s="107"/>
      <c r="G38" s="107"/>
      <c r="H38" s="107"/>
      <c r="I38" s="96"/>
    </row>
    <row r="39" spans="1:10" x14ac:dyDescent="0.3">
      <c r="C39" s="380">
        <f>C22</f>
        <v>2025</v>
      </c>
      <c r="D39" s="380"/>
      <c r="G39" s="380">
        <f>G22</f>
        <v>2025</v>
      </c>
      <c r="H39" s="380"/>
      <c r="J39" s="96"/>
    </row>
    <row r="40" spans="1:10" ht="16.05" customHeight="1" x14ac:dyDescent="0.3">
      <c r="C40" s="380" t="s">
        <v>246</v>
      </c>
      <c r="D40" s="380"/>
      <c r="G40" s="380" t="s">
        <v>247</v>
      </c>
      <c r="H40" s="380"/>
      <c r="I40" s="96"/>
    </row>
    <row r="41" spans="1:10" ht="33.6" x14ac:dyDescent="0.3">
      <c r="A41" s="103" t="s">
        <v>131</v>
      </c>
      <c r="B41" s="104" t="s">
        <v>140</v>
      </c>
      <c r="C41" s="105" t="s">
        <v>295</v>
      </c>
      <c r="D41" s="106" t="s">
        <v>296</v>
      </c>
      <c r="G41" s="105" t="s">
        <v>297</v>
      </c>
      <c r="H41" s="106" t="s">
        <v>298</v>
      </c>
      <c r="I41" s="96"/>
    </row>
    <row r="42" spans="1:10" x14ac:dyDescent="0.3">
      <c r="A42" s="2" t="s">
        <v>41</v>
      </c>
      <c r="B42" s="44" t="str">
        <f>'Oferta x Demanda'!A17</f>
        <v>NTS MG 1</v>
      </c>
      <c r="C42" s="317">
        <f>Demanda!C3</f>
        <v>864.5</v>
      </c>
      <c r="D42" s="317">
        <f>'Oferta x Demanda'!D17</f>
        <v>607</v>
      </c>
      <c r="G42" s="43">
        <f>IFERROR($C42*$H$20*Premissas!$F$20*1000," ")</f>
        <v>11770422.817107499</v>
      </c>
      <c r="H42" s="43">
        <f>IFERROR($D42*$H$20*Premissas!$F$20*1000," ")</f>
        <v>8264484.2683449984</v>
      </c>
      <c r="I42" s="96"/>
    </row>
    <row r="43" spans="1:10" x14ac:dyDescent="0.3">
      <c r="A43" s="2" t="s">
        <v>42</v>
      </c>
      <c r="B43" s="44" t="str">
        <f>'Oferta x Demanda'!A18</f>
        <v>NTS MG 2</v>
      </c>
      <c r="C43" s="317">
        <f>Demanda!C4</f>
        <v>1825.9</v>
      </c>
      <c r="D43" s="317">
        <f>'Oferta x Demanda'!D18</f>
        <v>1678</v>
      </c>
      <c r="E43" s="46"/>
      <c r="G43" s="43">
        <f>IFERROR($C43*$H$20*Premissas!$F$20*1000," ")</f>
        <v>24860167.752176501</v>
      </c>
      <c r="H43" s="43">
        <f>IFERROR($D43*$H$20*Premissas!$F$20*1000," ")</f>
        <v>22846465.572130002</v>
      </c>
      <c r="I43" s="96"/>
    </row>
    <row r="44" spans="1:10" x14ac:dyDescent="0.3">
      <c r="A44" s="2" t="s">
        <v>43</v>
      </c>
      <c r="B44" s="44" t="str">
        <f>'Oferta x Demanda'!A19</f>
        <v>NTS MG 3</v>
      </c>
      <c r="C44" s="317">
        <f>Demanda!C5</f>
        <v>3040.95</v>
      </c>
      <c r="D44" s="317">
        <f>'Oferta x Demanda'!D19</f>
        <v>2737</v>
      </c>
      <c r="E44" s="46"/>
      <c r="G44" s="43">
        <f>IFERROR($C44*$H$20*Premissas!$F$20*1000," ")</f>
        <v>41403432.348968253</v>
      </c>
      <c r="H44" s="43">
        <f>IFERROR($D44*$H$20*Premissas!$F$20*1000," ")</f>
        <v>37265063.331895001</v>
      </c>
      <c r="I44" s="96"/>
    </row>
    <row r="45" spans="1:10" x14ac:dyDescent="0.3">
      <c r="A45" s="2" t="s">
        <v>44</v>
      </c>
      <c r="B45" s="44" t="str">
        <f>'Oferta x Demanda'!A20</f>
        <v>NTS MG 4</v>
      </c>
      <c r="C45" s="317">
        <f>Demanda!C6</f>
        <v>1187.5</v>
      </c>
      <c r="D45" s="317">
        <f>'Oferta x Demanda'!D20</f>
        <v>335</v>
      </c>
      <c r="E45" s="46"/>
      <c r="G45" s="43">
        <f>IFERROR($C45*$H$20*Premissas!$F$20*1000," ")</f>
        <v>16168163.210312499</v>
      </c>
      <c r="H45" s="43">
        <f>IFERROR($D45*$H$20*Premissas!$F$20*1000," ")</f>
        <v>4561123.937225</v>
      </c>
      <c r="I45" s="96"/>
    </row>
    <row r="46" spans="1:10" x14ac:dyDescent="0.3">
      <c r="A46" s="2" t="s">
        <v>45</v>
      </c>
      <c r="B46" s="44" t="str">
        <f>'Oferta x Demanda'!A21</f>
        <v>NTS RJ 1</v>
      </c>
      <c r="C46" s="317">
        <f>Demanda!C7</f>
        <v>21185</v>
      </c>
      <c r="D46" s="317">
        <f>'Oferta x Demanda'!D21</f>
        <v>17793</v>
      </c>
      <c r="E46" s="46"/>
      <c r="G46" s="43">
        <f>IFERROR($C46*$H$20*Premissas!$F$20*1000," ")</f>
        <v>288440031.67197496</v>
      </c>
      <c r="H46" s="43">
        <f>IFERROR($D46*$H$20*Premissas!$F$20*1000," ")</f>
        <v>242256949.89565501</v>
      </c>
      <c r="I46" s="96"/>
    </row>
    <row r="47" spans="1:10" x14ac:dyDescent="0.3">
      <c r="A47" s="2" t="s">
        <v>46</v>
      </c>
      <c r="B47" s="44" t="str">
        <f>'Oferta x Demanda'!A22</f>
        <v>NTS RJ 2</v>
      </c>
      <c r="C47" s="317">
        <f>Demanda!C8</f>
        <v>11271.75</v>
      </c>
      <c r="D47" s="317">
        <f>'Oferta x Demanda'!D22</f>
        <v>8406</v>
      </c>
      <c r="E47" s="46"/>
      <c r="G47" s="43">
        <f>IFERROR($C47*$H$20*Premissas!$F$20*1000," ")</f>
        <v>153468205.19228625</v>
      </c>
      <c r="H47" s="43">
        <f>IFERROR($D47*$H$20*Premissas!$F$20*1000," ")</f>
        <v>114450172.58600999</v>
      </c>
      <c r="I47" s="96"/>
    </row>
    <row r="48" spans="1:10" x14ac:dyDescent="0.3">
      <c r="A48" s="2" t="s">
        <v>47</v>
      </c>
      <c r="B48" s="44" t="str">
        <f>'Oferta x Demanda'!A23</f>
        <v>NTS RJ 3</v>
      </c>
      <c r="C48" s="317">
        <f>Demanda!C9</f>
        <v>3249</v>
      </c>
      <c r="D48" s="317">
        <f>'Oferta x Demanda'!D23</f>
        <v>1714</v>
      </c>
      <c r="E48" s="46"/>
      <c r="G48" s="43">
        <f>IFERROR($C48*$H$20*Premissas!$F$20*1000," ")</f>
        <v>44236094.543414995</v>
      </c>
      <c r="H48" s="43">
        <f>IFERROR($D48*$H$20*Premissas!$F$20*1000," ")</f>
        <v>23336616.204189997</v>
      </c>
      <c r="I48" s="96"/>
    </row>
    <row r="49" spans="1:9" x14ac:dyDescent="0.3">
      <c r="A49" s="2" t="s">
        <v>48</v>
      </c>
      <c r="B49" s="44" t="str">
        <f>'Oferta x Demanda'!A24</f>
        <v>NTS RJ 4</v>
      </c>
      <c r="C49" s="317">
        <f>Demanda!C10</f>
        <v>498.75</v>
      </c>
      <c r="D49" s="317">
        <f>'Oferta x Demanda'!D24</f>
        <v>323</v>
      </c>
      <c r="E49" s="46"/>
      <c r="G49" s="43">
        <f>IFERROR($C49*$H$20*Premissas!$F$20*1000," ")</f>
        <v>6790628.5483312495</v>
      </c>
      <c r="H49" s="43">
        <f>IFERROR($D49*$H$20*Premissas!$F$20*1000," ")</f>
        <v>4397740.3932050001</v>
      </c>
      <c r="I49" s="96"/>
    </row>
    <row r="50" spans="1:9" x14ac:dyDescent="0.3">
      <c r="A50" s="2" t="s">
        <v>49</v>
      </c>
      <c r="B50" s="44" t="str">
        <f>'Oferta x Demanda'!A25</f>
        <v>NTS RJ 5</v>
      </c>
      <c r="C50" s="317">
        <f>Demanda!C11</f>
        <v>3321.2</v>
      </c>
      <c r="D50" s="317">
        <f>'Oferta x Demanda'!D25</f>
        <v>2128</v>
      </c>
      <c r="E50" s="46"/>
      <c r="G50" s="43">
        <f>IFERROR($C50*$H$20*Premissas!$F$20*1000," ")</f>
        <v>45219118.866601996</v>
      </c>
      <c r="H50" s="43">
        <f>IFERROR($D50*$H$20*Premissas!$F$20*1000," ")</f>
        <v>28973348.472879995</v>
      </c>
      <c r="I50" s="96"/>
    </row>
    <row r="51" spans="1:9" x14ac:dyDescent="0.3">
      <c r="A51" s="2" t="s">
        <v>50</v>
      </c>
      <c r="B51" s="44" t="str">
        <f>'Oferta x Demanda'!A26</f>
        <v>NTS SP 1</v>
      </c>
      <c r="C51" s="317">
        <f>Demanda!C12</f>
        <v>14292.75</v>
      </c>
      <c r="D51" s="317">
        <f>'Oferta x Demanda'!D26</f>
        <v>1237</v>
      </c>
      <c r="E51" s="46"/>
      <c r="G51" s="43">
        <f>IFERROR($C51*$H$20*Premissas!$F$20*1000," ")</f>
        <v>194600012.39932126</v>
      </c>
      <c r="H51" s="43">
        <f>IFERROR($D51*$H$20*Premissas!$F$20*1000," ")</f>
        <v>16842120.329395</v>
      </c>
      <c r="I51" s="96"/>
    </row>
    <row r="52" spans="1:9" x14ac:dyDescent="0.3">
      <c r="A52" s="2" t="s">
        <v>51</v>
      </c>
      <c r="B52" s="44" t="str">
        <f>'Oferta x Demanda'!A27</f>
        <v>NTS SP 2</v>
      </c>
      <c r="C52" s="317">
        <f>Demanda!C13</f>
        <v>3971</v>
      </c>
      <c r="D52" s="317">
        <f>'Oferta x Demanda'!D27</f>
        <v>2972</v>
      </c>
      <c r="E52" s="46"/>
      <c r="G52" s="43">
        <f>IFERROR($C52*$H$20*Premissas!$F$20*1000," ")</f>
        <v>54066337.775284998</v>
      </c>
      <c r="H52" s="43">
        <f>IFERROR($D52*$H$20*Premissas!$F$20*1000," ")</f>
        <v>40464657.735619992</v>
      </c>
      <c r="I52" s="96"/>
    </row>
    <row r="53" spans="1:9" x14ac:dyDescent="0.3">
      <c r="A53" s="2" t="s">
        <v>52</v>
      </c>
      <c r="B53" s="44" t="str">
        <f>'Oferta x Demanda'!A28</f>
        <v>NTS SP 3</v>
      </c>
      <c r="C53" s="317">
        <f>Demanda!C14</f>
        <v>9941.75</v>
      </c>
      <c r="D53" s="317">
        <f>'Oferta x Demanda'!D28</f>
        <v>7969</v>
      </c>
      <c r="E53" s="46"/>
      <c r="G53" s="43">
        <f>IFERROR($C53*$H$20*Premissas!$F$20*1000," ")</f>
        <v>135359862.39673626</v>
      </c>
      <c r="H53" s="43">
        <f>IFERROR($D53*$H$20*Premissas!$F$20*1000," ")</f>
        <v>108500288.52461499</v>
      </c>
      <c r="I53" s="96"/>
    </row>
    <row r="54" spans="1:9" x14ac:dyDescent="0.3">
      <c r="A54" s="2" t="s">
        <v>53</v>
      </c>
      <c r="B54" s="44" t="str">
        <f>'Oferta x Demanda'!A29</f>
        <v>NTS SP 4</v>
      </c>
      <c r="C54" s="317">
        <f>Demanda!C15</f>
        <v>3809.5</v>
      </c>
      <c r="D54" s="317">
        <f>'Oferta x Demanda'!D29</f>
        <v>3281</v>
      </c>
      <c r="E54" s="46"/>
      <c r="G54" s="43">
        <f>IFERROR($C54*$H$20*Premissas!$F$20*1000," ")</f>
        <v>51867467.578682497</v>
      </c>
      <c r="H54" s="43">
        <f>IFERROR($D54*$H$20*Premissas!$F$20*1000," ")</f>
        <v>44671783.994134992</v>
      </c>
      <c r="I54" s="96"/>
    </row>
    <row r="55" spans="1:9" x14ac:dyDescent="0.3">
      <c r="A55" s="2" t="s">
        <v>54</v>
      </c>
      <c r="B55" s="44" t="str">
        <f>'Oferta x Demanda'!A30</f>
        <v>PE-GUARAREMA (INTERCONEXÃO)</v>
      </c>
      <c r="C55" s="254"/>
      <c r="D55" s="254"/>
      <c r="E55" s="279" t="s">
        <v>471</v>
      </c>
      <c r="G55" s="43">
        <f>IFERROR($C55*$H$20*Premissas!$F$20*1000," ")</f>
        <v>0</v>
      </c>
      <c r="H55" s="43">
        <f>IFERROR($D55*$H$20*Premissas!$F$20*1000," ")</f>
        <v>0</v>
      </c>
      <c r="I55" s="96"/>
    </row>
    <row r="56" spans="1:9" x14ac:dyDescent="0.3">
      <c r="A56" s="2" t="s">
        <v>55</v>
      </c>
      <c r="B56" s="44" t="str">
        <f>'Oferta x Demanda'!A31</f>
        <v>PE-REPLAN (INTERCONEXÃO)</v>
      </c>
      <c r="C56" s="254"/>
      <c r="D56" s="254"/>
      <c r="E56" s="279" t="s">
        <v>471</v>
      </c>
      <c r="G56" s="43">
        <f>IFERROR($C56*$H$20*Premissas!$F$20*1000," ")</f>
        <v>0</v>
      </c>
      <c r="H56" s="43">
        <f>IFERROR($D56*$H$20*Premissas!$F$20*1000," ")</f>
        <v>0</v>
      </c>
      <c r="I56" s="96"/>
    </row>
    <row r="57" spans="1:9" x14ac:dyDescent="0.3">
      <c r="A57" s="2" t="s">
        <v>56</v>
      </c>
      <c r="B57" s="44" t="str">
        <f>'Oferta x Demanda'!A32</f>
        <v>PE-TECAB (INTERCONEXÃO)</v>
      </c>
      <c r="C57" s="254"/>
      <c r="D57" s="254"/>
      <c r="E57" s="279" t="s">
        <v>471</v>
      </c>
      <c r="G57" s="43">
        <f>IFERROR($C57*$H$20*Premissas!$F$20*1000," ")</f>
        <v>0</v>
      </c>
      <c r="H57" s="43">
        <f>IFERROR($D57*$H$20*Premissas!$F$20*1000," ")</f>
        <v>0</v>
      </c>
      <c r="I57" s="96"/>
    </row>
    <row r="58" spans="1:9" x14ac:dyDescent="0.3">
      <c r="C58" s="108">
        <f>SUM(C42:C57)</f>
        <v>78459.549999999988</v>
      </c>
      <c r="D58" s="108">
        <f>SUM(D42:D57)</f>
        <v>51180</v>
      </c>
      <c r="E58" s="108"/>
      <c r="G58" s="108">
        <f>SUM(G42:G57)</f>
        <v>1068249945.1011992</v>
      </c>
      <c r="H58" s="108">
        <f>SUM(H42:H57)</f>
        <v>696830815.24529994</v>
      </c>
      <c r="I58" s="96"/>
    </row>
    <row r="59" spans="1:9" x14ac:dyDescent="0.3">
      <c r="C59" s="107"/>
      <c r="D59" s="107"/>
      <c r="E59" s="107"/>
      <c r="G59" s="107"/>
      <c r="H59" s="107"/>
      <c r="I59" s="96"/>
    </row>
    <row r="60" spans="1:9" x14ac:dyDescent="0.3">
      <c r="C60" s="107"/>
      <c r="D60" s="107"/>
      <c r="E60" s="107"/>
      <c r="F60" s="107"/>
      <c r="G60" s="107"/>
      <c r="H60" s="107"/>
      <c r="I60" s="96"/>
    </row>
    <row r="61" spans="1:9" x14ac:dyDescent="0.3">
      <c r="C61" s="96"/>
      <c r="D61" s="96"/>
      <c r="F61" s="96"/>
      <c r="G61" s="96"/>
      <c r="H61" s="96"/>
    </row>
    <row r="62" spans="1:9" s="98" customFormat="1" x14ac:dyDescent="0.3">
      <c r="A62" s="98" t="s">
        <v>141</v>
      </c>
      <c r="B62" s="98" t="s">
        <v>142</v>
      </c>
    </row>
    <row r="63" spans="1:9" x14ac:dyDescent="0.3">
      <c r="A63" s="3"/>
    </row>
    <row r="64" spans="1:9" x14ac:dyDescent="0.3">
      <c r="A64" t="s">
        <v>125</v>
      </c>
      <c r="B64" t="s">
        <v>126</v>
      </c>
    </row>
    <row r="65" spans="1:12" ht="15.6" x14ac:dyDescent="0.35">
      <c r="A65" t="s">
        <v>299</v>
      </c>
      <c r="B65" t="s">
        <v>143</v>
      </c>
    </row>
    <row r="66" spans="1:12" x14ac:dyDescent="0.3">
      <c r="C66" s="2" t="s">
        <v>248</v>
      </c>
      <c r="D66" s="2" t="s">
        <v>133</v>
      </c>
      <c r="E66" s="2" t="s">
        <v>134</v>
      </c>
      <c r="F66" s="2" t="s">
        <v>135</v>
      </c>
      <c r="G66" s="2" t="s">
        <v>136</v>
      </c>
      <c r="H66" s="2" t="s">
        <v>249</v>
      </c>
      <c r="I66" s="2" t="s">
        <v>137</v>
      </c>
      <c r="J66" s="2" t="s">
        <v>250</v>
      </c>
      <c r="K66" s="2" t="s">
        <v>138</v>
      </c>
      <c r="L66" s="2" t="s">
        <v>139</v>
      </c>
    </row>
    <row r="67" spans="1:12" ht="22.8" x14ac:dyDescent="0.3">
      <c r="C67" s="45" t="s">
        <v>261</v>
      </c>
      <c r="D67" s="45" t="s">
        <v>26</v>
      </c>
      <c r="E67" s="45" t="s">
        <v>512</v>
      </c>
      <c r="F67" s="45" t="s">
        <v>253</v>
      </c>
      <c r="G67" s="45" t="s">
        <v>27</v>
      </c>
      <c r="H67" s="45" t="s">
        <v>29</v>
      </c>
      <c r="I67" s="45" t="s">
        <v>24</v>
      </c>
      <c r="J67" s="45" t="s">
        <v>274</v>
      </c>
      <c r="K67" s="45" t="s">
        <v>276</v>
      </c>
      <c r="L67" s="45" t="s">
        <v>275</v>
      </c>
    </row>
    <row r="68" spans="1:12" x14ac:dyDescent="0.3">
      <c r="A68" s="2" t="s">
        <v>41</v>
      </c>
      <c r="B68" s="44" t="str">
        <f>B42</f>
        <v>NTS MG 1</v>
      </c>
      <c r="C68" s="318">
        <f ca="1">VLOOKUP($B68,'Matriz Distâncias NTS'!$S$2:$AC$18,2,0)</f>
        <v>447.1</v>
      </c>
      <c r="D68" s="318">
        <f ca="1">VLOOKUP($B68,'Matriz Distâncias NTS'!$S$2:$AC$18,3,0)</f>
        <v>251.935</v>
      </c>
      <c r="E68" s="318">
        <f ca="1">VLOOKUP($B68,'Matriz Distâncias NTS'!$S$2:$AC$18,4,0)</f>
        <v>301.35699999999997</v>
      </c>
      <c r="F68" s="318">
        <f ca="1">VLOOKUP($B68,'Matriz Distâncias NTS'!$S$2:$AC$18,8,0)</f>
        <v>550.255</v>
      </c>
      <c r="G68" s="318">
        <f ca="1">VLOOKUP($B68,'Matriz Distâncias NTS'!$S$2:$AC$18,7,0)</f>
        <v>133.93299999999999</v>
      </c>
      <c r="H68" s="318">
        <f ca="1">VLOOKUP($B68,'Matriz Distâncias NTS'!$S$2:$AC$18,9,0)</f>
        <v>519.08299999999997</v>
      </c>
      <c r="I68" s="318">
        <f ca="1">VLOOKUP($B68,'Matriz Distâncias NTS'!$S$2:$AC$18,10,0)</f>
        <v>432.233</v>
      </c>
      <c r="J68" s="318">
        <f ca="1">VLOOKUP($B68,'Matriz Distâncias NTS'!$S$2:$AC$18,5,0)</f>
        <v>412.91999999999996</v>
      </c>
      <c r="K68" s="318">
        <f ca="1">VLOOKUP($B68,'Matriz Distâncias NTS'!$S$2:$AC$18,8,0)</f>
        <v>550.255</v>
      </c>
      <c r="L68" s="318">
        <f ca="1">VLOOKUP($B68,'Matriz Distâncias NTS'!$S$2:$AC$18,11,0)</f>
        <v>432.233</v>
      </c>
    </row>
    <row r="69" spans="1:12" x14ac:dyDescent="0.3">
      <c r="A69" s="2" t="s">
        <v>42</v>
      </c>
      <c r="B69" s="44" t="str">
        <f>B43</f>
        <v>NTS MG 2</v>
      </c>
      <c r="C69" s="318">
        <f ca="1">VLOOKUP($B69,'Matriz Distâncias NTS'!$S$2:$AC$18,2,0)</f>
        <v>544.26400000000001</v>
      </c>
      <c r="D69" s="318">
        <f ca="1">VLOOKUP($B69,'Matriz Distâncias NTS'!$S$2:$AC$18,3,0)</f>
        <v>349.09899999999999</v>
      </c>
      <c r="E69" s="318">
        <f ca="1">VLOOKUP($B69,'Matriz Distâncias NTS'!$S$2:$AC$18,4,0)</f>
        <v>398.52100000000002</v>
      </c>
      <c r="F69" s="318">
        <f ca="1">VLOOKUP($B69,'Matriz Distâncias NTS'!$S$2:$AC$18,8,0)</f>
        <v>647.41899999999998</v>
      </c>
      <c r="G69" s="318">
        <f ca="1">VLOOKUP($B69,'Matriz Distâncias NTS'!$S$2:$AC$18,7,0)</f>
        <v>231.09699999999998</v>
      </c>
      <c r="H69" s="318">
        <f ca="1">VLOOKUP($B69,'Matriz Distâncias NTS'!$S$2:$AC$18,9,0)</f>
        <v>616.24699999999996</v>
      </c>
      <c r="I69" s="318">
        <f ca="1">VLOOKUP($B69,'Matriz Distâncias NTS'!$S$2:$AC$18,10,0)</f>
        <v>529.39700000000005</v>
      </c>
      <c r="J69" s="318">
        <f ca="1">VLOOKUP($B69,'Matriz Distâncias NTS'!$S$2:$AC$18,5,0)</f>
        <v>510.08400000000006</v>
      </c>
      <c r="K69" s="318">
        <f ca="1">VLOOKUP($B69,'Matriz Distâncias NTS'!$S$2:$AC$18,8,0)</f>
        <v>647.41899999999998</v>
      </c>
      <c r="L69" s="318">
        <f ca="1">VLOOKUP($B69,'Matriz Distâncias NTS'!$S$2:$AC$18,11,0)</f>
        <v>529.39700000000005</v>
      </c>
    </row>
    <row r="70" spans="1:12" x14ac:dyDescent="0.3">
      <c r="A70" s="2" t="s">
        <v>43</v>
      </c>
      <c r="B70" s="44" t="str">
        <f>B44</f>
        <v>NTS MG 3</v>
      </c>
      <c r="C70" s="318">
        <f ca="1">VLOOKUP($B70,'Matriz Distâncias NTS'!$S$2:$AC$18,2,0)</f>
        <v>661.42919999999992</v>
      </c>
      <c r="D70" s="318">
        <f ca="1">VLOOKUP($B70,'Matriz Distâncias NTS'!$S$2:$AC$18,3,0)</f>
        <v>466.26419999999996</v>
      </c>
      <c r="E70" s="318">
        <f ca="1">VLOOKUP($B70,'Matriz Distâncias NTS'!$S$2:$AC$18,4,0)</f>
        <v>515.68619999999999</v>
      </c>
      <c r="F70" s="318">
        <f ca="1">VLOOKUP($B70,'Matriz Distâncias NTS'!$S$2:$AC$18,8,0)</f>
        <v>764.58420000000001</v>
      </c>
      <c r="G70" s="318">
        <f ca="1">VLOOKUP($B70,'Matriz Distâncias NTS'!$S$2:$AC$18,7,0)</f>
        <v>348.26220000000001</v>
      </c>
      <c r="H70" s="318">
        <f ca="1">VLOOKUP($B70,'Matriz Distâncias NTS'!$S$2:$AC$18,9,0)</f>
        <v>733.4122000000001</v>
      </c>
      <c r="I70" s="318">
        <f ca="1">VLOOKUP($B70,'Matriz Distâncias NTS'!$S$2:$AC$18,10,0)</f>
        <v>646.56219999999996</v>
      </c>
      <c r="J70" s="318">
        <f ca="1">VLOOKUP($B70,'Matriz Distâncias NTS'!$S$2:$AC$18,5,0)</f>
        <v>627.24920000000009</v>
      </c>
      <c r="K70" s="318">
        <f ca="1">VLOOKUP($B70,'Matriz Distâncias NTS'!$S$2:$AC$18,8,0)</f>
        <v>764.58420000000001</v>
      </c>
      <c r="L70" s="318">
        <f ca="1">VLOOKUP($B70,'Matriz Distâncias NTS'!$S$2:$AC$18,11,0)</f>
        <v>646.56219999999996</v>
      </c>
    </row>
    <row r="71" spans="1:12" x14ac:dyDescent="0.3">
      <c r="A71" s="2" t="s">
        <v>44</v>
      </c>
      <c r="B71" s="44" t="str">
        <f t="shared" ref="B71:B83" si="0">B45</f>
        <v>NTS MG 4</v>
      </c>
      <c r="C71" s="318">
        <f ca="1">VLOOKUP($B71,'Matriz Distâncias NTS'!$S$2:$AC$18,2,0)</f>
        <v>394.62900000000002</v>
      </c>
      <c r="D71" s="318">
        <f ca="1">VLOOKUP($B71,'Matriz Distâncias NTS'!$S$2:$AC$18,3,0)</f>
        <v>596.17999999999995</v>
      </c>
      <c r="E71" s="318">
        <f ca="1">VLOOKUP($B71,'Matriz Distâncias NTS'!$S$2:$AC$18,4,0)</f>
        <v>645.60199999999998</v>
      </c>
      <c r="F71" s="318">
        <f ca="1">VLOOKUP($B71,'Matriz Distâncias NTS'!$S$2:$AC$18,8,0)</f>
        <v>93.766000000000005</v>
      </c>
      <c r="G71" s="318">
        <f ca="1">VLOOKUP($B71,'Matriz Distâncias NTS'!$S$2:$AC$18,7,0)</f>
        <v>598.4799999999999</v>
      </c>
      <c r="H71" s="318">
        <f ca="1">VLOOKUP($B71,'Matriz Distâncias NTS'!$S$2:$AC$18,9,0)</f>
        <v>466.61200000000002</v>
      </c>
      <c r="I71" s="318">
        <f ca="1">VLOOKUP($B71,'Matriz Distâncias NTS'!$S$2:$AC$18,10,0)</f>
        <v>776.47799999999995</v>
      </c>
      <c r="J71" s="318">
        <f ca="1">VLOOKUP($B71,'Matriz Distâncias NTS'!$S$2:$AC$18,5,0)</f>
        <v>360.44900000000001</v>
      </c>
      <c r="K71" s="318">
        <f ca="1">VLOOKUP($B71,'Matriz Distâncias NTS'!$S$2:$AC$18,8,0)</f>
        <v>93.766000000000005</v>
      </c>
      <c r="L71" s="318">
        <f ca="1">VLOOKUP($B71,'Matriz Distâncias NTS'!$S$2:$AC$18,11,0)</f>
        <v>776.47799999999995</v>
      </c>
    </row>
    <row r="72" spans="1:12" x14ac:dyDescent="0.3">
      <c r="A72" s="2" t="s">
        <v>45</v>
      </c>
      <c r="B72" s="44" t="str">
        <f t="shared" si="0"/>
        <v>NTS RJ 1</v>
      </c>
      <c r="C72" s="318">
        <f ca="1">VLOOKUP($B72,'Matriz Distâncias NTS'!$S$2:$AC$18,2,0)</f>
        <v>460.82099999999997</v>
      </c>
      <c r="D72" s="318">
        <f ca="1">VLOOKUP($B72,'Matriz Distâncias NTS'!$S$2:$AC$18,3,0)</f>
        <v>64.091333333333338</v>
      </c>
      <c r="E72" s="318">
        <f ca="1">VLOOKUP($B72,'Matriz Distâncias NTS'!$S$2:$AC$18,4,0)</f>
        <v>75.091333333333338</v>
      </c>
      <c r="F72" s="318">
        <f ca="1">VLOOKUP($B72,'Matriz Distâncias NTS'!$S$2:$AC$18,8,0)</f>
        <v>563.976</v>
      </c>
      <c r="G72" s="318">
        <f ca="1">VLOOKUP($B72,'Matriz Distâncias NTS'!$S$2:$AC$18,7,0)</f>
        <v>64.091333333333338</v>
      </c>
      <c r="H72" s="318">
        <f ca="1">VLOOKUP($B72,'Matriz Distâncias NTS'!$S$2:$AC$18,9,0)</f>
        <v>530.12266666666665</v>
      </c>
      <c r="I72" s="318">
        <f ca="1">VLOOKUP($B72,'Matriz Distâncias NTS'!$S$2:$AC$18,10,0)</f>
        <v>120.26933333333334</v>
      </c>
      <c r="J72" s="318">
        <f ca="1">VLOOKUP($B72,'Matriz Distâncias NTS'!$S$2:$AC$18,5,0)</f>
        <v>423.95966666666664</v>
      </c>
      <c r="K72" s="318">
        <f ca="1">VLOOKUP($B72,'Matriz Distâncias NTS'!$S$2:$AC$18,8,0)</f>
        <v>563.976</v>
      </c>
      <c r="L72" s="318">
        <f ca="1">VLOOKUP($B72,'Matriz Distâncias NTS'!$S$2:$AC$18,11,0)</f>
        <v>120.26933333333334</v>
      </c>
    </row>
    <row r="73" spans="1:12" x14ac:dyDescent="0.3">
      <c r="A73" s="2" t="s">
        <v>46</v>
      </c>
      <c r="B73" s="44" t="str">
        <f t="shared" si="0"/>
        <v>NTS RJ 2</v>
      </c>
      <c r="C73" s="318">
        <f ca="1">VLOOKUP($B73,'Matriz Distâncias NTS'!$S$2:$AC$18,2,0)</f>
        <v>352.80099999999999</v>
      </c>
      <c r="D73" s="318">
        <f ca="1">VLOOKUP($B73,'Matriz Distâncias NTS'!$S$2:$AC$18,3,0)</f>
        <v>46.097999999999992</v>
      </c>
      <c r="E73" s="318">
        <f ca="1">VLOOKUP($B73,'Matriz Distâncias NTS'!$S$2:$AC$18,4,0)</f>
        <v>95.519999999999982</v>
      </c>
      <c r="F73" s="318">
        <f ca="1">VLOOKUP($B73,'Matriz Distâncias NTS'!$S$2:$AC$18,8,0)</f>
        <v>456.31599999999997</v>
      </c>
      <c r="G73" s="318">
        <f ca="1">VLOOKUP($B73,'Matriz Distâncias NTS'!$S$2:$AC$18,7,0)</f>
        <v>45.943333333333328</v>
      </c>
      <c r="H73" s="318">
        <f ca="1">VLOOKUP($B73,'Matriz Distâncias NTS'!$S$2:$AC$18,9,0)</f>
        <v>424.06400000000002</v>
      </c>
      <c r="I73" s="318">
        <f ca="1">VLOOKUP($B73,'Matriz Distâncias NTS'!$S$2:$AC$18,10,0)</f>
        <v>226.39599999999999</v>
      </c>
      <c r="J73" s="318">
        <f ca="1">VLOOKUP($B73,'Matriz Distâncias NTS'!$S$2:$AC$18,5,0)</f>
        <v>318.62100000000004</v>
      </c>
      <c r="K73" s="318">
        <f ca="1">VLOOKUP($B73,'Matriz Distâncias NTS'!$S$2:$AC$18,8,0)</f>
        <v>456.31599999999997</v>
      </c>
      <c r="L73" s="318">
        <f ca="1">VLOOKUP($B73,'Matriz Distâncias NTS'!$S$2:$AC$18,11,0)</f>
        <v>226.39599999999999</v>
      </c>
    </row>
    <row r="74" spans="1:12" x14ac:dyDescent="0.3">
      <c r="A74" s="2" t="s">
        <v>47</v>
      </c>
      <c r="B74" s="44" t="str">
        <f t="shared" si="0"/>
        <v>NTS RJ 3</v>
      </c>
      <c r="C74" s="318">
        <f ca="1">VLOOKUP($B74,'Matriz Distâncias NTS'!$S$2:$AC$18,2,0)</f>
        <v>307.62360000000001</v>
      </c>
      <c r="D74" s="318">
        <f ca="1">VLOOKUP($B74,'Matriz Distâncias NTS'!$S$2:$AC$18,3,0)</f>
        <v>92.737400000000008</v>
      </c>
      <c r="E74" s="318">
        <f ca="1">VLOOKUP($B74,'Matriz Distâncias NTS'!$S$2:$AC$18,4,0)</f>
        <v>142.15940000000001</v>
      </c>
      <c r="F74" s="318">
        <f ca="1">VLOOKUP($B74,'Matriz Distâncias NTS'!$S$2:$AC$18,8,0)</f>
        <v>448.94899999999996</v>
      </c>
      <c r="G74" s="318">
        <f ca="1">VLOOKUP($B74,'Matriz Distâncias NTS'!$S$2:$AC$18,7,0)</f>
        <v>89.951799999999992</v>
      </c>
      <c r="H74" s="318">
        <f ca="1">VLOOKUP($B74,'Matriz Distâncias NTS'!$S$2:$AC$18,9,0)</f>
        <v>379.60659999999996</v>
      </c>
      <c r="I74" s="318">
        <f ca="1">VLOOKUP($B74,'Matriz Distâncias NTS'!$S$2:$AC$18,10,0)</f>
        <v>273.03540000000004</v>
      </c>
      <c r="J74" s="318">
        <f ca="1">VLOOKUP($B74,'Matriz Distâncias NTS'!$S$2:$AC$18,5,0)</f>
        <v>273.44359999999995</v>
      </c>
      <c r="K74" s="318">
        <f ca="1">VLOOKUP($B74,'Matriz Distâncias NTS'!$S$2:$AC$18,8,0)</f>
        <v>448.94899999999996</v>
      </c>
      <c r="L74" s="318">
        <f ca="1">VLOOKUP($B74,'Matriz Distâncias NTS'!$S$2:$AC$18,11,0)</f>
        <v>273.03540000000004</v>
      </c>
    </row>
    <row r="75" spans="1:12" x14ac:dyDescent="0.3">
      <c r="A75" s="2" t="s">
        <v>48</v>
      </c>
      <c r="B75" s="44" t="str">
        <f t="shared" si="0"/>
        <v>NTS RJ 4</v>
      </c>
      <c r="C75" s="318">
        <f ca="1">VLOOKUP($B75,'Matriz Distâncias NTS'!$S$2:$AC$18,2,0)</f>
        <v>244.471</v>
      </c>
      <c r="D75" s="318">
        <f ca="1">VLOOKUP($B75,'Matriz Distâncias NTS'!$S$2:$AC$18,3,0)</f>
        <v>154.518</v>
      </c>
      <c r="E75" s="318">
        <f ca="1">VLOOKUP($B75,'Matriz Distâncias NTS'!$S$2:$AC$18,4,0)</f>
        <v>203.93999999999997</v>
      </c>
      <c r="F75" s="318">
        <f ca="1">VLOOKUP($B75,'Matriz Distâncias NTS'!$S$2:$AC$18,8,0)</f>
        <v>347.89600000000002</v>
      </c>
      <c r="G75" s="318">
        <f ca="1">VLOOKUP($B75,'Matriz Distâncias NTS'!$S$2:$AC$18,7,0)</f>
        <v>156.81800000000001</v>
      </c>
      <c r="H75" s="318">
        <f ca="1">VLOOKUP($B75,'Matriz Distâncias NTS'!$S$2:$AC$18,9,0)</f>
        <v>316.72399999999999</v>
      </c>
      <c r="I75" s="318">
        <f ca="1">VLOOKUP($B75,'Matriz Distâncias NTS'!$S$2:$AC$18,10,0)</f>
        <v>334.81599999999997</v>
      </c>
      <c r="J75" s="318">
        <f ca="1">VLOOKUP($B75,'Matriz Distâncias NTS'!$S$2:$AC$18,5,0)</f>
        <v>210.56099999999998</v>
      </c>
      <c r="K75" s="318">
        <f ca="1">VLOOKUP($B75,'Matriz Distâncias NTS'!$S$2:$AC$18,8,0)</f>
        <v>347.89600000000002</v>
      </c>
      <c r="L75" s="318">
        <f ca="1">VLOOKUP($B75,'Matriz Distâncias NTS'!$S$2:$AC$18,11,0)</f>
        <v>334.81599999999997</v>
      </c>
    </row>
    <row r="76" spans="1:12" x14ac:dyDescent="0.3">
      <c r="A76" s="2" t="s">
        <v>49</v>
      </c>
      <c r="B76" s="44" t="str">
        <f t="shared" si="0"/>
        <v>NTS RJ 5</v>
      </c>
      <c r="C76" s="318">
        <f ca="1">VLOOKUP($B76,'Matriz Distâncias NTS'!$S$2:$AC$18,2,0)</f>
        <v>395.91849999999999</v>
      </c>
      <c r="D76" s="318">
        <f ca="1">VLOOKUP($B76,'Matriz Distâncias NTS'!$S$2:$AC$18,3,0)</f>
        <v>36.580500000000001</v>
      </c>
      <c r="E76" s="318">
        <f ca="1">VLOOKUP($B76,'Matriz Distâncias NTS'!$S$2:$AC$18,4,0)</f>
        <v>87.152500000000003</v>
      </c>
      <c r="F76" s="318">
        <f ca="1">VLOOKUP($B76,'Matriz Distâncias NTS'!$S$2:$AC$18,8,0)</f>
        <v>499.07349999999997</v>
      </c>
      <c r="G76" s="318">
        <f ca="1">VLOOKUP($B76,'Matriz Distâncias NTS'!$S$2:$AC$18,7,0)</f>
        <v>34.080500000000001</v>
      </c>
      <c r="H76" s="318">
        <f ca="1">VLOOKUP($B76,'Matriz Distâncias NTS'!$S$2:$AC$18,9,0)</f>
        <v>463.87950000000001</v>
      </c>
      <c r="I76" s="318">
        <f ca="1">VLOOKUP($B76,'Matriz Distâncias NTS'!$S$2:$AC$18,10,0)</f>
        <v>218.02850000000001</v>
      </c>
      <c r="J76" s="318">
        <f ca="1">VLOOKUP($B76,'Matriz Distâncias NTS'!$S$2:$AC$18,5,0)</f>
        <v>357.71899999999999</v>
      </c>
      <c r="K76" s="318">
        <f ca="1">VLOOKUP($B76,'Matriz Distâncias NTS'!$S$2:$AC$18,8,0)</f>
        <v>499.07349999999997</v>
      </c>
      <c r="L76" s="318">
        <f ca="1">VLOOKUP($B76,'Matriz Distâncias NTS'!$S$2:$AC$18,11,0)</f>
        <v>218.02850000000001</v>
      </c>
    </row>
    <row r="77" spans="1:12" x14ac:dyDescent="0.3">
      <c r="A77" s="2" t="s">
        <v>50</v>
      </c>
      <c r="B77" s="44" t="str">
        <f t="shared" si="0"/>
        <v>NTS SP 1</v>
      </c>
      <c r="C77" s="318">
        <f ca="1">VLOOKUP($B77,'Matriz Distâncias NTS'!$S$2:$AC$18,2,0)</f>
        <v>162.84283333333335</v>
      </c>
      <c r="D77" s="318">
        <f ca="1">VLOOKUP($B77,'Matriz Distâncias NTS'!$S$2:$AC$18,3,0)</f>
        <v>343.1248333333333</v>
      </c>
      <c r="E77" s="318">
        <f ca="1">VLOOKUP($B77,'Matriz Distâncias NTS'!$S$2:$AC$18,4,0)</f>
        <v>329.05316666666664</v>
      </c>
      <c r="F77" s="318">
        <f ca="1">VLOOKUP($B77,'Matriz Distâncias NTS'!$S$2:$AC$18,8,0)</f>
        <v>222.24283333333335</v>
      </c>
      <c r="G77" s="318">
        <f ca="1">VLOOKUP($B77,'Matriz Distâncias NTS'!$S$2:$AC$18,7,0)</f>
        <v>278.44916666666666</v>
      </c>
      <c r="H77" s="318">
        <f ca="1">VLOOKUP($B77,'Matriz Distâncias NTS'!$S$2:$AC$18,9,0)</f>
        <v>234.82583333333335</v>
      </c>
      <c r="I77" s="318">
        <f ca="1">VLOOKUP($B77,'Matriz Distâncias NTS'!$S$2:$AC$18,10,0)</f>
        <v>459.92916666666662</v>
      </c>
      <c r="J77" s="318">
        <f ca="1">VLOOKUP($B77,'Matriz Distâncias NTS'!$S$2:$AC$18,5,0)</f>
        <v>128.66283333333334</v>
      </c>
      <c r="K77" s="318">
        <f ca="1">VLOOKUP($B77,'Matriz Distâncias NTS'!$S$2:$AC$18,8,0)</f>
        <v>222.24283333333335</v>
      </c>
      <c r="L77" s="318">
        <f ca="1">VLOOKUP($B77,'Matriz Distâncias NTS'!$S$2:$AC$18,11,0)</f>
        <v>459.92916666666662</v>
      </c>
    </row>
    <row r="78" spans="1:12" x14ac:dyDescent="0.3">
      <c r="A78" s="2" t="s">
        <v>51</v>
      </c>
      <c r="B78" s="44" t="str">
        <f t="shared" si="0"/>
        <v>NTS SP 2</v>
      </c>
      <c r="C78" s="318">
        <f ca="1">VLOOKUP($B78,'Matriz Distâncias NTS'!$S$2:$AC$18,2,0)</f>
        <v>77.567999999999998</v>
      </c>
      <c r="D78" s="318">
        <f ca="1">VLOOKUP($B78,'Matriz Distâncias NTS'!$S$2:$AC$18,3,0)</f>
        <v>319.46766666666667</v>
      </c>
      <c r="E78" s="318">
        <f ca="1">VLOOKUP($B78,'Matriz Distâncias NTS'!$S$2:$AC$18,4,0)</f>
        <v>367.80966666666671</v>
      </c>
      <c r="F78" s="318">
        <f ca="1">VLOOKUP($B78,'Matriz Distâncias NTS'!$S$2:$AC$18,8,0)</f>
        <v>221.07166666666669</v>
      </c>
      <c r="G78" s="318">
        <f ca="1">VLOOKUP($B78,'Matriz Distâncias NTS'!$S$2:$AC$18,7,0)</f>
        <v>321.76766666666668</v>
      </c>
      <c r="H78" s="318">
        <f ca="1">VLOOKUP($B78,'Matriz Distâncias NTS'!$S$2:$AC$18,9,0)</f>
        <v>151.77433333333332</v>
      </c>
      <c r="I78" s="318">
        <f ca="1">VLOOKUP($B78,'Matriz Distâncias NTS'!$S$2:$AC$18,10,0)</f>
        <v>498.68566666666669</v>
      </c>
      <c r="J78" s="318">
        <f ca="1">VLOOKUP($B78,'Matriz Distâncias NTS'!$S$2:$AC$18,5,0)</f>
        <v>45.611333333333334</v>
      </c>
      <c r="K78" s="318">
        <f ca="1">VLOOKUP($B78,'Matriz Distâncias NTS'!$S$2:$AC$18,8,0)</f>
        <v>221.07166666666669</v>
      </c>
      <c r="L78" s="318">
        <f ca="1">VLOOKUP($B78,'Matriz Distâncias NTS'!$S$2:$AC$18,11,0)</f>
        <v>498.68566666666669</v>
      </c>
    </row>
    <row r="79" spans="1:12" x14ac:dyDescent="0.3">
      <c r="A79" s="2" t="s">
        <v>52</v>
      </c>
      <c r="B79" s="44" t="str">
        <f t="shared" si="0"/>
        <v>NTS SP 3</v>
      </c>
      <c r="C79" s="318">
        <f ca="1">VLOOKUP($B79,'Matriz Distâncias NTS'!$S$2:$AC$18,2,0)</f>
        <v>176.60120000000001</v>
      </c>
      <c r="D79" s="318">
        <f ca="1">VLOOKUP($B79,'Matriz Distâncias NTS'!$S$2:$AC$18,3,0)</f>
        <v>435.43320000000006</v>
      </c>
      <c r="E79" s="318">
        <f ca="1">VLOOKUP($B79,'Matriz Distâncias NTS'!$S$2:$AC$18,4,0)</f>
        <v>483.80799999999999</v>
      </c>
      <c r="F79" s="318">
        <f ca="1">VLOOKUP($B79,'Matriz Distâncias NTS'!$S$2:$AC$18,8,0)</f>
        <v>337.03720000000004</v>
      </c>
      <c r="G79" s="318">
        <f ca="1">VLOOKUP($B79,'Matriz Distâncias NTS'!$S$2:$AC$18,7,0)</f>
        <v>437.73320000000001</v>
      </c>
      <c r="H79" s="318">
        <f ca="1">VLOOKUP($B79,'Matriz Distâncias NTS'!$S$2:$AC$18,9,0)</f>
        <v>46.044000000000004</v>
      </c>
      <c r="I79" s="318">
        <f ca="1">VLOOKUP($B79,'Matriz Distâncias NTS'!$S$2:$AC$18,10,0)</f>
        <v>614.68399999999997</v>
      </c>
      <c r="J79" s="318">
        <f ca="1">VLOOKUP($B79,'Matriz Distâncias NTS'!$S$2:$AC$18,5,0)</f>
        <v>70.354199999999992</v>
      </c>
      <c r="K79" s="318">
        <f ca="1">VLOOKUP($B79,'Matriz Distâncias NTS'!$S$2:$AC$18,8,0)</f>
        <v>337.03720000000004</v>
      </c>
      <c r="L79" s="318">
        <f ca="1">VLOOKUP($B79,'Matriz Distâncias NTS'!$S$2:$AC$18,11,0)</f>
        <v>614.68399999999997</v>
      </c>
    </row>
    <row r="80" spans="1:12" x14ac:dyDescent="0.3">
      <c r="A80" s="2" t="s">
        <v>53</v>
      </c>
      <c r="B80" s="44" t="str">
        <f t="shared" si="0"/>
        <v>NTS SP 4</v>
      </c>
      <c r="C80" s="318">
        <f ca="1">VLOOKUP($B80,'Matriz Distâncias NTS'!$S$2:$AC$18,2,0)</f>
        <v>211.58399999999997</v>
      </c>
      <c r="D80" s="318">
        <f ca="1">VLOOKUP($B80,'Matriz Distâncias NTS'!$S$2:$AC$18,3,0)</f>
        <v>470.416</v>
      </c>
      <c r="E80" s="318">
        <f ca="1">VLOOKUP($B80,'Matriz Distâncias NTS'!$S$2:$AC$18,4,0)</f>
        <v>519.83799999999997</v>
      </c>
      <c r="F80" s="318">
        <f ca="1">VLOOKUP($B80,'Matriz Distâncias NTS'!$S$2:$AC$18,8,0)</f>
        <v>372.02</v>
      </c>
      <c r="G80" s="318">
        <f ca="1">VLOOKUP($B80,'Matriz Distâncias NTS'!$S$2:$AC$18,7,0)</f>
        <v>472.71600000000007</v>
      </c>
      <c r="H80" s="318">
        <f ca="1">VLOOKUP($B80,'Matriz Distâncias NTS'!$S$2:$AC$18,9,0)</f>
        <v>0.82600000000000007</v>
      </c>
      <c r="I80" s="318">
        <f ca="1">VLOOKUP($B80,'Matriz Distâncias NTS'!$S$2:$AC$18,10,0)</f>
        <v>650.71399999999994</v>
      </c>
      <c r="J80" s="318">
        <f ca="1">VLOOKUP($B80,'Matriz Distâncias NTS'!$S$2:$AC$18,5,0)</f>
        <v>105.337</v>
      </c>
      <c r="K80" s="318">
        <f ca="1">VLOOKUP($B80,'Matriz Distâncias NTS'!$S$2:$AC$18,8,0)</f>
        <v>372.02</v>
      </c>
      <c r="L80" s="318">
        <f ca="1">VLOOKUP($B80,'Matriz Distâncias NTS'!$S$2:$AC$18,11,0)</f>
        <v>650.71399999999994</v>
      </c>
    </row>
    <row r="81" spans="1:12" x14ac:dyDescent="0.3">
      <c r="A81" s="2" t="s">
        <v>54</v>
      </c>
      <c r="B81" s="44" t="str">
        <f t="shared" si="0"/>
        <v>PE-GUARAREMA (INTERCONEXÃO)</v>
      </c>
      <c r="C81" s="318">
        <f>VLOOKUP($B81,'Matriz Distâncias NTS'!$S$2:$AC$18,2,0)</f>
        <v>106.247</v>
      </c>
      <c r="D81" s="318">
        <f>VLOOKUP($B81,'Matriz Distâncias NTS'!$S$2:$AC$18,3,0)</f>
        <v>365.07900000000001</v>
      </c>
      <c r="E81" s="318">
        <f>VLOOKUP($B81,'Matriz Distâncias NTS'!$S$2:$AC$18,4,0)</f>
        <v>414.50099999999998</v>
      </c>
      <c r="F81" s="318">
        <f>VLOOKUP($B81,'Matriz Distâncias NTS'!$S$2:$AC$18,8,0)</f>
        <v>266.68299999999999</v>
      </c>
      <c r="G81" s="318">
        <f>VLOOKUP($B81,'Matriz Distâncias NTS'!$S$2:$AC$18,7,0)</f>
        <v>367.37900000000002</v>
      </c>
      <c r="H81" s="318">
        <f>VLOOKUP($B81,'Matriz Distâncias NTS'!$S$2:$AC$18,9,0)</f>
        <v>106.163</v>
      </c>
      <c r="I81" s="318">
        <f>VLOOKUP($B81,'Matriz Distâncias NTS'!$S$2:$AC$18,10,0)</f>
        <v>545.37699999999995</v>
      </c>
      <c r="J81" s="318">
        <f>VLOOKUP($B81,'Matriz Distâncias NTS'!$S$2:$AC$18,5,0)</f>
        <v>0</v>
      </c>
      <c r="K81" s="318">
        <f>VLOOKUP($B81,'Matriz Distâncias NTS'!$S$2:$AC$18,8,0)</f>
        <v>266.68299999999999</v>
      </c>
      <c r="L81" s="318">
        <f>VLOOKUP($B81,'Matriz Distâncias NTS'!$S$2:$AC$18,11,0)</f>
        <v>545.37699999999995</v>
      </c>
    </row>
    <row r="82" spans="1:12" x14ac:dyDescent="0.3">
      <c r="A82" s="2" t="s">
        <v>55</v>
      </c>
      <c r="B82" s="44" t="str">
        <f t="shared" si="0"/>
        <v>PE-REPLAN (INTERCONEXÃO)</v>
      </c>
      <c r="C82" s="318">
        <f>VLOOKUP($B82,'Matriz Distâncias NTS'!$S$2:$AC$18,2,0)</f>
        <v>300.863</v>
      </c>
      <c r="D82" s="318">
        <f>VLOOKUP($B82,'Matriz Distâncias NTS'!$S$2:$AC$18,3,0)</f>
        <v>502.41399999999999</v>
      </c>
      <c r="E82" s="318">
        <f>VLOOKUP($B82,'Matriz Distâncias NTS'!$S$2:$AC$18,4,0)</f>
        <v>551.83600000000001</v>
      </c>
      <c r="F82" s="318">
        <f>VLOOKUP($B82,'Matriz Distâncias NTS'!$S$2:$AC$18,8,0)</f>
        <v>0</v>
      </c>
      <c r="G82" s="318">
        <f>VLOOKUP($B82,'Matriz Distâncias NTS'!$S$2:$AC$18,7,0)</f>
        <v>504.714</v>
      </c>
      <c r="H82" s="318">
        <f>VLOOKUP($B82,'Matriz Distâncias NTS'!$S$2:$AC$18,9,0)</f>
        <v>372.846</v>
      </c>
      <c r="I82" s="318">
        <f>VLOOKUP($B82,'Matriz Distâncias NTS'!$S$2:$AC$18,10,0)</f>
        <v>682.71199999999999</v>
      </c>
      <c r="J82" s="318">
        <f>VLOOKUP($B82,'Matriz Distâncias NTS'!$S$2:$AC$18,5,0)</f>
        <v>266.68299999999999</v>
      </c>
      <c r="K82" s="318">
        <f>VLOOKUP($B82,'Matriz Distâncias NTS'!$S$2:$AC$18,8,0)</f>
        <v>0</v>
      </c>
      <c r="L82" s="318">
        <f>VLOOKUP($B82,'Matriz Distâncias NTS'!$S$2:$AC$18,11,0)</f>
        <v>682.71199999999999</v>
      </c>
    </row>
    <row r="83" spans="1:12" x14ac:dyDescent="0.3">
      <c r="A83" s="2" t="s">
        <v>56</v>
      </c>
      <c r="B83" s="44" t="str">
        <f t="shared" si="0"/>
        <v>PE-TECAB (INTERCONEXÃO)</v>
      </c>
      <c r="C83" s="318">
        <f>VLOOKUP($B83,'Matriz Distâncias NTS'!$S$2:$AC$18,2,0)</f>
        <v>579.55700000000002</v>
      </c>
      <c r="D83" s="318">
        <f>VLOOKUP($B83,'Matriz Distâncias NTS'!$S$2:$AC$18,3,0)</f>
        <v>180.298</v>
      </c>
      <c r="E83" s="318">
        <f>VLOOKUP($B83,'Matriz Distâncias NTS'!$S$2:$AC$18,4,0)</f>
        <v>152.876</v>
      </c>
      <c r="F83" s="318">
        <f>VLOOKUP($B83,'Matriz Distâncias NTS'!$S$2:$AC$18,8,0)</f>
        <v>682.71199999999999</v>
      </c>
      <c r="G83" s="318">
        <f>VLOOKUP($B83,'Matriz Distâncias NTS'!$S$2:$AC$18,7,0)</f>
        <v>180.298</v>
      </c>
      <c r="H83" s="318">
        <f>VLOOKUP($B83,'Matriz Distâncias NTS'!$S$2:$AC$18,9,0)</f>
        <v>651.54</v>
      </c>
      <c r="I83" s="318">
        <f>VLOOKUP($B83,'Matriz Distâncias NTS'!$S$2:$AC$18,10,0)</f>
        <v>0</v>
      </c>
      <c r="J83" s="318">
        <f>VLOOKUP($B83,'Matriz Distâncias NTS'!$S$2:$AC$18,5,0)</f>
        <v>545.37699999999995</v>
      </c>
      <c r="K83" s="318">
        <f>VLOOKUP($B83,'Matriz Distâncias NTS'!$S$2:$AC$18,8,0)</f>
        <v>682.71199999999999</v>
      </c>
      <c r="L83" s="318">
        <f>VLOOKUP($B83,'Matriz Distâncias NTS'!$S$2:$AC$18,11,0)</f>
        <v>0</v>
      </c>
    </row>
    <row r="86" spans="1:12" s="98" customFormat="1" x14ac:dyDescent="0.3">
      <c r="A86" s="98" t="s">
        <v>144</v>
      </c>
      <c r="B86" s="98" t="s">
        <v>519</v>
      </c>
    </row>
    <row r="89" spans="1:12" x14ac:dyDescent="0.3">
      <c r="A89" t="s">
        <v>125</v>
      </c>
      <c r="B89" t="s">
        <v>126</v>
      </c>
    </row>
    <row r="90" spans="1:12" ht="15.6" x14ac:dyDescent="0.35">
      <c r="A90" t="s">
        <v>300</v>
      </c>
      <c r="B90" t="s">
        <v>145</v>
      </c>
    </row>
    <row r="91" spans="1:12" ht="15.6" x14ac:dyDescent="0.35">
      <c r="A91" t="s">
        <v>301</v>
      </c>
      <c r="B91" t="s">
        <v>146</v>
      </c>
    </row>
    <row r="93" spans="1:12" x14ac:dyDescent="0.3">
      <c r="A93" t="s">
        <v>147</v>
      </c>
    </row>
    <row r="94" spans="1:12" x14ac:dyDescent="0.3">
      <c r="A94" s="109"/>
      <c r="B94" s="109"/>
    </row>
    <row r="95" spans="1:12" x14ac:dyDescent="0.3">
      <c r="A95" s="109"/>
      <c r="B95" s="109"/>
    </row>
    <row r="96" spans="1:12" x14ac:dyDescent="0.3">
      <c r="A96" s="109"/>
      <c r="B96" s="109"/>
    </row>
    <row r="99" spans="1:27" ht="15.6" x14ac:dyDescent="0.35">
      <c r="A99" s="110" t="s">
        <v>302</v>
      </c>
      <c r="B99" s="111" t="s">
        <v>148</v>
      </c>
      <c r="D99" s="110" t="s">
        <v>303</v>
      </c>
      <c r="E99" s="111" t="s">
        <v>148</v>
      </c>
      <c r="G99" s="112" t="s">
        <v>302</v>
      </c>
      <c r="H99" s="95" t="s">
        <v>304</v>
      </c>
      <c r="I99" s="95" t="s">
        <v>305</v>
      </c>
      <c r="J99" s="95" t="s">
        <v>306</v>
      </c>
      <c r="K99" s="95" t="s">
        <v>307</v>
      </c>
      <c r="L99" s="95" t="s">
        <v>308</v>
      </c>
      <c r="M99" s="95" t="s">
        <v>309</v>
      </c>
      <c r="N99" s="95" t="s">
        <v>310</v>
      </c>
      <c r="O99" s="95" t="s">
        <v>311</v>
      </c>
      <c r="P99" s="95" t="s">
        <v>312</v>
      </c>
      <c r="Q99" s="95" t="s">
        <v>313</v>
      </c>
      <c r="R99" s="95"/>
      <c r="S99" s="95"/>
      <c r="T99" s="95"/>
      <c r="U99" s="95"/>
      <c r="V99" s="95"/>
      <c r="W99" s="95"/>
      <c r="X99" s="95"/>
      <c r="Y99" s="95"/>
      <c r="Z99" s="95"/>
      <c r="AA99" s="95"/>
    </row>
    <row r="100" spans="1:27" ht="15.6" x14ac:dyDescent="0.35">
      <c r="A100" t="s">
        <v>304</v>
      </c>
      <c r="B100" s="113">
        <f>H25/$H$35</f>
        <v>0.22855576870375446</v>
      </c>
      <c r="C100" s="9"/>
      <c r="D100" t="s">
        <v>314</v>
      </c>
      <c r="E100" s="113">
        <f>H42/$H$58</f>
        <v>1.1860101602188354E-2</v>
      </c>
      <c r="G100" s="112" t="s">
        <v>148</v>
      </c>
      <c r="H100" s="114">
        <f>H25/$H$35</f>
        <v>0.22855576870375446</v>
      </c>
      <c r="I100" s="114">
        <f>H26/$H$35</f>
        <v>0.32240904034949142</v>
      </c>
      <c r="J100" s="114">
        <f>$H27/$H$35</f>
        <v>0.20956587622716941</v>
      </c>
      <c r="K100" s="114">
        <f>$H28/$H$35</f>
        <v>0</v>
      </c>
      <c r="L100" s="114">
        <f>$H29/$H$35</f>
        <v>0</v>
      </c>
      <c r="M100" s="114">
        <f>$H30/$H$35</f>
        <v>0</v>
      </c>
      <c r="N100" s="114">
        <f>$H31/$H$35</f>
        <v>0.23946931471958471</v>
      </c>
      <c r="O100" s="114">
        <f>$H32/$H$35</f>
        <v>0</v>
      </c>
      <c r="P100" s="114">
        <f>$H33/$H$35</f>
        <v>0</v>
      </c>
      <c r="Q100" s="114">
        <f>$H34/$H$35</f>
        <v>0</v>
      </c>
      <c r="R100" s="114">
        <f>SUM(H100:Q100)</f>
        <v>1</v>
      </c>
      <c r="S100" s="113"/>
      <c r="T100" s="113"/>
      <c r="U100" s="113"/>
      <c r="V100" s="113"/>
      <c r="W100" s="113"/>
    </row>
    <row r="101" spans="1:27" ht="15.6" x14ac:dyDescent="0.35">
      <c r="A101" t="s">
        <v>305</v>
      </c>
      <c r="B101" s="113">
        <f t="shared" ref="B101:B109" si="1">H26/$H$35</f>
        <v>0.32240904034949142</v>
      </c>
      <c r="C101" s="4"/>
      <c r="D101" t="s">
        <v>315</v>
      </c>
      <c r="E101" s="113">
        <f t="shared" ref="E101:E115" si="2">H43/$H$58</f>
        <v>3.2786244626807355E-2</v>
      </c>
      <c r="W101" s="116"/>
    </row>
    <row r="102" spans="1:27" ht="15.6" x14ac:dyDescent="0.35">
      <c r="A102" t="s">
        <v>306</v>
      </c>
      <c r="B102" s="113">
        <f t="shared" si="1"/>
        <v>0.20956587622716941</v>
      </c>
      <c r="C102" s="4"/>
      <c r="D102" t="s">
        <v>316</v>
      </c>
      <c r="E102" s="113">
        <f t="shared" si="2"/>
        <v>5.3477921062915205E-2</v>
      </c>
      <c r="G102" s="113"/>
      <c r="H102" s="115"/>
      <c r="I102" s="115"/>
    </row>
    <row r="103" spans="1:27" ht="15.6" x14ac:dyDescent="0.35">
      <c r="A103" t="s">
        <v>307</v>
      </c>
      <c r="B103" s="113">
        <f t="shared" si="1"/>
        <v>0</v>
      </c>
      <c r="C103" s="4"/>
      <c r="D103" t="s">
        <v>317</v>
      </c>
      <c r="E103" s="113">
        <f t="shared" si="2"/>
        <v>6.5455255959359134E-3</v>
      </c>
      <c r="G103" s="113"/>
      <c r="H103" s="115"/>
      <c r="I103" s="115"/>
    </row>
    <row r="104" spans="1:27" ht="15.6" x14ac:dyDescent="0.35">
      <c r="A104" t="s">
        <v>308</v>
      </c>
      <c r="B104" s="113">
        <f t="shared" si="1"/>
        <v>0</v>
      </c>
      <c r="C104" s="4"/>
      <c r="D104" t="s">
        <v>318</v>
      </c>
      <c r="E104" s="113">
        <f t="shared" si="2"/>
        <v>0.34765533411488869</v>
      </c>
      <c r="G104" s="113"/>
      <c r="H104" s="115"/>
      <c r="I104" s="115"/>
    </row>
    <row r="105" spans="1:27" ht="15.6" x14ac:dyDescent="0.35">
      <c r="A105" t="s">
        <v>309</v>
      </c>
      <c r="B105" s="113">
        <f t="shared" si="1"/>
        <v>0</v>
      </c>
      <c r="C105" s="4"/>
      <c r="D105" t="s">
        <v>319</v>
      </c>
      <c r="E105" s="113">
        <f t="shared" si="2"/>
        <v>0.1642438452520516</v>
      </c>
      <c r="G105" s="113"/>
      <c r="H105" s="115"/>
      <c r="I105" s="115"/>
    </row>
    <row r="106" spans="1:27" ht="15.6" x14ac:dyDescent="0.35">
      <c r="A106" t="s">
        <v>310</v>
      </c>
      <c r="B106" s="113">
        <f t="shared" si="1"/>
        <v>0.23946931471958471</v>
      </c>
      <c r="C106" s="4"/>
      <c r="D106" t="s">
        <v>320</v>
      </c>
      <c r="E106" s="113">
        <f t="shared" si="2"/>
        <v>3.3489644392340756E-2</v>
      </c>
      <c r="G106" s="113"/>
      <c r="H106" s="115"/>
      <c r="I106" s="115"/>
    </row>
    <row r="107" spans="1:27" ht="15.6" x14ac:dyDescent="0.35">
      <c r="A107" t="s">
        <v>311</v>
      </c>
      <c r="B107" s="113">
        <f t="shared" si="1"/>
        <v>0</v>
      </c>
      <c r="C107" s="4"/>
      <c r="D107" t="s">
        <v>321</v>
      </c>
      <c r="E107" s="113">
        <f t="shared" si="2"/>
        <v>6.311059007424776E-3</v>
      </c>
      <c r="G107" s="113"/>
      <c r="H107" s="115"/>
      <c r="I107" s="115"/>
    </row>
    <row r="108" spans="1:27" ht="15.6" x14ac:dyDescent="0.35">
      <c r="A108" t="s">
        <v>312</v>
      </c>
      <c r="B108" s="113">
        <f t="shared" si="1"/>
        <v>0</v>
      </c>
      <c r="C108" s="4"/>
      <c r="D108" t="s">
        <v>322</v>
      </c>
      <c r="E108" s="113">
        <f t="shared" si="2"/>
        <v>4.1578741695974988E-2</v>
      </c>
      <c r="G108" s="113"/>
      <c r="H108" s="115"/>
      <c r="I108" s="115"/>
    </row>
    <row r="109" spans="1:27" ht="15.6" x14ac:dyDescent="0.35">
      <c r="A109" t="s">
        <v>313</v>
      </c>
      <c r="B109" s="113">
        <f t="shared" si="1"/>
        <v>0</v>
      </c>
      <c r="D109" t="s">
        <v>323</v>
      </c>
      <c r="E109" s="113">
        <f t="shared" si="2"/>
        <v>2.4169597499023057E-2</v>
      </c>
      <c r="G109" s="113"/>
    </row>
    <row r="110" spans="1:27" ht="15.6" x14ac:dyDescent="0.35">
      <c r="B110" s="113">
        <f>SUM(B100:B109)</f>
        <v>1</v>
      </c>
      <c r="D110" t="s">
        <v>324</v>
      </c>
      <c r="E110" s="113">
        <f t="shared" si="2"/>
        <v>5.8069558421258299E-2</v>
      </c>
      <c r="G110" s="113"/>
    </row>
    <row r="111" spans="1:27" ht="15.6" x14ac:dyDescent="0.35">
      <c r="B111" s="115"/>
      <c r="D111" t="s">
        <v>325</v>
      </c>
      <c r="E111" s="113">
        <f t="shared" si="2"/>
        <v>0.155705353653771</v>
      </c>
      <c r="G111" s="113"/>
    </row>
    <row r="112" spans="1:27" ht="15.6" x14ac:dyDescent="0.35">
      <c r="B112" s="115"/>
      <c r="D112" t="s">
        <v>326</v>
      </c>
      <c r="E112" s="113">
        <f t="shared" si="2"/>
        <v>6.4107073075420087E-2</v>
      </c>
    </row>
    <row r="113" spans="1:5" ht="15.6" x14ac:dyDescent="0.35">
      <c r="B113" s="115"/>
      <c r="D113" t="s">
        <v>327</v>
      </c>
      <c r="E113" s="113">
        <f t="shared" si="2"/>
        <v>0</v>
      </c>
    </row>
    <row r="114" spans="1:5" ht="15.6" x14ac:dyDescent="0.35">
      <c r="B114" s="115"/>
      <c r="D114" t="s">
        <v>328</v>
      </c>
      <c r="E114" s="113">
        <f t="shared" si="2"/>
        <v>0</v>
      </c>
    </row>
    <row r="115" spans="1:5" ht="15.6" x14ac:dyDescent="0.35">
      <c r="B115" s="115"/>
      <c r="D115" t="s">
        <v>329</v>
      </c>
      <c r="E115" s="113">
        <f t="shared" si="2"/>
        <v>0</v>
      </c>
    </row>
    <row r="116" spans="1:5" x14ac:dyDescent="0.3">
      <c r="E116" s="113">
        <f>SUM(E100:E115)</f>
        <v>1</v>
      </c>
    </row>
    <row r="118" spans="1:5" s="98" customFormat="1" x14ac:dyDescent="0.3">
      <c r="A118" s="98" t="s">
        <v>149</v>
      </c>
      <c r="B118" s="98" t="s">
        <v>518</v>
      </c>
    </row>
    <row r="120" spans="1:5" x14ac:dyDescent="0.3">
      <c r="A120" t="s">
        <v>125</v>
      </c>
      <c r="B120" t="s">
        <v>126</v>
      </c>
    </row>
    <row r="121" spans="1:5" ht="15.6" x14ac:dyDescent="0.35">
      <c r="A121" t="s">
        <v>330</v>
      </c>
      <c r="B121" t="s">
        <v>150</v>
      </c>
    </row>
    <row r="122" spans="1:5" ht="15.6" x14ac:dyDescent="0.35">
      <c r="A122" t="s">
        <v>331</v>
      </c>
      <c r="B122" t="s">
        <v>151</v>
      </c>
    </row>
    <row r="124" spans="1:5" x14ac:dyDescent="0.3">
      <c r="A124" t="s">
        <v>147</v>
      </c>
    </row>
    <row r="125" spans="1:5" x14ac:dyDescent="0.3">
      <c r="A125" s="109"/>
      <c r="B125" s="109"/>
    </row>
    <row r="126" spans="1:5" x14ac:dyDescent="0.3">
      <c r="A126" s="109"/>
      <c r="B126" s="109"/>
    </row>
    <row r="127" spans="1:5" x14ac:dyDescent="0.3">
      <c r="A127" s="109"/>
      <c r="B127" s="109"/>
    </row>
    <row r="128" spans="1:5" x14ac:dyDescent="0.3">
      <c r="A128" s="109"/>
      <c r="B128" s="109"/>
    </row>
    <row r="130" spans="1:5" ht="15.6" x14ac:dyDescent="0.3">
      <c r="A130" s="110" t="s">
        <v>332</v>
      </c>
      <c r="B130" s="111" t="s">
        <v>148</v>
      </c>
      <c r="D130" s="110" t="s">
        <v>333</v>
      </c>
      <c r="E130" s="111" t="s">
        <v>148</v>
      </c>
    </row>
    <row r="131" spans="1:5" ht="15.6" x14ac:dyDescent="0.35">
      <c r="A131" t="s">
        <v>334</v>
      </c>
      <c r="B131" s="113">
        <f ca="1">SUMPRODUCT($E$100:$E$115,C$68:C$83)</f>
        <v>357.06304582714608</v>
      </c>
      <c r="C131" s="117"/>
      <c r="D131" t="s">
        <v>335</v>
      </c>
      <c r="E131" s="4">
        <f ca="1">SUMPRODUCT($H$100:$Q$100,$C68:$L68)</f>
        <v>350.07408983927911</v>
      </c>
    </row>
    <row r="132" spans="1:5" ht="15.6" x14ac:dyDescent="0.35">
      <c r="A132" t="s">
        <v>336</v>
      </c>
      <c r="B132" s="113">
        <f ca="1">SUMPRODUCT($E$100:$E$115,D$68:D$83)</f>
        <v>203.52647278168561</v>
      </c>
      <c r="C132" s="117"/>
      <c r="D132" t="s">
        <v>337</v>
      </c>
      <c r="E132" s="4">
        <f t="shared" ref="E132:E146" ca="1" si="3">SUMPRODUCT($H$100:$Q$100,$C69:$L69)</f>
        <v>447.2380898392791</v>
      </c>
    </row>
    <row r="133" spans="1:5" ht="15.6" x14ac:dyDescent="0.35">
      <c r="A133" t="s">
        <v>338</v>
      </c>
      <c r="B133" s="113">
        <f ca="1">SUMPRODUCT($E$100:$E$115,E$68:E$83)</f>
        <v>237.87828895076203</v>
      </c>
      <c r="C133" s="117"/>
      <c r="D133" t="s">
        <v>339</v>
      </c>
      <c r="E133" s="4">
        <f t="shared" ca="1" si="3"/>
        <v>564.40328983927907</v>
      </c>
    </row>
    <row r="134" spans="1:5" ht="15.6" x14ac:dyDescent="0.35">
      <c r="A134" t="s">
        <v>340</v>
      </c>
      <c r="B134" s="113">
        <f ca="1">SUMPRODUCT($E$100:$E$115,F$68:F$83)</f>
        <v>472.7892446925884</v>
      </c>
      <c r="C134" s="117"/>
      <c r="D134" t="s">
        <v>341</v>
      </c>
      <c r="E134" s="4">
        <f t="shared" ca="1" si="3"/>
        <v>603.6473595022004</v>
      </c>
    </row>
    <row r="135" spans="1:5" ht="15.6" x14ac:dyDescent="0.35">
      <c r="A135" t="s">
        <v>342</v>
      </c>
      <c r="B135" s="113">
        <f ca="1">SUMPRODUCT($E$100:$E$115,G$68:G$83)</f>
        <v>190.83048821610006</v>
      </c>
      <c r="C135" s="117"/>
      <c r="D135" t="s">
        <v>343</v>
      </c>
      <c r="E135" s="4">
        <f t="shared" ca="1" si="3"/>
        <v>170.52431906673328</v>
      </c>
    </row>
    <row r="136" spans="1:5" ht="15.6" x14ac:dyDescent="0.35">
      <c r="A136" t="s">
        <v>344</v>
      </c>
      <c r="B136" s="113">
        <f ca="1">SUMPRODUCT($E$100:$E$115,H$68:H$83)</f>
        <v>378.29690127588907</v>
      </c>
      <c r="C136" s="117"/>
      <c r="D136" t="s">
        <v>345</v>
      </c>
      <c r="E136" s="4">
        <f t="shared" ca="1" si="3"/>
        <v>169.72974316895844</v>
      </c>
    </row>
    <row r="137" spans="1:5" ht="15.6" x14ac:dyDescent="0.35">
      <c r="A137" t="s">
        <v>346</v>
      </c>
      <c r="B137" s="113">
        <f ca="1">SUMPRODUCT($E$100:$E$115,I$68:I$83)</f>
        <v>338.96092212778433</v>
      </c>
      <c r="D137" t="s">
        <v>347</v>
      </c>
      <c r="E137" s="4">
        <f t="shared" ca="1" si="3"/>
        <v>195.38388386503959</v>
      </c>
    </row>
    <row r="138" spans="1:5" ht="15.6" x14ac:dyDescent="0.35">
      <c r="A138" t="s">
        <v>348</v>
      </c>
      <c r="B138" s="113">
        <f ca="1">SUMPRODUCT($E$100:$E$115,J$68:J$83)</f>
        <v>306.07333005275507</v>
      </c>
      <c r="D138" t="s">
        <v>349</v>
      </c>
      <c r="E138" s="4">
        <f t="shared" ca="1" si="3"/>
        <v>228.61028030241965</v>
      </c>
    </row>
    <row r="139" spans="1:5" ht="15.6" x14ac:dyDescent="0.35">
      <c r="A139" t="s">
        <v>350</v>
      </c>
      <c r="B139" s="113">
        <f ca="1">SUMPRODUCT($E$100:$E$115,K$68:K$83)</f>
        <v>472.7892446925884</v>
      </c>
      <c r="D139" t="s">
        <v>351</v>
      </c>
      <c r="E139" s="4">
        <f t="shared" ca="1" si="3"/>
        <v>172.75866652426933</v>
      </c>
    </row>
    <row r="140" spans="1:5" ht="15.6" x14ac:dyDescent="0.35">
      <c r="A140" t="s">
        <v>352</v>
      </c>
      <c r="B140" s="113">
        <f ca="1">SUMPRODUCT($E$100:$E$115,L$68:L$83)</f>
        <v>338.96092212778433</v>
      </c>
      <c r="D140" t="s">
        <v>353</v>
      </c>
      <c r="E140" s="4">
        <f t="shared" ca="1" si="3"/>
        <v>326.94245474451765</v>
      </c>
    </row>
    <row r="141" spans="1:5" ht="15.6" x14ac:dyDescent="0.35">
      <c r="B141" s="113"/>
      <c r="D141" t="s">
        <v>354</v>
      </c>
      <c r="E141" s="4">
        <f t="shared" ca="1" si="3"/>
        <v>317.22814763647307</v>
      </c>
    </row>
    <row r="142" spans="1:5" ht="15.6" x14ac:dyDescent="0.35">
      <c r="B142" s="113"/>
      <c r="D142" t="s">
        <v>355</v>
      </c>
      <c r="E142" s="4">
        <f t="shared" ca="1" si="3"/>
        <v>429.3384268631213</v>
      </c>
    </row>
    <row r="143" spans="1:5" ht="15.6" x14ac:dyDescent="0.35">
      <c r="B143" s="113"/>
      <c r="D143" t="s">
        <v>356</v>
      </c>
      <c r="E143" s="4">
        <f t="shared" ca="1" si="3"/>
        <v>464.7914565150806</v>
      </c>
    </row>
    <row r="144" spans="1:5" ht="15.6" x14ac:dyDescent="0.35">
      <c r="B144" s="113"/>
      <c r="D144" t="s">
        <v>357</v>
      </c>
      <c r="E144" s="4">
        <f t="shared" si="3"/>
        <v>359.45445651508066</v>
      </c>
    </row>
    <row r="145" spans="1:5" ht="15.6" x14ac:dyDescent="0.35">
      <c r="B145" s="113"/>
      <c r="D145" t="s">
        <v>358</v>
      </c>
      <c r="E145" s="4">
        <f t="shared" si="3"/>
        <v>509.88135950220044</v>
      </c>
    </row>
    <row r="146" spans="1:5" ht="15.6" x14ac:dyDescent="0.35">
      <c r="B146" s="113"/>
      <c r="D146" t="s">
        <v>359</v>
      </c>
      <c r="E146" s="4">
        <f t="shared" si="3"/>
        <v>222.62839369367919</v>
      </c>
    </row>
    <row r="148" spans="1:5" s="98" customFormat="1" x14ac:dyDescent="0.3">
      <c r="A148" s="98" t="s">
        <v>152</v>
      </c>
      <c r="B148" s="98" t="s">
        <v>517</v>
      </c>
    </row>
    <row r="150" spans="1:5" x14ac:dyDescent="0.3">
      <c r="A150" t="s">
        <v>125</v>
      </c>
      <c r="B150" t="s">
        <v>126</v>
      </c>
    </row>
    <row r="151" spans="1:5" ht="15.6" x14ac:dyDescent="0.35">
      <c r="A151" t="s">
        <v>360</v>
      </c>
      <c r="B151" t="s">
        <v>153</v>
      </c>
    </row>
    <row r="152" spans="1:5" ht="15.6" x14ac:dyDescent="0.35">
      <c r="A152" t="s">
        <v>361</v>
      </c>
      <c r="B152" t="s">
        <v>154</v>
      </c>
    </row>
    <row r="154" spans="1:5" x14ac:dyDescent="0.3">
      <c r="A154" t="s">
        <v>147</v>
      </c>
    </row>
    <row r="155" spans="1:5" x14ac:dyDescent="0.3">
      <c r="A155" s="109"/>
      <c r="B155" s="109"/>
    </row>
    <row r="156" spans="1:5" x14ac:dyDescent="0.3">
      <c r="A156" s="109"/>
      <c r="B156" s="109"/>
    </row>
    <row r="157" spans="1:5" x14ac:dyDescent="0.3">
      <c r="A157" s="109"/>
      <c r="B157" s="109"/>
    </row>
    <row r="158" spans="1:5" x14ac:dyDescent="0.3">
      <c r="A158" s="109"/>
      <c r="B158" s="109"/>
    </row>
    <row r="159" spans="1:5" x14ac:dyDescent="0.3">
      <c r="A159" s="109"/>
      <c r="B159" s="109"/>
    </row>
    <row r="160" spans="1:5" x14ac:dyDescent="0.3">
      <c r="A160" s="109"/>
      <c r="B160" s="109"/>
    </row>
    <row r="162" spans="1:9" ht="15.6" x14ac:dyDescent="0.3">
      <c r="A162" s="110" t="s">
        <v>362</v>
      </c>
      <c r="B162" s="111" t="s">
        <v>148</v>
      </c>
      <c r="D162" s="110" t="s">
        <v>363</v>
      </c>
      <c r="E162" s="111" t="s">
        <v>148</v>
      </c>
    </row>
    <row r="163" spans="1:9" ht="15.6" x14ac:dyDescent="0.35">
      <c r="A163" t="s">
        <v>364</v>
      </c>
      <c r="B163" s="118">
        <f ca="1">($H25*$B131)/SUMPRODUCT($H$25:$H$34,$B$131:$B$140)</f>
        <v>0.29329367098637027</v>
      </c>
      <c r="C163" s="36"/>
      <c r="D163" t="s">
        <v>365</v>
      </c>
      <c r="E163" s="118">
        <f t="shared" ref="E163:E178" ca="1" si="4">($H42*$E131)/SUMPRODUCT($H$42:$H$57,$E$131:$E$146)</f>
        <v>1.4921551312392306E-2</v>
      </c>
    </row>
    <row r="164" spans="1:9" ht="15.6" x14ac:dyDescent="0.35">
      <c r="A164" t="s">
        <v>366</v>
      </c>
      <c r="B164" s="118">
        <f t="shared" ref="B164:B172" ca="1" si="5">($H26*$B132)/SUMPRODUCT($H$25:$H$34,$B$131:$B$140)</f>
        <v>0.23582710294549777</v>
      </c>
      <c r="C164" s="4"/>
      <c r="D164" t="s">
        <v>367</v>
      </c>
      <c r="E164" s="118">
        <f t="shared" ca="1" si="4"/>
        <v>5.2698233530292134E-2</v>
      </c>
    </row>
    <row r="165" spans="1:9" ht="15.6" x14ac:dyDescent="0.35">
      <c r="A165" t="s">
        <v>368</v>
      </c>
      <c r="B165" s="118">
        <f t="shared" ca="1" si="5"/>
        <v>0.1791599664191687</v>
      </c>
      <c r="C165" s="4"/>
      <c r="D165" t="s">
        <v>369</v>
      </c>
      <c r="E165" s="118">
        <f t="shared" ca="1" si="4"/>
        <v>0.10847499810910814</v>
      </c>
      <c r="H165" s="119"/>
      <c r="I165" s="119"/>
    </row>
    <row r="166" spans="1:9" ht="15.6" x14ac:dyDescent="0.35">
      <c r="A166" t="s">
        <v>370</v>
      </c>
      <c r="B166" s="118">
        <f t="shared" ca="1" si="5"/>
        <v>0</v>
      </c>
      <c r="C166" s="4"/>
      <c r="D166" t="s">
        <v>371</v>
      </c>
      <c r="E166" s="118">
        <f t="shared" ca="1" si="4"/>
        <v>1.4200166270235183E-2</v>
      </c>
    </row>
    <row r="167" spans="1:9" ht="15.6" x14ac:dyDescent="0.35">
      <c r="A167" t="s">
        <v>372</v>
      </c>
      <c r="B167" s="118">
        <f t="shared" ca="1" si="5"/>
        <v>0</v>
      </c>
      <c r="C167" s="4"/>
      <c r="D167" t="s">
        <v>373</v>
      </c>
      <c r="E167" s="118">
        <f t="shared" ca="1" si="4"/>
        <v>0.21305945904873777</v>
      </c>
    </row>
    <row r="168" spans="1:9" ht="15.6" x14ac:dyDescent="0.35">
      <c r="A168" t="s">
        <v>374</v>
      </c>
      <c r="B168" s="118">
        <f t="shared" ca="1" si="5"/>
        <v>0</v>
      </c>
      <c r="C168" s="4"/>
      <c r="D168" t="s">
        <v>375</v>
      </c>
      <c r="E168" s="118">
        <f t="shared" ca="1" si="4"/>
        <v>0.1001872963720751</v>
      </c>
    </row>
    <row r="169" spans="1:9" ht="15.6" x14ac:dyDescent="0.35">
      <c r="A169" t="s">
        <v>376</v>
      </c>
      <c r="B169" s="118">
        <f t="shared" ca="1" si="5"/>
        <v>0.29171925964896328</v>
      </c>
      <c r="C169" s="4"/>
      <c r="D169" t="s">
        <v>377</v>
      </c>
      <c r="E169" s="118">
        <f t="shared" ca="1" si="4"/>
        <v>2.351607697975228E-2</v>
      </c>
    </row>
    <row r="170" spans="1:9" ht="15.6" x14ac:dyDescent="0.35">
      <c r="A170" t="s">
        <v>378</v>
      </c>
      <c r="B170" s="118">
        <f t="shared" ca="1" si="5"/>
        <v>0</v>
      </c>
      <c r="C170" s="4"/>
      <c r="D170" t="s">
        <v>379</v>
      </c>
      <c r="E170" s="118">
        <f t="shared" ca="1" si="4"/>
        <v>5.1851771170696335E-3</v>
      </c>
    </row>
    <row r="171" spans="1:9" ht="15.6" x14ac:dyDescent="0.35">
      <c r="A171" t="s">
        <v>380</v>
      </c>
      <c r="B171" s="118">
        <f t="shared" ca="1" si="5"/>
        <v>0</v>
      </c>
      <c r="D171" t="s">
        <v>381</v>
      </c>
      <c r="E171" s="118">
        <f t="shared" ca="1" si="4"/>
        <v>2.5815276683259423E-2</v>
      </c>
    </row>
    <row r="172" spans="1:9" ht="15.6" x14ac:dyDescent="0.35">
      <c r="A172" t="s">
        <v>382</v>
      </c>
      <c r="B172" s="118">
        <f t="shared" ca="1" si="5"/>
        <v>0</v>
      </c>
      <c r="D172" t="s">
        <v>383</v>
      </c>
      <c r="E172" s="118">
        <f t="shared" ca="1" si="4"/>
        <v>2.8399215023429448E-2</v>
      </c>
    </row>
    <row r="173" spans="1:9" ht="15.6" x14ac:dyDescent="0.35">
      <c r="B173" s="237">
        <f ca="1">SUM(B163:B172)</f>
        <v>1</v>
      </c>
      <c r="D173" t="s">
        <v>384</v>
      </c>
      <c r="E173" s="118">
        <f t="shared" ca="1" si="4"/>
        <v>6.6204245070387066E-2</v>
      </c>
    </row>
    <row r="174" spans="1:9" ht="15.6" x14ac:dyDescent="0.35">
      <c r="B174" s="118"/>
      <c r="D174" t="s">
        <v>385</v>
      </c>
      <c r="E174" s="118">
        <f t="shared" ca="1" si="4"/>
        <v>0.24025304725923832</v>
      </c>
    </row>
    <row r="175" spans="1:9" ht="15.6" x14ac:dyDescent="0.35">
      <c r="B175" s="118"/>
      <c r="D175" t="s">
        <v>386</v>
      </c>
      <c r="E175" s="118">
        <f t="shared" ca="1" si="4"/>
        <v>0.10708525722402309</v>
      </c>
    </row>
    <row r="176" spans="1:9" ht="15.6" x14ac:dyDescent="0.35">
      <c r="B176" s="118"/>
      <c r="D176" t="s">
        <v>387</v>
      </c>
      <c r="E176" s="118">
        <f t="shared" ca="1" si="4"/>
        <v>0</v>
      </c>
    </row>
    <row r="177" spans="1:5" ht="15.6" x14ac:dyDescent="0.35">
      <c r="B177" s="118"/>
      <c r="D177" t="s">
        <v>388</v>
      </c>
      <c r="E177" s="118">
        <f t="shared" ca="1" si="4"/>
        <v>0</v>
      </c>
    </row>
    <row r="178" spans="1:5" ht="15.6" x14ac:dyDescent="0.35">
      <c r="B178" s="118"/>
      <c r="D178" t="s">
        <v>389</v>
      </c>
      <c r="E178" s="118">
        <f t="shared" ca="1" si="4"/>
        <v>0</v>
      </c>
    </row>
    <row r="179" spans="1:5" x14ac:dyDescent="0.3">
      <c r="E179" s="237">
        <f ca="1">SUM(E163:E178)</f>
        <v>1</v>
      </c>
    </row>
    <row r="181" spans="1:5" s="98" customFormat="1" x14ac:dyDescent="0.3">
      <c r="A181" s="98" t="s">
        <v>155</v>
      </c>
      <c r="B181" s="98" t="s">
        <v>156</v>
      </c>
    </row>
    <row r="183" spans="1:5" x14ac:dyDescent="0.3">
      <c r="A183" t="s">
        <v>125</v>
      </c>
      <c r="B183" t="s">
        <v>126</v>
      </c>
    </row>
    <row r="184" spans="1:5" ht="15.6" x14ac:dyDescent="0.35">
      <c r="A184" t="s">
        <v>390</v>
      </c>
      <c r="B184" t="s">
        <v>157</v>
      </c>
    </row>
    <row r="185" spans="1:5" ht="15.6" x14ac:dyDescent="0.35">
      <c r="A185" t="s">
        <v>391</v>
      </c>
      <c r="B185" t="s">
        <v>158</v>
      </c>
    </row>
    <row r="187" spans="1:5" x14ac:dyDescent="0.3">
      <c r="A187" t="s">
        <v>147</v>
      </c>
    </row>
    <row r="188" spans="1:5" x14ac:dyDescent="0.3">
      <c r="A188" s="109"/>
      <c r="B188" s="109"/>
    </row>
    <row r="189" spans="1:5" x14ac:dyDescent="0.3">
      <c r="A189" s="109"/>
      <c r="B189" s="109"/>
    </row>
    <row r="190" spans="1:5" x14ac:dyDescent="0.3">
      <c r="A190" s="109"/>
      <c r="B190" s="109"/>
    </row>
    <row r="191" spans="1:5" x14ac:dyDescent="0.3">
      <c r="A191" s="109"/>
      <c r="B191" s="109"/>
    </row>
    <row r="193" spans="1:5" ht="15.6" x14ac:dyDescent="0.3">
      <c r="A193" s="110" t="s">
        <v>362</v>
      </c>
      <c r="B193" s="111" t="s">
        <v>148</v>
      </c>
      <c r="D193" s="110" t="s">
        <v>363</v>
      </c>
      <c r="E193" s="111" t="s">
        <v>148</v>
      </c>
    </row>
    <row r="194" spans="1:5" ht="15.6" x14ac:dyDescent="0.35">
      <c r="A194" t="s">
        <v>392</v>
      </c>
      <c r="B194" s="7">
        <f t="shared" ref="B194:B203" ca="1" si="6">$B163*$D$6</f>
        <v>1396.9704877324664</v>
      </c>
      <c r="C194" s="47"/>
      <c r="D194" t="s">
        <v>393</v>
      </c>
      <c r="E194" s="6">
        <f t="shared" ref="E194:E209" ca="1" si="7">$E163*$D$9</f>
        <v>30.339510402104167</v>
      </c>
    </row>
    <row r="195" spans="1:5" ht="15.6" x14ac:dyDescent="0.35">
      <c r="A195" t="s">
        <v>394</v>
      </c>
      <c r="B195" s="7">
        <f t="shared" ca="1" si="6"/>
        <v>1123.2547293446924</v>
      </c>
      <c r="D195" t="s">
        <v>395</v>
      </c>
      <c r="E195" s="6">
        <f t="shared" ca="1" si="7"/>
        <v>107.14962344679148</v>
      </c>
    </row>
    <row r="196" spans="1:5" ht="15.6" x14ac:dyDescent="0.35">
      <c r="A196" t="s">
        <v>396</v>
      </c>
      <c r="B196" s="7">
        <f t="shared" ca="1" si="6"/>
        <v>853.34669796658955</v>
      </c>
      <c r="D196" t="s">
        <v>397</v>
      </c>
      <c r="E196" s="6">
        <f t="shared" ca="1" si="7"/>
        <v>220.55872506810235</v>
      </c>
    </row>
    <row r="197" spans="1:5" ht="15.6" x14ac:dyDescent="0.35">
      <c r="A197" t="s">
        <v>398</v>
      </c>
      <c r="B197" s="7">
        <f t="shared" ca="1" si="6"/>
        <v>0</v>
      </c>
      <c r="D197" t="s">
        <v>399</v>
      </c>
      <c r="E197" s="6">
        <f t="shared" ca="1" si="7"/>
        <v>28.872741395836584</v>
      </c>
    </row>
    <row r="198" spans="1:5" ht="15.6" x14ac:dyDescent="0.35">
      <c r="A198" t="s">
        <v>400</v>
      </c>
      <c r="B198" s="7">
        <f t="shared" ca="1" si="6"/>
        <v>0</v>
      </c>
      <c r="D198" t="s">
        <v>401</v>
      </c>
      <c r="E198" s="6">
        <f t="shared" ca="1" si="7"/>
        <v>433.2069460302987</v>
      </c>
    </row>
    <row r="199" spans="1:5" ht="15.6" x14ac:dyDescent="0.35">
      <c r="A199" t="s">
        <v>402</v>
      </c>
      <c r="B199" s="7">
        <f t="shared" ca="1" si="6"/>
        <v>0</v>
      </c>
      <c r="D199" t="s">
        <v>403</v>
      </c>
      <c r="E199" s="6">
        <f t="shared" ca="1" si="7"/>
        <v>203.70760766106528</v>
      </c>
    </row>
    <row r="200" spans="1:5" ht="15.6" x14ac:dyDescent="0.35">
      <c r="A200" t="s">
        <v>404</v>
      </c>
      <c r="B200" s="7">
        <f t="shared" ca="1" si="6"/>
        <v>1389.4714981821219</v>
      </c>
      <c r="D200" t="s">
        <v>405</v>
      </c>
      <c r="E200" s="6">
        <f t="shared" ca="1" si="7"/>
        <v>47.814483039129108</v>
      </c>
    </row>
    <row r="201" spans="1:5" ht="15.6" x14ac:dyDescent="0.35">
      <c r="A201" t="s">
        <v>406</v>
      </c>
      <c r="B201" s="7">
        <f t="shared" ca="1" si="6"/>
        <v>0</v>
      </c>
      <c r="D201" t="s">
        <v>407</v>
      </c>
      <c r="E201" s="6">
        <f t="shared" ca="1" si="7"/>
        <v>10.542853875349834</v>
      </c>
    </row>
    <row r="202" spans="1:5" ht="15.6" x14ac:dyDescent="0.35">
      <c r="A202" t="s">
        <v>408</v>
      </c>
      <c r="B202" s="7">
        <f t="shared" ca="1" si="6"/>
        <v>0</v>
      </c>
      <c r="D202" t="s">
        <v>409</v>
      </c>
      <c r="E202" s="6">
        <f t="shared" ca="1" si="7"/>
        <v>52.489371853346242</v>
      </c>
    </row>
    <row r="203" spans="1:5" ht="15.6" x14ac:dyDescent="0.35">
      <c r="A203" t="s">
        <v>410</v>
      </c>
      <c r="B203" s="7">
        <f t="shared" ca="1" si="6"/>
        <v>0</v>
      </c>
      <c r="D203" t="s">
        <v>411</v>
      </c>
      <c r="E203" s="6">
        <f t="shared" ca="1" si="7"/>
        <v>57.743210580213542</v>
      </c>
    </row>
    <row r="204" spans="1:5" ht="15.6" x14ac:dyDescent="0.35">
      <c r="B204" s="7">
        <f ca="1">SUM(B194:B203)</f>
        <v>4763.0434132258706</v>
      </c>
      <c r="D204" t="s">
        <v>412</v>
      </c>
      <c r="E204" s="6">
        <f t="shared" ca="1" si="7"/>
        <v>134.61096235404972</v>
      </c>
    </row>
    <row r="205" spans="1:5" ht="15.6" x14ac:dyDescent="0.35">
      <c r="B205" s="7"/>
      <c r="D205" t="s">
        <v>413</v>
      </c>
      <c r="E205" s="6">
        <f t="shared" ca="1" si="7"/>
        <v>488.49879438508907</v>
      </c>
    </row>
    <row r="206" spans="1:5" ht="15.6" x14ac:dyDescent="0.35">
      <c r="B206" s="7"/>
      <c r="D206" t="s">
        <v>414</v>
      </c>
      <c r="E206" s="6">
        <f t="shared" ca="1" si="7"/>
        <v>217.7330096209256</v>
      </c>
    </row>
    <row r="207" spans="1:5" ht="15.6" x14ac:dyDescent="0.35">
      <c r="B207" s="7"/>
      <c r="D207" t="s">
        <v>415</v>
      </c>
      <c r="E207" s="6">
        <f t="shared" ca="1" si="7"/>
        <v>0</v>
      </c>
    </row>
    <row r="208" spans="1:5" ht="15.6" x14ac:dyDescent="0.35">
      <c r="B208" s="7"/>
      <c r="D208" t="s">
        <v>416</v>
      </c>
      <c r="E208" s="6">
        <f t="shared" ca="1" si="7"/>
        <v>0</v>
      </c>
    </row>
    <row r="209" spans="1:5" ht="15.6" x14ac:dyDescent="0.35">
      <c r="B209" s="7"/>
      <c r="D209" t="s">
        <v>417</v>
      </c>
      <c r="E209" s="6">
        <f t="shared" ca="1" si="7"/>
        <v>0</v>
      </c>
    </row>
    <row r="210" spans="1:5" x14ac:dyDescent="0.3">
      <c r="B210" s="7"/>
      <c r="E210" s="6">
        <f ca="1">SUM(E194:E209)</f>
        <v>2033.2678397123018</v>
      </c>
    </row>
    <row r="211" spans="1:5" x14ac:dyDescent="0.3">
      <c r="B211" s="119"/>
      <c r="E211" s="120"/>
    </row>
    <row r="212" spans="1:5" s="98" customFormat="1" x14ac:dyDescent="0.3">
      <c r="A212" s="98" t="s">
        <v>159</v>
      </c>
      <c r="B212" s="98" t="s">
        <v>160</v>
      </c>
    </row>
    <row r="214" spans="1:5" x14ac:dyDescent="0.3">
      <c r="A214" t="s">
        <v>125</v>
      </c>
      <c r="B214" t="s">
        <v>126</v>
      </c>
    </row>
    <row r="215" spans="1:5" ht="15.6" x14ac:dyDescent="0.35">
      <c r="A215" t="s">
        <v>418</v>
      </c>
      <c r="B215" t="s">
        <v>161</v>
      </c>
    </row>
    <row r="216" spans="1:5" ht="15.6" x14ac:dyDescent="0.35">
      <c r="A216" t="s">
        <v>419</v>
      </c>
      <c r="B216" t="s">
        <v>162</v>
      </c>
    </row>
    <row r="218" spans="1:5" x14ac:dyDescent="0.3">
      <c r="A218" t="s">
        <v>147</v>
      </c>
    </row>
    <row r="219" spans="1:5" x14ac:dyDescent="0.3">
      <c r="A219" s="109"/>
      <c r="B219" s="109"/>
    </row>
    <row r="220" spans="1:5" x14ac:dyDescent="0.3">
      <c r="A220" s="109"/>
      <c r="B220" s="109"/>
    </row>
    <row r="221" spans="1:5" x14ac:dyDescent="0.3">
      <c r="A221" s="109"/>
      <c r="B221" s="109"/>
    </row>
    <row r="222" spans="1:5" x14ac:dyDescent="0.3">
      <c r="A222" s="109"/>
      <c r="B222" s="109"/>
    </row>
    <row r="223" spans="1:5" x14ac:dyDescent="0.3">
      <c r="A223" s="109"/>
      <c r="B223" s="109"/>
    </row>
    <row r="224" spans="1:5" x14ac:dyDescent="0.3">
      <c r="A224" s="109"/>
      <c r="B224" s="109"/>
    </row>
    <row r="226" spans="1:21" ht="15.6" x14ac:dyDescent="0.3">
      <c r="A226" s="111" t="s">
        <v>420</v>
      </c>
      <c r="B226" s="111" t="s">
        <v>163</v>
      </c>
      <c r="C226" s="111" t="s">
        <v>421</v>
      </c>
      <c r="E226" s="121"/>
      <c r="F226" s="121"/>
      <c r="G226" s="122"/>
      <c r="H226" s="110" t="s">
        <v>422</v>
      </c>
      <c r="I226" s="111" t="s">
        <v>164</v>
      </c>
      <c r="J226" s="111" t="s">
        <v>423</v>
      </c>
      <c r="Q226" s="123"/>
      <c r="R226" s="122"/>
      <c r="S226" s="121"/>
      <c r="T226" s="121"/>
      <c r="U226" s="121"/>
    </row>
    <row r="227" spans="1:21" ht="15.6" x14ac:dyDescent="0.3">
      <c r="A227" s="49" t="s">
        <v>424</v>
      </c>
      <c r="B227" s="49" t="str">
        <f>B25</f>
        <v>PR-CARAGUATATUBA</v>
      </c>
      <c r="C227" s="12">
        <f ca="1">IFERROR($B194/$H25*1000000," ")</f>
        <v>7.2367770494312511</v>
      </c>
      <c r="D227" s="124"/>
      <c r="E227" s="8"/>
      <c r="F227" s="8"/>
      <c r="G227" s="125"/>
      <c r="H227" s="49" t="s">
        <v>425</v>
      </c>
      <c r="I227" s="49" t="str">
        <f t="shared" ref="I227:I242" si="8">B42</f>
        <v>NTS MG 1</v>
      </c>
      <c r="J227" s="12">
        <f ca="1">IFERROR($E194/$H42*1000000," ")</f>
        <v>3.6710712268292327</v>
      </c>
      <c r="L227" s="21"/>
      <c r="M227" s="126"/>
      <c r="Q227" s="8"/>
      <c r="R227" s="127"/>
      <c r="S227" s="128"/>
      <c r="T227" s="128"/>
      <c r="U227" s="128"/>
    </row>
    <row r="228" spans="1:21" ht="15.6" x14ac:dyDescent="0.3">
      <c r="A228" s="49" t="s">
        <v>426</v>
      </c>
      <c r="B228" s="49" t="str">
        <f t="shared" ref="B228:B236" si="9">B26</f>
        <v>PR-GNLBGB</v>
      </c>
      <c r="C228" s="12">
        <f t="shared" ref="C228:C236" ca="1" si="10">IFERROR($B195/$H26*1000000," ")</f>
        <v>4.1249737949393239</v>
      </c>
      <c r="D228" s="124"/>
      <c r="E228" s="8"/>
      <c r="F228" s="8"/>
      <c r="G228" s="125"/>
      <c r="H228" s="49" t="s">
        <v>427</v>
      </c>
      <c r="I228" s="49" t="str">
        <f t="shared" si="8"/>
        <v>NTS MG 2</v>
      </c>
      <c r="J228" s="12">
        <f t="shared" ref="J228:J242" ca="1" si="11">IFERROR($E195/$H43*1000000," ")</f>
        <v>4.6899868650799714</v>
      </c>
      <c r="L228" s="21"/>
      <c r="M228" s="126"/>
      <c r="Q228" s="8"/>
      <c r="R228" s="127"/>
      <c r="S228" s="128"/>
      <c r="T228" s="128"/>
      <c r="U228" s="128"/>
    </row>
    <row r="229" spans="1:21" ht="15.6" x14ac:dyDescent="0.3">
      <c r="A229" s="49" t="s">
        <v>428</v>
      </c>
      <c r="B229" s="49" t="str">
        <f t="shared" si="9"/>
        <v>PR-ITABORAÍ</v>
      </c>
      <c r="C229" s="12">
        <f t="shared" ca="1" si="10"/>
        <v>4.8211993992517872</v>
      </c>
      <c r="D229" s="124"/>
      <c r="E229" s="8"/>
      <c r="F229" s="8"/>
      <c r="G229" s="125"/>
      <c r="H229" s="49" t="s">
        <v>429</v>
      </c>
      <c r="I229" s="49" t="str">
        <f t="shared" si="8"/>
        <v>NTS MG 3</v>
      </c>
      <c r="J229" s="12">
        <f t="shared" ca="1" si="11"/>
        <v>5.9186461888910067</v>
      </c>
      <c r="L229" s="21"/>
      <c r="M229" s="126"/>
      <c r="Q229" s="8"/>
      <c r="R229" s="127"/>
      <c r="S229" s="128"/>
      <c r="T229" s="128"/>
      <c r="U229" s="128"/>
    </row>
    <row r="230" spans="1:21" ht="15.6" x14ac:dyDescent="0.3">
      <c r="A230" s="49" t="s">
        <v>430</v>
      </c>
      <c r="B230" s="49" t="str">
        <f t="shared" si="9"/>
        <v>PR-GASPAJ (INTERCONEXÃO)</v>
      </c>
      <c r="C230" s="12" t="str">
        <f t="shared" ca="1" si="10"/>
        <v xml:space="preserve"> </v>
      </c>
      <c r="D230" s="124"/>
      <c r="E230" s="8"/>
      <c r="F230" s="8"/>
      <c r="G230" s="125"/>
      <c r="H230" s="49" t="s">
        <v>431</v>
      </c>
      <c r="I230" s="49" t="str">
        <f t="shared" si="8"/>
        <v>NTS MG 4</v>
      </c>
      <c r="J230" s="12">
        <f t="shared" ca="1" si="11"/>
        <v>6.3301812871594176</v>
      </c>
      <c r="L230" s="21"/>
      <c r="M230" s="126"/>
      <c r="Q230" s="8"/>
      <c r="R230" s="127"/>
      <c r="S230" s="128"/>
      <c r="T230" s="128"/>
      <c r="U230" s="128"/>
    </row>
    <row r="231" spans="1:21" ht="15.6" x14ac:dyDescent="0.3">
      <c r="A231" s="49" t="s">
        <v>432</v>
      </c>
      <c r="B231" s="49" t="str">
        <f t="shared" si="9"/>
        <v>PR-REDUC</v>
      </c>
      <c r="C231" s="12" t="str">
        <f t="shared" ca="1" si="10"/>
        <v xml:space="preserve"> </v>
      </c>
      <c r="D231" s="124"/>
      <c r="E231" s="8"/>
      <c r="F231" s="8"/>
      <c r="G231" s="125"/>
      <c r="H231" s="49" t="s">
        <v>433</v>
      </c>
      <c r="I231" s="49" t="str">
        <f t="shared" si="8"/>
        <v>NTS RJ 1</v>
      </c>
      <c r="J231" s="12">
        <f t="shared" ca="1" si="11"/>
        <v>1.7882126651759207</v>
      </c>
      <c r="L231" s="21"/>
      <c r="M231" s="126"/>
      <c r="Q231" s="8"/>
      <c r="R231" s="127"/>
      <c r="S231" s="128"/>
      <c r="T231" s="128"/>
      <c r="U231" s="128"/>
    </row>
    <row r="232" spans="1:21" ht="15.6" x14ac:dyDescent="0.3">
      <c r="A232" s="49" t="s">
        <v>434</v>
      </c>
      <c r="B232" s="49" t="str">
        <f t="shared" si="9"/>
        <v>PR-RPBC</v>
      </c>
      <c r="C232" s="12" t="str">
        <f t="shared" ca="1" si="10"/>
        <v xml:space="preserve"> </v>
      </c>
      <c r="D232" s="124"/>
      <c r="E232" s="8"/>
      <c r="F232" s="8"/>
      <c r="G232" s="125"/>
      <c r="H232" s="49" t="s">
        <v>435</v>
      </c>
      <c r="I232" s="49" t="str">
        <f t="shared" si="8"/>
        <v>NTS RJ 2</v>
      </c>
      <c r="J232" s="12">
        <f t="shared" ca="1" si="11"/>
        <v>1.779880301254922</v>
      </c>
      <c r="L232" s="21"/>
      <c r="M232" s="126"/>
      <c r="Q232" s="8"/>
      <c r="R232" s="127"/>
      <c r="S232" s="128"/>
      <c r="T232" s="128"/>
      <c r="U232" s="128"/>
    </row>
    <row r="233" spans="1:21" ht="15.6" x14ac:dyDescent="0.3">
      <c r="A233" s="49" t="s">
        <v>436</v>
      </c>
      <c r="B233" s="49" t="str">
        <f t="shared" si="9"/>
        <v>PR-TECAB</v>
      </c>
      <c r="C233" s="12">
        <f t="shared" ca="1" si="10"/>
        <v>6.8698921677150837</v>
      </c>
      <c r="D233" s="124"/>
      <c r="E233" s="8"/>
      <c r="F233" s="8"/>
      <c r="G233" s="125"/>
      <c r="H233" s="49" t="s">
        <v>437</v>
      </c>
      <c r="I233" s="49" t="str">
        <f t="shared" si="8"/>
        <v>NTS RJ 3</v>
      </c>
      <c r="J233" s="12">
        <f t="shared" ca="1" si="11"/>
        <v>2.0489038608152712</v>
      </c>
      <c r="L233" s="21"/>
      <c r="M233" s="126"/>
      <c r="Q233" s="8"/>
      <c r="R233" s="127"/>
      <c r="S233" s="128"/>
      <c r="T233" s="128"/>
      <c r="U233" s="128"/>
    </row>
    <row r="234" spans="1:21" ht="15.6" x14ac:dyDescent="0.3">
      <c r="A234" s="49" t="s">
        <v>438</v>
      </c>
      <c r="B234" s="49" t="str">
        <f t="shared" si="9"/>
        <v>PR-GUARAREMA (INTERCONEXÃO)</v>
      </c>
      <c r="C234" s="12" t="str">
        <f t="shared" ca="1" si="10"/>
        <v xml:space="preserve"> </v>
      </c>
      <c r="D234" s="124"/>
      <c r="E234" s="8"/>
      <c r="F234" s="8"/>
      <c r="G234" s="125"/>
      <c r="H234" s="49" t="s">
        <v>439</v>
      </c>
      <c r="I234" s="49" t="str">
        <f t="shared" si="8"/>
        <v>NTS RJ 4</v>
      </c>
      <c r="J234" s="12">
        <f t="shared" ca="1" si="11"/>
        <v>2.3973342973222613</v>
      </c>
      <c r="L234" s="21"/>
      <c r="M234" s="126"/>
      <c r="Q234" s="8"/>
      <c r="R234" s="127"/>
      <c r="S234" s="128"/>
      <c r="T234" s="128"/>
      <c r="U234" s="128"/>
    </row>
    <row r="235" spans="1:21" ht="15.6" x14ac:dyDescent="0.3">
      <c r="A235" s="49" t="s">
        <v>440</v>
      </c>
      <c r="B235" s="49" t="str">
        <f t="shared" si="9"/>
        <v>PR-REPLAN (INTERCONEXÃO)</v>
      </c>
      <c r="C235" s="12" t="str">
        <f t="shared" ca="1" si="10"/>
        <v xml:space="preserve"> </v>
      </c>
      <c r="D235" s="119"/>
      <c r="E235" s="8"/>
      <c r="F235" s="8"/>
      <c r="G235" s="119"/>
      <c r="H235" s="49" t="s">
        <v>441</v>
      </c>
      <c r="I235" s="49" t="str">
        <f t="shared" si="8"/>
        <v>NTS RJ 5</v>
      </c>
      <c r="J235" s="12">
        <f t="shared" ca="1" si="11"/>
        <v>1.8116432728677534</v>
      </c>
      <c r="L235" s="21"/>
      <c r="Q235" s="8"/>
      <c r="R235" s="127"/>
      <c r="S235" s="128"/>
      <c r="T235" s="128"/>
      <c r="U235" s="128"/>
    </row>
    <row r="236" spans="1:21" ht="15.6" x14ac:dyDescent="0.3">
      <c r="A236" s="49" t="s">
        <v>442</v>
      </c>
      <c r="B236" s="49" t="str">
        <f t="shared" si="9"/>
        <v>PR-TECAB (INTERCONEXÃO)</v>
      </c>
      <c r="C236" s="12" t="str">
        <f t="shared" ca="1" si="10"/>
        <v xml:space="preserve"> </v>
      </c>
      <c r="D236" s="119"/>
      <c r="E236" s="8"/>
      <c r="F236" s="8"/>
      <c r="G236" s="119"/>
      <c r="H236" s="49" t="s">
        <v>443</v>
      </c>
      <c r="I236" s="49" t="str">
        <f t="shared" si="8"/>
        <v>NTS SP 1</v>
      </c>
      <c r="J236" s="12">
        <f t="shared" ca="1" si="11"/>
        <v>3.4285000612086107</v>
      </c>
      <c r="L236" s="21"/>
      <c r="Q236" s="8"/>
      <c r="R236" s="127"/>
      <c r="S236" s="128"/>
      <c r="T236" s="128"/>
      <c r="U236" s="128"/>
    </row>
    <row r="237" spans="1:21" ht="15.6" x14ac:dyDescent="0.3">
      <c r="D237" s="119"/>
      <c r="E237" s="8"/>
      <c r="F237" s="8"/>
      <c r="G237" s="119"/>
      <c r="H237" s="49" t="s">
        <v>444</v>
      </c>
      <c r="I237" s="49" t="str">
        <f t="shared" si="8"/>
        <v>NTS SP 2</v>
      </c>
      <c r="J237" s="12">
        <f t="shared" ca="1" si="11"/>
        <v>3.3266304446103137</v>
      </c>
      <c r="K237" s="119"/>
      <c r="L237" s="21"/>
      <c r="Q237" s="8"/>
      <c r="R237" s="127"/>
      <c r="S237" s="128"/>
      <c r="T237" s="128"/>
      <c r="U237" s="128"/>
    </row>
    <row r="238" spans="1:21" ht="15.6" x14ac:dyDescent="0.3">
      <c r="D238" s="119"/>
      <c r="E238" s="8"/>
      <c r="F238" s="8"/>
      <c r="G238" s="119"/>
      <c r="H238" s="49" t="s">
        <v>445</v>
      </c>
      <c r="I238" s="49" t="str">
        <f t="shared" si="8"/>
        <v>NTS SP 3</v>
      </c>
      <c r="J238" s="12">
        <f t="shared" ca="1" si="11"/>
        <v>4.5022810632827532</v>
      </c>
      <c r="L238" s="21"/>
      <c r="Q238" s="8"/>
      <c r="R238" s="127"/>
      <c r="S238" s="128"/>
      <c r="T238" s="128"/>
      <c r="U238" s="128"/>
    </row>
    <row r="239" spans="1:21" ht="15.6" x14ac:dyDescent="0.3">
      <c r="D239" s="119"/>
      <c r="E239" s="8"/>
      <c r="F239" s="8"/>
      <c r="G239" s="119"/>
      <c r="H239" s="49" t="s">
        <v>446</v>
      </c>
      <c r="I239" s="49" t="str">
        <f t="shared" si="8"/>
        <v>NTS SP 4</v>
      </c>
      <c r="J239" s="12">
        <f t="shared" ca="1" si="11"/>
        <v>4.874061211647871</v>
      </c>
      <c r="L239" s="21"/>
      <c r="Q239" s="8"/>
      <c r="R239" s="127"/>
      <c r="S239" s="128"/>
      <c r="T239" s="128"/>
      <c r="U239" s="128"/>
    </row>
    <row r="240" spans="1:21" ht="15.6" x14ac:dyDescent="0.3">
      <c r="D240" s="119"/>
      <c r="E240" s="8"/>
      <c r="F240" s="8"/>
      <c r="G240" s="119"/>
      <c r="H240" s="49" t="s">
        <v>447</v>
      </c>
      <c r="I240" s="49" t="str">
        <f t="shared" si="8"/>
        <v>PE-GUARAREMA (INTERCONEXÃO)</v>
      </c>
      <c r="J240" s="12" t="str">
        <f t="shared" ca="1" si="11"/>
        <v xml:space="preserve"> </v>
      </c>
      <c r="L240" s="21"/>
      <c r="Q240" s="8"/>
      <c r="R240" s="127"/>
      <c r="S240" s="10"/>
      <c r="T240" s="10"/>
      <c r="U240" s="10"/>
    </row>
    <row r="241" spans="1:22" ht="15.6" x14ac:dyDescent="0.3">
      <c r="E241" s="8"/>
      <c r="F241" s="8"/>
      <c r="G241" s="119"/>
      <c r="H241" s="49" t="s">
        <v>448</v>
      </c>
      <c r="I241" s="49" t="str">
        <f t="shared" si="8"/>
        <v>PE-REPLAN (INTERCONEXÃO)</v>
      </c>
      <c r="J241" s="12" t="str">
        <f t="shared" ca="1" si="11"/>
        <v xml:space="preserve"> </v>
      </c>
      <c r="L241" s="21"/>
      <c r="Q241" s="8"/>
      <c r="R241" s="129"/>
      <c r="S241" s="10"/>
      <c r="T241" s="10"/>
      <c r="U241" s="10"/>
      <c r="V241" s="119"/>
    </row>
    <row r="242" spans="1:22" ht="15.6" x14ac:dyDescent="0.3">
      <c r="E242" s="8"/>
      <c r="F242" s="8"/>
      <c r="G242" s="119"/>
      <c r="H242" s="49" t="s">
        <v>449</v>
      </c>
      <c r="I242" s="49" t="str">
        <f t="shared" si="8"/>
        <v>PE-TECAB (INTERCONEXÃO)</v>
      </c>
      <c r="J242" s="12" t="str">
        <f t="shared" ca="1" si="11"/>
        <v xml:space="preserve"> </v>
      </c>
      <c r="L242" s="21"/>
      <c r="P242" s="125"/>
      <c r="Q242" s="129"/>
      <c r="R242" s="129"/>
      <c r="S242" s="8"/>
      <c r="T242" s="8"/>
      <c r="U242" s="8"/>
      <c r="V242" s="119"/>
    </row>
    <row r="243" spans="1:22" x14ac:dyDescent="0.3">
      <c r="L243" s="21"/>
    </row>
    <row r="244" spans="1:22" x14ac:dyDescent="0.3">
      <c r="L244" s="21"/>
    </row>
    <row r="245" spans="1:22" ht="15.6" x14ac:dyDescent="0.3">
      <c r="A245" s="111" t="s">
        <v>420</v>
      </c>
      <c r="B245" s="111" t="s">
        <v>163</v>
      </c>
      <c r="C245" s="111" t="s">
        <v>421</v>
      </c>
      <c r="D245" s="111" t="s">
        <v>450</v>
      </c>
      <c r="E245" s="111" t="s">
        <v>451</v>
      </c>
      <c r="F245" s="264" t="s">
        <v>467</v>
      </c>
      <c r="G245" s="122"/>
      <c r="H245" s="111" t="s">
        <v>422</v>
      </c>
      <c r="I245" s="111" t="s">
        <v>164</v>
      </c>
      <c r="J245" s="111" t="s">
        <v>423</v>
      </c>
      <c r="K245" s="111" t="s">
        <v>452</v>
      </c>
      <c r="L245" s="111" t="s">
        <v>453</v>
      </c>
      <c r="M245" s="264" t="s">
        <v>467</v>
      </c>
    </row>
    <row r="246" spans="1:22" ht="15.6" x14ac:dyDescent="0.3">
      <c r="A246" s="49" t="s">
        <v>424</v>
      </c>
      <c r="B246" s="49" t="str">
        <f t="shared" ref="B246:B255" si="12">B227</f>
        <v>PR-CARAGUATATUBA</v>
      </c>
      <c r="C246" s="12">
        <f ca="1">IF(H25=0," ",C227*(1-$C$12))</f>
        <v>1.44735540988625</v>
      </c>
      <c r="D246" s="12">
        <f t="shared" ref="D246:D252" ca="1" si="13">$F$8*$C$12</f>
        <v>4.5115385842671296</v>
      </c>
      <c r="E246" s="12">
        <f ca="1">IFERROR(C246+D246," ")</f>
        <v>5.9588939941533798</v>
      </c>
      <c r="F246" s="261">
        <f ca="1">E246*H25</f>
        <v>1150290936.4898477</v>
      </c>
      <c r="G246" s="126"/>
      <c r="H246" s="49" t="s">
        <v>425</v>
      </c>
      <c r="I246" s="49" t="str">
        <f t="shared" ref="I246:I261" si="14">I227</f>
        <v>NTS MG 1</v>
      </c>
      <c r="J246" s="12">
        <f ca="1">IF(H42=0," ",J227*(1-$C$12))</f>
        <v>0.73421424536584634</v>
      </c>
      <c r="K246" s="12">
        <f t="shared" ref="K246:K258" ca="1" si="15">$F$11*$C$12</f>
        <v>2.3343030132748033</v>
      </c>
      <c r="L246" s="12">
        <f ca="1">IFERROR(J246+K246," ")</f>
        <v>3.0685172586406497</v>
      </c>
      <c r="M246" s="261">
        <f ca="1">L246*H42</f>
        <v>25359712.611180771</v>
      </c>
      <c r="N246" s="134"/>
    </row>
    <row r="247" spans="1:22" ht="15.6" x14ac:dyDescent="0.3">
      <c r="A247" s="49" t="s">
        <v>426</v>
      </c>
      <c r="B247" s="49" t="str">
        <f t="shared" si="12"/>
        <v>PR-GNLBGB</v>
      </c>
      <c r="C247" s="12">
        <f t="shared" ref="C247:C255" ca="1" si="16">IF(H26=0," ",C228*(1-$C$12))</f>
        <v>0.82499475898786456</v>
      </c>
      <c r="D247" s="12">
        <f t="shared" ca="1" si="13"/>
        <v>4.5115385842671296</v>
      </c>
      <c r="E247" s="12">
        <f t="shared" ref="E247:E252" ca="1" si="17">IFERROR(C247+D247," ")</f>
        <v>5.3365333432549944</v>
      </c>
      <c r="F247" s="261">
        <f t="shared" ref="F247:F252" ca="1" si="18">E247*H26</f>
        <v>1453169550.6698334</v>
      </c>
      <c r="G247" s="126"/>
      <c r="H247" s="49" t="s">
        <v>427</v>
      </c>
      <c r="I247" s="49" t="str">
        <f t="shared" si="14"/>
        <v>NTS MG 2</v>
      </c>
      <c r="J247" s="12">
        <f t="shared" ref="J247:J248" ca="1" si="19">IF(H43=0," ",J228*(1-$C$12))</f>
        <v>0.93799737301599406</v>
      </c>
      <c r="K247" s="12">
        <f t="shared" ca="1" si="15"/>
        <v>2.3343030132748033</v>
      </c>
      <c r="L247" s="12">
        <f t="shared" ref="L247:L258" ca="1" si="20">IFERROR(J247+K247," ")</f>
        <v>3.2723003862907971</v>
      </c>
      <c r="M247" s="261">
        <f t="shared" ref="M247:M258" ca="1" si="21">L247*H43</f>
        <v>74760498.117060408</v>
      </c>
    </row>
    <row r="248" spans="1:22" ht="15.6" x14ac:dyDescent="0.3">
      <c r="A248" s="49" t="s">
        <v>428</v>
      </c>
      <c r="B248" s="49" t="str">
        <f t="shared" si="12"/>
        <v>PR-ITABORAÍ</v>
      </c>
      <c r="C248" s="12">
        <f t="shared" ca="1" si="16"/>
        <v>0.9642398798503572</v>
      </c>
      <c r="D248" s="12">
        <f t="shared" ca="1" si="13"/>
        <v>4.5115385842671296</v>
      </c>
      <c r="E248" s="12">
        <f t="shared" ca="1" si="17"/>
        <v>5.4757784641174867</v>
      </c>
      <c r="F248" s="261">
        <f t="shared" ca="1" si="18"/>
        <v>969206432.71389961</v>
      </c>
      <c r="G248" s="126"/>
      <c r="H248" s="49" t="s">
        <v>429</v>
      </c>
      <c r="I248" s="49" t="str">
        <f t="shared" si="14"/>
        <v>NTS MG 3</v>
      </c>
      <c r="J248" s="12">
        <f t="shared" ca="1" si="19"/>
        <v>1.1837292377782012</v>
      </c>
      <c r="K248" s="12">
        <f t="shared" ca="1" si="15"/>
        <v>2.3343030132748033</v>
      </c>
      <c r="L248" s="12">
        <f t="shared" ca="1" si="20"/>
        <v>3.5180322510530044</v>
      </c>
      <c r="M248" s="261">
        <f t="shared" ca="1" si="21"/>
        <v>131099694.63913934</v>
      </c>
    </row>
    <row r="249" spans="1:22" ht="15.6" x14ac:dyDescent="0.3">
      <c r="A249" s="49" t="s">
        <v>430</v>
      </c>
      <c r="B249" s="49" t="str">
        <f t="shared" si="12"/>
        <v>PR-GASPAJ (INTERCONEXÃO)</v>
      </c>
      <c r="C249" s="12" t="str">
        <f t="shared" si="16"/>
        <v xml:space="preserve"> </v>
      </c>
      <c r="D249" s="12">
        <f t="shared" ca="1" si="13"/>
        <v>4.5115385842671296</v>
      </c>
      <c r="E249" s="130">
        <f ca="1">E271</f>
        <v>0.55066712588946121</v>
      </c>
      <c r="F249" s="261">
        <f t="shared" ca="1" si="18"/>
        <v>0</v>
      </c>
      <c r="G249" s="126"/>
      <c r="H249" s="49" t="s">
        <v>431</v>
      </c>
      <c r="I249" s="49" t="str">
        <f t="shared" si="14"/>
        <v>NTS MG 4</v>
      </c>
      <c r="J249" s="12">
        <f ca="1">IF(H45=0," ",J230*(1-$C$12))</f>
        <v>1.2660362574318833</v>
      </c>
      <c r="K249" s="12">
        <f t="shared" ca="1" si="15"/>
        <v>2.3343030132748033</v>
      </c>
      <c r="L249" s="12">
        <f t="shared" ca="1" si="20"/>
        <v>3.6003392707066864</v>
      </c>
      <c r="M249" s="261">
        <f t="shared" ca="1" si="21"/>
        <v>16421593.629751466</v>
      </c>
    </row>
    <row r="250" spans="1:22" ht="15.6" x14ac:dyDescent="0.3">
      <c r="A250" s="49" t="s">
        <v>432</v>
      </c>
      <c r="B250" s="49" t="str">
        <f t="shared" si="12"/>
        <v>PR-REDUC</v>
      </c>
      <c r="C250" s="12" t="str">
        <f t="shared" si="16"/>
        <v xml:space="preserve"> </v>
      </c>
      <c r="D250" s="12"/>
      <c r="E250" s="12" t="str">
        <f t="shared" si="17"/>
        <v xml:space="preserve"> </v>
      </c>
      <c r="F250" s="261"/>
      <c r="G250" s="126"/>
      <c r="H250" s="49" t="s">
        <v>433</v>
      </c>
      <c r="I250" s="49" t="str">
        <f t="shared" si="14"/>
        <v>NTS RJ 1</v>
      </c>
      <c r="J250" s="12">
        <f t="shared" ref="J250:J261" ca="1" si="22">IF(H46=0," ",J231*(1-$C$12))</f>
        <v>0.35764253303518406</v>
      </c>
      <c r="K250" s="12">
        <f t="shared" ca="1" si="15"/>
        <v>2.3343030132748033</v>
      </c>
      <c r="L250" s="12">
        <f t="shared" ca="1" si="20"/>
        <v>2.6919455463099875</v>
      </c>
      <c r="M250" s="261">
        <f t="shared" ca="1" si="21"/>
        <v>652142517.33425033</v>
      </c>
    </row>
    <row r="251" spans="1:22" ht="15.6" x14ac:dyDescent="0.3">
      <c r="A251" s="49" t="s">
        <v>434</v>
      </c>
      <c r="B251" s="49" t="str">
        <f t="shared" si="12"/>
        <v>PR-RPBC</v>
      </c>
      <c r="C251" s="12" t="str">
        <f t="shared" si="16"/>
        <v xml:space="preserve"> </v>
      </c>
      <c r="D251" s="12"/>
      <c r="E251" s="12" t="str">
        <f t="shared" si="17"/>
        <v xml:space="preserve"> </v>
      </c>
      <c r="F251" s="261"/>
      <c r="G251" s="126"/>
      <c r="H251" s="49" t="s">
        <v>435</v>
      </c>
      <c r="I251" s="49" t="str">
        <f t="shared" si="14"/>
        <v>NTS RJ 2</v>
      </c>
      <c r="J251" s="12">
        <f t="shared" ca="1" si="22"/>
        <v>0.35597606025098433</v>
      </c>
      <c r="K251" s="12">
        <f t="shared" ca="1" si="15"/>
        <v>2.3343030132748033</v>
      </c>
      <c r="L251" s="12">
        <f t="shared" ca="1" si="20"/>
        <v>2.6902790735257875</v>
      </c>
      <c r="M251" s="261">
        <f t="shared" ca="1" si="21"/>
        <v>307902904.26955748</v>
      </c>
    </row>
    <row r="252" spans="1:22" ht="15.6" x14ac:dyDescent="0.3">
      <c r="A252" s="49" t="s">
        <v>436</v>
      </c>
      <c r="B252" s="49" t="str">
        <f t="shared" si="12"/>
        <v>PR-TECAB</v>
      </c>
      <c r="C252" s="12">
        <f t="shared" ca="1" si="16"/>
        <v>1.3739784335430165</v>
      </c>
      <c r="D252" s="12">
        <f t="shared" ca="1" si="13"/>
        <v>4.5115385842671296</v>
      </c>
      <c r="E252" s="12">
        <f t="shared" ca="1" si="17"/>
        <v>5.8855170178101464</v>
      </c>
      <c r="F252" s="261">
        <f t="shared" ca="1" si="18"/>
        <v>1190376493.3522892</v>
      </c>
      <c r="G252" s="126"/>
      <c r="H252" s="49" t="s">
        <v>437</v>
      </c>
      <c r="I252" s="49" t="str">
        <f t="shared" si="14"/>
        <v>NTS RJ 3</v>
      </c>
      <c r="J252" s="12">
        <f t="shared" ca="1" si="22"/>
        <v>0.40978077216305414</v>
      </c>
      <c r="K252" s="12">
        <f t="shared" ca="1" si="15"/>
        <v>2.3343030132748033</v>
      </c>
      <c r="L252" s="12">
        <f t="shared" ca="1" si="20"/>
        <v>2.7440837854378572</v>
      </c>
      <c r="M252" s="261">
        <f t="shared" ca="1" si="21"/>
        <v>64037630.132904127</v>
      </c>
    </row>
    <row r="253" spans="1:22" ht="15.6" x14ac:dyDescent="0.3">
      <c r="A253" s="49" t="s">
        <v>438</v>
      </c>
      <c r="B253" s="49" t="str">
        <f t="shared" si="12"/>
        <v>PR-GUARAREMA (INTERCONEXÃO)</v>
      </c>
      <c r="C253" s="12" t="str">
        <f t="shared" si="16"/>
        <v xml:space="preserve"> </v>
      </c>
      <c r="D253" s="12"/>
      <c r="E253" s="130">
        <f ca="1">E269</f>
        <v>0.51227093820544878</v>
      </c>
      <c r="F253" s="262"/>
      <c r="G253" s="126"/>
      <c r="H253" s="49" t="s">
        <v>439</v>
      </c>
      <c r="I253" s="49" t="str">
        <f t="shared" si="14"/>
        <v>NTS RJ 4</v>
      </c>
      <c r="J253" s="12">
        <f t="shared" ca="1" si="22"/>
        <v>0.47946685946445217</v>
      </c>
      <c r="K253" s="12">
        <f t="shared" ca="1" si="15"/>
        <v>2.3343030132748033</v>
      </c>
      <c r="L253" s="12">
        <f t="shared" ca="1" si="20"/>
        <v>2.8137698727392553</v>
      </c>
      <c r="M253" s="261">
        <f t="shared" ca="1" si="21"/>
        <v>12374229.426528716</v>
      </c>
    </row>
    <row r="254" spans="1:22" ht="15.6" x14ac:dyDescent="0.3">
      <c r="A254" s="49" t="s">
        <v>440</v>
      </c>
      <c r="B254" s="49" t="str">
        <f t="shared" si="12"/>
        <v>PR-REPLAN (INTERCONEXÃO)</v>
      </c>
      <c r="C254" s="12" t="str">
        <f t="shared" si="16"/>
        <v xml:space="preserve"> </v>
      </c>
      <c r="D254" s="12"/>
      <c r="E254" s="130">
        <f ca="1">E268</f>
        <v>0.55066712588946121</v>
      </c>
      <c r="F254" s="263">
        <f ca="1">SUM(F246:F252)</f>
        <v>4763043413.2258701</v>
      </c>
      <c r="G254" s="126"/>
      <c r="H254" s="49" t="s">
        <v>441</v>
      </c>
      <c r="I254" s="49" t="str">
        <f t="shared" si="14"/>
        <v>NTS RJ 5</v>
      </c>
      <c r="J254" s="12">
        <f t="shared" ca="1" si="22"/>
        <v>0.36232865457355062</v>
      </c>
      <c r="K254" s="12">
        <f t="shared" ca="1" si="15"/>
        <v>2.3343030132748033</v>
      </c>
      <c r="L254" s="12">
        <f t="shared" ca="1" si="20"/>
        <v>2.696631667848354</v>
      </c>
      <c r="M254" s="261">
        <f t="shared" ca="1" si="21"/>
        <v>78130449.015573934</v>
      </c>
    </row>
    <row r="255" spans="1:22" ht="15.6" x14ac:dyDescent="0.3">
      <c r="A255" s="49" t="s">
        <v>442</v>
      </c>
      <c r="B255" s="49" t="str">
        <f t="shared" si="12"/>
        <v>PR-TECAB (INTERCONEXÃO)</v>
      </c>
      <c r="C255" s="12" t="str">
        <f t="shared" si="16"/>
        <v xml:space="preserve"> </v>
      </c>
      <c r="D255" s="12"/>
      <c r="E255" s="130">
        <f ca="1">E270</f>
        <v>0.53804463820174619</v>
      </c>
      <c r="G255" s="126"/>
      <c r="H255" s="49" t="s">
        <v>443</v>
      </c>
      <c r="I255" s="49" t="str">
        <f t="shared" si="14"/>
        <v>NTS SP 1</v>
      </c>
      <c r="J255" s="12">
        <f t="shared" ca="1" si="22"/>
        <v>0.68570001224172195</v>
      </c>
      <c r="K255" s="12">
        <f t="shared" ca="1" si="15"/>
        <v>2.3343030132748033</v>
      </c>
      <c r="L255" s="12">
        <f t="shared" ca="1" si="20"/>
        <v>3.0200030255165253</v>
      </c>
      <c r="M255" s="261">
        <f t="shared" ca="1" si="21"/>
        <v>50863254.350886278</v>
      </c>
    </row>
    <row r="256" spans="1:22" ht="15.6" x14ac:dyDescent="0.3">
      <c r="F256" s="134"/>
      <c r="H256" s="49" t="s">
        <v>444</v>
      </c>
      <c r="I256" s="49" t="str">
        <f t="shared" si="14"/>
        <v>NTS SP 2</v>
      </c>
      <c r="J256" s="12">
        <f t="shared" ca="1" si="22"/>
        <v>0.66532608892206258</v>
      </c>
      <c r="K256" s="12">
        <f t="shared" ca="1" si="15"/>
        <v>2.3343030132748033</v>
      </c>
      <c r="L256" s="12">
        <f t="shared" ca="1" si="20"/>
        <v>2.9996291021968657</v>
      </c>
      <c r="M256" s="261">
        <f t="shared" ca="1" si="21"/>
        <v>121378964.95420125</v>
      </c>
    </row>
    <row r="257" spans="1:13" ht="15.6" x14ac:dyDescent="0.3">
      <c r="H257" s="49" t="s">
        <v>445</v>
      </c>
      <c r="I257" s="49" t="str">
        <f t="shared" si="14"/>
        <v>NTS SP 3</v>
      </c>
      <c r="J257" s="12">
        <f t="shared" ca="1" si="22"/>
        <v>0.9004562126565504</v>
      </c>
      <c r="K257" s="12">
        <f t="shared" ca="1" si="15"/>
        <v>2.3343030132748033</v>
      </c>
      <c r="L257" s="12">
        <f t="shared" ca="1" si="20"/>
        <v>3.2347592259313536</v>
      </c>
      <c r="M257" s="261">
        <f t="shared" ca="1" si="21"/>
        <v>350972309.32121211</v>
      </c>
    </row>
    <row r="258" spans="1:13" ht="15.6" x14ac:dyDescent="0.3">
      <c r="H258" s="49" t="s">
        <v>446</v>
      </c>
      <c r="I258" s="49" t="str">
        <f t="shared" si="14"/>
        <v>NTS SP 4</v>
      </c>
      <c r="J258" s="12">
        <f t="shared" ca="1" si="22"/>
        <v>0.97481224232957397</v>
      </c>
      <c r="K258" s="12">
        <f t="shared" ca="1" si="15"/>
        <v>2.3343030132748033</v>
      </c>
      <c r="L258" s="12">
        <f t="shared" ca="1" si="20"/>
        <v>3.309115255604377</v>
      </c>
      <c r="M258" s="261">
        <f t="shared" ca="1" si="21"/>
        <v>147824081.91005555</v>
      </c>
    </row>
    <row r="259" spans="1:13" ht="15.6" x14ac:dyDescent="0.3">
      <c r="H259" s="49" t="s">
        <v>447</v>
      </c>
      <c r="I259" s="49" t="str">
        <f t="shared" si="14"/>
        <v>PE-GUARAREMA (INTERCONEXÃO)</v>
      </c>
      <c r="J259" s="12" t="str">
        <f t="shared" si="22"/>
        <v xml:space="preserve"> </v>
      </c>
      <c r="K259" s="12"/>
      <c r="L259" s="12">
        <f>0</f>
        <v>0</v>
      </c>
      <c r="M259" s="262"/>
    </row>
    <row r="260" spans="1:13" ht="15.6" x14ac:dyDescent="0.3">
      <c r="H260" s="49" t="s">
        <v>448</v>
      </c>
      <c r="I260" s="49" t="str">
        <f t="shared" si="14"/>
        <v>PE-REPLAN (INTERCONEXÃO)</v>
      </c>
      <c r="J260" s="12" t="str">
        <f t="shared" si="22"/>
        <v xml:space="preserve"> </v>
      </c>
      <c r="K260" s="12"/>
      <c r="L260" s="130">
        <f ca="1">E272</f>
        <v>0.28952028224655152</v>
      </c>
      <c r="M260" s="263">
        <f ca="1">SUM(M246:M258)</f>
        <v>2033267839.7123017</v>
      </c>
    </row>
    <row r="261" spans="1:13" ht="15.6" x14ac:dyDescent="0.3">
      <c r="H261" s="49" t="s">
        <v>449</v>
      </c>
      <c r="I261" s="49" t="str">
        <f t="shared" si="14"/>
        <v>PE-TECAB (INTERCONEXÃO)</v>
      </c>
      <c r="J261" s="12" t="str">
        <f t="shared" si="22"/>
        <v xml:space="preserve"> </v>
      </c>
      <c r="K261" s="12"/>
      <c r="L261" s="130">
        <f ca="1">E273</f>
        <v>0.25036738427119093</v>
      </c>
    </row>
    <row r="263" spans="1:13" x14ac:dyDescent="0.3">
      <c r="A263" t="s">
        <v>165</v>
      </c>
      <c r="C263" s="97">
        <v>0.9</v>
      </c>
    </row>
    <row r="264" spans="1:13" x14ac:dyDescent="0.3">
      <c r="J264" s="126"/>
      <c r="K264" s="126"/>
      <c r="L264" s="126"/>
      <c r="M264" s="126"/>
    </row>
    <row r="265" spans="1:13" x14ac:dyDescent="0.3">
      <c r="A265" s="249" t="s">
        <v>474</v>
      </c>
      <c r="J265" s="126"/>
      <c r="K265" s="126"/>
      <c r="L265" s="126"/>
      <c r="M265" s="126"/>
    </row>
    <row r="266" spans="1:13" x14ac:dyDescent="0.3">
      <c r="E266" s="265"/>
      <c r="L266" s="131"/>
    </row>
    <row r="267" spans="1:13" ht="36" x14ac:dyDescent="0.3">
      <c r="B267" s="250" t="s">
        <v>459</v>
      </c>
      <c r="C267" s="269" t="s">
        <v>466</v>
      </c>
      <c r="D267" s="269" t="s">
        <v>465</v>
      </c>
      <c r="E267" s="275" t="s">
        <v>472</v>
      </c>
      <c r="F267" s="250" t="s">
        <v>477</v>
      </c>
      <c r="L267" s="131"/>
    </row>
    <row r="268" spans="1:13" ht="18" x14ac:dyDescent="0.35">
      <c r="B268" s="251" t="s">
        <v>460</v>
      </c>
      <c r="C268" s="276">
        <f>Oferta!F11</f>
        <v>200</v>
      </c>
      <c r="D268" s="270">
        <f ca="1">'CWD NTS 2025 (sem desc e C.Reg)'!D267</f>
        <v>5.5066712588946132</v>
      </c>
      <c r="E268" s="273">
        <f ca="1">D268*(1-$C$263)</f>
        <v>0.55066712588946121</v>
      </c>
      <c r="F268" s="271">
        <f ca="1">C268*E268*Premissas!$C$44*Premissas!$F$20*1000</f>
        <v>1499499.1100521276</v>
      </c>
      <c r="L268" s="131"/>
    </row>
    <row r="269" spans="1:13" ht="18" x14ac:dyDescent="0.35">
      <c r="B269" s="252" t="s">
        <v>461</v>
      </c>
      <c r="C269" s="276">
        <f>Oferta!F10</f>
        <v>6000</v>
      </c>
      <c r="D269" s="270">
        <f ca="1">'CWD NTS 2025 (sem desc e C.Reg)'!D268</f>
        <v>5.1227093820544889</v>
      </c>
      <c r="E269" s="273">
        <f t="shared" ref="E269:E271" ca="1" si="23">D269*(1-$C$263)</f>
        <v>0.51227093820544878</v>
      </c>
      <c r="F269" s="271">
        <f ca="1">C269*E269*Premissas!$C$44*Premissas!$F$20*1000</f>
        <v>41848320.691228323</v>
      </c>
      <c r="G269" s="132"/>
      <c r="K269" s="132"/>
      <c r="L269" s="131"/>
    </row>
    <row r="270" spans="1:13" ht="18" x14ac:dyDescent="0.35">
      <c r="B270" s="253" t="s">
        <v>462</v>
      </c>
      <c r="C270" s="276">
        <f>Oferta!F12</f>
        <v>200</v>
      </c>
      <c r="D270" s="270">
        <f ca="1">'CWD NTS 2025 (sem desc e C.Reg)'!D269</f>
        <v>5.3804463820174631</v>
      </c>
      <c r="E270" s="273">
        <f t="shared" ca="1" si="23"/>
        <v>0.53804463820174619</v>
      </c>
      <c r="F270" s="271">
        <f ca="1">C270*E270*Premissas!$C$44*Premissas!$F$20*1000</f>
        <v>1465127.3305059995</v>
      </c>
      <c r="K270" s="132"/>
      <c r="L270" s="131"/>
    </row>
    <row r="271" spans="1:13" ht="18" x14ac:dyDescent="0.35">
      <c r="B271" s="253" t="s">
        <v>253</v>
      </c>
      <c r="C271" s="276">
        <f>Oferta!F6</f>
        <v>335</v>
      </c>
      <c r="D271" s="270">
        <f ca="1">'CWD NTS 2025 (sem desc e C.Reg)'!D270</f>
        <v>5.5066712588946132</v>
      </c>
      <c r="E271" s="273">
        <f t="shared" ca="1" si="23"/>
        <v>0.55066712588946121</v>
      </c>
      <c r="F271" s="271">
        <f ca="1">C271*E271*Premissas!$C$44*Premissas!$F$20*1000</f>
        <v>2511661.0093373139</v>
      </c>
      <c r="K271" s="132"/>
      <c r="L271" s="131"/>
    </row>
    <row r="272" spans="1:13" ht="18" x14ac:dyDescent="0.35">
      <c r="B272" s="251" t="s">
        <v>463</v>
      </c>
      <c r="C272" s="276">
        <f>Demanda!F17</f>
        <v>7011</v>
      </c>
      <c r="D272" s="270">
        <f ca="1">'CWD NTS 2025 (sem desc e C.Reg)'!D271</f>
        <v>2.895202822465516</v>
      </c>
      <c r="E272" s="273">
        <f ca="1">D272*(1-$C$263)</f>
        <v>0.28952028224655152</v>
      </c>
      <c r="F272" s="271">
        <f ca="1">C272*E272*Premissas!$C$44*Premissas!$F$20*1000</f>
        <v>27636689.983446345</v>
      </c>
      <c r="K272" s="132"/>
      <c r="L272" s="131"/>
    </row>
    <row r="273" spans="2:13" ht="18" x14ac:dyDescent="0.35">
      <c r="B273" s="253" t="s">
        <v>464</v>
      </c>
      <c r="C273" s="276">
        <f>Demanda!F18</f>
        <v>200</v>
      </c>
      <c r="D273" s="270">
        <f ca="1">'CWD NTS 2025 (sem desc e C.Reg)'!D272</f>
        <v>2.5036738427119101</v>
      </c>
      <c r="E273" s="273">
        <f ca="1">D273*(1-$C$263)</f>
        <v>0.25036738427119093</v>
      </c>
      <c r="F273" s="271">
        <f ca="1">C273*E273*Premissas!$C$44*Premissas!$F$20*1000</f>
        <v>681765.17582073959</v>
      </c>
      <c r="K273" s="132"/>
      <c r="L273" s="131"/>
    </row>
    <row r="274" spans="2:13" ht="18.600000000000001" thickBot="1" x14ac:dyDescent="0.4">
      <c r="B274" s="253"/>
      <c r="C274" s="274"/>
      <c r="D274" s="274"/>
      <c r="E274" s="274"/>
      <c r="F274" s="272">
        <f ca="1">SUM(F268:F273)</f>
        <v>75643063.30039084</v>
      </c>
      <c r="K274" s="132"/>
      <c r="L274" s="131"/>
    </row>
    <row r="275" spans="2:13" ht="15" thickTop="1" x14ac:dyDescent="0.3">
      <c r="K275" s="132"/>
      <c r="L275" s="131"/>
    </row>
    <row r="276" spans="2:13" x14ac:dyDescent="0.3">
      <c r="E276" t="s">
        <v>110</v>
      </c>
      <c r="F276" s="239">
        <f ca="1">F254+M260+F274</f>
        <v>6871954316.2385626</v>
      </c>
      <c r="K276" s="132"/>
      <c r="L276" s="131"/>
    </row>
    <row r="277" spans="2:13" x14ac:dyDescent="0.3">
      <c r="E277" s="255" t="s">
        <v>467</v>
      </c>
      <c r="F277" s="256">
        <f ca="1">(F276/10^6)-D4</f>
        <v>0</v>
      </c>
      <c r="K277" s="132"/>
      <c r="L277" s="131"/>
    </row>
    <row r="278" spans="2:13" x14ac:dyDescent="0.3">
      <c r="K278" s="132"/>
    </row>
    <row r="279" spans="2:13" x14ac:dyDescent="0.3">
      <c r="K279" s="132"/>
    </row>
    <row r="280" spans="2:13" x14ac:dyDescent="0.3">
      <c r="K280" s="132"/>
      <c r="M280" s="133"/>
    </row>
    <row r="281" spans="2:13" x14ac:dyDescent="0.3">
      <c r="K281" s="132"/>
      <c r="M281" s="133"/>
    </row>
    <row r="282" spans="2:13" x14ac:dyDescent="0.3">
      <c r="K282" s="132"/>
      <c r="M282" s="133"/>
    </row>
    <row r="283" spans="2:13" x14ac:dyDescent="0.3">
      <c r="K283" s="132"/>
      <c r="M283" s="133"/>
    </row>
    <row r="284" spans="2:13" x14ac:dyDescent="0.3">
      <c r="K284" s="132"/>
      <c r="M284" s="133"/>
    </row>
    <row r="285" spans="2:13" x14ac:dyDescent="0.3">
      <c r="K285" s="132"/>
      <c r="M285" s="133"/>
    </row>
    <row r="286" spans="2:13" x14ac:dyDescent="0.3">
      <c r="K286" s="132"/>
      <c r="M286" s="133"/>
    </row>
    <row r="287" spans="2:13" x14ac:dyDescent="0.3">
      <c r="K287" s="132"/>
      <c r="M287" s="133"/>
    </row>
    <row r="288" spans="2:13" x14ac:dyDescent="0.3">
      <c r="M288" s="133"/>
    </row>
    <row r="289" spans="13:14" x14ac:dyDescent="0.3">
      <c r="M289" s="133"/>
    </row>
    <row r="290" spans="13:14" x14ac:dyDescent="0.3">
      <c r="M290" s="133"/>
    </row>
    <row r="291" spans="13:14" x14ac:dyDescent="0.3">
      <c r="M291" s="133"/>
    </row>
    <row r="292" spans="13:14" x14ac:dyDescent="0.3">
      <c r="M292" s="133"/>
    </row>
    <row r="293" spans="13:14" x14ac:dyDescent="0.3">
      <c r="M293" s="133"/>
    </row>
    <row r="294" spans="13:14" x14ac:dyDescent="0.3">
      <c r="M294" s="133"/>
    </row>
    <row r="295" spans="13:14" x14ac:dyDescent="0.3">
      <c r="M295" s="133"/>
    </row>
    <row r="296" spans="13:14" x14ac:dyDescent="0.3">
      <c r="M296" s="133"/>
    </row>
    <row r="297" spans="13:14" x14ac:dyDescent="0.3">
      <c r="M297" s="133"/>
    </row>
    <row r="298" spans="13:14" x14ac:dyDescent="0.3">
      <c r="M298" s="133"/>
    </row>
    <row r="299" spans="13:14" x14ac:dyDescent="0.3">
      <c r="M299" s="133"/>
    </row>
    <row r="303" spans="13:14" x14ac:dyDescent="0.3">
      <c r="N303" s="134"/>
    </row>
  </sheetData>
  <mergeCells count="8">
    <mergeCell ref="C40:D40"/>
    <mergeCell ref="G40:H40"/>
    <mergeCell ref="C22:D22"/>
    <mergeCell ref="G22:H22"/>
    <mergeCell ref="C23:D23"/>
    <mergeCell ref="G23:H23"/>
    <mergeCell ref="C39:D39"/>
    <mergeCell ref="G39:H39"/>
  </mergeCells>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9">
    <tabColor theme="4" tint="0.79998168889431442"/>
  </sheetPr>
  <dimension ref="A1:V39"/>
  <sheetViews>
    <sheetView showGridLines="0" zoomScale="110" zoomScaleNormal="110" workbookViewId="0">
      <selection activeCell="F13" sqref="F13"/>
    </sheetView>
  </sheetViews>
  <sheetFormatPr defaultColWidth="10.77734375" defaultRowHeight="14.4" x14ac:dyDescent="0.3"/>
  <cols>
    <col min="1" max="1" width="10.77734375" style="62"/>
    <col min="2" max="2" width="27.44140625" style="62" bestFit="1" customWidth="1"/>
    <col min="3" max="3" width="15.21875" style="64" customWidth="1"/>
    <col min="4" max="4" width="13.77734375" style="64" customWidth="1"/>
    <col min="5" max="5" width="14.21875" style="62" bestFit="1" customWidth="1"/>
    <col min="6" max="6" width="14.77734375" style="62" customWidth="1"/>
    <col min="7" max="7" width="14.21875" style="62" bestFit="1" customWidth="1"/>
    <col min="8" max="11" width="10.77734375" style="62"/>
    <col min="12" max="12" width="23" style="67" bestFit="1" customWidth="1"/>
    <col min="13" max="13" width="16.77734375" style="67" customWidth="1"/>
    <col min="14" max="22" width="14.77734375" style="67" customWidth="1"/>
    <col min="23" max="16384" width="10.77734375" style="62"/>
  </cols>
  <sheetData>
    <row r="1" spans="1:22" ht="25.95" customHeight="1" x14ac:dyDescent="0.3">
      <c r="A1" s="352" t="s">
        <v>131</v>
      </c>
      <c r="B1" s="353" t="s">
        <v>132</v>
      </c>
      <c r="C1" s="351" t="s">
        <v>262</v>
      </c>
      <c r="D1" s="351" t="s">
        <v>263</v>
      </c>
      <c r="E1" s="351" t="s">
        <v>265</v>
      </c>
      <c r="L1" s="238"/>
      <c r="M1" s="238" t="s">
        <v>28</v>
      </c>
      <c r="N1" s="238" t="s">
        <v>26</v>
      </c>
      <c r="O1" s="238" t="s">
        <v>512</v>
      </c>
      <c r="P1" s="238" t="s">
        <v>473</v>
      </c>
      <c r="Q1" s="238" t="s">
        <v>27</v>
      </c>
      <c r="R1" s="238" t="s">
        <v>29</v>
      </c>
      <c r="S1" s="238" t="s">
        <v>24</v>
      </c>
      <c r="T1" s="238" t="s">
        <v>274</v>
      </c>
      <c r="U1" s="238" t="s">
        <v>276</v>
      </c>
      <c r="V1" s="238" t="s">
        <v>275</v>
      </c>
    </row>
    <row r="2" spans="1:22" x14ac:dyDescent="0.3">
      <c r="A2" s="346" t="str">
        <f>'CWD NTS 2025 (Final-sem C.Reg)'!A246</f>
        <v>TEN1</v>
      </c>
      <c r="B2" s="347" t="str">
        <f>'CWD NTS 2025 (Final-sem C.Reg)'!B246</f>
        <v>PR-CARAGUATATUBA</v>
      </c>
      <c r="C2" s="348">
        <f>'CWD NTS 2025 (sem desc e C.Reg)'!H24</f>
        <v>193037657.25962999</v>
      </c>
      <c r="D2" s="349">
        <f ca="1">'CWD NTS 2025 (Final-sem C.Reg)'!E246</f>
        <v>5.9588939941533798</v>
      </c>
      <c r="E2" s="350">
        <f t="shared" ref="E2:E11" ca="1" si="0">IFERROR(C2*D2," ")</f>
        <v>1150290936.4898477</v>
      </c>
      <c r="L2" s="71" t="s">
        <v>58</v>
      </c>
      <c r="M2" s="70">
        <f ca="1">IFERROR($D$2+$C34," ")</f>
        <v>9.3541670856242867</v>
      </c>
      <c r="N2" s="70">
        <f ca="1">IFERROR($D$3+$C34," ")</f>
        <v>8.7318064347259003</v>
      </c>
      <c r="O2" s="70">
        <f ca="1">IFERROR($D$4+$C34," ")</f>
        <v>8.8710515555883926</v>
      </c>
      <c r="P2" s="70">
        <f ca="1">IFERROR($D$5+$C34," ")</f>
        <v>3.9459402173603677</v>
      </c>
      <c r="Q2" s="70" t="str">
        <f ca="1">IFERROR($D$6+$C34," ")</f>
        <v xml:space="preserve"> </v>
      </c>
      <c r="R2" s="70" t="str">
        <f ca="1">IFERROR($D$7+$C34," ")</f>
        <v xml:space="preserve"> </v>
      </c>
      <c r="S2" s="70">
        <f ca="1">IFERROR($D$8+$C34," ")</f>
        <v>9.2807901092810532</v>
      </c>
      <c r="T2" s="70">
        <f ca="1">IFERROR($D$9+$C34," ")</f>
        <v>3.9075440296763553</v>
      </c>
      <c r="U2" s="70">
        <f ca="1">IFERROR($D$10+$C34," ")</f>
        <v>3.9459402173603677</v>
      </c>
      <c r="V2" s="70">
        <f ca="1">IFERROR($D$11+$C34," ")</f>
        <v>3.9333177296726527</v>
      </c>
    </row>
    <row r="3" spans="1:22" s="65" customFormat="1" x14ac:dyDescent="0.3">
      <c r="A3" s="319" t="str">
        <f>'CWD NTS 2025 (Final-sem C.Reg)'!A247</f>
        <v>TEN2</v>
      </c>
      <c r="B3" s="322" t="str">
        <f>'CWD NTS 2025 (Final-sem C.Reg)'!B247</f>
        <v>PR-GNLBGB</v>
      </c>
      <c r="C3" s="323">
        <f>'CWD NTS 2025 (sem desc e C.Reg)'!H25</f>
        <v>272305906.69999999</v>
      </c>
      <c r="D3" s="324">
        <f ca="1">'CWD NTS 2025 (Final-sem C.Reg)'!E247</f>
        <v>5.3365333432549944</v>
      </c>
      <c r="E3" s="325">
        <f t="shared" ca="1" si="0"/>
        <v>1453169550.6698334</v>
      </c>
      <c r="L3" s="71" t="s">
        <v>69</v>
      </c>
      <c r="M3" s="70">
        <f t="shared" ref="M3:M7" ca="1" si="1">IFERROR($D$2+$C35," ")</f>
        <v>8.6549456495304042</v>
      </c>
      <c r="N3" s="70">
        <f t="shared" ref="N3:N7" ca="1" si="2">IFERROR($D$3+$C35," ")</f>
        <v>8.0325849986320179</v>
      </c>
      <c r="O3" s="70">
        <f t="shared" ref="O3:O7" ca="1" si="3">IFERROR($D$4+$C35," ")</f>
        <v>8.1718301194945102</v>
      </c>
      <c r="P3" s="70">
        <f t="shared" ref="P3:P7" ca="1" si="4">IFERROR($D$5+$C35," ")</f>
        <v>3.2467187812664848</v>
      </c>
      <c r="Q3" s="70" t="str">
        <f t="shared" ref="Q3:Q7" ca="1" si="5">IFERROR($D$6+$C35," ")</f>
        <v xml:space="preserve"> </v>
      </c>
      <c r="R3" s="70" t="str">
        <f t="shared" ref="R3:R7" ca="1" si="6">IFERROR($D$7+$C35," ")</f>
        <v xml:space="preserve"> </v>
      </c>
      <c r="S3" s="70">
        <f t="shared" ref="S3:S7" ca="1" si="7">IFERROR($D$8+$C35," ")</f>
        <v>8.5815686731871708</v>
      </c>
      <c r="T3" s="70">
        <f t="shared" ref="T3:T7" ca="1" si="8">IFERROR($D$9+$C35," ")</f>
        <v>3.2083225935824724</v>
      </c>
      <c r="U3" s="70">
        <f t="shared" ref="U3:U7" ca="1" si="9">IFERROR($D$10+$C35," ")</f>
        <v>3.2467187812664848</v>
      </c>
      <c r="V3" s="70">
        <f t="shared" ref="V3:V7" ca="1" si="10">IFERROR($D$11+$C35," ")</f>
        <v>3.2340962935787698</v>
      </c>
    </row>
    <row r="4" spans="1:22" x14ac:dyDescent="0.3">
      <c r="A4" s="319" t="str">
        <f>'CWD NTS 2025 (Final-sem C.Reg)'!A248</f>
        <v>TEN3</v>
      </c>
      <c r="B4" s="322" t="str">
        <f>'CWD NTS 2025 (Final-sem C.Reg)'!B248</f>
        <v>PR-ITABORAÍ</v>
      </c>
      <c r="C4" s="323">
        <f>'CWD NTS 2025 (sem desc e C.Reg)'!H26</f>
        <v>176998839.35499999</v>
      </c>
      <c r="D4" s="324">
        <f ca="1">'CWD NTS 2025 (Final-sem C.Reg)'!E248</f>
        <v>5.4757784641174867</v>
      </c>
      <c r="E4" s="323">
        <f t="shared" ca="1" si="0"/>
        <v>969206432.71389961</v>
      </c>
      <c r="L4" s="71" t="s">
        <v>268</v>
      </c>
      <c r="M4" s="70">
        <f t="shared" ca="1" si="1"/>
        <v>9.1470461941260783</v>
      </c>
      <c r="N4" s="70">
        <f t="shared" ca="1" si="2"/>
        <v>8.524685543227692</v>
      </c>
      <c r="O4" s="70">
        <f t="shared" ca="1" si="3"/>
        <v>8.6639306640901843</v>
      </c>
      <c r="P4" s="70">
        <f t="shared" ca="1" si="4"/>
        <v>3.7388193258621594</v>
      </c>
      <c r="Q4" s="70" t="str">
        <f t="shared" ca="1" si="5"/>
        <v xml:space="preserve"> </v>
      </c>
      <c r="R4" s="70" t="str">
        <f t="shared" ca="1" si="6"/>
        <v xml:space="preserve"> </v>
      </c>
      <c r="S4" s="70">
        <f t="shared" ca="1" si="7"/>
        <v>9.0736692177828449</v>
      </c>
      <c r="T4" s="70">
        <f t="shared" ca="1" si="8"/>
        <v>3.7004231381781469</v>
      </c>
      <c r="U4" s="70">
        <f t="shared" ca="1" si="9"/>
        <v>3.7388193258621594</v>
      </c>
      <c r="V4" s="70">
        <f t="shared" ca="1" si="10"/>
        <v>3.7261968381744444</v>
      </c>
    </row>
    <row r="5" spans="1:22" ht="24" x14ac:dyDescent="0.3">
      <c r="A5" s="319" t="str">
        <f>'CWD NTS 2025 (Final-sem C.Reg)'!A249</f>
        <v>TEN4</v>
      </c>
      <c r="B5" s="322" t="str">
        <f>'CWD NTS 2025 (Final-sem C.Reg)'!B249</f>
        <v>PR-GASPAJ (INTERCONEXÃO)</v>
      </c>
      <c r="C5" s="323">
        <f>'CWD NTS 2025 (sem desc e C.Reg)'!H27</f>
        <v>4561123.937225</v>
      </c>
      <c r="D5" s="324">
        <f ca="1">'CWD NTS 2025 (Final-sem C.Reg)'!E249</f>
        <v>0.55066712588946121</v>
      </c>
      <c r="E5" s="323">
        <f t="shared" ca="1" si="0"/>
        <v>2511661.0093373139</v>
      </c>
      <c r="L5" s="135" t="str">
        <f>B28</f>
        <v>PE-GUARAREMA (INTERCONEXÃO)</v>
      </c>
      <c r="M5" s="70" t="str">
        <f t="shared" ca="1" si="1"/>
        <v xml:space="preserve"> </v>
      </c>
      <c r="N5" s="70" t="str">
        <f t="shared" ca="1" si="2"/>
        <v xml:space="preserve"> </v>
      </c>
      <c r="O5" s="70" t="str">
        <f t="shared" ca="1" si="3"/>
        <v xml:space="preserve"> </v>
      </c>
      <c r="P5" s="70" t="str">
        <f t="shared" ca="1" si="4"/>
        <v xml:space="preserve"> </v>
      </c>
      <c r="Q5" s="70" t="str">
        <f t="shared" si="5"/>
        <v xml:space="preserve"> </v>
      </c>
      <c r="R5" s="70" t="str">
        <f t="shared" si="6"/>
        <v xml:space="preserve"> </v>
      </c>
      <c r="S5" s="70" t="str">
        <f t="shared" ca="1" si="7"/>
        <v xml:space="preserve"> </v>
      </c>
      <c r="T5" s="70" t="str">
        <f t="shared" ca="1" si="8"/>
        <v xml:space="preserve"> </v>
      </c>
      <c r="U5" s="70" t="str">
        <f t="shared" ca="1" si="9"/>
        <v xml:space="preserve"> </v>
      </c>
      <c r="V5" s="70" t="str">
        <f t="shared" ca="1" si="10"/>
        <v xml:space="preserve"> </v>
      </c>
    </row>
    <row r="6" spans="1:22" x14ac:dyDescent="0.3">
      <c r="A6" s="319" t="str">
        <f>'CWD NTS 2025 (Final-sem C.Reg)'!A250</f>
        <v>TEN5</v>
      </c>
      <c r="B6" s="322" t="str">
        <f>'CWD NTS 2025 (Final-sem C.Reg)'!B250</f>
        <v>PR-REDUC</v>
      </c>
      <c r="C6" s="323">
        <f>'CWD NTS 2025 (sem desc e C.Reg)'!H28</f>
        <v>0</v>
      </c>
      <c r="D6" s="324" t="str">
        <f>'CWD NTS 2025 (Final-sem C.Reg)'!E250</f>
        <v xml:space="preserve"> </v>
      </c>
      <c r="E6" s="323" t="str">
        <f t="shared" si="0"/>
        <v xml:space="preserve"> </v>
      </c>
      <c r="L6" s="135" t="str">
        <f t="shared" ref="L6:L7" si="11">B29</f>
        <v>PE-REPLAN (INTERCONEXÃO)</v>
      </c>
      <c r="M6" s="70">
        <f t="shared" ca="1" si="1"/>
        <v>6.2484142763999317</v>
      </c>
      <c r="N6" s="70">
        <f t="shared" ca="1" si="2"/>
        <v>5.6260536255015463</v>
      </c>
      <c r="O6" s="70">
        <f t="shared" ca="1" si="3"/>
        <v>5.7652987463640386</v>
      </c>
      <c r="P6" s="70">
        <f t="shared" ca="1" si="4"/>
        <v>0.84018740813601278</v>
      </c>
      <c r="Q6" s="70" t="str">
        <f t="shared" ca="1" si="5"/>
        <v xml:space="preserve"> </v>
      </c>
      <c r="R6" s="70" t="str">
        <f t="shared" ca="1" si="6"/>
        <v xml:space="preserve"> </v>
      </c>
      <c r="S6" s="70">
        <f t="shared" ca="1" si="7"/>
        <v>6.1750373000566983</v>
      </c>
      <c r="T6" s="70">
        <f t="shared" ca="1" si="8"/>
        <v>0.80179122045200035</v>
      </c>
      <c r="U6" s="70">
        <f t="shared" ca="1" si="9"/>
        <v>0.84018740813601278</v>
      </c>
      <c r="V6" s="70">
        <f t="shared" ca="1" si="10"/>
        <v>0.82756492044829777</v>
      </c>
    </row>
    <row r="7" spans="1:22" x14ac:dyDescent="0.3">
      <c r="A7" s="319" t="str">
        <f>'CWD NTS 2025 (Final-sem C.Reg)'!A251</f>
        <v>TEN6</v>
      </c>
      <c r="B7" s="322" t="str">
        <f>'CWD NTS 2025 (Final-sem C.Reg)'!B251</f>
        <v>PR-RPBC</v>
      </c>
      <c r="C7" s="323">
        <f>'CWD NTS 2025 (sem desc e C.Reg)'!H29</f>
        <v>0</v>
      </c>
      <c r="D7" s="324" t="str">
        <f>'CWD NTS 2025 (Final-sem C.Reg)'!E251</f>
        <v xml:space="preserve"> </v>
      </c>
      <c r="E7" s="323" t="str">
        <f t="shared" si="0"/>
        <v xml:space="preserve"> </v>
      </c>
      <c r="L7" s="135" t="str">
        <f t="shared" si="11"/>
        <v>PE-TECAB (INTERCONEXÃO)</v>
      </c>
      <c r="M7" s="70">
        <f t="shared" ca="1" si="1"/>
        <v>6.2092613784245705</v>
      </c>
      <c r="N7" s="70">
        <f t="shared" ca="1" si="2"/>
        <v>5.5869007275261851</v>
      </c>
      <c r="O7" s="70">
        <f t="shared" ca="1" si="3"/>
        <v>5.7261458483886774</v>
      </c>
      <c r="P7" s="70">
        <f t="shared" ca="1" si="4"/>
        <v>0.80103451016065219</v>
      </c>
      <c r="Q7" s="70" t="str">
        <f t="shared" ca="1" si="5"/>
        <v xml:space="preserve"> </v>
      </c>
      <c r="R7" s="70" t="str">
        <f t="shared" ca="1" si="6"/>
        <v xml:space="preserve"> </v>
      </c>
      <c r="S7" s="70">
        <f t="shared" ca="1" si="7"/>
        <v>6.135884402081337</v>
      </c>
      <c r="T7" s="70">
        <f t="shared" ca="1" si="8"/>
        <v>0.76263832247663976</v>
      </c>
      <c r="U7" s="70">
        <f t="shared" ca="1" si="9"/>
        <v>0.80103451016065219</v>
      </c>
      <c r="V7" s="70">
        <f t="shared" ca="1" si="10"/>
        <v>0.78841202247293718</v>
      </c>
    </row>
    <row r="8" spans="1:22" x14ac:dyDescent="0.3">
      <c r="A8" s="319" t="str">
        <f>'CWD NTS 2025 (Final-sem C.Reg)'!A252</f>
        <v>TEN7</v>
      </c>
      <c r="B8" s="322" t="str">
        <f>'CWD NTS 2025 (Final-sem C.Reg)'!B252</f>
        <v>PR-TECAB</v>
      </c>
      <c r="C8" s="323">
        <f>'CWD NTS 2025 (sem desc e C.Reg)'!H30</f>
        <v>202255212.20142499</v>
      </c>
      <c r="D8" s="324">
        <f ca="1">'CWD NTS 2025 (Final-sem C.Reg)'!E252</f>
        <v>5.8855170178101464</v>
      </c>
      <c r="E8" s="323">
        <f t="shared" ca="1" si="0"/>
        <v>1190376493.3522892</v>
      </c>
      <c r="L8" s="64"/>
    </row>
    <row r="9" spans="1:22" x14ac:dyDescent="0.3">
      <c r="A9" s="319" t="str">
        <f>'CWD NTS 2025 (Final-sem C.Reg)'!A253</f>
        <v>TEN8</v>
      </c>
      <c r="B9" s="322" t="str">
        <f>'CWD NTS 2025 (Final-sem C.Reg)'!B253</f>
        <v>PR-GUARAREMA (INTERCONEXÃO)</v>
      </c>
      <c r="C9" s="323">
        <f>'CWD NTS 2025 (sem desc e C.Reg)'!H31</f>
        <v>81691772.010000005</v>
      </c>
      <c r="D9" s="324">
        <f ca="1">'CWD NTS 2025 (Final-sem C.Reg)'!E253</f>
        <v>0.51227093820544878</v>
      </c>
      <c r="E9" s="323">
        <f t="shared" ca="1" si="0"/>
        <v>41848320.691228323</v>
      </c>
      <c r="L9" s="64"/>
    </row>
    <row r="10" spans="1:22" x14ac:dyDescent="0.3">
      <c r="A10" s="319" t="str">
        <f>'CWD NTS 2025 (Final-sem C.Reg)'!A254</f>
        <v>TEN9</v>
      </c>
      <c r="B10" s="322" t="str">
        <f>'CWD NTS 2025 (Final-sem C.Reg)'!B254</f>
        <v>PR-REPLAN (INTERCONEXÃO)</v>
      </c>
      <c r="C10" s="323">
        <f>'CWD NTS 2025 (sem desc e C.Reg)'!H32</f>
        <v>2723059.0670000003</v>
      </c>
      <c r="D10" s="324">
        <f ca="1">'CWD NTS 2025 (Final-sem C.Reg)'!E254</f>
        <v>0.55066712588946121</v>
      </c>
      <c r="E10" s="323">
        <f t="shared" ca="1" si="0"/>
        <v>1499499.1100521279</v>
      </c>
      <c r="L10" s="64"/>
    </row>
    <row r="11" spans="1:22" x14ac:dyDescent="0.3">
      <c r="A11" s="319" t="str">
        <f>'CWD NTS 2025 (Final-sem C.Reg)'!A255</f>
        <v>TEN10</v>
      </c>
      <c r="B11" s="322" t="str">
        <f>'CWD NTS 2025 (Final-sem C.Reg)'!B255</f>
        <v>PR-TECAB (INTERCONEXÃO)</v>
      </c>
      <c r="C11" s="323">
        <f>'CWD NTS 2025 (sem desc e C.Reg)'!H33</f>
        <v>2723059.0670000003</v>
      </c>
      <c r="D11" s="324">
        <f ca="1">'CWD NTS 2025 (Final-sem C.Reg)'!E255</f>
        <v>0.53804463820174619</v>
      </c>
      <c r="E11" s="323">
        <f t="shared" ca="1" si="0"/>
        <v>1465127.3305059997</v>
      </c>
      <c r="L11" s="64"/>
    </row>
    <row r="12" spans="1:22" x14ac:dyDescent="0.3">
      <c r="E12" s="68">
        <f ca="1">SUM(E2:E11)</f>
        <v>4810368021.3669939</v>
      </c>
      <c r="L12" s="64"/>
    </row>
    <row r="13" spans="1:22" x14ac:dyDescent="0.3">
      <c r="F13" s="63"/>
      <c r="L13" s="62"/>
    </row>
    <row r="14" spans="1:22" ht="24" x14ac:dyDescent="0.3">
      <c r="A14" s="321" t="s">
        <v>131</v>
      </c>
      <c r="B14" s="321" t="s">
        <v>140</v>
      </c>
      <c r="C14" s="321" t="s">
        <v>262</v>
      </c>
      <c r="D14" s="321" t="s">
        <v>264</v>
      </c>
      <c r="E14" s="321" t="s">
        <v>263</v>
      </c>
      <c r="F14" s="321" t="s">
        <v>265</v>
      </c>
      <c r="G14" s="321" t="s">
        <v>266</v>
      </c>
      <c r="H14" s="321" t="s">
        <v>510</v>
      </c>
      <c r="L14" s="62"/>
    </row>
    <row r="15" spans="1:22" x14ac:dyDescent="0.3">
      <c r="A15" s="323" t="str">
        <f>'CWD NTS 2025 (Final-sem C.Reg)'!H246</f>
        <v>TEX1</v>
      </c>
      <c r="B15" s="323" t="str">
        <f>'CWD NTS 2025 (Final-sem C.Reg)'!I246</f>
        <v>NTS MG 1</v>
      </c>
      <c r="C15" s="323">
        <f>'CWD NTS 2025 (sem desc e C.Reg)'!H41</f>
        <v>8264484.2683449984</v>
      </c>
      <c r="D15" s="323"/>
      <c r="E15" s="326">
        <f ca="1">'CWD NTS 2025 (Final-sem C.Reg)'!L246</f>
        <v>3.0685172586406497</v>
      </c>
      <c r="F15" s="332">
        <f ca="1">IFERROR(C15*E15," ")</f>
        <v>25359712.611180771</v>
      </c>
      <c r="G15" s="335"/>
      <c r="H15" s="341" t="str">
        <f>IFERROR(G15/D15," ")</f>
        <v xml:space="preserve"> </v>
      </c>
      <c r="I15" s="69"/>
      <c r="J15" s="69"/>
      <c r="L15" s="62"/>
    </row>
    <row r="16" spans="1:22" x14ac:dyDescent="0.3">
      <c r="A16" s="323" t="str">
        <f>'CWD NTS 2025 (Final-sem C.Reg)'!H247</f>
        <v>TEX2</v>
      </c>
      <c r="B16" s="323" t="str">
        <f>'CWD NTS 2025 (Final-sem C.Reg)'!I247</f>
        <v>NTS MG 2</v>
      </c>
      <c r="C16" s="323">
        <f>'CWD NTS 2025 (sem desc e C.Reg)'!H42</f>
        <v>22846465.572130002</v>
      </c>
      <c r="D16" s="323"/>
      <c r="E16" s="326">
        <f ca="1">'CWD NTS 2025 (Final-sem C.Reg)'!L247</f>
        <v>3.2723003862907971</v>
      </c>
      <c r="F16" s="332">
        <f t="shared" ref="F16:F30" ca="1" si="12">IFERROR(C16*E16," ")</f>
        <v>74760498.117060408</v>
      </c>
      <c r="G16" s="344"/>
      <c r="H16" s="342" t="str">
        <f t="shared" ref="H16:H30" si="13">IFERROR(G16/D16," ")</f>
        <v xml:space="preserve"> </v>
      </c>
      <c r="I16" s="69"/>
      <c r="J16" s="69"/>
      <c r="L16" s="62"/>
    </row>
    <row r="17" spans="1:12" x14ac:dyDescent="0.3">
      <c r="A17" s="323" t="str">
        <f>'CWD NTS 2025 (Final-sem C.Reg)'!H248</f>
        <v>TEX3</v>
      </c>
      <c r="B17" s="323" t="str">
        <f>'CWD NTS 2025 (Final-sem C.Reg)'!I248</f>
        <v>NTS MG 3</v>
      </c>
      <c r="C17" s="323">
        <f>'CWD NTS 2025 (sem desc e C.Reg)'!H43</f>
        <v>37265063.331895001</v>
      </c>
      <c r="D17" s="323"/>
      <c r="E17" s="326">
        <f ca="1">'CWD NTS 2025 (Final-sem C.Reg)'!L248</f>
        <v>3.5180322510530044</v>
      </c>
      <c r="F17" s="332">
        <f ca="1">IFERROR(C17*E17," ")</f>
        <v>131099694.63913934</v>
      </c>
      <c r="G17" s="337"/>
      <c r="H17" s="343" t="str">
        <f t="shared" si="13"/>
        <v xml:space="preserve"> </v>
      </c>
      <c r="I17" s="69"/>
      <c r="J17" s="69"/>
      <c r="L17" s="62"/>
    </row>
    <row r="18" spans="1:12" x14ac:dyDescent="0.3">
      <c r="A18" s="328" t="str">
        <f>'CWD NTS 2025 (Final-sem C.Reg)'!H249</f>
        <v>TEX4</v>
      </c>
      <c r="B18" s="328" t="str">
        <f>'CWD NTS 2025 (Final-sem C.Reg)'!I249</f>
        <v>NTS MG 4</v>
      </c>
      <c r="C18" s="328">
        <f>'CWD NTS 2025 (sem desc e C.Reg)'!H44</f>
        <v>4561123.937225</v>
      </c>
      <c r="D18" s="328">
        <f>SUM(C15:C18)</f>
        <v>72937137.109595001</v>
      </c>
      <c r="E18" s="329">
        <f ca="1">'CWD NTS 2025 (Final-sem C.Reg)'!L249</f>
        <v>3.6003392707066864</v>
      </c>
      <c r="F18" s="328">
        <f ca="1">IFERROR(C18*E18," ")</f>
        <v>16421593.629751466</v>
      </c>
      <c r="G18" s="340">
        <f ca="1">SUM(F15:F18)</f>
        <v>247641498.99713197</v>
      </c>
      <c r="H18" s="338">
        <f t="shared" ca="1" si="13"/>
        <v>3.3952730914709064</v>
      </c>
      <c r="I18"/>
      <c r="J18"/>
      <c r="L18" s="62"/>
    </row>
    <row r="19" spans="1:12" x14ac:dyDescent="0.3">
      <c r="A19" s="323" t="str">
        <f>'CWD NTS 2025 (Final-sem C.Reg)'!H250</f>
        <v>TEX5</v>
      </c>
      <c r="B19" s="323" t="str">
        <f>'CWD NTS 2025 (Final-sem C.Reg)'!I250</f>
        <v>NTS RJ 1</v>
      </c>
      <c r="C19" s="323">
        <f>'CWD NTS 2025 (sem desc e C.Reg)'!H45</f>
        <v>242256949.89565501</v>
      </c>
      <c r="D19" s="323"/>
      <c r="E19" s="326">
        <f ca="1">'CWD NTS 2025 (Final-sem C.Reg)'!L250</f>
        <v>2.6919455463099875</v>
      </c>
      <c r="F19" s="332">
        <f t="shared" ca="1" si="12"/>
        <v>652142517.33425033</v>
      </c>
      <c r="G19" s="335"/>
      <c r="H19" s="341" t="str">
        <f t="shared" si="13"/>
        <v xml:space="preserve"> </v>
      </c>
      <c r="I19"/>
      <c r="J19"/>
      <c r="L19" s="62"/>
    </row>
    <row r="20" spans="1:12" x14ac:dyDescent="0.3">
      <c r="A20" s="323" t="str">
        <f>'CWD NTS 2025 (Final-sem C.Reg)'!H251</f>
        <v>TEX6</v>
      </c>
      <c r="B20" s="323" t="str">
        <f>'CWD NTS 2025 (Final-sem C.Reg)'!I251</f>
        <v>NTS RJ 2</v>
      </c>
      <c r="C20" s="323">
        <f>'CWD NTS 2025 (sem desc e C.Reg)'!H46</f>
        <v>114450172.58600999</v>
      </c>
      <c r="D20" s="323"/>
      <c r="E20" s="326">
        <f ca="1">'CWD NTS 2025 (Final-sem C.Reg)'!L251</f>
        <v>2.6902790735257875</v>
      </c>
      <c r="F20" s="332">
        <f t="shared" ca="1" si="12"/>
        <v>307902904.26955748</v>
      </c>
      <c r="G20" s="336"/>
      <c r="H20" s="342" t="str">
        <f t="shared" si="13"/>
        <v xml:space="preserve"> </v>
      </c>
      <c r="I20"/>
      <c r="J20"/>
      <c r="L20" s="62"/>
    </row>
    <row r="21" spans="1:12" x14ac:dyDescent="0.3">
      <c r="A21" s="323" t="str">
        <f>'CWD NTS 2025 (Final-sem C.Reg)'!H252</f>
        <v>TEX7</v>
      </c>
      <c r="B21" s="323" t="str">
        <f>'CWD NTS 2025 (Final-sem C.Reg)'!I252</f>
        <v>NTS RJ 3</v>
      </c>
      <c r="C21" s="323">
        <f>'CWD NTS 2025 (sem desc e C.Reg)'!H47</f>
        <v>23336616.204189997</v>
      </c>
      <c r="D21" s="331"/>
      <c r="E21" s="326">
        <f ca="1">'CWD NTS 2025 (Final-sem C.Reg)'!L252</f>
        <v>2.7440837854378572</v>
      </c>
      <c r="F21" s="332">
        <f t="shared" ca="1" si="12"/>
        <v>64037630.132904127</v>
      </c>
      <c r="G21" s="339"/>
      <c r="H21" s="342" t="str">
        <f t="shared" si="13"/>
        <v xml:space="preserve"> </v>
      </c>
      <c r="I21"/>
      <c r="J21"/>
      <c r="L21" s="62"/>
    </row>
    <row r="22" spans="1:12" x14ac:dyDescent="0.3">
      <c r="A22" s="323" t="str">
        <f>'CWD NTS 2025 (Final-sem C.Reg)'!H253</f>
        <v>TEX8</v>
      </c>
      <c r="B22" s="323" t="str">
        <f>'CWD NTS 2025 (Final-sem C.Reg)'!I253</f>
        <v>NTS RJ 4</v>
      </c>
      <c r="C22" s="323">
        <f>'CWD NTS 2025 (sem desc e C.Reg)'!H48</f>
        <v>4397740.3932050001</v>
      </c>
      <c r="D22" s="323"/>
      <c r="E22" s="326">
        <f ca="1">'CWD NTS 2025 (Final-sem C.Reg)'!L253</f>
        <v>2.8137698727392553</v>
      </c>
      <c r="F22" s="332">
        <f t="shared" ca="1" si="12"/>
        <v>12374229.426528716</v>
      </c>
      <c r="G22" s="337"/>
      <c r="H22" s="343" t="str">
        <f t="shared" si="13"/>
        <v xml:space="preserve"> </v>
      </c>
      <c r="I22"/>
      <c r="J22"/>
      <c r="L22" s="62"/>
    </row>
    <row r="23" spans="1:12" x14ac:dyDescent="0.3">
      <c r="A23" s="328" t="str">
        <f>'CWD NTS 2025 (Final-sem C.Reg)'!H254</f>
        <v>TEX9</v>
      </c>
      <c r="B23" s="328" t="str">
        <f>'CWD NTS 2025 (Final-sem C.Reg)'!I254</f>
        <v>NTS RJ 5</v>
      </c>
      <c r="C23" s="328">
        <f>'CWD NTS 2025 (sem desc e C.Reg)'!H49</f>
        <v>28973348.472879995</v>
      </c>
      <c r="D23" s="328">
        <f>SUM(C19:C23)</f>
        <v>413414827.55194002</v>
      </c>
      <c r="E23" s="329">
        <f ca="1">'CWD NTS 2025 (Final-sem C.Reg)'!L254</f>
        <v>2.696631667848354</v>
      </c>
      <c r="F23" s="328">
        <f t="shared" ca="1" si="12"/>
        <v>78130449.015573934</v>
      </c>
      <c r="G23" s="340">
        <f ca="1">SUM(F19:F23)</f>
        <v>1114587730.1788146</v>
      </c>
      <c r="H23" s="338">
        <f t="shared" ca="1" si="13"/>
        <v>2.6960516553770235</v>
      </c>
      <c r="I23"/>
      <c r="J23"/>
    </row>
    <row r="24" spans="1:12" x14ac:dyDescent="0.3">
      <c r="A24" s="323" t="str">
        <f>'CWD NTS 2025 (Final-sem C.Reg)'!H255</f>
        <v>TEX10</v>
      </c>
      <c r="B24" s="323" t="str">
        <f>'CWD NTS 2025 (Final-sem C.Reg)'!I255</f>
        <v>NTS SP 1</v>
      </c>
      <c r="C24" s="323">
        <f>'CWD NTS 2025 (sem desc e C.Reg)'!H50</f>
        <v>16842120.329395</v>
      </c>
      <c r="D24" s="323"/>
      <c r="E24" s="326">
        <f ca="1">'CWD NTS 2025 (Final-sem C.Reg)'!L255</f>
        <v>3.0200030255165253</v>
      </c>
      <c r="F24" s="332">
        <f t="shared" ca="1" si="12"/>
        <v>50863254.350886278</v>
      </c>
      <c r="G24" s="335"/>
      <c r="H24" s="341" t="str">
        <f t="shared" si="13"/>
        <v xml:space="preserve"> </v>
      </c>
      <c r="I24"/>
      <c r="J24"/>
    </row>
    <row r="25" spans="1:12" x14ac:dyDescent="0.3">
      <c r="A25" s="323" t="str">
        <f>'CWD NTS 2025 (Final-sem C.Reg)'!H256</f>
        <v>TEX11</v>
      </c>
      <c r="B25" s="323" t="str">
        <f>'CWD NTS 2025 (Final-sem C.Reg)'!I256</f>
        <v>NTS SP 2</v>
      </c>
      <c r="C25" s="323">
        <f>'CWD NTS 2025 (sem desc e C.Reg)'!H51</f>
        <v>40464657.735619992</v>
      </c>
      <c r="D25" s="323"/>
      <c r="E25" s="326">
        <f ca="1">'CWD NTS 2025 (Final-sem C.Reg)'!L256</f>
        <v>2.9996291021968657</v>
      </c>
      <c r="F25" s="332">
        <f t="shared" ca="1" si="12"/>
        <v>121378964.95420125</v>
      </c>
      <c r="G25" s="336"/>
      <c r="H25" s="342" t="str">
        <f t="shared" si="13"/>
        <v xml:space="preserve"> </v>
      </c>
      <c r="I25"/>
      <c r="J25"/>
    </row>
    <row r="26" spans="1:12" x14ac:dyDescent="0.3">
      <c r="A26" s="323" t="str">
        <f>'CWD NTS 2025 (Final-sem C.Reg)'!H257</f>
        <v>TEX12</v>
      </c>
      <c r="B26" s="323" t="str">
        <f>'CWD NTS 2025 (Final-sem C.Reg)'!I257</f>
        <v>NTS SP 3</v>
      </c>
      <c r="C26" s="323">
        <f>'CWD NTS 2025 (sem desc e C.Reg)'!H52</f>
        <v>108500288.52461499</v>
      </c>
      <c r="D26" s="331"/>
      <c r="E26" s="326">
        <f ca="1">'CWD NTS 2025 (Final-sem C.Reg)'!L257</f>
        <v>3.2347592259313536</v>
      </c>
      <c r="F26" s="332">
        <f t="shared" ca="1" si="12"/>
        <v>350972309.32121211</v>
      </c>
      <c r="G26" s="345"/>
      <c r="H26" s="343" t="str">
        <f t="shared" si="13"/>
        <v xml:space="preserve"> </v>
      </c>
      <c r="I26"/>
      <c r="J26"/>
    </row>
    <row r="27" spans="1:12" x14ac:dyDescent="0.3">
      <c r="A27" s="328" t="str">
        <f>'CWD NTS 2025 (Final-sem C.Reg)'!H258</f>
        <v>TEX13</v>
      </c>
      <c r="B27" s="328" t="str">
        <f>'CWD NTS 2025 (Final-sem C.Reg)'!I258</f>
        <v>NTS SP 4</v>
      </c>
      <c r="C27" s="328">
        <f>'CWD NTS 2025 (sem desc e C.Reg)'!H53</f>
        <v>44671783.994134992</v>
      </c>
      <c r="D27" s="328">
        <f>SUM(C24:C27)</f>
        <v>210478850.58376497</v>
      </c>
      <c r="E27" s="329">
        <f ca="1">'CWD NTS 2025 (Final-sem C.Reg)'!L258</f>
        <v>3.309115255604377</v>
      </c>
      <c r="F27" s="328">
        <f t="shared" ca="1" si="12"/>
        <v>147824081.91005555</v>
      </c>
      <c r="G27" s="333">
        <f ca="1">SUM(F24:F27)</f>
        <v>671038610.53635514</v>
      </c>
      <c r="H27" s="334">
        <f t="shared" ca="1" si="13"/>
        <v>3.1881521999726981</v>
      </c>
      <c r="I27"/>
      <c r="J27"/>
    </row>
    <row r="28" spans="1:12" x14ac:dyDescent="0.3">
      <c r="A28" s="323" t="str">
        <f>'CWD NTS 2025 (Final-sem C.Reg)'!H259</f>
        <v>TEX14</v>
      </c>
      <c r="B28" s="323" t="str">
        <f>'CWD NTS 2025 (Final-sem C.Reg)'!I259</f>
        <v>PE-GUARAREMA (INTERCONEXÃO)</v>
      </c>
      <c r="C28" s="323">
        <f>'CWD NTS 2025 (sem desc e C.Reg)'!H54</f>
        <v>0</v>
      </c>
      <c r="D28" s="323">
        <f>C28</f>
        <v>0</v>
      </c>
      <c r="E28" s="326">
        <f>'CWD NTS 2025 (Final-sem C.Reg)'!L259</f>
        <v>0</v>
      </c>
      <c r="F28" s="323">
        <f t="shared" si="12"/>
        <v>0</v>
      </c>
      <c r="G28" s="323">
        <f>F28</f>
        <v>0</v>
      </c>
      <c r="H28" s="327" t="str">
        <f t="shared" si="13"/>
        <v xml:space="preserve"> </v>
      </c>
      <c r="I28"/>
      <c r="J28"/>
    </row>
    <row r="29" spans="1:12" x14ac:dyDescent="0.3">
      <c r="A29" s="328" t="str">
        <f>'CWD NTS 2025 (Final-sem C.Reg)'!H260</f>
        <v>TEX15</v>
      </c>
      <c r="B29" s="328" t="str">
        <f>'CWD NTS 2025 (Final-sem C.Reg)'!I260</f>
        <v>PE-REPLAN (INTERCONEXÃO)</v>
      </c>
      <c r="C29" s="328">
        <f>'CWD NTS 2025 (sem desc e C.Reg)'!H55</f>
        <v>95456835.593685001</v>
      </c>
      <c r="D29" s="328">
        <f t="shared" ref="D29:D30" si="14">C29</f>
        <v>95456835.593685001</v>
      </c>
      <c r="E29" s="329">
        <f ca="1">'CWD NTS 2025 (Final-sem C.Reg)'!L260</f>
        <v>0.28952028224655152</v>
      </c>
      <c r="F29" s="328">
        <f t="shared" ca="1" si="12"/>
        <v>27636689.983446348</v>
      </c>
      <c r="G29" s="328">
        <f t="shared" ref="G29:G30" ca="1" si="15">F29</f>
        <v>27636689.983446348</v>
      </c>
      <c r="H29" s="330">
        <f t="shared" ca="1" si="13"/>
        <v>0.28952028224655152</v>
      </c>
      <c r="I29"/>
      <c r="J29"/>
    </row>
    <row r="30" spans="1:12" x14ac:dyDescent="0.3">
      <c r="A30" s="323" t="str">
        <f>'CWD NTS 2025 (Final-sem C.Reg)'!H261</f>
        <v>TEX16</v>
      </c>
      <c r="B30" s="323" t="str">
        <f>'CWD NTS 2025 (Final-sem C.Reg)'!I261</f>
        <v>PE-TECAB (INTERCONEXÃO)</v>
      </c>
      <c r="C30" s="323">
        <f>'CWD NTS 2025 (sem desc e C.Reg)'!H56</f>
        <v>2723059.0670000003</v>
      </c>
      <c r="D30" s="323">
        <f t="shared" si="14"/>
        <v>2723059.0670000003</v>
      </c>
      <c r="E30" s="326">
        <f ca="1">'CWD NTS 2025 (Final-sem C.Reg)'!L261</f>
        <v>0.25036738427119093</v>
      </c>
      <c r="F30" s="323">
        <f t="shared" ca="1" si="12"/>
        <v>681765.17582073971</v>
      </c>
      <c r="G30" s="323">
        <f t="shared" ca="1" si="15"/>
        <v>681765.17582073971</v>
      </c>
      <c r="H30" s="327">
        <f t="shared" ca="1" si="13"/>
        <v>0.25036738427119093</v>
      </c>
      <c r="I30" s="69"/>
      <c r="J30" s="69"/>
    </row>
    <row r="31" spans="1:12" x14ac:dyDescent="0.3">
      <c r="C31" s="68">
        <f>SUM(C15:C30)</f>
        <v>795010709.905985</v>
      </c>
      <c r="D31" s="68">
        <f>SUM(D15:D30)</f>
        <v>795010709.90598512</v>
      </c>
      <c r="F31" s="68">
        <f ca="1">SUM(F15:F30)</f>
        <v>2061586294.8715689</v>
      </c>
      <c r="G31" s="68">
        <f ca="1">SUM(G15:G30)</f>
        <v>2061586294.8715689</v>
      </c>
    </row>
    <row r="32" spans="1:12" x14ac:dyDescent="0.3">
      <c r="C32" s="68"/>
      <c r="D32" s="68"/>
      <c r="F32" s="68"/>
      <c r="G32" s="68"/>
    </row>
    <row r="33" spans="2:3" x14ac:dyDescent="0.3">
      <c r="C33" s="66" t="s">
        <v>267</v>
      </c>
    </row>
    <row r="34" spans="2:3" x14ac:dyDescent="0.3">
      <c r="B34" s="71" t="s">
        <v>58</v>
      </c>
      <c r="C34" s="69">
        <f ca="1">H18</f>
        <v>3.3952730914709064</v>
      </c>
    </row>
    <row r="35" spans="2:3" x14ac:dyDescent="0.3">
      <c r="B35" s="71" t="s">
        <v>69</v>
      </c>
      <c r="C35" s="69">
        <f ca="1">H23</f>
        <v>2.6960516553770235</v>
      </c>
    </row>
    <row r="36" spans="2:3" x14ac:dyDescent="0.3">
      <c r="B36" s="71" t="s">
        <v>268</v>
      </c>
      <c r="C36" s="69">
        <f ca="1">H27</f>
        <v>3.1881521999726981</v>
      </c>
    </row>
    <row r="37" spans="2:3" x14ac:dyDescent="0.3">
      <c r="B37" s="135" t="s">
        <v>279</v>
      </c>
      <c r="C37" s="69" t="str">
        <f>H28</f>
        <v xml:space="preserve"> </v>
      </c>
    </row>
    <row r="38" spans="2:3" x14ac:dyDescent="0.3">
      <c r="B38" s="135" t="s">
        <v>278</v>
      </c>
      <c r="C38" s="69">
        <f t="shared" ref="C38:C39" ca="1" si="16">H29</f>
        <v>0.28952028224655152</v>
      </c>
    </row>
    <row r="39" spans="2:3" x14ac:dyDescent="0.3">
      <c r="B39" s="135" t="s">
        <v>277</v>
      </c>
      <c r="C39" s="69">
        <f t="shared" ca="1" si="16"/>
        <v>0.25036738427119093</v>
      </c>
    </row>
  </sheetData>
  <pageMargins left="0.511811024" right="0.511811024" top="0.78740157499999996" bottom="0.78740157499999996" header="0.31496062000000002" footer="0.31496062000000002"/>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4"/>
  <dimension ref="A1:L58"/>
  <sheetViews>
    <sheetView showGridLines="0" topLeftCell="A44" zoomScaleNormal="100" zoomScaleSheetLayoutView="80" zoomScalePageLayoutView="40" workbookViewId="0">
      <selection activeCell="F46" sqref="F46"/>
    </sheetView>
  </sheetViews>
  <sheetFormatPr defaultColWidth="8.77734375" defaultRowHeight="14.4" x14ac:dyDescent="0.3"/>
  <cols>
    <col min="1" max="1" width="6" style="47" bestFit="1" customWidth="1"/>
    <col min="2" max="2" width="28.21875" style="47" bestFit="1" customWidth="1"/>
    <col min="3" max="3" width="9.21875" style="47" bestFit="1" customWidth="1"/>
    <col min="4" max="4" width="10" style="47" bestFit="1" customWidth="1"/>
    <col min="5" max="5" width="12" style="47" customWidth="1"/>
    <col min="6" max="6" width="9.21875" style="47" bestFit="1" customWidth="1"/>
    <col min="7" max="7" width="8.77734375" style="47" customWidth="1"/>
    <col min="8" max="8" width="7.77734375" style="47" customWidth="1"/>
    <col min="9" max="9" width="8.5546875" style="47" bestFit="1" customWidth="1"/>
    <col min="10" max="10" width="15.44140625" style="47" customWidth="1"/>
    <col min="11" max="11" width="9.77734375" style="47" bestFit="1" customWidth="1"/>
    <col min="12" max="12" width="11.21875" style="47" customWidth="1"/>
    <col min="13" max="16384" width="8.77734375" style="47"/>
  </cols>
  <sheetData>
    <row r="1" spans="1:12" x14ac:dyDescent="0.3">
      <c r="C1" s="48" t="s">
        <v>166</v>
      </c>
      <c r="D1" s="48" t="s">
        <v>167</v>
      </c>
      <c r="E1" s="48" t="s">
        <v>168</v>
      </c>
      <c r="F1" s="48" t="s">
        <v>169</v>
      </c>
      <c r="G1" s="48" t="s">
        <v>170</v>
      </c>
      <c r="H1" s="48" t="s">
        <v>171</v>
      </c>
      <c r="I1" s="48" t="s">
        <v>172</v>
      </c>
      <c r="J1" s="48" t="s">
        <v>173</v>
      </c>
      <c r="K1" s="48" t="s">
        <v>174</v>
      </c>
      <c r="L1" s="48" t="s">
        <v>175</v>
      </c>
    </row>
    <row r="2" spans="1:12" s="85" customFormat="1" ht="57.6" x14ac:dyDescent="0.3">
      <c r="B2" s="85" t="s">
        <v>486</v>
      </c>
      <c r="C2" s="85" t="s">
        <v>28</v>
      </c>
      <c r="D2" s="85" t="s">
        <v>26</v>
      </c>
      <c r="E2" s="85" t="s">
        <v>512</v>
      </c>
      <c r="F2" s="85" t="s">
        <v>253</v>
      </c>
      <c r="G2" s="85" t="s">
        <v>27</v>
      </c>
      <c r="H2" s="85" t="s">
        <v>29</v>
      </c>
      <c r="I2" s="85" t="s">
        <v>24</v>
      </c>
      <c r="J2" s="85" t="s">
        <v>274</v>
      </c>
      <c r="K2" s="85" t="s">
        <v>276</v>
      </c>
      <c r="L2" s="85" t="s">
        <v>275</v>
      </c>
    </row>
    <row r="3" spans="1:12" x14ac:dyDescent="0.3">
      <c r="A3" s="49" t="str">
        <f>'CWD NTS 2024 (Final)'!H246</f>
        <v>TEX1</v>
      </c>
      <c r="B3" s="49" t="str">
        <f>'CWD NTS 2024 (Final)'!I246</f>
        <v>NTS MG 1</v>
      </c>
      <c r="C3" s="50">
        <f ca="1">IFERROR('CWD NTS 2024 (Final)'!$E$246+'CWD NTS 2024 (Final)'!L246," ")</f>
        <v>9.02741125279403</v>
      </c>
      <c r="D3" s="50">
        <f ca="1">IFERROR('CWD NTS 2024 (Final)'!$E$247+'CWD NTS 2024 (Final)'!L246," ")</f>
        <v>8.4050506018956455</v>
      </c>
      <c r="E3" s="50">
        <f ca="1">IFERROR('CWD NTS 2024 (Final)'!$E$248+'CWD NTS 2024 (Final)'!L246," ")</f>
        <v>8.544295722758136</v>
      </c>
      <c r="F3" s="50"/>
      <c r="G3" s="50" t="str">
        <f ca="1">IFERROR('CWD NTS 2024 (Final)'!$E$250+'CWD NTS 2024 (Final)'!L246," ")</f>
        <v xml:space="preserve"> </v>
      </c>
      <c r="H3" s="50" t="str">
        <f ca="1">IFERROR('CWD NTS 2024 (Final)'!$E$251+'CWD NTS 2024 (Final)'!L246," ")</f>
        <v xml:space="preserve"> </v>
      </c>
      <c r="I3" s="50">
        <f ca="1">IFERROR('CWD NTS 2024 (Final)'!$E$252+'CWD NTS 2024 (Final)'!L246," ")</f>
        <v>8.9540342764507965</v>
      </c>
      <c r="J3" s="50">
        <f ca="1">IFERROR('CWD NTS 2024 (Final)'!$E$253+'CWD NTS 2024 (Final)'!L246," ")</f>
        <v>3.5807881968460991</v>
      </c>
      <c r="K3" s="50">
        <f ca="1">IFERROR('CWD NTS 2024 (Final)'!$E$254+'CWD NTS 2024 (Final)'!L246," ")</f>
        <v>3.6191843845301115</v>
      </c>
      <c r="L3" s="50">
        <f ca="1">IFERROR('CWD NTS 2024 (Final)'!$E$255+'CWD NTS 2024 (Final)'!L246," ")</f>
        <v>3.6065618968423965</v>
      </c>
    </row>
    <row r="4" spans="1:12" x14ac:dyDescent="0.3">
      <c r="A4" s="49" t="str">
        <f>'CWD NTS 2024 (Final)'!H247</f>
        <v>TEX2</v>
      </c>
      <c r="B4" s="49" t="str">
        <f>'CWD NTS 2024 (Final)'!I247</f>
        <v>NTS MG 2</v>
      </c>
      <c r="C4" s="50">
        <f ca="1">IFERROR('CWD NTS 2024 (Final)'!$E$246+'CWD NTS 2024 (Final)'!L247," ")</f>
        <v>9.2311943804441778</v>
      </c>
      <c r="D4" s="50">
        <f ca="1">IFERROR('CWD NTS 2024 (Final)'!$E$247+'CWD NTS 2024 (Final)'!L247," ")</f>
        <v>8.6088337295457933</v>
      </c>
      <c r="E4" s="50">
        <f ca="1">IFERROR('CWD NTS 2024 (Final)'!$E$248+'CWD NTS 2024 (Final)'!L247," ")</f>
        <v>8.7480788504082838</v>
      </c>
      <c r="F4" s="50"/>
      <c r="G4" s="50" t="str">
        <f ca="1">IFERROR('CWD NTS 2024 (Final)'!$E$250+'CWD NTS 2024 (Final)'!L247," ")</f>
        <v xml:space="preserve"> </v>
      </c>
      <c r="H4" s="50" t="str">
        <f ca="1">IFERROR('CWD NTS 2024 (Final)'!$E$251+'CWD NTS 2024 (Final)'!L247," ")</f>
        <v xml:space="preserve"> </v>
      </c>
      <c r="I4" s="50">
        <f ca="1">IFERROR('CWD NTS 2024 (Final)'!$E$252+'CWD NTS 2024 (Final)'!L247," ")</f>
        <v>9.1578174041009444</v>
      </c>
      <c r="J4" s="50">
        <f ca="1">IFERROR('CWD NTS 2024 (Final)'!$E$253+'CWD NTS 2024 (Final)'!L247," ")</f>
        <v>3.7845713244962469</v>
      </c>
      <c r="K4" s="50">
        <f ca="1">IFERROR('CWD NTS 2024 (Final)'!$E$254+'CWD NTS 2024 (Final)'!L247," ")</f>
        <v>3.8229675121802593</v>
      </c>
      <c r="L4" s="50">
        <f ca="1">IFERROR('CWD NTS 2024 (Final)'!$E$255+'CWD NTS 2024 (Final)'!L247," ")</f>
        <v>3.8103450244925443</v>
      </c>
    </row>
    <row r="5" spans="1:12" x14ac:dyDescent="0.3">
      <c r="A5" s="49" t="str">
        <f>'CWD NTS 2024 (Final)'!H248</f>
        <v>TEX3</v>
      </c>
      <c r="B5" s="49" t="str">
        <f>'CWD NTS 2024 (Final)'!I248</f>
        <v>NTS MG 3</v>
      </c>
      <c r="C5" s="50">
        <f ca="1">IFERROR('CWD NTS 2024 (Final)'!$E$246+'CWD NTS 2024 (Final)'!L248," ")</f>
        <v>9.4769262452063856</v>
      </c>
      <c r="D5" s="50">
        <f ca="1">IFERROR('CWD NTS 2024 (Final)'!$E$247+'CWD NTS 2024 (Final)'!L248," ")</f>
        <v>8.8545655943079993</v>
      </c>
      <c r="E5" s="50">
        <f ca="1">IFERROR('CWD NTS 2024 (Final)'!$E$248+'CWD NTS 2024 (Final)'!L248," ")</f>
        <v>8.9938107151704916</v>
      </c>
      <c r="F5" s="50"/>
      <c r="G5" s="50" t="str">
        <f ca="1">IFERROR('CWD NTS 2024 (Final)'!$E$250+'CWD NTS 2024 (Final)'!L248," ")</f>
        <v xml:space="preserve"> </v>
      </c>
      <c r="H5" s="50" t="str">
        <f ca="1">IFERROR('CWD NTS 2024 (Final)'!$E$251+'CWD NTS 2024 (Final)'!L248," ")</f>
        <v xml:space="preserve"> </v>
      </c>
      <c r="I5" s="50">
        <f ca="1">IFERROR('CWD NTS 2024 (Final)'!$E$252+'CWD NTS 2024 (Final)'!L248," ")</f>
        <v>9.4035492688631521</v>
      </c>
      <c r="J5" s="50">
        <f ca="1">IFERROR('CWD NTS 2024 (Final)'!$E$253+'CWD NTS 2024 (Final)'!L248," ")</f>
        <v>4.0303031892584542</v>
      </c>
      <c r="K5" s="50">
        <f ca="1">IFERROR('CWD NTS 2024 (Final)'!$E$254+'CWD NTS 2024 (Final)'!L248," ")</f>
        <v>4.0686993769424662</v>
      </c>
      <c r="L5" s="50">
        <f ca="1">IFERROR('CWD NTS 2024 (Final)'!$E$255+'CWD NTS 2024 (Final)'!L248," ")</f>
        <v>4.0560768892547507</v>
      </c>
    </row>
    <row r="6" spans="1:12" x14ac:dyDescent="0.3">
      <c r="A6" s="49" t="str">
        <f>'CWD NTS 2024 (Final)'!H249</f>
        <v>TEX4</v>
      </c>
      <c r="B6" s="49" t="str">
        <f>'CWD NTS 2024 (Final)'!I249</f>
        <v>NTS MG 4</v>
      </c>
      <c r="C6" s="50">
        <f ca="1">IFERROR('CWD NTS 2024 (Final)'!$E$246+'CWD NTS 2024 (Final)'!L249," ")</f>
        <v>9.5592332648600671</v>
      </c>
      <c r="D6" s="50">
        <f ca="1">IFERROR('CWD NTS 2024 (Final)'!$E$247+'CWD NTS 2024 (Final)'!L249," ")</f>
        <v>8.9368726139616825</v>
      </c>
      <c r="E6" s="50">
        <f ca="1">IFERROR('CWD NTS 2024 (Final)'!$E$248+'CWD NTS 2024 (Final)'!L249," ")</f>
        <v>9.0761177348241731</v>
      </c>
      <c r="F6" s="50">
        <f ca="1">IFERROR('CWD NTS 2024 (Final)'!$E$249+'CWD NTS 2024 (Final)'!L249," ")</f>
        <v>4.1510063965961486</v>
      </c>
      <c r="G6" s="50" t="str">
        <f ca="1">IFERROR('CWD NTS 2024 (Final)'!$E$250+'CWD NTS 2024 (Final)'!L249," ")</f>
        <v xml:space="preserve"> </v>
      </c>
      <c r="H6" s="50" t="str">
        <f ca="1">IFERROR('CWD NTS 2024 (Final)'!$E$251+'CWD NTS 2024 (Final)'!L249," ")</f>
        <v xml:space="preserve"> </v>
      </c>
      <c r="I6" s="50">
        <f ca="1">IFERROR('CWD NTS 2024 (Final)'!$E$252+'CWD NTS 2024 (Final)'!L249," ")</f>
        <v>9.4858562885168336</v>
      </c>
      <c r="J6" s="50">
        <f ca="1">IFERROR('CWD NTS 2024 (Final)'!$E$253+'CWD NTS 2024 (Final)'!L249," ")</f>
        <v>4.1126102089121357</v>
      </c>
      <c r="K6" s="50">
        <f ca="1">IFERROR('CWD NTS 2024 (Final)'!$E$254+'CWD NTS 2024 (Final)'!L249," ")</f>
        <v>4.1510063965961486</v>
      </c>
      <c r="L6" s="50">
        <f ca="1">IFERROR('CWD NTS 2024 (Final)'!$E$255+'CWD NTS 2024 (Final)'!L249," ")</f>
        <v>4.138383908908434</v>
      </c>
    </row>
    <row r="7" spans="1:12" x14ac:dyDescent="0.3">
      <c r="A7" s="49" t="str">
        <f>'CWD NTS 2024 (Final)'!H250</f>
        <v>TEX5</v>
      </c>
      <c r="B7" s="49" t="str">
        <f>'CWD NTS 2024 (Final)'!I250</f>
        <v>NTS RJ 1</v>
      </c>
      <c r="C7" s="50">
        <f ca="1">IFERROR('CWD NTS 2024 (Final)'!$E$246+'CWD NTS 2024 (Final)'!L250," ")</f>
        <v>8.6508395404633678</v>
      </c>
      <c r="D7" s="50">
        <f ca="1">IFERROR('CWD NTS 2024 (Final)'!$E$247+'CWD NTS 2024 (Final)'!L250," ")</f>
        <v>8.0284788895649832</v>
      </c>
      <c r="E7" s="50">
        <f ca="1">IFERROR('CWD NTS 2024 (Final)'!$E$248+'CWD NTS 2024 (Final)'!L250," ")</f>
        <v>8.1677240104274738</v>
      </c>
      <c r="F7" s="50"/>
      <c r="G7" s="50" t="str">
        <f ca="1">IFERROR('CWD NTS 2024 (Final)'!$E$250+'CWD NTS 2024 (Final)'!L250," ")</f>
        <v xml:space="preserve"> </v>
      </c>
      <c r="H7" s="50" t="str">
        <f ca="1">IFERROR('CWD NTS 2024 (Final)'!$E$251+'CWD NTS 2024 (Final)'!L250," ")</f>
        <v xml:space="preserve"> </v>
      </c>
      <c r="I7" s="50">
        <f ca="1">IFERROR('CWD NTS 2024 (Final)'!$E$252+'CWD NTS 2024 (Final)'!L250," ")</f>
        <v>8.5774625641201343</v>
      </c>
      <c r="J7" s="50">
        <f ca="1">IFERROR('CWD NTS 2024 (Final)'!$E$253+'CWD NTS 2024 (Final)'!L250," ")</f>
        <v>3.2042164845154368</v>
      </c>
      <c r="K7" s="50">
        <f ca="1">IFERROR('CWD NTS 2024 (Final)'!$E$254+'CWD NTS 2024 (Final)'!L250," ")</f>
        <v>3.2426126721994493</v>
      </c>
      <c r="L7" s="50">
        <f ca="1">IFERROR('CWD NTS 2024 (Final)'!$E$255+'CWD NTS 2024 (Final)'!L250," ")</f>
        <v>3.2299901845117343</v>
      </c>
    </row>
    <row r="8" spans="1:12" x14ac:dyDescent="0.3">
      <c r="A8" s="49" t="str">
        <f>'CWD NTS 2024 (Final)'!H251</f>
        <v>TEX6</v>
      </c>
      <c r="B8" s="49" t="str">
        <f>'CWD NTS 2024 (Final)'!I251</f>
        <v>NTS RJ 2</v>
      </c>
      <c r="C8" s="50">
        <f ca="1">IFERROR('CWD NTS 2024 (Final)'!$E$246+'CWD NTS 2024 (Final)'!L251," ")</f>
        <v>8.6491730676791683</v>
      </c>
      <c r="D8" s="50">
        <f ca="1">IFERROR('CWD NTS 2024 (Final)'!$E$247+'CWD NTS 2024 (Final)'!L251," ")</f>
        <v>8.0268124167807819</v>
      </c>
      <c r="E8" s="50">
        <f ca="1">IFERROR('CWD NTS 2024 (Final)'!$E$248+'CWD NTS 2024 (Final)'!L251," ")</f>
        <v>8.1660575376432742</v>
      </c>
      <c r="F8" s="50"/>
      <c r="G8" s="50" t="str">
        <f ca="1">IFERROR('CWD NTS 2024 (Final)'!$E$250+'CWD NTS 2024 (Final)'!L251," ")</f>
        <v xml:space="preserve"> </v>
      </c>
      <c r="H8" s="50" t="str">
        <f ca="1">IFERROR('CWD NTS 2024 (Final)'!$E$251+'CWD NTS 2024 (Final)'!L251," ")</f>
        <v xml:space="preserve"> </v>
      </c>
      <c r="I8" s="50">
        <f ca="1">IFERROR('CWD NTS 2024 (Final)'!$E$252+'CWD NTS 2024 (Final)'!L251," ")</f>
        <v>8.5757960913359348</v>
      </c>
      <c r="J8" s="50">
        <f ca="1">IFERROR('CWD NTS 2024 (Final)'!$E$253+'CWD NTS 2024 (Final)'!L251," ")</f>
        <v>3.2025500117312369</v>
      </c>
      <c r="K8" s="50">
        <f ca="1">IFERROR('CWD NTS 2024 (Final)'!$E$254+'CWD NTS 2024 (Final)'!L251," ")</f>
        <v>3.2409461994152493</v>
      </c>
      <c r="L8" s="50">
        <f ca="1">IFERROR('CWD NTS 2024 (Final)'!$E$255+'CWD NTS 2024 (Final)'!L251," ")</f>
        <v>3.2283237117275343</v>
      </c>
    </row>
    <row r="9" spans="1:12" x14ac:dyDescent="0.3">
      <c r="A9" s="49" t="str">
        <f>'CWD NTS 2024 (Final)'!H252</f>
        <v>TEX7</v>
      </c>
      <c r="B9" s="49" t="str">
        <f>'CWD NTS 2024 (Final)'!I252</f>
        <v>NTS RJ 3</v>
      </c>
      <c r="C9" s="50">
        <f ca="1">IFERROR('CWD NTS 2024 (Final)'!$E$246+'CWD NTS 2024 (Final)'!L252," ")</f>
        <v>8.7029777795912384</v>
      </c>
      <c r="D9" s="50">
        <f ca="1">IFERROR('CWD NTS 2024 (Final)'!$E$247+'CWD NTS 2024 (Final)'!L252," ")</f>
        <v>8.0806171286928521</v>
      </c>
      <c r="E9" s="50">
        <f ca="1">IFERROR('CWD NTS 2024 (Final)'!$E$248+'CWD NTS 2024 (Final)'!L252," ")</f>
        <v>8.2198622495553444</v>
      </c>
      <c r="F9" s="50"/>
      <c r="G9" s="50" t="str">
        <f ca="1">IFERROR('CWD NTS 2024 (Final)'!$E$250+'CWD NTS 2024 (Final)'!L252," ")</f>
        <v xml:space="preserve"> </v>
      </c>
      <c r="H9" s="50" t="str">
        <f ca="1">IFERROR('CWD NTS 2024 (Final)'!$E$251+'CWD NTS 2024 (Final)'!L252," ")</f>
        <v xml:space="preserve"> </v>
      </c>
      <c r="I9" s="50">
        <f ca="1">IFERROR('CWD NTS 2024 (Final)'!$E$252+'CWD NTS 2024 (Final)'!L252," ")</f>
        <v>8.6296008032480049</v>
      </c>
      <c r="J9" s="50">
        <f ca="1">IFERROR('CWD NTS 2024 (Final)'!$E$253+'CWD NTS 2024 (Final)'!L252," ")</f>
        <v>3.256354723643307</v>
      </c>
      <c r="K9" s="50">
        <f ca="1">IFERROR('CWD NTS 2024 (Final)'!$E$254+'CWD NTS 2024 (Final)'!L252," ")</f>
        <v>3.2947509113273195</v>
      </c>
      <c r="L9" s="50">
        <f ca="1">IFERROR('CWD NTS 2024 (Final)'!$E$255+'CWD NTS 2024 (Final)'!L252," ")</f>
        <v>3.2821284236396044</v>
      </c>
    </row>
    <row r="10" spans="1:12" x14ac:dyDescent="0.3">
      <c r="A10" s="49" t="str">
        <f>'CWD NTS 2024 (Final)'!H253</f>
        <v>TEX8</v>
      </c>
      <c r="B10" s="49" t="str">
        <f>'CWD NTS 2024 (Final)'!I253</f>
        <v>NTS RJ 4</v>
      </c>
      <c r="C10" s="50">
        <f ca="1">IFERROR('CWD NTS 2024 (Final)'!$E$246+'CWD NTS 2024 (Final)'!L253," ")</f>
        <v>8.7726638668926356</v>
      </c>
      <c r="D10" s="50">
        <f ca="1">IFERROR('CWD NTS 2024 (Final)'!$E$247+'CWD NTS 2024 (Final)'!L253," ")</f>
        <v>8.150303215994251</v>
      </c>
      <c r="E10" s="50">
        <f ca="1">IFERROR('CWD NTS 2024 (Final)'!$E$248+'CWD NTS 2024 (Final)'!L253," ")</f>
        <v>8.2895483368567433</v>
      </c>
      <c r="F10" s="50"/>
      <c r="G10" s="50" t="str">
        <f ca="1">IFERROR('CWD NTS 2024 (Final)'!$E$250+'CWD NTS 2024 (Final)'!L253," ")</f>
        <v xml:space="preserve"> </v>
      </c>
      <c r="H10" s="50" t="str">
        <f ca="1">IFERROR('CWD NTS 2024 (Final)'!$E$251+'CWD NTS 2024 (Final)'!L253," ")</f>
        <v xml:space="preserve"> </v>
      </c>
      <c r="I10" s="50">
        <f ca="1">IFERROR('CWD NTS 2024 (Final)'!$E$252+'CWD NTS 2024 (Final)'!L253," ")</f>
        <v>8.6992868905494021</v>
      </c>
      <c r="J10" s="50">
        <f ca="1">IFERROR('CWD NTS 2024 (Final)'!$E$253+'CWD NTS 2024 (Final)'!L253," ")</f>
        <v>3.3260408109447051</v>
      </c>
      <c r="K10" s="50">
        <f ca="1">IFERROR('CWD NTS 2024 (Final)'!$E$254+'CWD NTS 2024 (Final)'!L253," ")</f>
        <v>3.3644369986287175</v>
      </c>
      <c r="L10" s="50">
        <f ca="1">IFERROR('CWD NTS 2024 (Final)'!$E$255+'CWD NTS 2024 (Final)'!L253," ")</f>
        <v>3.3518145109410025</v>
      </c>
    </row>
    <row r="11" spans="1:12" x14ac:dyDescent="0.3">
      <c r="A11" s="49" t="str">
        <f>'CWD NTS 2024 (Final)'!H254</f>
        <v>TEX9</v>
      </c>
      <c r="B11" s="49" t="str">
        <f>'CWD NTS 2024 (Final)'!I254</f>
        <v>NTS RJ 5</v>
      </c>
      <c r="C11" s="50">
        <f ca="1">IFERROR('CWD NTS 2024 (Final)'!$E$246+'CWD NTS 2024 (Final)'!L254," ")</f>
        <v>8.6555256620017342</v>
      </c>
      <c r="D11" s="50">
        <f ca="1">IFERROR('CWD NTS 2024 (Final)'!$E$247+'CWD NTS 2024 (Final)'!L254," ")</f>
        <v>8.0331650111033497</v>
      </c>
      <c r="E11" s="50">
        <f ca="1">IFERROR('CWD NTS 2024 (Final)'!$E$248+'CWD NTS 2024 (Final)'!L254," ")</f>
        <v>8.1724101319658402</v>
      </c>
      <c r="F11" s="50"/>
      <c r="G11" s="50" t="str">
        <f ca="1">IFERROR('CWD NTS 2024 (Final)'!$E$250+'CWD NTS 2024 (Final)'!L254," ")</f>
        <v xml:space="preserve"> </v>
      </c>
      <c r="H11" s="50" t="str">
        <f ca="1">IFERROR('CWD NTS 2024 (Final)'!$E$251+'CWD NTS 2024 (Final)'!L254," ")</f>
        <v xml:space="preserve"> </v>
      </c>
      <c r="I11" s="50">
        <f ca="1">IFERROR('CWD NTS 2024 (Final)'!$E$252+'CWD NTS 2024 (Final)'!L254," ")</f>
        <v>8.5821486856585008</v>
      </c>
      <c r="J11" s="50">
        <f ca="1">IFERROR('CWD NTS 2024 (Final)'!$E$253+'CWD NTS 2024 (Final)'!L254," ")</f>
        <v>3.2089026060538033</v>
      </c>
      <c r="K11" s="50">
        <f ca="1">IFERROR('CWD NTS 2024 (Final)'!$E$254+'CWD NTS 2024 (Final)'!L254," ")</f>
        <v>3.2472987937378157</v>
      </c>
      <c r="L11" s="50">
        <f ca="1">IFERROR('CWD NTS 2024 (Final)'!$E$255+'CWD NTS 2024 (Final)'!L254," ")</f>
        <v>3.2346763060501007</v>
      </c>
    </row>
    <row r="12" spans="1:12" x14ac:dyDescent="0.3">
      <c r="A12" s="49" t="str">
        <f>'CWD NTS 2024 (Final)'!H255</f>
        <v>TEX10</v>
      </c>
      <c r="B12" s="49" t="str">
        <f>'CWD NTS 2024 (Final)'!I255</f>
        <v>NTS SP 1</v>
      </c>
      <c r="C12" s="50">
        <f ca="1">IFERROR('CWD NTS 2024 (Final)'!$E$246+'CWD NTS 2024 (Final)'!L255," ")</f>
        <v>8.9788970196699065</v>
      </c>
      <c r="D12" s="50">
        <f ca="1">IFERROR('CWD NTS 2024 (Final)'!$E$247+'CWD NTS 2024 (Final)'!L255," ")</f>
        <v>8.3565363687715202</v>
      </c>
      <c r="E12" s="50">
        <f ca="1">IFERROR('CWD NTS 2024 (Final)'!$E$248+'CWD NTS 2024 (Final)'!L255," ")</f>
        <v>8.4957814896340125</v>
      </c>
      <c r="F12" s="50"/>
      <c r="G12" s="50" t="str">
        <f ca="1">IFERROR('CWD NTS 2024 (Final)'!$E$250+'CWD NTS 2024 (Final)'!L255," ")</f>
        <v xml:space="preserve"> </v>
      </c>
      <c r="H12" s="50" t="str">
        <f ca="1">IFERROR('CWD NTS 2024 (Final)'!$E$251+'CWD NTS 2024 (Final)'!L255," ")</f>
        <v xml:space="preserve"> </v>
      </c>
      <c r="I12" s="50">
        <f ca="1">IFERROR('CWD NTS 2024 (Final)'!$E$252+'CWD NTS 2024 (Final)'!L255," ")</f>
        <v>8.905520043326673</v>
      </c>
      <c r="J12" s="50">
        <f ca="1">IFERROR('CWD NTS 2024 (Final)'!$E$253+'CWD NTS 2024 (Final)'!L255," ")</f>
        <v>3.5322739637219751</v>
      </c>
      <c r="K12" s="50">
        <f ca="1">IFERROR('CWD NTS 2024 (Final)'!$E$254+'CWD NTS 2024 (Final)'!L255," ")</f>
        <v>3.5706701514059875</v>
      </c>
      <c r="L12" s="50">
        <f ca="1">IFERROR('CWD NTS 2024 (Final)'!$E$255+'CWD NTS 2024 (Final)'!L255," ")</f>
        <v>3.5580476637182725</v>
      </c>
    </row>
    <row r="13" spans="1:12" x14ac:dyDescent="0.3">
      <c r="A13" s="49" t="str">
        <f>'CWD NTS 2024 (Final)'!H256</f>
        <v>TEX11</v>
      </c>
      <c r="B13" s="49" t="str">
        <f>'CWD NTS 2024 (Final)'!I256</f>
        <v>NTS SP 2</v>
      </c>
      <c r="C13" s="50">
        <f ca="1">IFERROR('CWD NTS 2024 (Final)'!$E$246+'CWD NTS 2024 (Final)'!L256," ")</f>
        <v>8.9585230963502465</v>
      </c>
      <c r="D13" s="50">
        <f ca="1">IFERROR('CWD NTS 2024 (Final)'!$E$247+'CWD NTS 2024 (Final)'!L256," ")</f>
        <v>8.3361624454518619</v>
      </c>
      <c r="E13" s="50">
        <f ca="1">IFERROR('CWD NTS 2024 (Final)'!$E$248+'CWD NTS 2024 (Final)'!L256," ")</f>
        <v>8.4754075663143524</v>
      </c>
      <c r="F13" s="50"/>
      <c r="G13" s="50" t="str">
        <f ca="1">IFERROR('CWD NTS 2024 (Final)'!$E$250+'CWD NTS 2024 (Final)'!L256," ")</f>
        <v xml:space="preserve"> </v>
      </c>
      <c r="H13" s="50" t="str">
        <f ca="1">IFERROR('CWD NTS 2024 (Final)'!$E$251+'CWD NTS 2024 (Final)'!L256," ")</f>
        <v xml:space="preserve"> </v>
      </c>
      <c r="I13" s="50">
        <f ca="1">IFERROR('CWD NTS 2024 (Final)'!$E$252+'CWD NTS 2024 (Final)'!L256," ")</f>
        <v>8.885146120007013</v>
      </c>
      <c r="J13" s="50">
        <f ca="1">IFERROR('CWD NTS 2024 (Final)'!$E$253+'CWD NTS 2024 (Final)'!L256," ")</f>
        <v>3.5119000404023155</v>
      </c>
      <c r="K13" s="50">
        <f ca="1">IFERROR('CWD NTS 2024 (Final)'!$E$254+'CWD NTS 2024 (Final)'!L256," ")</f>
        <v>3.5502962280863279</v>
      </c>
      <c r="L13" s="50">
        <f ca="1">IFERROR('CWD NTS 2024 (Final)'!$E$255+'CWD NTS 2024 (Final)'!L256," ")</f>
        <v>3.5376737403986129</v>
      </c>
    </row>
    <row r="14" spans="1:12" x14ac:dyDescent="0.3">
      <c r="A14" s="49" t="str">
        <f>'CWD NTS 2024 (Final)'!H257</f>
        <v>TEX12</v>
      </c>
      <c r="B14" s="49" t="str">
        <f>'CWD NTS 2024 (Final)'!I257</f>
        <v>NTS SP 3</v>
      </c>
      <c r="C14" s="50">
        <f ca="1">IFERROR('CWD NTS 2024 (Final)'!$E$246+'CWD NTS 2024 (Final)'!L257," ")</f>
        <v>9.1936532200847338</v>
      </c>
      <c r="D14" s="50">
        <f ca="1">IFERROR('CWD NTS 2024 (Final)'!$E$247+'CWD NTS 2024 (Final)'!L257," ")</f>
        <v>8.5712925691863475</v>
      </c>
      <c r="E14" s="50">
        <f ca="1">IFERROR('CWD NTS 2024 (Final)'!$E$248+'CWD NTS 2024 (Final)'!L257," ")</f>
        <v>8.7105376900488416</v>
      </c>
      <c r="F14" s="50"/>
      <c r="G14" s="50" t="str">
        <f ca="1">IFERROR('CWD NTS 2024 (Final)'!$E$250+'CWD NTS 2024 (Final)'!L257," ")</f>
        <v xml:space="preserve"> </v>
      </c>
      <c r="H14" s="50" t="str">
        <f ca="1">IFERROR('CWD NTS 2024 (Final)'!$E$251+'CWD NTS 2024 (Final)'!L257," ")</f>
        <v xml:space="preserve"> </v>
      </c>
      <c r="I14" s="50">
        <f ca="1">IFERROR('CWD NTS 2024 (Final)'!$E$252+'CWD NTS 2024 (Final)'!L257," ")</f>
        <v>9.1202762437415004</v>
      </c>
      <c r="J14" s="50">
        <f ca="1">IFERROR('CWD NTS 2024 (Final)'!$E$253+'CWD NTS 2024 (Final)'!L257," ")</f>
        <v>3.7470301641368029</v>
      </c>
      <c r="K14" s="50">
        <f ca="1">IFERROR('CWD NTS 2024 (Final)'!$E$254+'CWD NTS 2024 (Final)'!L257," ")</f>
        <v>3.7854263518208153</v>
      </c>
      <c r="L14" s="50">
        <f ca="1">IFERROR('CWD NTS 2024 (Final)'!$E$255+'CWD NTS 2024 (Final)'!L257," ")</f>
        <v>3.7728038641331003</v>
      </c>
    </row>
    <row r="15" spans="1:12" x14ac:dyDescent="0.3">
      <c r="A15" s="49" t="str">
        <f>'CWD NTS 2024 (Final)'!H258</f>
        <v>TEX13</v>
      </c>
      <c r="B15" s="49" t="str">
        <f>'CWD NTS 2024 (Final)'!I258</f>
        <v>NTS SP 4</v>
      </c>
      <c r="C15" s="50">
        <f ca="1">IFERROR('CWD NTS 2024 (Final)'!$E$246+'CWD NTS 2024 (Final)'!L258," ")</f>
        <v>9.2680092497577586</v>
      </c>
      <c r="D15" s="50">
        <f ca="1">IFERROR('CWD NTS 2024 (Final)'!$E$247+'CWD NTS 2024 (Final)'!L258," ")</f>
        <v>8.6456485988593723</v>
      </c>
      <c r="E15" s="50">
        <f ca="1">IFERROR('CWD NTS 2024 (Final)'!$E$248+'CWD NTS 2024 (Final)'!L258," ")</f>
        <v>8.7848937197218646</v>
      </c>
      <c r="F15" s="50"/>
      <c r="G15" s="50" t="str">
        <f ca="1">IFERROR('CWD NTS 2024 (Final)'!$E$250+'CWD NTS 2024 (Final)'!L258," ")</f>
        <v xml:space="preserve"> </v>
      </c>
      <c r="H15" s="50" t="str">
        <f ca="1">IFERROR('CWD NTS 2024 (Final)'!$E$251+'CWD NTS 2024 (Final)'!L258," ")</f>
        <v xml:space="preserve"> </v>
      </c>
      <c r="I15" s="50">
        <f ca="1">IFERROR('CWD NTS 2024 (Final)'!$E$252+'CWD NTS 2024 (Final)'!L258," ")</f>
        <v>9.1946322734145252</v>
      </c>
      <c r="J15" s="50">
        <f ca="1">IFERROR('CWD NTS 2024 (Final)'!$E$253+'CWD NTS 2024 (Final)'!L258," ")</f>
        <v>3.8213861938098272</v>
      </c>
      <c r="K15" s="50">
        <f ca="1">IFERROR('CWD NTS 2024 (Final)'!$E$254+'CWD NTS 2024 (Final)'!L258," ")</f>
        <v>3.8597823814938397</v>
      </c>
      <c r="L15" s="50">
        <f ca="1">IFERROR('CWD NTS 2024 (Final)'!$E$255+'CWD NTS 2024 (Final)'!L258," ")</f>
        <v>3.8471598938061247</v>
      </c>
    </row>
    <row r="16" spans="1:12" hidden="1" x14ac:dyDescent="0.3">
      <c r="A16" s="49" t="str">
        <f>'CWD NTS 2024 (Final)'!H259</f>
        <v>TEX14</v>
      </c>
      <c r="B16" s="49" t="str">
        <f>'CWD NTS 2024 (Final)'!I259</f>
        <v>PE-GUARAREMA (INTERCONEXÃO)</v>
      </c>
      <c r="C16" s="50">
        <f ca="1">IFERROR('CWD NTS 2024 (Final)'!$E$246+'CWD NTS 2024 (Final)'!L259," ")</f>
        <v>5.9588939941533798</v>
      </c>
      <c r="D16" s="50">
        <f ca="1">IFERROR('CWD NTS 2024 (Final)'!$E$247+'CWD NTS 2024 (Final)'!L259," ")</f>
        <v>5.3365333432549944</v>
      </c>
      <c r="E16" s="50">
        <f ca="1">IFERROR('CWD NTS 2024 (Final)'!$E$248+'CWD NTS 2024 (Final)'!L259," ")</f>
        <v>5.4757784641174867</v>
      </c>
      <c r="F16" s="50"/>
      <c r="G16" s="50" t="str">
        <f>IFERROR('CWD NTS 2024 (Final)'!$E$250+'CWD NTS 2024 (Final)'!L259," ")</f>
        <v xml:space="preserve"> </v>
      </c>
      <c r="H16" s="50" t="str">
        <f>IFERROR('CWD NTS 2024 (Final)'!$E$251+'CWD NTS 2024 (Final)'!L259," ")</f>
        <v xml:space="preserve"> </v>
      </c>
      <c r="I16" s="50">
        <f ca="1">IFERROR('CWD NTS 2024 (Final)'!$E$252+'CWD NTS 2024 (Final)'!L259," ")</f>
        <v>5.8855170178101464</v>
      </c>
      <c r="J16" s="50">
        <f ca="1">IFERROR('CWD NTS 2024 (Final)'!$E$253+'CWD NTS 2024 (Final)'!L259," ")</f>
        <v>0.51227093820544889</v>
      </c>
      <c r="K16" s="50">
        <f ca="1">IFERROR('CWD NTS 2024 (Final)'!$E$254+'CWD NTS 2024 (Final)'!L259," ")</f>
        <v>0.55066712588946121</v>
      </c>
      <c r="L16" s="50">
        <f ca="1">IFERROR('CWD NTS 2024 (Final)'!$E$255+'CWD NTS 2024 (Final)'!L259," ")</f>
        <v>0.53804463820174631</v>
      </c>
    </row>
    <row r="17" spans="1:12" x14ac:dyDescent="0.3">
      <c r="A17" s="49" t="str">
        <f>'CWD NTS 2024 (Final)'!H260</f>
        <v>TEX15</v>
      </c>
      <c r="B17" s="49" t="str">
        <f>'CWD NTS 2024 (Final)'!I260</f>
        <v>PE-REPLAN (INTERCONEXÃO)</v>
      </c>
      <c r="C17" s="50">
        <f ca="1">IFERROR('CWD NTS 2024 (Final)'!$E$246+'CWD NTS 2024 (Final)'!L260," ")</f>
        <v>6.2484142763999317</v>
      </c>
      <c r="D17" s="50">
        <f ca="1">IFERROR('CWD NTS 2024 (Final)'!$E$247+'CWD NTS 2024 (Final)'!L260," ")</f>
        <v>5.6260536255015463</v>
      </c>
      <c r="E17" s="50">
        <f ca="1">IFERROR('CWD NTS 2024 (Final)'!$E$248+'CWD NTS 2024 (Final)'!L260," ")</f>
        <v>5.7652987463640386</v>
      </c>
      <c r="F17" s="50"/>
      <c r="G17" s="50" t="str">
        <f ca="1">IFERROR('CWD NTS 2024 (Final)'!$E$250+'CWD NTS 2024 (Final)'!L260," ")</f>
        <v xml:space="preserve"> </v>
      </c>
      <c r="H17" s="50" t="str">
        <f ca="1">IFERROR('CWD NTS 2024 (Final)'!$E$251+'CWD NTS 2024 (Final)'!L260," ")</f>
        <v xml:space="preserve"> </v>
      </c>
      <c r="I17" s="50">
        <f ca="1">IFERROR('CWD NTS 2024 (Final)'!$E$252+'CWD NTS 2024 (Final)'!L260," ")</f>
        <v>6.1750373000566983</v>
      </c>
      <c r="J17" s="50">
        <f ca="1">IFERROR('CWD NTS 2024 (Final)'!$E$253+'CWD NTS 2024 (Final)'!L260," ")</f>
        <v>0.80179122045200057</v>
      </c>
      <c r="K17" s="50">
        <f ca="1">IFERROR('CWD NTS 2024 (Final)'!$E$254+'CWD NTS 2024 (Final)'!L260," ")</f>
        <v>0.84018740813601289</v>
      </c>
      <c r="L17" s="50">
        <f ca="1">IFERROR('CWD NTS 2024 (Final)'!$E$255+'CWD NTS 2024 (Final)'!L260," ")</f>
        <v>0.82756492044829799</v>
      </c>
    </row>
    <row r="18" spans="1:12" x14ac:dyDescent="0.3">
      <c r="A18" s="49" t="str">
        <f>'CWD NTS 2024 (Final)'!H261</f>
        <v>TEX16</v>
      </c>
      <c r="B18" s="49" t="str">
        <f>'CWD NTS 2024 (Final)'!I261</f>
        <v>PE-TECAB (INTERCONEXÃO)</v>
      </c>
      <c r="C18" s="50">
        <f ca="1">IFERROR('CWD NTS 2024 (Final)'!$E$246+'CWD NTS 2024 (Final)'!L261," ")</f>
        <v>6.2092613784245705</v>
      </c>
      <c r="D18" s="50">
        <f ca="1">IFERROR('CWD NTS 2024 (Final)'!$E$247+'CWD NTS 2024 (Final)'!L261," ")</f>
        <v>5.5869007275261851</v>
      </c>
      <c r="E18" s="50">
        <f ca="1">IFERROR('CWD NTS 2024 (Final)'!$E$248+'CWD NTS 2024 (Final)'!L261," ")</f>
        <v>5.7261458483886774</v>
      </c>
      <c r="F18" s="50"/>
      <c r="G18" s="50" t="str">
        <f ca="1">IFERROR('CWD NTS 2024 (Final)'!$E$250+'CWD NTS 2024 (Final)'!L261," ")</f>
        <v xml:space="preserve"> </v>
      </c>
      <c r="H18" s="50" t="str">
        <f ca="1">IFERROR('CWD NTS 2024 (Final)'!$E$251+'CWD NTS 2024 (Final)'!L261," ")</f>
        <v xml:space="preserve"> </v>
      </c>
      <c r="I18" s="50">
        <f ca="1">IFERROR('CWD NTS 2024 (Final)'!$E$252+'CWD NTS 2024 (Final)'!L261," ")</f>
        <v>6.135884402081337</v>
      </c>
      <c r="J18" s="50">
        <f ca="1">IFERROR('CWD NTS 2024 (Final)'!$E$253+'CWD NTS 2024 (Final)'!L261," ")</f>
        <v>0.76263832247663998</v>
      </c>
      <c r="K18" s="50">
        <f ca="1">IFERROR('CWD NTS 2024 (Final)'!$E$254+'CWD NTS 2024 (Final)'!L261," ")</f>
        <v>0.80103451016065219</v>
      </c>
      <c r="L18" s="50">
        <f ca="1">IFERROR('CWD NTS 2024 (Final)'!$E$255+'CWD NTS 2024 (Final)'!L261," ")</f>
        <v>0.7884120224729374</v>
      </c>
    </row>
    <row r="21" spans="1:12" x14ac:dyDescent="0.3">
      <c r="C21" s="48" t="s">
        <v>166</v>
      </c>
      <c r="D21" s="48" t="s">
        <v>167</v>
      </c>
      <c r="E21" s="48" t="s">
        <v>168</v>
      </c>
      <c r="F21" s="48" t="s">
        <v>169</v>
      </c>
      <c r="G21" s="48" t="s">
        <v>170</v>
      </c>
      <c r="H21" s="48" t="s">
        <v>171</v>
      </c>
      <c r="I21" s="48" t="s">
        <v>172</v>
      </c>
      <c r="J21" s="48" t="s">
        <v>173</v>
      </c>
      <c r="K21" s="48" t="s">
        <v>174</v>
      </c>
      <c r="L21" s="48" t="s">
        <v>175</v>
      </c>
    </row>
    <row r="22" spans="1:12" ht="57.6" x14ac:dyDescent="0.3">
      <c r="A22" s="85"/>
      <c r="B22" s="85" t="s">
        <v>487</v>
      </c>
      <c r="C22" s="85" t="s">
        <v>28</v>
      </c>
      <c r="D22" s="85" t="s">
        <v>26</v>
      </c>
      <c r="E22" s="85" t="s">
        <v>512</v>
      </c>
      <c r="F22" s="85" t="s">
        <v>253</v>
      </c>
      <c r="G22" s="85" t="s">
        <v>27</v>
      </c>
      <c r="H22" s="85" t="s">
        <v>29</v>
      </c>
      <c r="I22" s="85" t="s">
        <v>24</v>
      </c>
      <c r="J22" s="85" t="s">
        <v>274</v>
      </c>
      <c r="K22" s="85" t="s">
        <v>276</v>
      </c>
      <c r="L22" s="85" t="s">
        <v>275</v>
      </c>
    </row>
    <row r="23" spans="1:12" x14ac:dyDescent="0.3">
      <c r="A23" s="49" t="str">
        <f>'CWD NTS 2025 (Final)'!H246</f>
        <v>TEX1</v>
      </c>
      <c r="B23" s="49" t="str">
        <f>'CWD NTS 2025 (Final)'!I246</f>
        <v>NTS MG 1</v>
      </c>
      <c r="C23" s="50">
        <f ca="1">IFERROR('CWD NTS 2025 (Final)'!$E$246+'CWD NTS 2025 (Final)'!$L246," ")</f>
        <v>8.9950152134911683</v>
      </c>
      <c r="D23" s="50">
        <f ca="1">IFERROR('CWD NTS 2025 (Final)'!$E$247+'CWD NTS 2025 (Final)'!$L246," ")</f>
        <v>8.3748879847270441</v>
      </c>
      <c r="E23" s="50">
        <f ca="1">IFERROR('CWD NTS 2025 (Final)'!$E$248+'CWD NTS 2025 (Final)'!$L246," ")</f>
        <v>8.513633406364379</v>
      </c>
      <c r="F23" s="50"/>
      <c r="G23" s="50" t="str">
        <f ca="1">IFERROR('CWD NTS 2025 (Final)'!$E$250+'CWD NTS 2025 (Final)'!$L246," ")</f>
        <v xml:space="preserve"> </v>
      </c>
      <c r="H23" s="50" t="str">
        <f ca="1">IFERROR('CWD NTS 2025 (Final)'!$E$251+'CWD NTS 2025 (Final)'!$L246," ")</f>
        <v xml:space="preserve"> </v>
      </c>
      <c r="I23" s="50">
        <f ca="1">IFERROR('CWD NTS 2025 (Final)'!$E$252+'CWD NTS 2025 (Final)'!$L246," ")</f>
        <v>8.9219015599702782</v>
      </c>
      <c r="J23" s="50">
        <f ca="1">IFERROR('CWD NTS 2025 (Final)'!$E$253+'CWD NTS 2025 (Final)'!$L246," ")</f>
        <v>3.5679380727172867</v>
      </c>
      <c r="K23" s="50">
        <f ca="1">IFERROR('CWD NTS 2025 (Final)'!$E$254+'CWD NTS 2025 (Final)'!$L246," ")</f>
        <v>3.6061964706883392</v>
      </c>
      <c r="L23" s="50">
        <f ca="1">IFERROR('CWD NTS 2025 (Final)'!$E$255+'CWD NTS 2025 (Final)'!$L246," ")</f>
        <v>3.5936192804392566</v>
      </c>
    </row>
    <row r="24" spans="1:12" x14ac:dyDescent="0.3">
      <c r="A24" s="49" t="str">
        <f>'CWD NTS 2025 (Final)'!H247</f>
        <v>TEX2</v>
      </c>
      <c r="B24" s="49" t="str">
        <f>'CWD NTS 2025 (Final)'!I247</f>
        <v>NTS MG 2</v>
      </c>
      <c r="C24" s="50">
        <f ca="1">IFERROR('CWD NTS 2025 (Final)'!$E$246+'CWD NTS 2025 (Final)'!$L247," ")</f>
        <v>9.198067038885581</v>
      </c>
      <c r="D24" s="50">
        <f ca="1">IFERROR('CWD NTS 2025 (Final)'!$E$247+'CWD NTS 2025 (Final)'!$L247," ")</f>
        <v>8.5779398101214568</v>
      </c>
      <c r="E24" s="50">
        <f ca="1">IFERROR('CWD NTS 2025 (Final)'!$E$248+'CWD NTS 2025 (Final)'!$L247," ")</f>
        <v>8.7166852317587917</v>
      </c>
      <c r="F24" s="50"/>
      <c r="G24" s="50" t="str">
        <f ca="1">IFERROR('CWD NTS 2025 (Final)'!$E$250+'CWD NTS 2025 (Final)'!$L247," ")</f>
        <v xml:space="preserve"> </v>
      </c>
      <c r="H24" s="50" t="str">
        <f ca="1">IFERROR('CWD NTS 2025 (Final)'!$E$251+'CWD NTS 2025 (Final)'!$L247," ")</f>
        <v xml:space="preserve"> </v>
      </c>
      <c r="I24" s="50">
        <f ca="1">IFERROR('CWD NTS 2025 (Final)'!$E$252+'CWD NTS 2025 (Final)'!$L247," ")</f>
        <v>9.1249533853646909</v>
      </c>
      <c r="J24" s="50">
        <f ca="1">IFERROR('CWD NTS 2025 (Final)'!$E$253+'CWD NTS 2025 (Final)'!$L247," ")</f>
        <v>3.7709898981116994</v>
      </c>
      <c r="K24" s="50">
        <f ca="1">IFERROR('CWD NTS 2025 (Final)'!$E$254+'CWD NTS 2025 (Final)'!$L247," ")</f>
        <v>3.8092482960827518</v>
      </c>
      <c r="L24" s="50">
        <f ca="1">IFERROR('CWD NTS 2025 (Final)'!$E$255+'CWD NTS 2025 (Final)'!$L247," ")</f>
        <v>3.7966711058336693</v>
      </c>
    </row>
    <row r="25" spans="1:12" x14ac:dyDescent="0.3">
      <c r="A25" s="49" t="str">
        <f>'CWD NTS 2025 (Final)'!H248</f>
        <v>TEX3</v>
      </c>
      <c r="B25" s="49" t="str">
        <f>'CWD NTS 2025 (Final)'!I248</f>
        <v>NTS MG 3</v>
      </c>
      <c r="C25" s="50">
        <f ca="1">IFERROR('CWD NTS 2025 (Final)'!$E$246+'CWD NTS 2025 (Final)'!$L248," ")</f>
        <v>9.4429170628934607</v>
      </c>
      <c r="D25" s="50">
        <f ca="1">IFERROR('CWD NTS 2025 (Final)'!$E$247+'CWD NTS 2025 (Final)'!$L248," ")</f>
        <v>8.8227898341293347</v>
      </c>
      <c r="E25" s="50">
        <f ca="1">IFERROR('CWD NTS 2025 (Final)'!$E$248+'CWD NTS 2025 (Final)'!$L248," ")</f>
        <v>8.9615352557666696</v>
      </c>
      <c r="F25" s="50"/>
      <c r="G25" s="50" t="str">
        <f ca="1">IFERROR('CWD NTS 2025 (Final)'!$E$250+'CWD NTS 2025 (Final)'!$L248," ")</f>
        <v xml:space="preserve"> </v>
      </c>
      <c r="H25" s="50" t="str">
        <f ca="1">IFERROR('CWD NTS 2025 (Final)'!$E$251+'CWD NTS 2025 (Final)'!$L248," ")</f>
        <v xml:space="preserve"> </v>
      </c>
      <c r="I25" s="50">
        <f ca="1">IFERROR('CWD NTS 2025 (Final)'!$E$252+'CWD NTS 2025 (Final)'!$L248," ")</f>
        <v>9.3698034093725688</v>
      </c>
      <c r="J25" s="50">
        <f ca="1">IFERROR('CWD NTS 2025 (Final)'!$E$253+'CWD NTS 2025 (Final)'!$L248," ")</f>
        <v>4.0158399221195777</v>
      </c>
      <c r="K25" s="50">
        <f ca="1">IFERROR('CWD NTS 2025 (Final)'!$E$254+'CWD NTS 2025 (Final)'!$L248," ")</f>
        <v>4.0540983200906302</v>
      </c>
      <c r="L25" s="50">
        <f ca="1">IFERROR('CWD NTS 2025 (Final)'!$E$255+'CWD NTS 2025 (Final)'!$L248," ")</f>
        <v>4.0415211298415477</v>
      </c>
    </row>
    <row r="26" spans="1:12" x14ac:dyDescent="0.3">
      <c r="A26" s="49" t="str">
        <f>'CWD NTS 2025 (Final)'!H249</f>
        <v>TEX4</v>
      </c>
      <c r="B26" s="49" t="str">
        <f>'CWD NTS 2025 (Final)'!I249</f>
        <v>NTS MG 4</v>
      </c>
      <c r="C26" s="50">
        <f ca="1">IFERROR('CWD NTS 2025 (Final)'!$E$246+'CWD NTS 2025 (Final)'!$L249," ")</f>
        <v>9.5249287131030194</v>
      </c>
      <c r="D26" s="50">
        <f ca="1">IFERROR('CWD NTS 2025 (Final)'!$E$247+'CWD NTS 2025 (Final)'!$L249," ")</f>
        <v>8.9048014843388934</v>
      </c>
      <c r="E26" s="50">
        <f ca="1">IFERROR('CWD NTS 2025 (Final)'!$E$248+'CWD NTS 2025 (Final)'!$L249," ")</f>
        <v>9.0435469059762301</v>
      </c>
      <c r="F26" s="50">
        <f ca="1">IFERROR('CWD NTS 2025 (Final)'!$E$249+'CWD NTS 2025 (Final)'!$L249," ")</f>
        <v>4.1361099703001898</v>
      </c>
      <c r="G26" s="50" t="str">
        <f ca="1">IFERROR('CWD NTS 2025 (Final)'!$E$250+'CWD NTS 2025 (Final)'!$L249," ")</f>
        <v xml:space="preserve"> </v>
      </c>
      <c r="H26" s="50" t="str">
        <f ca="1">IFERROR('CWD NTS 2025 (Final)'!$E$251+'CWD NTS 2025 (Final)'!$L249," ")</f>
        <v xml:space="preserve"> </v>
      </c>
      <c r="I26" s="50">
        <f ca="1">IFERROR('CWD NTS 2025 (Final)'!$E$252+'CWD NTS 2025 (Final)'!$L249," ")</f>
        <v>9.4518150595821293</v>
      </c>
      <c r="J26" s="50">
        <f ca="1">IFERROR('CWD NTS 2025 (Final)'!$E$253+'CWD NTS 2025 (Final)'!$L249," ")</f>
        <v>4.0978515723291373</v>
      </c>
      <c r="K26" s="50">
        <f ca="1">IFERROR('CWD NTS 2025 (Final)'!$E$254+'CWD NTS 2025 (Final)'!$L249," ")</f>
        <v>4.1361099703001898</v>
      </c>
      <c r="L26" s="50">
        <f ca="1">IFERROR('CWD NTS 2025 (Final)'!$E$255+'CWD NTS 2025 (Final)'!$L249," ")</f>
        <v>4.1235327800511072</v>
      </c>
    </row>
    <row r="27" spans="1:12" x14ac:dyDescent="0.3">
      <c r="A27" s="49" t="str">
        <f>'CWD NTS 2025 (Final)'!H250</f>
        <v>TEX5</v>
      </c>
      <c r="B27" s="49" t="str">
        <f>'CWD NTS 2025 (Final)'!I250</f>
        <v>NTS RJ 1</v>
      </c>
      <c r="C27" s="50">
        <f ca="1">IFERROR('CWD NTS 2025 (Final)'!$E$246+'CWD NTS 2025 (Final)'!$L250," ")</f>
        <v>8.6197948777236633</v>
      </c>
      <c r="D27" s="50">
        <f ca="1">IFERROR('CWD NTS 2025 (Final)'!$E$247+'CWD NTS 2025 (Final)'!$L250," ")</f>
        <v>7.9996676489595391</v>
      </c>
      <c r="E27" s="50">
        <f ca="1">IFERROR('CWD NTS 2025 (Final)'!$E$248+'CWD NTS 2025 (Final)'!$L250," ")</f>
        <v>8.138413070596874</v>
      </c>
      <c r="F27" s="50"/>
      <c r="G27" s="50" t="str">
        <f ca="1">IFERROR('CWD NTS 2025 (Final)'!$E$250+'CWD NTS 2025 (Final)'!$L250," ")</f>
        <v xml:space="preserve"> </v>
      </c>
      <c r="H27" s="50" t="str">
        <f ca="1">IFERROR('CWD NTS 2025 (Final)'!$E$251+'CWD NTS 2025 (Final)'!$L250," ")</f>
        <v xml:space="preserve"> </v>
      </c>
      <c r="I27" s="50">
        <f ca="1">IFERROR('CWD NTS 2025 (Final)'!$E$252+'CWD NTS 2025 (Final)'!$L250," ")</f>
        <v>8.5466812242027732</v>
      </c>
      <c r="J27" s="50">
        <f ca="1">IFERROR('CWD NTS 2025 (Final)'!$E$253+'CWD NTS 2025 (Final)'!$L250," ")</f>
        <v>3.1927177369497817</v>
      </c>
      <c r="K27" s="50">
        <f ca="1">IFERROR('CWD NTS 2025 (Final)'!$E$254+'CWD NTS 2025 (Final)'!$L250," ")</f>
        <v>3.2309761349208341</v>
      </c>
      <c r="L27" s="50">
        <f ca="1">IFERROR('CWD NTS 2025 (Final)'!$E$255+'CWD NTS 2025 (Final)'!$L250," ")</f>
        <v>3.2183989446717516</v>
      </c>
    </row>
    <row r="28" spans="1:12" x14ac:dyDescent="0.3">
      <c r="A28" s="49" t="str">
        <f>'CWD NTS 2025 (Final)'!H251</f>
        <v>TEX6</v>
      </c>
      <c r="B28" s="49" t="str">
        <f>'CWD NTS 2025 (Final)'!I251</f>
        <v>NTS RJ 2</v>
      </c>
      <c r="C28" s="50">
        <f ca="1">IFERROR('CWD NTS 2025 (Final)'!$E$246+'CWD NTS 2025 (Final)'!$L251," ")</f>
        <v>8.6181343852937768</v>
      </c>
      <c r="D28" s="50">
        <f ca="1">IFERROR('CWD NTS 2025 (Final)'!$E$247+'CWD NTS 2025 (Final)'!$L251," ")</f>
        <v>7.9980071565296509</v>
      </c>
      <c r="E28" s="50">
        <f ca="1">IFERROR('CWD NTS 2025 (Final)'!$E$248+'CWD NTS 2025 (Final)'!$L251," ")</f>
        <v>8.1367525781669876</v>
      </c>
      <c r="F28" s="50"/>
      <c r="G28" s="50" t="str">
        <f ca="1">IFERROR('CWD NTS 2025 (Final)'!$E$250+'CWD NTS 2025 (Final)'!$L251," ")</f>
        <v xml:space="preserve"> </v>
      </c>
      <c r="H28" s="50" t="str">
        <f ca="1">IFERROR('CWD NTS 2025 (Final)'!$E$251+'CWD NTS 2025 (Final)'!$L251," ")</f>
        <v xml:space="preserve"> </v>
      </c>
      <c r="I28" s="50">
        <f ca="1">IFERROR('CWD NTS 2025 (Final)'!$E$252+'CWD NTS 2025 (Final)'!$L251," ")</f>
        <v>8.5450207317728868</v>
      </c>
      <c r="J28" s="50">
        <f ca="1">IFERROR('CWD NTS 2025 (Final)'!$E$253+'CWD NTS 2025 (Final)'!$L251," ")</f>
        <v>3.1910572445198944</v>
      </c>
      <c r="K28" s="50">
        <f ca="1">IFERROR('CWD NTS 2025 (Final)'!$E$254+'CWD NTS 2025 (Final)'!$L251," ")</f>
        <v>3.2293156424909468</v>
      </c>
      <c r="L28" s="50">
        <f ca="1">IFERROR('CWD NTS 2025 (Final)'!$E$255+'CWD NTS 2025 (Final)'!$L251," ")</f>
        <v>3.2167384522418643</v>
      </c>
    </row>
    <row r="29" spans="1:12" x14ac:dyDescent="0.3">
      <c r="A29" s="49" t="str">
        <f>'CWD NTS 2025 (Final)'!H252</f>
        <v>TEX7</v>
      </c>
      <c r="B29" s="49" t="str">
        <f>'CWD NTS 2025 (Final)'!I252</f>
        <v>NTS RJ 3</v>
      </c>
      <c r="C29" s="50">
        <f ca="1">IFERROR('CWD NTS 2025 (Final)'!$E$246+'CWD NTS 2025 (Final)'!$L252," ")</f>
        <v>8.6717460119998027</v>
      </c>
      <c r="D29" s="50">
        <f ca="1">IFERROR('CWD NTS 2025 (Final)'!$E$247+'CWD NTS 2025 (Final)'!$L252," ")</f>
        <v>8.0516187832356785</v>
      </c>
      <c r="E29" s="50">
        <f ca="1">IFERROR('CWD NTS 2025 (Final)'!$E$248+'CWD NTS 2025 (Final)'!$L252," ")</f>
        <v>8.1903642048730134</v>
      </c>
      <c r="F29" s="50"/>
      <c r="G29" s="50" t="str">
        <f ca="1">IFERROR('CWD NTS 2025 (Final)'!$E$250+'CWD NTS 2025 (Final)'!$L252," ")</f>
        <v xml:space="preserve"> </v>
      </c>
      <c r="H29" s="50" t="str">
        <f ca="1">IFERROR('CWD NTS 2025 (Final)'!$E$251+'CWD NTS 2025 (Final)'!$L252," ")</f>
        <v xml:space="preserve"> </v>
      </c>
      <c r="I29" s="50">
        <f ca="1">IFERROR('CWD NTS 2025 (Final)'!$E$252+'CWD NTS 2025 (Final)'!$L252," ")</f>
        <v>8.5986323584789126</v>
      </c>
      <c r="J29" s="50">
        <f ca="1">IFERROR('CWD NTS 2025 (Final)'!$E$253+'CWD NTS 2025 (Final)'!$L252," ")</f>
        <v>3.2446688712259211</v>
      </c>
      <c r="K29" s="50">
        <f ca="1">IFERROR('CWD NTS 2025 (Final)'!$E$254+'CWD NTS 2025 (Final)'!$L252," ")</f>
        <v>3.2829272691969735</v>
      </c>
      <c r="L29" s="50">
        <f ca="1">IFERROR('CWD NTS 2025 (Final)'!$E$255+'CWD NTS 2025 (Final)'!$L252," ")</f>
        <v>3.270350078947891</v>
      </c>
    </row>
    <row r="30" spans="1:12" x14ac:dyDescent="0.3">
      <c r="A30" s="49" t="str">
        <f>'CWD NTS 2025 (Final)'!H253</f>
        <v>TEX8</v>
      </c>
      <c r="B30" s="49" t="str">
        <f>'CWD NTS 2025 (Final)'!I253</f>
        <v>NTS RJ 4</v>
      </c>
      <c r="C30" s="50">
        <f ca="1">IFERROR('CWD NTS 2025 (Final)'!$E$246+'CWD NTS 2025 (Final)'!$L253," ")</f>
        <v>8.741182021714188</v>
      </c>
      <c r="D30" s="50">
        <f ca="1">IFERROR('CWD NTS 2025 (Final)'!$E$247+'CWD NTS 2025 (Final)'!$L253," ")</f>
        <v>8.1210547929500621</v>
      </c>
      <c r="E30" s="50">
        <f ca="1">IFERROR('CWD NTS 2025 (Final)'!$E$248+'CWD NTS 2025 (Final)'!$L253," ")</f>
        <v>8.259800214587397</v>
      </c>
      <c r="F30" s="50"/>
      <c r="G30" s="50" t="str">
        <f ca="1">IFERROR('CWD NTS 2025 (Final)'!$E$250+'CWD NTS 2025 (Final)'!$L253," ")</f>
        <v xml:space="preserve"> </v>
      </c>
      <c r="H30" s="50" t="str">
        <f ca="1">IFERROR('CWD NTS 2025 (Final)'!$E$251+'CWD NTS 2025 (Final)'!$L253," ")</f>
        <v xml:space="preserve"> </v>
      </c>
      <c r="I30" s="50">
        <f ca="1">IFERROR('CWD NTS 2025 (Final)'!$E$252+'CWD NTS 2025 (Final)'!$L253," ")</f>
        <v>8.6680683681932962</v>
      </c>
      <c r="J30" s="50">
        <f ca="1">IFERROR('CWD NTS 2025 (Final)'!$E$253+'CWD NTS 2025 (Final)'!$L253," ")</f>
        <v>3.3141048809403051</v>
      </c>
      <c r="K30" s="50">
        <f ca="1">IFERROR('CWD NTS 2025 (Final)'!$E$254+'CWD NTS 2025 (Final)'!$L253," ")</f>
        <v>3.3523632789113575</v>
      </c>
      <c r="L30" s="50">
        <f ca="1">IFERROR('CWD NTS 2025 (Final)'!$E$255+'CWD NTS 2025 (Final)'!$L253," ")</f>
        <v>3.339786088662275</v>
      </c>
    </row>
    <row r="31" spans="1:12" x14ac:dyDescent="0.3">
      <c r="A31" s="49" t="str">
        <f>'CWD NTS 2025 (Final)'!H254</f>
        <v>TEX9</v>
      </c>
      <c r="B31" s="49" t="str">
        <f>'CWD NTS 2025 (Final)'!I254</f>
        <v>NTS RJ 5</v>
      </c>
      <c r="C31" s="50">
        <f ca="1">IFERROR('CWD NTS 2025 (Final)'!$E$246+'CWD NTS 2025 (Final)'!$L254," ")</f>
        <v>8.6244641825054558</v>
      </c>
      <c r="D31" s="50">
        <f ca="1">IFERROR('CWD NTS 2025 (Final)'!$E$247+'CWD NTS 2025 (Final)'!$L254," ")</f>
        <v>8.0043369537413298</v>
      </c>
      <c r="E31" s="50">
        <f ca="1">IFERROR('CWD NTS 2025 (Final)'!$E$248+'CWD NTS 2025 (Final)'!$L254," ")</f>
        <v>8.1430823753786665</v>
      </c>
      <c r="F31" s="50"/>
      <c r="G31" s="50" t="str">
        <f ca="1">IFERROR('CWD NTS 2025 (Final)'!$E$250+'CWD NTS 2025 (Final)'!$L254," ")</f>
        <v xml:space="preserve"> </v>
      </c>
      <c r="H31" s="50" t="str">
        <f ca="1">IFERROR('CWD NTS 2025 (Final)'!$E$251+'CWD NTS 2025 (Final)'!$L254," ")</f>
        <v xml:space="preserve"> </v>
      </c>
      <c r="I31" s="50">
        <f ca="1">IFERROR('CWD NTS 2025 (Final)'!$E$252+'CWD NTS 2025 (Final)'!$L254," ")</f>
        <v>8.5513505289845657</v>
      </c>
      <c r="J31" s="50">
        <f ca="1">IFERROR('CWD NTS 2025 (Final)'!$E$253+'CWD NTS 2025 (Final)'!$L254," ")</f>
        <v>3.1973870417315737</v>
      </c>
      <c r="K31" s="50">
        <f ca="1">IFERROR('CWD NTS 2025 (Final)'!$E$254+'CWD NTS 2025 (Final)'!$L254," ")</f>
        <v>3.2356454397026262</v>
      </c>
      <c r="L31" s="50">
        <f ca="1">IFERROR('CWD NTS 2025 (Final)'!$E$255+'CWD NTS 2025 (Final)'!$L254," ")</f>
        <v>3.2230682494535436</v>
      </c>
    </row>
    <row r="32" spans="1:12" x14ac:dyDescent="0.3">
      <c r="A32" s="49" t="str">
        <f>'CWD NTS 2025 (Final)'!H255</f>
        <v>TEX10</v>
      </c>
      <c r="B32" s="49" t="str">
        <f>'CWD NTS 2025 (Final)'!I255</f>
        <v>NTS SP 1</v>
      </c>
      <c r="C32" s="50">
        <f ca="1">IFERROR('CWD NTS 2025 (Final)'!$E$246+'CWD NTS 2025 (Final)'!$L255," ")</f>
        <v>8.9466750800019259</v>
      </c>
      <c r="D32" s="50">
        <f ca="1">IFERROR('CWD NTS 2025 (Final)'!$E$247+'CWD NTS 2025 (Final)'!$L255," ")</f>
        <v>8.3265478512378017</v>
      </c>
      <c r="E32" s="50">
        <f ca="1">IFERROR('CWD NTS 2025 (Final)'!$E$248+'CWD NTS 2025 (Final)'!$L255," ")</f>
        <v>8.4652932728751367</v>
      </c>
      <c r="F32" s="50"/>
      <c r="G32" s="50" t="str">
        <f ca="1">IFERROR('CWD NTS 2025 (Final)'!$E$250+'CWD NTS 2025 (Final)'!$L255," ")</f>
        <v xml:space="preserve"> </v>
      </c>
      <c r="H32" s="50" t="str">
        <f ca="1">IFERROR('CWD NTS 2025 (Final)'!$E$251+'CWD NTS 2025 (Final)'!$L255," ")</f>
        <v xml:space="preserve"> </v>
      </c>
      <c r="I32" s="50">
        <f ca="1">IFERROR('CWD NTS 2025 (Final)'!$E$252+'CWD NTS 2025 (Final)'!$L255," ")</f>
        <v>8.8735614264810359</v>
      </c>
      <c r="J32" s="50">
        <f ca="1">IFERROR('CWD NTS 2025 (Final)'!$E$253+'CWD NTS 2025 (Final)'!$L255," ")</f>
        <v>3.5195979392280439</v>
      </c>
      <c r="K32" s="50">
        <f ca="1">IFERROR('CWD NTS 2025 (Final)'!$E$254+'CWD NTS 2025 (Final)'!$L255," ")</f>
        <v>3.5578563371990963</v>
      </c>
      <c r="L32" s="50">
        <f ca="1">IFERROR('CWD NTS 2025 (Final)'!$E$255+'CWD NTS 2025 (Final)'!$L255," ")</f>
        <v>3.5452791469500138</v>
      </c>
    </row>
    <row r="33" spans="1:12" x14ac:dyDescent="0.3">
      <c r="A33" s="49" t="str">
        <f>'CWD NTS 2025 (Final)'!H256</f>
        <v>TEX11</v>
      </c>
      <c r="B33" s="49" t="str">
        <f>'CWD NTS 2025 (Final)'!I256</f>
        <v>NTS SP 2</v>
      </c>
      <c r="C33" s="50">
        <f ca="1">IFERROR('CWD NTS 2025 (Final)'!$E$246+'CWD NTS 2025 (Final)'!$L256," ")</f>
        <v>8.9263742711557441</v>
      </c>
      <c r="D33" s="50">
        <f ca="1">IFERROR('CWD NTS 2025 (Final)'!$E$247+'CWD NTS 2025 (Final)'!$L256," ")</f>
        <v>8.3062470423916199</v>
      </c>
      <c r="E33" s="50">
        <f ca="1">IFERROR('CWD NTS 2025 (Final)'!$E$248+'CWD NTS 2025 (Final)'!$L256," ")</f>
        <v>8.4449924640289549</v>
      </c>
      <c r="F33" s="50"/>
      <c r="G33" s="50" t="str">
        <f ca="1">IFERROR('CWD NTS 2025 (Final)'!$E$250+'CWD NTS 2025 (Final)'!$L256," ")</f>
        <v xml:space="preserve"> </v>
      </c>
      <c r="H33" s="50" t="str">
        <f ca="1">IFERROR('CWD NTS 2025 (Final)'!$E$251+'CWD NTS 2025 (Final)'!$L256," ")</f>
        <v xml:space="preserve"> </v>
      </c>
      <c r="I33" s="50">
        <f ca="1">IFERROR('CWD NTS 2025 (Final)'!$E$252+'CWD NTS 2025 (Final)'!$L256," ")</f>
        <v>8.8532606176348541</v>
      </c>
      <c r="J33" s="50">
        <f ca="1">IFERROR('CWD NTS 2025 (Final)'!$E$253+'CWD NTS 2025 (Final)'!$L256," ")</f>
        <v>3.4992971303818625</v>
      </c>
      <c r="K33" s="50">
        <f ca="1">IFERROR('CWD NTS 2025 (Final)'!$E$254+'CWD NTS 2025 (Final)'!$L256," ")</f>
        <v>3.537555528352915</v>
      </c>
      <c r="L33" s="50">
        <f ca="1">IFERROR('CWD NTS 2025 (Final)'!$E$255+'CWD NTS 2025 (Final)'!$L256," ")</f>
        <v>3.5249783381038324</v>
      </c>
    </row>
    <row r="34" spans="1:12" x14ac:dyDescent="0.3">
      <c r="A34" s="49" t="str">
        <f>'CWD NTS 2025 (Final)'!H257</f>
        <v>TEX12</v>
      </c>
      <c r="B34" s="49" t="str">
        <f>'CWD NTS 2025 (Final)'!I257</f>
        <v>NTS SP 3</v>
      </c>
      <c r="C34" s="50">
        <f ca="1">IFERROR('CWD NTS 2025 (Final)'!$E$246+'CWD NTS 2025 (Final)'!$L257," ")</f>
        <v>9.1606605998623465</v>
      </c>
      <c r="D34" s="50">
        <f ca="1">IFERROR('CWD NTS 2025 (Final)'!$E$247+'CWD NTS 2025 (Final)'!$L257," ")</f>
        <v>8.5405333710982205</v>
      </c>
      <c r="E34" s="50">
        <f ca="1">IFERROR('CWD NTS 2025 (Final)'!$E$248+'CWD NTS 2025 (Final)'!$L257," ")</f>
        <v>8.6792787927355572</v>
      </c>
      <c r="F34" s="50"/>
      <c r="G34" s="50" t="str">
        <f ca="1">IFERROR('CWD NTS 2025 (Final)'!$E$250+'CWD NTS 2025 (Final)'!$L257," ")</f>
        <v xml:space="preserve"> </v>
      </c>
      <c r="H34" s="50" t="str">
        <f ca="1">IFERROR('CWD NTS 2025 (Final)'!$E$251+'CWD NTS 2025 (Final)'!$L257," ")</f>
        <v xml:space="preserve"> </v>
      </c>
      <c r="I34" s="50">
        <f ca="1">IFERROR('CWD NTS 2025 (Final)'!$E$252+'CWD NTS 2025 (Final)'!$L257," ")</f>
        <v>9.0875469463414564</v>
      </c>
      <c r="J34" s="50">
        <f ca="1">IFERROR('CWD NTS 2025 (Final)'!$E$253+'CWD NTS 2025 (Final)'!$L257," ")</f>
        <v>3.7335834590884645</v>
      </c>
      <c r="K34" s="50">
        <f ca="1">IFERROR('CWD NTS 2025 (Final)'!$E$254+'CWD NTS 2025 (Final)'!$L257," ")</f>
        <v>3.7718418570595169</v>
      </c>
      <c r="L34" s="50">
        <f ca="1">IFERROR('CWD NTS 2025 (Final)'!$E$255+'CWD NTS 2025 (Final)'!$L257," ")</f>
        <v>3.7592646668104344</v>
      </c>
    </row>
    <row r="35" spans="1:12" x14ac:dyDescent="0.3">
      <c r="A35" s="49" t="str">
        <f>'CWD NTS 2025 (Final)'!H258</f>
        <v>TEX13</v>
      </c>
      <c r="B35" s="49" t="str">
        <f>'CWD NTS 2025 (Final)'!I258</f>
        <v>NTS SP 4</v>
      </c>
      <c r="C35" s="50">
        <f ca="1">IFERROR('CWD NTS 2025 (Final)'!$E$246+'CWD NTS 2025 (Final)'!$L258," ")</f>
        <v>9.234749793252826</v>
      </c>
      <c r="D35" s="50">
        <f ca="1">IFERROR('CWD NTS 2025 (Final)'!$E$247+'CWD NTS 2025 (Final)'!$L258," ")</f>
        <v>8.6146225644887018</v>
      </c>
      <c r="E35" s="50">
        <f ca="1">IFERROR('CWD NTS 2025 (Final)'!$E$248+'CWD NTS 2025 (Final)'!$L258," ")</f>
        <v>8.7533679861260367</v>
      </c>
      <c r="F35" s="50"/>
      <c r="G35" s="50" t="str">
        <f ca="1">IFERROR('CWD NTS 2025 (Final)'!$E$250+'CWD NTS 2025 (Final)'!$L258," ")</f>
        <v xml:space="preserve"> </v>
      </c>
      <c r="H35" s="50" t="str">
        <f ca="1">IFERROR('CWD NTS 2025 (Final)'!$E$251+'CWD NTS 2025 (Final)'!$L258," ")</f>
        <v xml:space="preserve"> </v>
      </c>
      <c r="I35" s="50">
        <f ca="1">IFERROR('CWD NTS 2025 (Final)'!$E$252+'CWD NTS 2025 (Final)'!$L258," ")</f>
        <v>9.1616361397319359</v>
      </c>
      <c r="J35" s="50">
        <f ca="1">IFERROR('CWD NTS 2025 (Final)'!$E$253+'CWD NTS 2025 (Final)'!$L258," ")</f>
        <v>3.8076726524789439</v>
      </c>
      <c r="K35" s="50">
        <f ca="1">IFERROR('CWD NTS 2025 (Final)'!$E$254+'CWD NTS 2025 (Final)'!$L258," ")</f>
        <v>3.8459310504499964</v>
      </c>
      <c r="L35" s="50">
        <f ca="1">IFERROR('CWD NTS 2025 (Final)'!$E$255+'CWD NTS 2025 (Final)'!$L258," ")</f>
        <v>3.8333538602009138</v>
      </c>
    </row>
    <row r="36" spans="1:12" x14ac:dyDescent="0.3">
      <c r="A36" s="49" t="str">
        <f>'CWD NTS 2025 (Final)'!H259</f>
        <v>TEX14</v>
      </c>
      <c r="B36" s="49" t="str">
        <f>'CWD NTS 2025 (Final)'!I259</f>
        <v>PE-GUARAREMA (INTERCONEXÃO)</v>
      </c>
      <c r="C36" s="50">
        <f ca="1">IFERROR('CWD NTS 2025 (Final)'!$E$246+'CWD NTS 2025 (Final)'!$L259," ")</f>
        <v>5.9375097280963267</v>
      </c>
      <c r="D36" s="50">
        <f ca="1">IFERROR('CWD NTS 2025 (Final)'!$E$247+'CWD NTS 2025 (Final)'!$L259," ")</f>
        <v>5.3173824993322016</v>
      </c>
      <c r="E36" s="50">
        <f ca="1">IFERROR('CWD NTS 2025 (Final)'!$E$248+'CWD NTS 2025 (Final)'!$L259," ")</f>
        <v>5.4561279209695375</v>
      </c>
      <c r="F36" s="50"/>
      <c r="G36" s="50" t="str">
        <f>IFERROR('CWD NTS 2025 (Final)'!$E$250+'CWD NTS 2025 (Final)'!$L259," ")</f>
        <v xml:space="preserve"> </v>
      </c>
      <c r="H36" s="50" t="str">
        <f>IFERROR('CWD NTS 2025 (Final)'!$E$251+'CWD NTS 2025 (Final)'!$L259," ")</f>
        <v xml:space="preserve"> </v>
      </c>
      <c r="I36" s="50">
        <f ca="1">IFERROR('CWD NTS 2025 (Final)'!$E$252+'CWD NTS 2025 (Final)'!$L259," ")</f>
        <v>5.8643960745754367</v>
      </c>
      <c r="J36" s="50">
        <f ca="1">IFERROR('CWD NTS 2025 (Final)'!$E$253+'CWD NTS 2025 (Final)'!$L259," ")</f>
        <v>0.51043258732244456</v>
      </c>
      <c r="K36" s="50">
        <f ca="1">IFERROR('CWD NTS 2025 (Final)'!$E$254+'CWD NTS 2025 (Final)'!$L259," ")</f>
        <v>0.54869098529349725</v>
      </c>
      <c r="L36" s="50">
        <f ca="1">IFERROR('CWD NTS 2025 (Final)'!$E$255+'CWD NTS 2025 (Final)'!$L259," ")</f>
        <v>0.53611379504441448</v>
      </c>
    </row>
    <row r="37" spans="1:12" x14ac:dyDescent="0.3">
      <c r="A37" s="49" t="str">
        <f>'CWD NTS 2025 (Final)'!H260</f>
        <v>TEX15</v>
      </c>
      <c r="B37" s="49" t="str">
        <f>'CWD NTS 2025 (Final)'!I260</f>
        <v>PE-REPLAN (INTERCONEXÃO)</v>
      </c>
      <c r="C37" s="50">
        <f ca="1">IFERROR('CWD NTS 2025 (Final)'!$E$246+'CWD NTS 2025 (Final)'!$L260," ")</f>
        <v>6.2259910291576874</v>
      </c>
      <c r="D37" s="50">
        <f ca="1">IFERROR('CWD NTS 2025 (Final)'!$E$247+'CWD NTS 2025 (Final)'!$L260," ")</f>
        <v>5.6058638003935624</v>
      </c>
      <c r="E37" s="50">
        <f ca="1">IFERROR('CWD NTS 2025 (Final)'!$E$248+'CWD NTS 2025 (Final)'!$L260," ")</f>
        <v>5.7446092220308982</v>
      </c>
      <c r="F37" s="50"/>
      <c r="G37" s="50" t="str">
        <f ca="1">IFERROR('CWD NTS 2025 (Final)'!$E$250+'CWD NTS 2025 (Final)'!$L260," ")</f>
        <v xml:space="preserve"> </v>
      </c>
      <c r="H37" s="50" t="str">
        <f ca="1">IFERROR('CWD NTS 2025 (Final)'!$E$251+'CWD NTS 2025 (Final)'!$L260," ")</f>
        <v xml:space="preserve"> </v>
      </c>
      <c r="I37" s="50">
        <f ca="1">IFERROR('CWD NTS 2025 (Final)'!$E$252+'CWD NTS 2025 (Final)'!$L260," ")</f>
        <v>6.1528773756367974</v>
      </c>
      <c r="J37" s="50">
        <f ca="1">IFERROR('CWD NTS 2025 (Final)'!$E$253+'CWD NTS 2025 (Final)'!$L260," ")</f>
        <v>0.79891388838380517</v>
      </c>
      <c r="K37" s="50">
        <f ca="1">IFERROR('CWD NTS 2025 (Final)'!$E$254+'CWD NTS 2025 (Final)'!$L260," ")</f>
        <v>0.83717228635485785</v>
      </c>
      <c r="L37" s="50">
        <f ca="1">IFERROR('CWD NTS 2025 (Final)'!$E$255+'CWD NTS 2025 (Final)'!$L260," ")</f>
        <v>0.82459509610577508</v>
      </c>
    </row>
    <row r="38" spans="1:12" x14ac:dyDescent="0.3">
      <c r="A38" s="49" t="str">
        <f>'CWD NTS 2025 (Final)'!H261</f>
        <v>TEX16</v>
      </c>
      <c r="B38" s="49" t="str">
        <f>'CWD NTS 2025 (Final)'!I261</f>
        <v>PE-TECAB (INTERCONEXÃO)</v>
      </c>
      <c r="C38" s="50">
        <f ca="1">IFERROR('CWD NTS 2025 (Final)'!$E$246+'CWD NTS 2025 (Final)'!$L261," ")</f>
        <v>6.1869786364485773</v>
      </c>
      <c r="D38" s="50">
        <f ca="1">IFERROR('CWD NTS 2025 (Final)'!$E$247+'CWD NTS 2025 (Final)'!$L261," ")</f>
        <v>5.5668514076844522</v>
      </c>
      <c r="E38" s="50">
        <f ca="1">IFERROR('CWD NTS 2025 (Final)'!$E$248+'CWD NTS 2025 (Final)'!$L261," ")</f>
        <v>5.705596829321788</v>
      </c>
      <c r="F38" s="50"/>
      <c r="G38" s="50" t="str">
        <f ca="1">IFERROR('CWD NTS 2025 (Final)'!$E$250+'CWD NTS 2025 (Final)'!$L261," ")</f>
        <v xml:space="preserve"> </v>
      </c>
      <c r="H38" s="50" t="str">
        <f ca="1">IFERROR('CWD NTS 2025 (Final)'!$E$251+'CWD NTS 2025 (Final)'!$L261," ")</f>
        <v xml:space="preserve"> </v>
      </c>
      <c r="I38" s="50">
        <f ca="1">IFERROR('CWD NTS 2025 (Final)'!$E$252+'CWD NTS 2025 (Final)'!$L261," ")</f>
        <v>6.1138649829276872</v>
      </c>
      <c r="J38" s="50">
        <f ca="1">IFERROR('CWD NTS 2025 (Final)'!$E$253+'CWD NTS 2025 (Final)'!$L261," ")</f>
        <v>0.75990149567469545</v>
      </c>
      <c r="K38" s="50">
        <f ca="1">IFERROR('CWD NTS 2025 (Final)'!$E$254+'CWD NTS 2025 (Final)'!$L261," ")</f>
        <v>0.79815989364574813</v>
      </c>
      <c r="L38" s="50">
        <f ca="1">IFERROR('CWD NTS 2025 (Final)'!$E$255+'CWD NTS 2025 (Final)'!$L261," ")</f>
        <v>0.78558270339666536</v>
      </c>
    </row>
    <row r="41" spans="1:12" x14ac:dyDescent="0.3">
      <c r="C41" s="48" t="s">
        <v>166</v>
      </c>
      <c r="D41" s="48" t="s">
        <v>167</v>
      </c>
      <c r="E41" s="48" t="s">
        <v>168</v>
      </c>
      <c r="F41" s="48" t="s">
        <v>169</v>
      </c>
      <c r="G41" s="48" t="s">
        <v>170</v>
      </c>
      <c r="H41" s="48" t="s">
        <v>171</v>
      </c>
      <c r="I41" s="48" t="s">
        <v>172</v>
      </c>
      <c r="J41" s="48" t="s">
        <v>173</v>
      </c>
      <c r="K41" s="48" t="s">
        <v>174</v>
      </c>
      <c r="L41" s="48" t="s">
        <v>175</v>
      </c>
    </row>
    <row r="42" spans="1:12" ht="57.6" x14ac:dyDescent="0.3">
      <c r="A42" s="85"/>
      <c r="B42" s="85" t="s">
        <v>509</v>
      </c>
      <c r="C42" s="85" t="s">
        <v>28</v>
      </c>
      <c r="D42" s="85" t="s">
        <v>26</v>
      </c>
      <c r="E42" s="85" t="s">
        <v>30</v>
      </c>
      <c r="F42" s="85" t="s">
        <v>253</v>
      </c>
      <c r="G42" s="85" t="s">
        <v>27</v>
      </c>
      <c r="H42" s="85" t="s">
        <v>29</v>
      </c>
      <c r="I42" s="85" t="s">
        <v>24</v>
      </c>
      <c r="J42" s="85" t="s">
        <v>274</v>
      </c>
      <c r="K42" s="85" t="s">
        <v>276</v>
      </c>
      <c r="L42" s="85" t="s">
        <v>275</v>
      </c>
    </row>
    <row r="43" spans="1:12" x14ac:dyDescent="0.3">
      <c r="A43" s="49" t="str">
        <f>'CWD NTS 2025 (Final-sem C.Reg)'!H246</f>
        <v>TEX1</v>
      </c>
      <c r="B43" s="49" t="str">
        <f>'CWD NTS 2025 (Final-sem C.Reg)'!I246</f>
        <v>NTS MG 1</v>
      </c>
      <c r="C43" s="50">
        <f ca="1">IFERROR('CWD NTS 2025 (Final-sem C.Reg)'!$E$246+'CWD NTS 2025 (Final-sem C.Reg)'!$L246," ")</f>
        <v>9.02741125279403</v>
      </c>
      <c r="D43" s="50">
        <f ca="1">IFERROR('CWD NTS 2025 (Final-sem C.Reg)'!$E$247+'CWD NTS 2025 (Final-sem C.Reg)'!$L246," ")</f>
        <v>8.4050506018956437</v>
      </c>
      <c r="E43" s="50">
        <f ca="1">IFERROR('CWD NTS 2025 (Final-sem C.Reg)'!$E$248+'CWD NTS 2025 (Final-sem C.Reg)'!$L246," ")</f>
        <v>8.544295722758136</v>
      </c>
      <c r="F43" s="50"/>
      <c r="G43" s="50" t="str">
        <f ca="1">IFERROR('CWD NTS 2025 (Final-sem C.Reg)'!$E$250+'CWD NTS 2025 (Final-sem C.Reg)'!$L246," ")</f>
        <v xml:space="preserve"> </v>
      </c>
      <c r="H43" s="50" t="str">
        <f ca="1">IFERROR('CWD NTS 2025 (Final-sem C.Reg)'!$E$251+'CWD NTS 2025 (Final-sem C.Reg)'!$L246," ")</f>
        <v xml:space="preserve"> </v>
      </c>
      <c r="I43" s="50">
        <f ca="1">IFERROR('CWD NTS 2025 (Final-sem C.Reg)'!$E$252+'CWD NTS 2025 (Final-sem C.Reg)'!$L246," ")</f>
        <v>8.9540342764507965</v>
      </c>
      <c r="J43" s="50">
        <f ca="1">IFERROR('CWD NTS 2025 (Final-sem C.Reg)'!$E$253+'CWD NTS 2025 (Final-sem C.Reg)'!$L246," ")</f>
        <v>3.5807881968460986</v>
      </c>
      <c r="K43" s="50">
        <f ca="1">IFERROR('CWD NTS 2025 (Final-sem C.Reg)'!$E$254+'CWD NTS 2025 (Final-sem C.Reg)'!$L246," ")</f>
        <v>3.619184384530111</v>
      </c>
      <c r="L43" s="50">
        <f ca="1">IFERROR('CWD NTS 2025 (Final-sem C.Reg)'!$E$255+'CWD NTS 2025 (Final-sem C.Reg)'!$L246," ")</f>
        <v>3.606561896842396</v>
      </c>
    </row>
    <row r="44" spans="1:12" x14ac:dyDescent="0.3">
      <c r="A44" s="49" t="str">
        <f>'CWD NTS 2025 (Final-sem C.Reg)'!H247</f>
        <v>TEX2</v>
      </c>
      <c r="B44" s="49" t="str">
        <f>'CWD NTS 2025 (Final-sem C.Reg)'!I247</f>
        <v>NTS MG 2</v>
      </c>
      <c r="C44" s="50">
        <f ca="1">IFERROR('CWD NTS 2025 (Final-sem C.Reg)'!$E$246+'CWD NTS 2025 (Final-sem C.Reg)'!$L247," ")</f>
        <v>9.2311943804441761</v>
      </c>
      <c r="D44" s="50">
        <f ca="1">IFERROR('CWD NTS 2025 (Final-sem C.Reg)'!$E$247+'CWD NTS 2025 (Final-sem C.Reg)'!$L247," ")</f>
        <v>8.6088337295457915</v>
      </c>
      <c r="E44" s="50">
        <f ca="1">IFERROR('CWD NTS 2025 (Final-sem C.Reg)'!$E$248+'CWD NTS 2025 (Final-sem C.Reg)'!$L247," ")</f>
        <v>8.7480788504082838</v>
      </c>
      <c r="F44" s="50"/>
      <c r="G44" s="50" t="str">
        <f ca="1">IFERROR('CWD NTS 2025 (Final-sem C.Reg)'!$E$250+'CWD NTS 2025 (Final-sem C.Reg)'!$L247," ")</f>
        <v xml:space="preserve"> </v>
      </c>
      <c r="H44" s="50" t="str">
        <f ca="1">IFERROR('CWD NTS 2025 (Final-sem C.Reg)'!$E$251+'CWD NTS 2025 (Final-sem C.Reg)'!$L247," ")</f>
        <v xml:space="preserve"> </v>
      </c>
      <c r="I44" s="50">
        <f ca="1">IFERROR('CWD NTS 2025 (Final-sem C.Reg)'!$E$252+'CWD NTS 2025 (Final-sem C.Reg)'!$L247," ")</f>
        <v>9.1578174041009426</v>
      </c>
      <c r="J44" s="50">
        <f ca="1">IFERROR('CWD NTS 2025 (Final-sem C.Reg)'!$E$253+'CWD NTS 2025 (Final-sem C.Reg)'!$L247," ")</f>
        <v>3.784571324496246</v>
      </c>
      <c r="K44" s="50">
        <f ca="1">IFERROR('CWD NTS 2025 (Final-sem C.Reg)'!$E$254+'CWD NTS 2025 (Final-sem C.Reg)'!$L247," ")</f>
        <v>3.8229675121802584</v>
      </c>
      <c r="L44" s="50">
        <f ca="1">IFERROR('CWD NTS 2025 (Final-sem C.Reg)'!$E$255+'CWD NTS 2025 (Final-sem C.Reg)'!$L247," ")</f>
        <v>3.8103450244925434</v>
      </c>
    </row>
    <row r="45" spans="1:12" x14ac:dyDescent="0.3">
      <c r="A45" s="49" t="str">
        <f>'CWD NTS 2025 (Final-sem C.Reg)'!H248</f>
        <v>TEX3</v>
      </c>
      <c r="B45" s="49" t="str">
        <f>'CWD NTS 2025 (Final-sem C.Reg)'!I248</f>
        <v>NTS MG 3</v>
      </c>
      <c r="C45" s="50">
        <f ca="1">IFERROR('CWD NTS 2025 (Final-sem C.Reg)'!$E$246+'CWD NTS 2025 (Final-sem C.Reg)'!$L248," ")</f>
        <v>9.4769262452063838</v>
      </c>
      <c r="D45" s="50">
        <f ca="1">IFERROR('CWD NTS 2025 (Final-sem C.Reg)'!$E$247+'CWD NTS 2025 (Final-sem C.Reg)'!$L248," ")</f>
        <v>8.8545655943079993</v>
      </c>
      <c r="E45" s="50">
        <f ca="1">IFERROR('CWD NTS 2025 (Final-sem C.Reg)'!$E$248+'CWD NTS 2025 (Final-sem C.Reg)'!$L248," ")</f>
        <v>8.9938107151704916</v>
      </c>
      <c r="F45" s="50"/>
      <c r="G45" s="50" t="str">
        <f ca="1">IFERROR('CWD NTS 2025 (Final-sem C.Reg)'!$E$250+'CWD NTS 2025 (Final-sem C.Reg)'!$L248," ")</f>
        <v xml:space="preserve"> </v>
      </c>
      <c r="H45" s="50" t="str">
        <f ca="1">IFERROR('CWD NTS 2025 (Final-sem C.Reg)'!$E$251+'CWD NTS 2025 (Final-sem C.Reg)'!$L248," ")</f>
        <v xml:space="preserve"> </v>
      </c>
      <c r="I45" s="50">
        <f ca="1">IFERROR('CWD NTS 2025 (Final-sem C.Reg)'!$E$252+'CWD NTS 2025 (Final-sem C.Reg)'!$L248," ")</f>
        <v>9.4035492688631503</v>
      </c>
      <c r="J45" s="50">
        <f ca="1">IFERROR('CWD NTS 2025 (Final-sem C.Reg)'!$E$253+'CWD NTS 2025 (Final-sem C.Reg)'!$L248," ")</f>
        <v>4.0303031892584533</v>
      </c>
      <c r="K45" s="50">
        <f ca="1">IFERROR('CWD NTS 2025 (Final-sem C.Reg)'!$E$254+'CWD NTS 2025 (Final-sem C.Reg)'!$L248," ")</f>
        <v>4.0686993769424653</v>
      </c>
      <c r="L45" s="50">
        <f ca="1">IFERROR('CWD NTS 2025 (Final-sem C.Reg)'!$E$255+'CWD NTS 2025 (Final-sem C.Reg)'!$L248," ")</f>
        <v>4.0560768892547507</v>
      </c>
    </row>
    <row r="46" spans="1:12" x14ac:dyDescent="0.3">
      <c r="A46" s="49" t="str">
        <f>'CWD NTS 2025 (Final-sem C.Reg)'!H249</f>
        <v>TEX4</v>
      </c>
      <c r="B46" s="49" t="str">
        <f>'CWD NTS 2025 (Final-sem C.Reg)'!I249</f>
        <v>NTS MG 4</v>
      </c>
      <c r="C46" s="50">
        <f ca="1">IFERROR('CWD NTS 2025 (Final-sem C.Reg)'!$E$246+'CWD NTS 2025 (Final-sem C.Reg)'!$L249," ")</f>
        <v>9.5592332648600653</v>
      </c>
      <c r="D46" s="50">
        <f ca="1">IFERROR('CWD NTS 2025 (Final-sem C.Reg)'!$E$247+'CWD NTS 2025 (Final-sem C.Reg)'!$L249," ")</f>
        <v>8.9368726139616808</v>
      </c>
      <c r="E46" s="50">
        <f ca="1">IFERROR('CWD NTS 2025 (Final-sem C.Reg)'!$E$248+'CWD NTS 2025 (Final-sem C.Reg)'!$L249," ")</f>
        <v>9.0761177348241731</v>
      </c>
      <c r="F46" s="50">
        <f ca="1">IFERROR('CWD NTS 2025 (Final-sem C.Reg)'!$E$249+'CWD NTS 2025 (Final-sem C.Reg)'!$L249," ")</f>
        <v>4.1510063965961477</v>
      </c>
      <c r="G46" s="50" t="str">
        <f ca="1">IFERROR('CWD NTS 2025 (Final-sem C.Reg)'!$E$250+'CWD NTS 2025 (Final-sem C.Reg)'!$L249," ")</f>
        <v xml:space="preserve"> </v>
      </c>
      <c r="H46" s="50" t="str">
        <f ca="1">IFERROR('CWD NTS 2025 (Final-sem C.Reg)'!$E$251+'CWD NTS 2025 (Final-sem C.Reg)'!$L249," ")</f>
        <v xml:space="preserve"> </v>
      </c>
      <c r="I46" s="50">
        <f ca="1">IFERROR('CWD NTS 2025 (Final-sem C.Reg)'!$E$252+'CWD NTS 2025 (Final-sem C.Reg)'!$L249," ")</f>
        <v>9.4858562885168318</v>
      </c>
      <c r="J46" s="50">
        <f ca="1">IFERROR('CWD NTS 2025 (Final-sem C.Reg)'!$E$253+'CWD NTS 2025 (Final-sem C.Reg)'!$L249," ")</f>
        <v>4.1126102089121348</v>
      </c>
      <c r="K46" s="50">
        <f ca="1">IFERROR('CWD NTS 2025 (Final-sem C.Reg)'!$E$254+'CWD NTS 2025 (Final-sem C.Reg)'!$L249," ")</f>
        <v>4.1510063965961477</v>
      </c>
      <c r="L46" s="50">
        <f ca="1">IFERROR('CWD NTS 2025 (Final-sem C.Reg)'!$E$255+'CWD NTS 2025 (Final-sem C.Reg)'!$L249," ")</f>
        <v>4.1383839089084322</v>
      </c>
    </row>
    <row r="47" spans="1:12" x14ac:dyDescent="0.3">
      <c r="A47" s="49" t="str">
        <f>'CWD NTS 2025 (Final-sem C.Reg)'!H250</f>
        <v>TEX5</v>
      </c>
      <c r="B47" s="49" t="str">
        <f>'CWD NTS 2025 (Final-sem C.Reg)'!I250</f>
        <v>NTS RJ 1</v>
      </c>
      <c r="C47" s="50">
        <f ca="1">IFERROR('CWD NTS 2025 (Final-sem C.Reg)'!$E$246+'CWD NTS 2025 (Final-sem C.Reg)'!$L250," ")</f>
        <v>8.6508395404633678</v>
      </c>
      <c r="D47" s="50">
        <f ca="1">IFERROR('CWD NTS 2025 (Final-sem C.Reg)'!$E$247+'CWD NTS 2025 (Final-sem C.Reg)'!$L250," ")</f>
        <v>8.0284788895649815</v>
      </c>
      <c r="E47" s="50">
        <f ca="1">IFERROR('CWD NTS 2025 (Final-sem C.Reg)'!$E$248+'CWD NTS 2025 (Final-sem C.Reg)'!$L250," ")</f>
        <v>8.1677240104274738</v>
      </c>
      <c r="F47" s="50"/>
      <c r="G47" s="50" t="str">
        <f ca="1">IFERROR('CWD NTS 2025 (Final-sem C.Reg)'!$E$250+'CWD NTS 2025 (Final-sem C.Reg)'!$L250," ")</f>
        <v xml:space="preserve"> </v>
      </c>
      <c r="H47" s="50" t="str">
        <f ca="1">IFERROR('CWD NTS 2025 (Final-sem C.Reg)'!$E$251+'CWD NTS 2025 (Final-sem C.Reg)'!$L250," ")</f>
        <v xml:space="preserve"> </v>
      </c>
      <c r="I47" s="50">
        <f ca="1">IFERROR('CWD NTS 2025 (Final-sem C.Reg)'!$E$252+'CWD NTS 2025 (Final-sem C.Reg)'!$L250," ")</f>
        <v>8.5774625641201343</v>
      </c>
      <c r="J47" s="50">
        <f ca="1">IFERROR('CWD NTS 2025 (Final-sem C.Reg)'!$E$253+'CWD NTS 2025 (Final-sem C.Reg)'!$L250," ")</f>
        <v>3.2042164845154364</v>
      </c>
      <c r="K47" s="50">
        <f ca="1">IFERROR('CWD NTS 2025 (Final-sem C.Reg)'!$E$254+'CWD NTS 2025 (Final-sem C.Reg)'!$L250," ")</f>
        <v>3.2426126721994488</v>
      </c>
      <c r="L47" s="50">
        <f ca="1">IFERROR('CWD NTS 2025 (Final-sem C.Reg)'!$E$255+'CWD NTS 2025 (Final-sem C.Reg)'!$L250," ")</f>
        <v>3.2299901845117338</v>
      </c>
    </row>
    <row r="48" spans="1:12" x14ac:dyDescent="0.3">
      <c r="A48" s="49" t="str">
        <f>'CWD NTS 2025 (Final-sem C.Reg)'!H251</f>
        <v>TEX6</v>
      </c>
      <c r="B48" s="49" t="str">
        <f>'CWD NTS 2025 (Final-sem C.Reg)'!I251</f>
        <v>NTS RJ 2</v>
      </c>
      <c r="C48" s="50">
        <f ca="1">IFERROR('CWD NTS 2025 (Final-sem C.Reg)'!$E$246+'CWD NTS 2025 (Final-sem C.Reg)'!$L251," ")</f>
        <v>8.6491730676791683</v>
      </c>
      <c r="D48" s="50">
        <f ca="1">IFERROR('CWD NTS 2025 (Final-sem C.Reg)'!$E$247+'CWD NTS 2025 (Final-sem C.Reg)'!$L251," ")</f>
        <v>8.0268124167807819</v>
      </c>
      <c r="E48" s="50">
        <f ca="1">IFERROR('CWD NTS 2025 (Final-sem C.Reg)'!$E$248+'CWD NTS 2025 (Final-sem C.Reg)'!$L251," ")</f>
        <v>8.1660575376432742</v>
      </c>
      <c r="F48" s="50"/>
      <c r="G48" s="50" t="str">
        <f ca="1">IFERROR('CWD NTS 2025 (Final-sem C.Reg)'!$E$250+'CWD NTS 2025 (Final-sem C.Reg)'!$L251," ")</f>
        <v xml:space="preserve"> </v>
      </c>
      <c r="H48" s="50" t="str">
        <f ca="1">IFERROR('CWD NTS 2025 (Final-sem C.Reg)'!$E$251+'CWD NTS 2025 (Final-sem C.Reg)'!$L251," ")</f>
        <v xml:space="preserve"> </v>
      </c>
      <c r="I48" s="50">
        <f ca="1">IFERROR('CWD NTS 2025 (Final-sem C.Reg)'!$E$252+'CWD NTS 2025 (Final-sem C.Reg)'!$L251," ")</f>
        <v>8.5757960913359348</v>
      </c>
      <c r="J48" s="50">
        <f ca="1">IFERROR('CWD NTS 2025 (Final-sem C.Reg)'!$E$253+'CWD NTS 2025 (Final-sem C.Reg)'!$L251," ")</f>
        <v>3.2025500117312364</v>
      </c>
      <c r="K48" s="50">
        <f ca="1">IFERROR('CWD NTS 2025 (Final-sem C.Reg)'!$E$254+'CWD NTS 2025 (Final-sem C.Reg)'!$L251," ")</f>
        <v>3.2409461994152489</v>
      </c>
      <c r="L48" s="50">
        <f ca="1">IFERROR('CWD NTS 2025 (Final-sem C.Reg)'!$E$255+'CWD NTS 2025 (Final-sem C.Reg)'!$L251," ")</f>
        <v>3.2283237117275339</v>
      </c>
    </row>
    <row r="49" spans="1:12" x14ac:dyDescent="0.3">
      <c r="A49" s="49" t="str">
        <f>'CWD NTS 2025 (Final-sem C.Reg)'!H252</f>
        <v>TEX7</v>
      </c>
      <c r="B49" s="49" t="str">
        <f>'CWD NTS 2025 (Final-sem C.Reg)'!I252</f>
        <v>NTS RJ 3</v>
      </c>
      <c r="C49" s="50">
        <f ca="1">IFERROR('CWD NTS 2025 (Final-sem C.Reg)'!$E$246+'CWD NTS 2025 (Final-sem C.Reg)'!$L252," ")</f>
        <v>8.7029777795912366</v>
      </c>
      <c r="D49" s="50">
        <f ca="1">IFERROR('CWD NTS 2025 (Final-sem C.Reg)'!$E$247+'CWD NTS 2025 (Final-sem C.Reg)'!$L252," ")</f>
        <v>8.0806171286928521</v>
      </c>
      <c r="E49" s="50">
        <f ca="1">IFERROR('CWD NTS 2025 (Final-sem C.Reg)'!$E$248+'CWD NTS 2025 (Final-sem C.Reg)'!$L252," ")</f>
        <v>8.2198622495553444</v>
      </c>
      <c r="F49" s="50"/>
      <c r="G49" s="50" t="str">
        <f ca="1">IFERROR('CWD NTS 2025 (Final-sem C.Reg)'!$E$250+'CWD NTS 2025 (Final-sem C.Reg)'!$L252," ")</f>
        <v xml:space="preserve"> </v>
      </c>
      <c r="H49" s="50" t="str">
        <f ca="1">IFERROR('CWD NTS 2025 (Final-sem C.Reg)'!$E$251+'CWD NTS 2025 (Final-sem C.Reg)'!$L252," ")</f>
        <v xml:space="preserve"> </v>
      </c>
      <c r="I49" s="50">
        <f ca="1">IFERROR('CWD NTS 2025 (Final-sem C.Reg)'!$E$252+'CWD NTS 2025 (Final-sem C.Reg)'!$L252," ")</f>
        <v>8.6296008032480032</v>
      </c>
      <c r="J49" s="50">
        <f ca="1">IFERROR('CWD NTS 2025 (Final-sem C.Reg)'!$E$253+'CWD NTS 2025 (Final-sem C.Reg)'!$L252," ")</f>
        <v>3.2563547236433061</v>
      </c>
      <c r="K49" s="50">
        <f ca="1">IFERROR('CWD NTS 2025 (Final-sem C.Reg)'!$E$254+'CWD NTS 2025 (Final-sem C.Reg)'!$L252," ")</f>
        <v>3.2947509113273186</v>
      </c>
      <c r="L49" s="50">
        <f ca="1">IFERROR('CWD NTS 2025 (Final-sem C.Reg)'!$E$255+'CWD NTS 2025 (Final-sem C.Reg)'!$L252," ")</f>
        <v>3.2821284236396036</v>
      </c>
    </row>
    <row r="50" spans="1:12" x14ac:dyDescent="0.3">
      <c r="A50" s="49" t="str">
        <f>'CWD NTS 2025 (Final-sem C.Reg)'!H253</f>
        <v>TEX8</v>
      </c>
      <c r="B50" s="49" t="str">
        <f>'CWD NTS 2025 (Final-sem C.Reg)'!I253</f>
        <v>NTS RJ 4</v>
      </c>
      <c r="C50" s="50">
        <f ca="1">IFERROR('CWD NTS 2025 (Final-sem C.Reg)'!$E$246+'CWD NTS 2025 (Final-sem C.Reg)'!$L253," ")</f>
        <v>8.7726638668926356</v>
      </c>
      <c r="D50" s="50">
        <f ca="1">IFERROR('CWD NTS 2025 (Final-sem C.Reg)'!$E$247+'CWD NTS 2025 (Final-sem C.Reg)'!$L253," ")</f>
        <v>8.1503032159942492</v>
      </c>
      <c r="E50" s="50">
        <f ca="1">IFERROR('CWD NTS 2025 (Final-sem C.Reg)'!$E$248+'CWD NTS 2025 (Final-sem C.Reg)'!$L253," ")</f>
        <v>8.2895483368567415</v>
      </c>
      <c r="F50" s="50"/>
      <c r="G50" s="50" t="str">
        <f ca="1">IFERROR('CWD NTS 2025 (Final-sem C.Reg)'!$E$250+'CWD NTS 2025 (Final-sem C.Reg)'!$L253," ")</f>
        <v xml:space="preserve"> </v>
      </c>
      <c r="H50" s="50" t="str">
        <f ca="1">IFERROR('CWD NTS 2025 (Final-sem C.Reg)'!$E$251+'CWD NTS 2025 (Final-sem C.Reg)'!$L253," ")</f>
        <v xml:space="preserve"> </v>
      </c>
      <c r="I50" s="50">
        <f ca="1">IFERROR('CWD NTS 2025 (Final-sem C.Reg)'!$E$252+'CWD NTS 2025 (Final-sem C.Reg)'!$L253," ")</f>
        <v>8.6992868905494021</v>
      </c>
      <c r="J50" s="50">
        <f ca="1">IFERROR('CWD NTS 2025 (Final-sem C.Reg)'!$E$253+'CWD NTS 2025 (Final-sem C.Reg)'!$L253," ")</f>
        <v>3.3260408109447042</v>
      </c>
      <c r="K50" s="50">
        <f ca="1">IFERROR('CWD NTS 2025 (Final-sem C.Reg)'!$E$254+'CWD NTS 2025 (Final-sem C.Reg)'!$L253," ")</f>
        <v>3.3644369986287166</v>
      </c>
      <c r="L50" s="50">
        <f ca="1">IFERROR('CWD NTS 2025 (Final-sem C.Reg)'!$E$255+'CWD NTS 2025 (Final-sem C.Reg)'!$L253," ")</f>
        <v>3.3518145109410016</v>
      </c>
    </row>
    <row r="51" spans="1:12" x14ac:dyDescent="0.3">
      <c r="A51" s="49" t="str">
        <f>'CWD NTS 2025 (Final-sem C.Reg)'!H254</f>
        <v>TEX9</v>
      </c>
      <c r="B51" s="49" t="str">
        <f>'CWD NTS 2025 (Final-sem C.Reg)'!I254</f>
        <v>NTS RJ 5</v>
      </c>
      <c r="C51" s="50">
        <f ca="1">IFERROR('CWD NTS 2025 (Final-sem C.Reg)'!$E$246+'CWD NTS 2025 (Final-sem C.Reg)'!$L254," ")</f>
        <v>8.6555256620017342</v>
      </c>
      <c r="D51" s="50">
        <f ca="1">IFERROR('CWD NTS 2025 (Final-sem C.Reg)'!$E$247+'CWD NTS 2025 (Final-sem C.Reg)'!$L254," ")</f>
        <v>8.0331650111033479</v>
      </c>
      <c r="E51" s="50">
        <f ca="1">IFERROR('CWD NTS 2025 (Final-sem C.Reg)'!$E$248+'CWD NTS 2025 (Final-sem C.Reg)'!$L254," ")</f>
        <v>8.1724101319658402</v>
      </c>
      <c r="F51" s="50"/>
      <c r="G51" s="50" t="str">
        <f ca="1">IFERROR('CWD NTS 2025 (Final-sem C.Reg)'!$E$250+'CWD NTS 2025 (Final-sem C.Reg)'!$L254," ")</f>
        <v xml:space="preserve"> </v>
      </c>
      <c r="H51" s="50" t="str">
        <f ca="1">IFERROR('CWD NTS 2025 (Final-sem C.Reg)'!$E$251+'CWD NTS 2025 (Final-sem C.Reg)'!$L254," ")</f>
        <v xml:space="preserve"> </v>
      </c>
      <c r="I51" s="50">
        <f ca="1">IFERROR('CWD NTS 2025 (Final-sem C.Reg)'!$E$252+'CWD NTS 2025 (Final-sem C.Reg)'!$L254," ")</f>
        <v>8.5821486856585008</v>
      </c>
      <c r="J51" s="50">
        <f ca="1">IFERROR('CWD NTS 2025 (Final-sem C.Reg)'!$E$253+'CWD NTS 2025 (Final-sem C.Reg)'!$L254," ")</f>
        <v>3.2089026060538028</v>
      </c>
      <c r="K51" s="50">
        <f ca="1">IFERROR('CWD NTS 2025 (Final-sem C.Reg)'!$E$254+'CWD NTS 2025 (Final-sem C.Reg)'!$L254," ")</f>
        <v>3.2472987937378153</v>
      </c>
      <c r="L51" s="50">
        <f ca="1">IFERROR('CWD NTS 2025 (Final-sem C.Reg)'!$E$255+'CWD NTS 2025 (Final-sem C.Reg)'!$L254," ")</f>
        <v>3.2346763060501003</v>
      </c>
    </row>
    <row r="52" spans="1:12" x14ac:dyDescent="0.3">
      <c r="A52" s="49" t="str">
        <f>'CWD NTS 2025 (Final-sem C.Reg)'!H255</f>
        <v>TEX10</v>
      </c>
      <c r="B52" s="49" t="str">
        <f>'CWD NTS 2025 (Final-sem C.Reg)'!I255</f>
        <v>NTS SP 1</v>
      </c>
      <c r="C52" s="50">
        <f ca="1">IFERROR('CWD NTS 2025 (Final-sem C.Reg)'!$E$246+'CWD NTS 2025 (Final-sem C.Reg)'!$L255," ")</f>
        <v>8.9788970196699047</v>
      </c>
      <c r="D52" s="50">
        <f ca="1">IFERROR('CWD NTS 2025 (Final-sem C.Reg)'!$E$247+'CWD NTS 2025 (Final-sem C.Reg)'!$L255," ")</f>
        <v>8.3565363687715202</v>
      </c>
      <c r="E52" s="50">
        <f ca="1">IFERROR('CWD NTS 2025 (Final-sem C.Reg)'!$E$248+'CWD NTS 2025 (Final-sem C.Reg)'!$L255," ")</f>
        <v>8.4957814896340125</v>
      </c>
      <c r="F52" s="50"/>
      <c r="G52" s="50" t="str">
        <f ca="1">IFERROR('CWD NTS 2025 (Final-sem C.Reg)'!$E$250+'CWD NTS 2025 (Final-sem C.Reg)'!$L255," ")</f>
        <v xml:space="preserve"> </v>
      </c>
      <c r="H52" s="50" t="str">
        <f ca="1">IFERROR('CWD NTS 2025 (Final-sem C.Reg)'!$E$251+'CWD NTS 2025 (Final-sem C.Reg)'!$L255," ")</f>
        <v xml:space="preserve"> </v>
      </c>
      <c r="I52" s="50">
        <f ca="1">IFERROR('CWD NTS 2025 (Final-sem C.Reg)'!$E$252+'CWD NTS 2025 (Final-sem C.Reg)'!$L255," ")</f>
        <v>8.9055200433266712</v>
      </c>
      <c r="J52" s="50">
        <f ca="1">IFERROR('CWD NTS 2025 (Final-sem C.Reg)'!$E$253+'CWD NTS 2025 (Final-sem C.Reg)'!$L255," ")</f>
        <v>3.5322739637219742</v>
      </c>
      <c r="K52" s="50">
        <f ca="1">IFERROR('CWD NTS 2025 (Final-sem C.Reg)'!$E$254+'CWD NTS 2025 (Final-sem C.Reg)'!$L255," ")</f>
        <v>3.5706701514059866</v>
      </c>
      <c r="L52" s="50">
        <f ca="1">IFERROR('CWD NTS 2025 (Final-sem C.Reg)'!$E$255+'CWD NTS 2025 (Final-sem C.Reg)'!$L255," ")</f>
        <v>3.5580476637182716</v>
      </c>
    </row>
    <row r="53" spans="1:12" x14ac:dyDescent="0.3">
      <c r="A53" s="49" t="str">
        <f>'CWD NTS 2025 (Final-sem C.Reg)'!H256</f>
        <v>TEX11</v>
      </c>
      <c r="B53" s="49" t="str">
        <f>'CWD NTS 2025 (Final-sem C.Reg)'!I256</f>
        <v>NTS SP 2</v>
      </c>
      <c r="C53" s="50">
        <f ca="1">IFERROR('CWD NTS 2025 (Final-sem C.Reg)'!$E$246+'CWD NTS 2025 (Final-sem C.Reg)'!$L256," ")</f>
        <v>8.9585230963502447</v>
      </c>
      <c r="D53" s="50">
        <f ca="1">IFERROR('CWD NTS 2025 (Final-sem C.Reg)'!$E$247+'CWD NTS 2025 (Final-sem C.Reg)'!$L256," ")</f>
        <v>8.3361624454518601</v>
      </c>
      <c r="E53" s="50">
        <f ca="1">IFERROR('CWD NTS 2025 (Final-sem C.Reg)'!$E$248+'CWD NTS 2025 (Final-sem C.Reg)'!$L256," ")</f>
        <v>8.4754075663143524</v>
      </c>
      <c r="F53" s="50"/>
      <c r="G53" s="50" t="str">
        <f ca="1">IFERROR('CWD NTS 2025 (Final-sem C.Reg)'!$E$250+'CWD NTS 2025 (Final-sem C.Reg)'!$L256," ")</f>
        <v xml:space="preserve"> </v>
      </c>
      <c r="H53" s="50" t="str">
        <f ca="1">IFERROR('CWD NTS 2025 (Final-sem C.Reg)'!$E$251+'CWD NTS 2025 (Final-sem C.Reg)'!$L256," ")</f>
        <v xml:space="preserve"> </v>
      </c>
      <c r="I53" s="50">
        <f ca="1">IFERROR('CWD NTS 2025 (Final-sem C.Reg)'!$E$252+'CWD NTS 2025 (Final-sem C.Reg)'!$L256," ")</f>
        <v>8.8851461200070112</v>
      </c>
      <c r="J53" s="50">
        <f ca="1">IFERROR('CWD NTS 2025 (Final-sem C.Reg)'!$E$253+'CWD NTS 2025 (Final-sem C.Reg)'!$L256," ")</f>
        <v>3.5119000404023146</v>
      </c>
      <c r="K53" s="50">
        <f ca="1">IFERROR('CWD NTS 2025 (Final-sem C.Reg)'!$E$254+'CWD NTS 2025 (Final-sem C.Reg)'!$L256," ")</f>
        <v>3.5502962280863271</v>
      </c>
      <c r="L53" s="50">
        <f ca="1">IFERROR('CWD NTS 2025 (Final-sem C.Reg)'!$E$255+'CWD NTS 2025 (Final-sem C.Reg)'!$L256," ")</f>
        <v>3.537673740398612</v>
      </c>
    </row>
    <row r="54" spans="1:12" x14ac:dyDescent="0.3">
      <c r="A54" s="49" t="str">
        <f>'CWD NTS 2025 (Final-sem C.Reg)'!H257</f>
        <v>TEX12</v>
      </c>
      <c r="B54" s="49" t="str">
        <f>'CWD NTS 2025 (Final-sem C.Reg)'!I257</f>
        <v>NTS SP 3</v>
      </c>
      <c r="C54" s="50">
        <f ca="1">IFERROR('CWD NTS 2025 (Final-sem C.Reg)'!$E$246+'CWD NTS 2025 (Final-sem C.Reg)'!$L257," ")</f>
        <v>9.1936532200847338</v>
      </c>
      <c r="D54" s="50">
        <f ca="1">IFERROR('CWD NTS 2025 (Final-sem C.Reg)'!$E$247+'CWD NTS 2025 (Final-sem C.Reg)'!$L257," ")</f>
        <v>8.5712925691863475</v>
      </c>
      <c r="E54" s="50">
        <f ca="1">IFERROR('CWD NTS 2025 (Final-sem C.Reg)'!$E$248+'CWD NTS 2025 (Final-sem C.Reg)'!$L257," ")</f>
        <v>8.7105376900488398</v>
      </c>
      <c r="F54" s="50"/>
      <c r="G54" s="50" t="str">
        <f ca="1">IFERROR('CWD NTS 2025 (Final-sem C.Reg)'!$E$250+'CWD NTS 2025 (Final-sem C.Reg)'!$L257," ")</f>
        <v xml:space="preserve"> </v>
      </c>
      <c r="H54" s="50" t="str">
        <f ca="1">IFERROR('CWD NTS 2025 (Final-sem C.Reg)'!$E$251+'CWD NTS 2025 (Final-sem C.Reg)'!$L257," ")</f>
        <v xml:space="preserve"> </v>
      </c>
      <c r="I54" s="50">
        <f ca="1">IFERROR('CWD NTS 2025 (Final-sem C.Reg)'!$E$252+'CWD NTS 2025 (Final-sem C.Reg)'!$L257," ")</f>
        <v>9.1202762437415004</v>
      </c>
      <c r="J54" s="50">
        <f ca="1">IFERROR('CWD NTS 2025 (Final-sem C.Reg)'!$E$253+'CWD NTS 2025 (Final-sem C.Reg)'!$L257," ")</f>
        <v>3.7470301641368025</v>
      </c>
      <c r="K54" s="50">
        <f ca="1">IFERROR('CWD NTS 2025 (Final-sem C.Reg)'!$E$254+'CWD NTS 2025 (Final-sem C.Reg)'!$L257," ")</f>
        <v>3.7854263518208149</v>
      </c>
      <c r="L54" s="50">
        <f ca="1">IFERROR('CWD NTS 2025 (Final-sem C.Reg)'!$E$255+'CWD NTS 2025 (Final-sem C.Reg)'!$L257," ")</f>
        <v>3.7728038641330999</v>
      </c>
    </row>
    <row r="55" spans="1:12" x14ac:dyDescent="0.3">
      <c r="A55" s="49" t="str">
        <f>'CWD NTS 2025 (Final-sem C.Reg)'!H258</f>
        <v>TEX13</v>
      </c>
      <c r="B55" s="49" t="str">
        <f>'CWD NTS 2025 (Final-sem C.Reg)'!I258</f>
        <v>NTS SP 4</v>
      </c>
      <c r="C55" s="50">
        <f ca="1">IFERROR('CWD NTS 2025 (Final-sem C.Reg)'!$E$246+'CWD NTS 2025 (Final-sem C.Reg)'!$L258," ")</f>
        <v>9.2680092497577569</v>
      </c>
      <c r="D55" s="50">
        <f ca="1">IFERROR('CWD NTS 2025 (Final-sem C.Reg)'!$E$247+'CWD NTS 2025 (Final-sem C.Reg)'!$L258," ")</f>
        <v>8.6456485988593705</v>
      </c>
      <c r="E55" s="50">
        <f ca="1">IFERROR('CWD NTS 2025 (Final-sem C.Reg)'!$E$248+'CWD NTS 2025 (Final-sem C.Reg)'!$L258," ")</f>
        <v>8.7848937197218646</v>
      </c>
      <c r="F55" s="50"/>
      <c r="G55" s="50" t="str">
        <f ca="1">IFERROR('CWD NTS 2025 (Final-sem C.Reg)'!$E$250+'CWD NTS 2025 (Final-sem C.Reg)'!$L258," ")</f>
        <v xml:space="preserve"> </v>
      </c>
      <c r="H55" s="50" t="str">
        <f ca="1">IFERROR('CWD NTS 2025 (Final-sem C.Reg)'!$E$251+'CWD NTS 2025 (Final-sem C.Reg)'!$L258," ")</f>
        <v xml:space="preserve"> </v>
      </c>
      <c r="I55" s="50">
        <f ca="1">IFERROR('CWD NTS 2025 (Final-sem C.Reg)'!$E$252+'CWD NTS 2025 (Final-sem C.Reg)'!$L258," ")</f>
        <v>9.1946322734145234</v>
      </c>
      <c r="J55" s="50">
        <f ca="1">IFERROR('CWD NTS 2025 (Final-sem C.Reg)'!$E$253+'CWD NTS 2025 (Final-sem C.Reg)'!$L258," ")</f>
        <v>3.8213861938098259</v>
      </c>
      <c r="K55" s="50">
        <f ca="1">IFERROR('CWD NTS 2025 (Final-sem C.Reg)'!$E$254+'CWD NTS 2025 (Final-sem C.Reg)'!$L258," ")</f>
        <v>3.8597823814938383</v>
      </c>
      <c r="L55" s="50">
        <f ca="1">IFERROR('CWD NTS 2025 (Final-sem C.Reg)'!$E$255+'CWD NTS 2025 (Final-sem C.Reg)'!$L258," ")</f>
        <v>3.8471598938061233</v>
      </c>
    </row>
    <row r="56" spans="1:12" x14ac:dyDescent="0.3">
      <c r="A56" s="49" t="str">
        <f>'CWD NTS 2025 (Final-sem C.Reg)'!H259</f>
        <v>TEX14</v>
      </c>
      <c r="B56" s="49" t="str">
        <f>'CWD NTS 2025 (Final-sem C.Reg)'!I259</f>
        <v>PE-GUARAREMA (INTERCONEXÃO)</v>
      </c>
      <c r="C56" s="50">
        <f ca="1">IFERROR('CWD NTS 2025 (Final-sem C.Reg)'!$E$246+'CWD NTS 2025 (Final-sem C.Reg)'!$L259," ")</f>
        <v>5.9588939941533798</v>
      </c>
      <c r="D56" s="50">
        <f ca="1">IFERROR('CWD NTS 2025 (Final-sem C.Reg)'!$E$247+'CWD NTS 2025 (Final-sem C.Reg)'!$L259," ")</f>
        <v>5.3365333432549944</v>
      </c>
      <c r="E56" s="50">
        <f ca="1">IFERROR('CWD NTS 2025 (Final-sem C.Reg)'!$E$248+'CWD NTS 2025 (Final-sem C.Reg)'!$L259," ")</f>
        <v>5.4757784641174867</v>
      </c>
      <c r="F56" s="50"/>
      <c r="G56" s="50" t="str">
        <f>IFERROR('CWD NTS 2025 (Final-sem C.Reg)'!$E$250+'CWD NTS 2025 (Final-sem C.Reg)'!$L259," ")</f>
        <v xml:space="preserve"> </v>
      </c>
      <c r="H56" s="50" t="str">
        <f>IFERROR('CWD NTS 2025 (Final-sem C.Reg)'!$E$251+'CWD NTS 2025 (Final-sem C.Reg)'!$L259," ")</f>
        <v xml:space="preserve"> </v>
      </c>
      <c r="I56" s="50">
        <f ca="1">IFERROR('CWD NTS 2025 (Final-sem C.Reg)'!$E$252+'CWD NTS 2025 (Final-sem C.Reg)'!$L259," ")</f>
        <v>5.8855170178101464</v>
      </c>
      <c r="J56" s="50">
        <f ca="1">IFERROR('CWD NTS 2025 (Final-sem C.Reg)'!$E$253+'CWD NTS 2025 (Final-sem C.Reg)'!$L259," ")</f>
        <v>0.51227093820544878</v>
      </c>
      <c r="K56" s="50">
        <f ca="1">IFERROR('CWD NTS 2025 (Final-sem C.Reg)'!$E$254+'CWD NTS 2025 (Final-sem C.Reg)'!$L259," ")</f>
        <v>0.55066712588946121</v>
      </c>
      <c r="L56" s="50">
        <f ca="1">IFERROR('CWD NTS 2025 (Final-sem C.Reg)'!$E$255+'CWD NTS 2025 (Final-sem C.Reg)'!$L259," ")</f>
        <v>0.53804463820174619</v>
      </c>
    </row>
    <row r="57" spans="1:12" x14ac:dyDescent="0.3">
      <c r="A57" s="49" t="str">
        <f>'CWD NTS 2025 (Final-sem C.Reg)'!H260</f>
        <v>TEX15</v>
      </c>
      <c r="B57" s="49" t="str">
        <f>'CWD NTS 2025 (Final-sem C.Reg)'!I260</f>
        <v>PE-REPLAN (INTERCONEXÃO)</v>
      </c>
      <c r="C57" s="50">
        <f ca="1">IFERROR('CWD NTS 2025 (Final-sem C.Reg)'!$E$246+'CWD NTS 2025 (Final-sem C.Reg)'!$L260," ")</f>
        <v>6.2484142763999317</v>
      </c>
      <c r="D57" s="50">
        <f ca="1">IFERROR('CWD NTS 2025 (Final-sem C.Reg)'!$E$247+'CWD NTS 2025 (Final-sem C.Reg)'!$L260," ")</f>
        <v>5.6260536255015463</v>
      </c>
      <c r="E57" s="50">
        <f ca="1">IFERROR('CWD NTS 2025 (Final-sem C.Reg)'!$E$248+'CWD NTS 2025 (Final-sem C.Reg)'!$L260," ")</f>
        <v>5.7652987463640386</v>
      </c>
      <c r="F57" s="50"/>
      <c r="G57" s="50" t="str">
        <f ca="1">IFERROR('CWD NTS 2025 (Final-sem C.Reg)'!$E$250+'CWD NTS 2025 (Final-sem C.Reg)'!$L260," ")</f>
        <v xml:space="preserve"> </v>
      </c>
      <c r="H57" s="50" t="str">
        <f ca="1">IFERROR('CWD NTS 2025 (Final-sem C.Reg)'!$E$251+'CWD NTS 2025 (Final-sem C.Reg)'!$L260," ")</f>
        <v xml:space="preserve"> </v>
      </c>
      <c r="I57" s="50">
        <f ca="1">IFERROR('CWD NTS 2025 (Final-sem C.Reg)'!$E$252+'CWD NTS 2025 (Final-sem C.Reg)'!$L260," ")</f>
        <v>6.1750373000566983</v>
      </c>
      <c r="J57" s="50">
        <f ca="1">IFERROR('CWD NTS 2025 (Final-sem C.Reg)'!$E$253+'CWD NTS 2025 (Final-sem C.Reg)'!$L260," ")</f>
        <v>0.80179122045200035</v>
      </c>
      <c r="K57" s="50">
        <f ca="1">IFERROR('CWD NTS 2025 (Final-sem C.Reg)'!$E$254+'CWD NTS 2025 (Final-sem C.Reg)'!$L260," ")</f>
        <v>0.84018740813601278</v>
      </c>
      <c r="L57" s="50">
        <f ca="1">IFERROR('CWD NTS 2025 (Final-sem C.Reg)'!$E$255+'CWD NTS 2025 (Final-sem C.Reg)'!$L260," ")</f>
        <v>0.82756492044829777</v>
      </c>
    </row>
    <row r="58" spans="1:12" x14ac:dyDescent="0.3">
      <c r="A58" s="49" t="str">
        <f>'CWD NTS 2025 (Final-sem C.Reg)'!H261</f>
        <v>TEX16</v>
      </c>
      <c r="B58" s="49" t="str">
        <f>'CWD NTS 2025 (Final-sem C.Reg)'!I261</f>
        <v>PE-TECAB (INTERCONEXÃO)</v>
      </c>
      <c r="C58" s="50">
        <f ca="1">IFERROR('CWD NTS 2025 (Final-sem C.Reg)'!$E$246+'CWD NTS 2025 (Final-sem C.Reg)'!$L261," ")</f>
        <v>6.2092613784245705</v>
      </c>
      <c r="D58" s="50">
        <f ca="1">IFERROR('CWD NTS 2025 (Final-sem C.Reg)'!$E$247+'CWD NTS 2025 (Final-sem C.Reg)'!$L261," ")</f>
        <v>5.5869007275261851</v>
      </c>
      <c r="E58" s="50">
        <f ca="1">IFERROR('CWD NTS 2025 (Final-sem C.Reg)'!$E$248+'CWD NTS 2025 (Final-sem C.Reg)'!$L261," ")</f>
        <v>5.7261458483886774</v>
      </c>
      <c r="F58" s="50"/>
      <c r="G58" s="50" t="str">
        <f ca="1">IFERROR('CWD NTS 2025 (Final-sem C.Reg)'!$E$250+'CWD NTS 2025 (Final-sem C.Reg)'!$L261," ")</f>
        <v xml:space="preserve"> </v>
      </c>
      <c r="H58" s="50" t="str">
        <f ca="1">IFERROR('CWD NTS 2025 (Final-sem C.Reg)'!$E$251+'CWD NTS 2025 (Final-sem C.Reg)'!$L261," ")</f>
        <v xml:space="preserve"> </v>
      </c>
      <c r="I58" s="50">
        <f ca="1">IFERROR('CWD NTS 2025 (Final-sem C.Reg)'!$E$252+'CWD NTS 2025 (Final-sem C.Reg)'!$L261," ")</f>
        <v>6.135884402081337</v>
      </c>
      <c r="J58" s="50">
        <f ca="1">IFERROR('CWD NTS 2025 (Final-sem C.Reg)'!$E$253+'CWD NTS 2025 (Final-sem C.Reg)'!$L261," ")</f>
        <v>0.76263832247663976</v>
      </c>
      <c r="K58" s="50">
        <f ca="1">IFERROR('CWD NTS 2025 (Final-sem C.Reg)'!$E$254+'CWD NTS 2025 (Final-sem C.Reg)'!$L261," ")</f>
        <v>0.80103451016065219</v>
      </c>
      <c r="L58" s="50">
        <f ca="1">IFERROR('CWD NTS 2025 (Final-sem C.Reg)'!$E$255+'CWD NTS 2025 (Final-sem C.Reg)'!$L261," ")</f>
        <v>0.78841202247293718</v>
      </c>
    </row>
  </sheetData>
  <pageMargins left="0.511811024" right="0.511811024" top="0.78740157499999996" bottom="0.78740157499999996" header="0.31496062000000002" footer="0.31496062000000002"/>
  <pageSetup paperSize="9" scale="64" orientation="portrait" horizontalDpi="300" verticalDpi="300" r:id="rId1"/>
  <colBreaks count="1" manualBreakCount="1">
    <brk id="11"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5"/>
  <dimension ref="B1:K56"/>
  <sheetViews>
    <sheetView showGridLines="0" workbookViewId="0">
      <selection activeCell="C11" sqref="C11"/>
    </sheetView>
  </sheetViews>
  <sheetFormatPr defaultRowHeight="14.4" x14ac:dyDescent="0.3"/>
  <cols>
    <col min="1" max="1" width="1.21875" customWidth="1"/>
    <col min="2" max="2" width="25.21875" customWidth="1"/>
    <col min="3" max="5" width="13.21875" customWidth="1"/>
    <col min="6" max="6" width="15.44140625" customWidth="1"/>
    <col min="7" max="10" width="13.21875" customWidth="1"/>
    <col min="11" max="11" width="14.77734375" bestFit="1" customWidth="1"/>
  </cols>
  <sheetData>
    <row r="1" spans="2:11" ht="6.75" customHeight="1" x14ac:dyDescent="0.3"/>
    <row r="2" spans="2:11" ht="43.2" x14ac:dyDescent="0.3">
      <c r="B2" s="241" t="s">
        <v>488</v>
      </c>
      <c r="C2" s="241" t="s">
        <v>498</v>
      </c>
      <c r="D2" s="241" t="s">
        <v>502</v>
      </c>
      <c r="E2" s="241" t="s">
        <v>513</v>
      </c>
      <c r="F2" s="241" t="s">
        <v>524</v>
      </c>
      <c r="G2" s="241" t="s">
        <v>25</v>
      </c>
      <c r="H2" s="241" t="s">
        <v>499</v>
      </c>
      <c r="I2" s="241" t="s">
        <v>500</v>
      </c>
      <c r="J2" s="241" t="s">
        <v>501</v>
      </c>
    </row>
    <row r="3" spans="2:11" x14ac:dyDescent="0.3">
      <c r="B3" s="242" t="s">
        <v>458</v>
      </c>
      <c r="C3" s="243">
        <f ca="1">'Tarifa Ponderada 2024'!D2</f>
        <v>5.9588939941533798</v>
      </c>
      <c r="D3" s="243">
        <f ca="1">'Tarifa Ponderada 2024'!D3</f>
        <v>5.3365333432549944</v>
      </c>
      <c r="E3" s="243">
        <f ca="1">'Tarifa Ponderada 2024'!D4</f>
        <v>5.4757784641174867</v>
      </c>
      <c r="F3" s="243">
        <f ca="1">'Tarifa Ponderada 2024'!D5</f>
        <v>0.55066712588946132</v>
      </c>
      <c r="G3" s="243">
        <f ca="1">'Tarifa Ponderada 2024'!D8</f>
        <v>5.8855170178101464</v>
      </c>
      <c r="H3" s="243">
        <f ca="1">'Tarifa Ponderada 2024'!D9</f>
        <v>0.51227093820544889</v>
      </c>
      <c r="I3" s="243">
        <f ca="1">'Tarifa Ponderada 2024'!D10</f>
        <v>0.55066712588946121</v>
      </c>
      <c r="J3" s="243">
        <f ca="1">'Tarifa Ponderada 2024'!D11</f>
        <v>0.53804463820174631</v>
      </c>
    </row>
    <row r="4" spans="2:11" ht="5.0999999999999996" customHeight="1" x14ac:dyDescent="0.3"/>
    <row r="5" spans="2:11" ht="15" thickBot="1" x14ac:dyDescent="0.35">
      <c r="B5" s="209" t="s">
        <v>492</v>
      </c>
      <c r="C5" s="292">
        <f ca="1">'Tarifa Ponderada 2024'!$H$18</f>
        <v>3.3952730914709068</v>
      </c>
      <c r="D5" s="292">
        <f ca="1">'Tarifa Ponderada 2024'!$H$18</f>
        <v>3.3952730914709068</v>
      </c>
      <c r="E5" s="292">
        <f ca="1">'Tarifa Ponderada 2024'!$H$18</f>
        <v>3.3952730914709068</v>
      </c>
      <c r="F5" s="292">
        <f ca="1">'Tarifa Ponderada 2024'!$H$18</f>
        <v>3.3952730914709068</v>
      </c>
      <c r="G5" s="292">
        <f ca="1">'Tarifa Ponderada 2024'!$H$18</f>
        <v>3.3952730914709068</v>
      </c>
      <c r="H5" s="292">
        <f ca="1">'Tarifa Ponderada 2024'!$H$18</f>
        <v>3.3952730914709068</v>
      </c>
      <c r="I5" s="292">
        <f ca="1">'Tarifa Ponderada 2024'!$H$18</f>
        <v>3.3952730914709068</v>
      </c>
      <c r="J5" s="292">
        <f ca="1">'Tarifa Ponderada 2024'!$H$18</f>
        <v>3.3952730914709068</v>
      </c>
    </row>
    <row r="6" spans="2:11" ht="15" thickBot="1" x14ac:dyDescent="0.35">
      <c r="B6" s="293" t="s">
        <v>497</v>
      </c>
      <c r="C6" s="294">
        <f ca="1">C3+C5</f>
        <v>9.3541670856242867</v>
      </c>
      <c r="D6" s="294">
        <f t="shared" ref="D6:J6" ca="1" si="0">D3+D5</f>
        <v>8.7318064347259003</v>
      </c>
      <c r="E6" s="294">
        <f t="shared" ca="1" si="0"/>
        <v>8.8710515555883944</v>
      </c>
      <c r="F6" s="294">
        <f t="shared" ca="1" si="0"/>
        <v>3.9459402173603682</v>
      </c>
      <c r="G6" s="294">
        <f t="shared" ca="1" si="0"/>
        <v>9.2807901092810532</v>
      </c>
      <c r="H6" s="294">
        <f t="shared" ca="1" si="0"/>
        <v>3.9075440296763557</v>
      </c>
      <c r="I6" s="294">
        <f t="shared" ca="1" si="0"/>
        <v>3.9459402173603682</v>
      </c>
      <c r="J6" s="295">
        <f t="shared" ca="1" si="0"/>
        <v>3.9333177296726531</v>
      </c>
    </row>
    <row r="7" spans="2:11" ht="5.0999999999999996" customHeight="1" x14ac:dyDescent="0.3"/>
    <row r="8" spans="2:11" ht="15" thickBot="1" x14ac:dyDescent="0.35">
      <c r="B8" s="209" t="s">
        <v>493</v>
      </c>
      <c r="C8" s="292">
        <f ca="1">'Tarifa Ponderada 2024'!$H$27</f>
        <v>3.1881521999726994</v>
      </c>
      <c r="D8" s="292">
        <f ca="1">C8</f>
        <v>3.1881521999726994</v>
      </c>
      <c r="E8" s="292">
        <f t="shared" ref="E8:J8" ca="1" si="1">D8</f>
        <v>3.1881521999726994</v>
      </c>
      <c r="F8" s="292" t="s">
        <v>523</v>
      </c>
      <c r="G8" s="292">
        <f ca="1">E8</f>
        <v>3.1881521999726994</v>
      </c>
      <c r="H8" s="292">
        <f t="shared" ca="1" si="1"/>
        <v>3.1881521999726994</v>
      </c>
      <c r="I8" s="292">
        <f t="shared" ca="1" si="1"/>
        <v>3.1881521999726994</v>
      </c>
      <c r="J8" s="292">
        <f t="shared" ca="1" si="1"/>
        <v>3.1881521999726994</v>
      </c>
    </row>
    <row r="9" spans="2:11" ht="15" thickBot="1" x14ac:dyDescent="0.35">
      <c r="B9" s="293" t="s">
        <v>497</v>
      </c>
      <c r="C9" s="294">
        <f ca="1">C3+C8</f>
        <v>9.1470461941260801</v>
      </c>
      <c r="D9" s="294">
        <f t="shared" ref="D9:J9" ca="1" si="2">D3+D8</f>
        <v>8.5246855432276938</v>
      </c>
      <c r="E9" s="294">
        <f t="shared" ca="1" si="2"/>
        <v>8.6639306640901861</v>
      </c>
      <c r="F9" s="294" t="s">
        <v>523</v>
      </c>
      <c r="G9" s="294">
        <f t="shared" ca="1" si="2"/>
        <v>9.0736692177828466</v>
      </c>
      <c r="H9" s="294">
        <f t="shared" ca="1" si="2"/>
        <v>3.7004231381781483</v>
      </c>
      <c r="I9" s="294">
        <f t="shared" ca="1" si="2"/>
        <v>3.7388193258621607</v>
      </c>
      <c r="J9" s="295">
        <f t="shared" ca="1" si="2"/>
        <v>3.7261968381744457</v>
      </c>
    </row>
    <row r="10" spans="2:11" ht="5.0999999999999996" customHeight="1" x14ac:dyDescent="0.3"/>
    <row r="11" spans="2:11" ht="15" thickBot="1" x14ac:dyDescent="0.35">
      <c r="B11" s="209" t="s">
        <v>494</v>
      </c>
      <c r="C11" s="292">
        <f ca="1">'Tarifa Ponderada 2024'!$H$23</f>
        <v>2.6960516553770244</v>
      </c>
      <c r="D11" s="292">
        <f ca="1">C11</f>
        <v>2.6960516553770244</v>
      </c>
      <c r="E11" s="292">
        <f t="shared" ref="E11:J11" ca="1" si="3">D11</f>
        <v>2.6960516553770244</v>
      </c>
      <c r="F11" s="292" t="s">
        <v>523</v>
      </c>
      <c r="G11" s="292">
        <f ca="1">E11</f>
        <v>2.6960516553770244</v>
      </c>
      <c r="H11" s="292">
        <f t="shared" ca="1" si="3"/>
        <v>2.6960516553770244</v>
      </c>
      <c r="I11" s="292">
        <f t="shared" ca="1" si="3"/>
        <v>2.6960516553770244</v>
      </c>
      <c r="J11" s="292">
        <f t="shared" ca="1" si="3"/>
        <v>2.6960516553770244</v>
      </c>
    </row>
    <row r="12" spans="2:11" ht="15" thickBot="1" x14ac:dyDescent="0.35">
      <c r="B12" s="293" t="s">
        <v>497</v>
      </c>
      <c r="C12" s="296">
        <f ca="1">C3+C11</f>
        <v>8.6549456495304042</v>
      </c>
      <c r="D12" s="296">
        <f t="shared" ref="D12:J12" ca="1" si="4">D3+D11</f>
        <v>8.0325849986320179</v>
      </c>
      <c r="E12" s="296">
        <f t="shared" ca="1" si="4"/>
        <v>8.171830119494512</v>
      </c>
      <c r="F12" s="296" t="s">
        <v>523</v>
      </c>
      <c r="G12" s="296">
        <f t="shared" ca="1" si="4"/>
        <v>8.5815686731871708</v>
      </c>
      <c r="H12" s="296">
        <f t="shared" ca="1" si="4"/>
        <v>3.2083225935824733</v>
      </c>
      <c r="I12" s="296">
        <f t="shared" ca="1" si="4"/>
        <v>3.2467187812664857</v>
      </c>
      <c r="J12" s="297">
        <f t="shared" ca="1" si="4"/>
        <v>3.2340962935787707</v>
      </c>
    </row>
    <row r="13" spans="2:11" ht="5.0999999999999996" customHeight="1" x14ac:dyDescent="0.3"/>
    <row r="14" spans="2:11" ht="15" thickBot="1" x14ac:dyDescent="0.35">
      <c r="B14" s="209" t="s">
        <v>495</v>
      </c>
      <c r="C14" s="292">
        <f ca="1">'Tarifa Ponderada 2024'!$H$29</f>
        <v>0.28952028224655169</v>
      </c>
      <c r="D14" s="292">
        <f ca="1">C14</f>
        <v>0.28952028224655169</v>
      </c>
      <c r="E14" s="292">
        <f t="shared" ref="E14:J14" ca="1" si="5">D14</f>
        <v>0.28952028224655169</v>
      </c>
      <c r="F14" s="292" t="s">
        <v>523</v>
      </c>
      <c r="G14" s="292">
        <f ca="1">E14</f>
        <v>0.28952028224655169</v>
      </c>
      <c r="H14" s="292">
        <f t="shared" ca="1" si="5"/>
        <v>0.28952028224655169</v>
      </c>
      <c r="I14" s="292">
        <f t="shared" ca="1" si="5"/>
        <v>0.28952028224655169</v>
      </c>
      <c r="J14" s="292">
        <f t="shared" ca="1" si="5"/>
        <v>0.28952028224655169</v>
      </c>
      <c r="K14" s="134"/>
    </row>
    <row r="15" spans="2:11" ht="15" thickBot="1" x14ac:dyDescent="0.35">
      <c r="B15" s="293" t="s">
        <v>497</v>
      </c>
      <c r="C15" s="296">
        <f ca="1">C3+C14</f>
        <v>6.2484142763999317</v>
      </c>
      <c r="D15" s="296">
        <f t="shared" ref="D15:J15" ca="1" si="6">D3+D14</f>
        <v>5.6260536255015463</v>
      </c>
      <c r="E15" s="296">
        <f t="shared" ca="1" si="6"/>
        <v>5.7652987463640386</v>
      </c>
      <c r="F15" s="296" t="s">
        <v>523</v>
      </c>
      <c r="G15" s="296">
        <f t="shared" ca="1" si="6"/>
        <v>6.1750373000566983</v>
      </c>
      <c r="H15" s="296">
        <f t="shared" ca="1" si="6"/>
        <v>0.80179122045200057</v>
      </c>
      <c r="I15" s="296">
        <f t="shared" ca="1" si="6"/>
        <v>0.84018740813601289</v>
      </c>
      <c r="J15" s="297">
        <f t="shared" ca="1" si="6"/>
        <v>0.82756492044829799</v>
      </c>
    </row>
    <row r="16" spans="2:11" ht="5.0999999999999996" customHeight="1" x14ac:dyDescent="0.3"/>
    <row r="17" spans="2:10" ht="15" thickBot="1" x14ac:dyDescent="0.35">
      <c r="B17" s="209" t="s">
        <v>496</v>
      </c>
      <c r="C17" s="292">
        <f ca="1">'Tarifa Ponderada 2024'!$H$30</f>
        <v>0.25036738427119104</v>
      </c>
      <c r="D17" s="292">
        <f ca="1">C17</f>
        <v>0.25036738427119104</v>
      </c>
      <c r="E17" s="292">
        <f t="shared" ref="E17:J17" ca="1" si="7">D17</f>
        <v>0.25036738427119104</v>
      </c>
      <c r="F17" s="292" t="s">
        <v>523</v>
      </c>
      <c r="G17" s="292">
        <f ca="1">E17</f>
        <v>0.25036738427119104</v>
      </c>
      <c r="H17" s="292">
        <f t="shared" ca="1" si="7"/>
        <v>0.25036738427119104</v>
      </c>
      <c r="I17" s="292">
        <f t="shared" ca="1" si="7"/>
        <v>0.25036738427119104</v>
      </c>
      <c r="J17" s="292">
        <f t="shared" ca="1" si="7"/>
        <v>0.25036738427119104</v>
      </c>
    </row>
    <row r="18" spans="2:10" ht="15" thickBot="1" x14ac:dyDescent="0.35">
      <c r="B18" s="293" t="s">
        <v>497</v>
      </c>
      <c r="C18" s="296">
        <f ca="1">C3+C17</f>
        <v>6.2092613784245705</v>
      </c>
      <c r="D18" s="296">
        <f t="shared" ref="D18:J18" ca="1" si="8">D3+D17</f>
        <v>5.5869007275261851</v>
      </c>
      <c r="E18" s="296">
        <f t="shared" ca="1" si="8"/>
        <v>5.7261458483886774</v>
      </c>
      <c r="F18" s="296" t="s">
        <v>523</v>
      </c>
      <c r="G18" s="296">
        <f t="shared" ca="1" si="8"/>
        <v>6.135884402081337</v>
      </c>
      <c r="H18" s="296">
        <f t="shared" ca="1" si="8"/>
        <v>0.76263832247663998</v>
      </c>
      <c r="I18" s="296">
        <f t="shared" ca="1" si="8"/>
        <v>0.80103451016065219</v>
      </c>
      <c r="J18" s="297">
        <f t="shared" ca="1" si="8"/>
        <v>0.7884120224729374</v>
      </c>
    </row>
    <row r="19" spans="2:10" x14ac:dyDescent="0.3">
      <c r="B19" s="287"/>
      <c r="F19" s="134"/>
    </row>
    <row r="21" spans="2:10" ht="43.2" x14ac:dyDescent="0.3">
      <c r="B21" s="241" t="s">
        <v>489</v>
      </c>
      <c r="C21" s="241" t="s">
        <v>498</v>
      </c>
      <c r="D21" s="241" t="s">
        <v>502</v>
      </c>
      <c r="E21" s="241" t="s">
        <v>513</v>
      </c>
      <c r="F21" s="241" t="s">
        <v>524</v>
      </c>
      <c r="G21" s="241" t="s">
        <v>25</v>
      </c>
      <c r="H21" s="241" t="s">
        <v>499</v>
      </c>
      <c r="I21" s="241" t="s">
        <v>500</v>
      </c>
      <c r="J21" s="241" t="s">
        <v>501</v>
      </c>
    </row>
    <row r="22" spans="2:10" x14ac:dyDescent="0.3">
      <c r="B22" s="242" t="s">
        <v>458</v>
      </c>
      <c r="C22" s="243">
        <f ca="1">'Tarifa Ponderada 2025'!$D2</f>
        <v>5.9375097280963267</v>
      </c>
      <c r="D22" s="243">
        <f ca="1">'Tarifa Ponderada 2025'!$D3</f>
        <v>5.3173824993322016</v>
      </c>
      <c r="E22" s="243">
        <f ca="1">'Tarifa Ponderada 2025'!$D4</f>
        <v>5.4561279209695375</v>
      </c>
      <c r="F22" s="243">
        <f ca="1">'Tarifa Ponderada 2025'!$D5</f>
        <v>0.54869098529349725</v>
      </c>
      <c r="G22" s="243">
        <f ca="1">'Tarifa Ponderada 2025'!$D8</f>
        <v>5.8643960745754367</v>
      </c>
      <c r="H22" s="243">
        <f ca="1">'Tarifa Ponderada 2025'!$D9</f>
        <v>0.51043258732244456</v>
      </c>
      <c r="I22" s="243">
        <f ca="1">'Tarifa Ponderada 2025'!$D10</f>
        <v>0.54869098529349725</v>
      </c>
      <c r="J22" s="243">
        <f ca="1">'Tarifa Ponderada 2025'!$D11</f>
        <v>0.53611379504441448</v>
      </c>
    </row>
    <row r="23" spans="2:10" ht="5.25" customHeight="1" x14ac:dyDescent="0.3"/>
    <row r="24" spans="2:10" x14ac:dyDescent="0.3">
      <c r="B24" s="244" t="s">
        <v>492</v>
      </c>
      <c r="C24" s="245">
        <f ca="1">'Tarifa Ponderada 2025'!$H$18</f>
        <v>3.3830887124241245</v>
      </c>
      <c r="D24" s="245">
        <f ca="1">'Tarifa Ponderada 2025'!$H$18</f>
        <v>3.3830887124241245</v>
      </c>
      <c r="E24" s="245">
        <f ca="1">'Tarifa Ponderada 2025'!$H$18</f>
        <v>3.3830887124241245</v>
      </c>
      <c r="F24" s="245">
        <f ca="1">'Tarifa Ponderada 2025'!$H$18</f>
        <v>3.3830887124241245</v>
      </c>
      <c r="G24" s="245">
        <f ca="1">'Tarifa Ponderada 2025'!$H$18</f>
        <v>3.3830887124241245</v>
      </c>
      <c r="H24" s="245">
        <f ca="1">'Tarifa Ponderada 2025'!$H$18</f>
        <v>3.3830887124241245</v>
      </c>
      <c r="I24" s="245">
        <f ca="1">'Tarifa Ponderada 2025'!$H$18</f>
        <v>3.3830887124241245</v>
      </c>
      <c r="J24" s="245">
        <f ca="1">'Tarifa Ponderada 2025'!$H$18</f>
        <v>3.3830887124241245</v>
      </c>
    </row>
    <row r="25" spans="2:10" x14ac:dyDescent="0.3">
      <c r="B25" s="246" t="s">
        <v>497</v>
      </c>
      <c r="C25" s="247">
        <f ca="1">C22+C24</f>
        <v>9.3205984405204507</v>
      </c>
      <c r="D25" s="247">
        <f t="shared" ref="D25:J25" ca="1" si="9">D22+D24</f>
        <v>8.7004712117563265</v>
      </c>
      <c r="E25" s="247">
        <f t="shared" ca="1" si="9"/>
        <v>8.8392166333936615</v>
      </c>
      <c r="F25" s="247">
        <f t="shared" ca="1" si="9"/>
        <v>3.9317796977176216</v>
      </c>
      <c r="G25" s="247">
        <f t="shared" ca="1" si="9"/>
        <v>9.2474847869995607</v>
      </c>
      <c r="H25" s="247">
        <f t="shared" ca="1" si="9"/>
        <v>3.8935212997465691</v>
      </c>
      <c r="I25" s="247">
        <f t="shared" ca="1" si="9"/>
        <v>3.9317796977176216</v>
      </c>
      <c r="J25" s="247">
        <f t="shared" ca="1" si="9"/>
        <v>3.919202507468539</v>
      </c>
    </row>
    <row r="26" spans="2:10" ht="5.25" customHeight="1" x14ac:dyDescent="0.3"/>
    <row r="27" spans="2:10" x14ac:dyDescent="0.3">
      <c r="B27" s="244" t="s">
        <v>493</v>
      </c>
      <c r="C27" s="245">
        <f ca="1">'Tarifa Ponderada 2025'!$H$27</f>
        <v>3.176711101181299</v>
      </c>
      <c r="D27" s="245">
        <f ca="1">C27</f>
        <v>3.176711101181299</v>
      </c>
      <c r="E27" s="245">
        <f t="shared" ref="E27" ca="1" si="10">D27</f>
        <v>3.176711101181299</v>
      </c>
      <c r="F27" s="245" t="s">
        <v>523</v>
      </c>
      <c r="G27" s="245">
        <f ca="1">E27</f>
        <v>3.176711101181299</v>
      </c>
      <c r="H27" s="245">
        <f t="shared" ref="H27" ca="1" si="11">G27</f>
        <v>3.176711101181299</v>
      </c>
      <c r="I27" s="245">
        <f t="shared" ref="I27" ca="1" si="12">H27</f>
        <v>3.176711101181299</v>
      </c>
      <c r="J27" s="245">
        <f t="shared" ref="J27" ca="1" si="13">I27</f>
        <v>3.176711101181299</v>
      </c>
    </row>
    <row r="28" spans="2:10" x14ac:dyDescent="0.3">
      <c r="B28" s="246" t="s">
        <v>497</v>
      </c>
      <c r="C28" s="247">
        <f ca="1">C22+C27</f>
        <v>9.1142208292776257</v>
      </c>
      <c r="D28" s="247">
        <f t="shared" ref="D28:J28" ca="1" si="14">D22+D27</f>
        <v>8.4940936005135015</v>
      </c>
      <c r="E28" s="247">
        <f t="shared" ca="1" si="14"/>
        <v>8.6328390221508364</v>
      </c>
      <c r="F28" s="247" t="s">
        <v>523</v>
      </c>
      <c r="G28" s="247">
        <f t="shared" ca="1" si="14"/>
        <v>9.0411071757567356</v>
      </c>
      <c r="H28" s="247">
        <f t="shared" ca="1" si="14"/>
        <v>3.6871436885037436</v>
      </c>
      <c r="I28" s="247">
        <f t="shared" ca="1" si="14"/>
        <v>3.7254020864747961</v>
      </c>
      <c r="J28" s="247">
        <f t="shared" ca="1" si="14"/>
        <v>3.7128248962257135</v>
      </c>
    </row>
    <row r="29" spans="2:10" ht="5.25" customHeight="1" x14ac:dyDescent="0.3"/>
    <row r="30" spans="2:10" x14ac:dyDescent="0.3">
      <c r="B30" s="244" t="s">
        <v>494</v>
      </c>
      <c r="C30" s="245">
        <f ca="1">'Tarifa Ponderada 2025'!$H$23</f>
        <v>2.6863765233879833</v>
      </c>
      <c r="D30" s="245">
        <f ca="1">C30</f>
        <v>2.6863765233879833</v>
      </c>
      <c r="E30" s="245">
        <f t="shared" ref="E30" ca="1" si="15">D30</f>
        <v>2.6863765233879833</v>
      </c>
      <c r="F30" s="245" t="s">
        <v>523</v>
      </c>
      <c r="G30" s="245">
        <f ca="1">E30</f>
        <v>2.6863765233879833</v>
      </c>
      <c r="H30" s="245">
        <f t="shared" ref="H30" ca="1" si="16">G30</f>
        <v>2.6863765233879833</v>
      </c>
      <c r="I30" s="245">
        <f t="shared" ref="I30" ca="1" si="17">H30</f>
        <v>2.6863765233879833</v>
      </c>
      <c r="J30" s="245">
        <f t="shared" ref="J30" ca="1" si="18">I30</f>
        <v>2.6863765233879833</v>
      </c>
    </row>
    <row r="31" spans="2:10" x14ac:dyDescent="0.3">
      <c r="B31" s="246" t="s">
        <v>497</v>
      </c>
      <c r="C31" s="248">
        <f ca="1">C22+C30</f>
        <v>8.6238862514843095</v>
      </c>
      <c r="D31" s="248">
        <f t="shared" ref="D31:J31" ca="1" si="19">D22+D30</f>
        <v>8.0037590227201854</v>
      </c>
      <c r="E31" s="248">
        <f t="shared" ca="1" si="19"/>
        <v>8.1425044443575203</v>
      </c>
      <c r="F31" s="248" t="s">
        <v>523</v>
      </c>
      <c r="G31" s="248">
        <f t="shared" ca="1" si="19"/>
        <v>8.5507725979634195</v>
      </c>
      <c r="H31" s="248">
        <f t="shared" ca="1" si="19"/>
        <v>3.1968091107104279</v>
      </c>
      <c r="I31" s="248">
        <f t="shared" ca="1" si="19"/>
        <v>3.2350675086814804</v>
      </c>
      <c r="J31" s="248">
        <f t="shared" ca="1" si="19"/>
        <v>3.2224903184323979</v>
      </c>
    </row>
    <row r="32" spans="2:10" ht="5.25" customHeight="1" x14ac:dyDescent="0.3"/>
    <row r="33" spans="2:10" x14ac:dyDescent="0.3">
      <c r="B33" s="244" t="s">
        <v>495</v>
      </c>
      <c r="C33" s="245">
        <f ca="1">'Tarifa Ponderada 2025'!$H$29</f>
        <v>0.28848130106136055</v>
      </c>
      <c r="D33" s="245">
        <f ca="1">C33</f>
        <v>0.28848130106136055</v>
      </c>
      <c r="E33" s="245">
        <f t="shared" ref="E33" ca="1" si="20">D33</f>
        <v>0.28848130106136055</v>
      </c>
      <c r="F33" s="245" t="s">
        <v>523</v>
      </c>
      <c r="G33" s="245">
        <f ca="1">E33</f>
        <v>0.28848130106136055</v>
      </c>
      <c r="H33" s="245">
        <f t="shared" ref="H33" ca="1" si="21">G33</f>
        <v>0.28848130106136055</v>
      </c>
      <c r="I33" s="245">
        <f t="shared" ref="I33" ca="1" si="22">H33</f>
        <v>0.28848130106136055</v>
      </c>
      <c r="J33" s="245">
        <f t="shared" ref="J33" ca="1" si="23">I33</f>
        <v>0.28848130106136055</v>
      </c>
    </row>
    <row r="34" spans="2:10" x14ac:dyDescent="0.3">
      <c r="B34" s="246" t="s">
        <v>497</v>
      </c>
      <c r="C34" s="248">
        <f ca="1">C22+C33</f>
        <v>6.2259910291576874</v>
      </c>
      <c r="D34" s="248">
        <f t="shared" ref="D34:J34" ca="1" si="24">D22+D33</f>
        <v>5.6058638003935624</v>
      </c>
      <c r="E34" s="248">
        <f t="shared" ca="1" si="24"/>
        <v>5.7446092220308982</v>
      </c>
      <c r="F34" s="248" t="s">
        <v>523</v>
      </c>
      <c r="G34" s="248">
        <f t="shared" ca="1" si="24"/>
        <v>6.1528773756367974</v>
      </c>
      <c r="H34" s="248">
        <f t="shared" ca="1" si="24"/>
        <v>0.79891388838380517</v>
      </c>
      <c r="I34" s="248">
        <f t="shared" ca="1" si="24"/>
        <v>0.83717228635485785</v>
      </c>
      <c r="J34" s="248">
        <f t="shared" ca="1" si="24"/>
        <v>0.82459509610577508</v>
      </c>
    </row>
    <row r="35" spans="2:10" ht="5.25" customHeight="1" x14ac:dyDescent="0.3"/>
    <row r="36" spans="2:10" x14ac:dyDescent="0.3">
      <c r="B36" s="244" t="s">
        <v>496</v>
      </c>
      <c r="C36" s="245">
        <f ca="1">'Tarifa Ponderada 2025'!$H$30</f>
        <v>0.24946890835225088</v>
      </c>
      <c r="D36" s="245">
        <f ca="1">C36</f>
        <v>0.24946890835225088</v>
      </c>
      <c r="E36" s="245">
        <f t="shared" ref="E36" ca="1" si="25">D36</f>
        <v>0.24946890835225088</v>
      </c>
      <c r="F36" s="245" t="s">
        <v>523</v>
      </c>
      <c r="G36" s="245">
        <f ca="1">E36</f>
        <v>0.24946890835225088</v>
      </c>
      <c r="H36" s="245">
        <f t="shared" ref="H36" ca="1" si="26">G36</f>
        <v>0.24946890835225088</v>
      </c>
      <c r="I36" s="245">
        <f t="shared" ref="I36" ca="1" si="27">H36</f>
        <v>0.24946890835225088</v>
      </c>
      <c r="J36" s="245">
        <f t="shared" ref="J36" ca="1" si="28">I36</f>
        <v>0.24946890835225088</v>
      </c>
    </row>
    <row r="37" spans="2:10" x14ac:dyDescent="0.3">
      <c r="B37" s="246" t="s">
        <v>497</v>
      </c>
      <c r="C37" s="248">
        <f ca="1">C22+C36</f>
        <v>6.1869786364485773</v>
      </c>
      <c r="D37" s="248">
        <f t="shared" ref="D37:J37" ca="1" si="29">D22+D36</f>
        <v>5.5668514076844522</v>
      </c>
      <c r="E37" s="248">
        <f t="shared" ca="1" si="29"/>
        <v>5.705596829321788</v>
      </c>
      <c r="F37" s="248" t="s">
        <v>523</v>
      </c>
      <c r="G37" s="248">
        <f t="shared" ca="1" si="29"/>
        <v>6.1138649829276872</v>
      </c>
      <c r="H37" s="248">
        <f t="shared" ca="1" si="29"/>
        <v>0.75990149567469545</v>
      </c>
      <c r="I37" s="248">
        <f t="shared" ca="1" si="29"/>
        <v>0.79815989364574813</v>
      </c>
      <c r="J37" s="248">
        <f t="shared" ca="1" si="29"/>
        <v>0.78558270339666536</v>
      </c>
    </row>
    <row r="40" spans="2:10" ht="43.2" x14ac:dyDescent="0.3">
      <c r="B40" s="241" t="s">
        <v>508</v>
      </c>
      <c r="C40" s="241" t="s">
        <v>498</v>
      </c>
      <c r="D40" s="241" t="s">
        <v>502</v>
      </c>
      <c r="E40" s="241" t="s">
        <v>513</v>
      </c>
      <c r="F40" s="241" t="s">
        <v>524</v>
      </c>
      <c r="G40" s="241" t="s">
        <v>25</v>
      </c>
      <c r="H40" s="241" t="s">
        <v>499</v>
      </c>
      <c r="I40" s="241" t="s">
        <v>500</v>
      </c>
      <c r="J40" s="241" t="s">
        <v>501</v>
      </c>
    </row>
    <row r="41" spans="2:10" x14ac:dyDescent="0.3">
      <c r="B41" s="242" t="s">
        <v>458</v>
      </c>
      <c r="C41" s="243">
        <f ca="1">'Tarifa Ponderada 2025-sem C.Reg'!D2</f>
        <v>5.9588939941533798</v>
      </c>
      <c r="D41" s="243">
        <f ca="1">'Tarifa Ponderada 2025-sem C.Reg'!D3</f>
        <v>5.3365333432549944</v>
      </c>
      <c r="E41" s="243">
        <f ca="1">'Tarifa Ponderada 2025-sem C.Reg'!D4</f>
        <v>5.4757784641174867</v>
      </c>
      <c r="F41" s="243">
        <f ca="1">'Tarifa Ponderada 2025-sem C.Reg'!D5</f>
        <v>0.55066712588946121</v>
      </c>
      <c r="G41" s="243">
        <f ca="1">'Tarifa Ponderada 2025-sem C.Reg'!D8</f>
        <v>5.8855170178101464</v>
      </c>
      <c r="H41" s="243">
        <f ca="1">'Tarifa Ponderada 2025-sem C.Reg'!D9</f>
        <v>0.51227093820544878</v>
      </c>
      <c r="I41" s="243">
        <f ca="1">'Tarifa Ponderada 2025-sem C.Reg'!D10</f>
        <v>0.55066712588946121</v>
      </c>
      <c r="J41" s="243">
        <f ca="1">'Tarifa Ponderada 2025-sem C.Reg'!D11</f>
        <v>0.53804463820174619</v>
      </c>
    </row>
    <row r="42" spans="2:10" ht="5.25" customHeight="1" x14ac:dyDescent="0.3"/>
    <row r="43" spans="2:10" x14ac:dyDescent="0.3">
      <c r="B43" s="244" t="s">
        <v>492</v>
      </c>
      <c r="C43" s="245">
        <f ca="1">'Tarifa Ponderada 2025-sem C.Reg'!$H$18</f>
        <v>3.3952730914709064</v>
      </c>
      <c r="D43" s="245">
        <f ca="1">'Tarifa Ponderada 2025-sem C.Reg'!$H$18</f>
        <v>3.3952730914709064</v>
      </c>
      <c r="E43" s="245">
        <f ca="1">'Tarifa Ponderada 2025-sem C.Reg'!$H$18</f>
        <v>3.3952730914709064</v>
      </c>
      <c r="F43" s="245">
        <f ca="1">'Tarifa Ponderada 2025-sem C.Reg'!$H$18</f>
        <v>3.3952730914709064</v>
      </c>
      <c r="G43" s="245">
        <f ca="1">'Tarifa Ponderada 2025-sem C.Reg'!$H$18</f>
        <v>3.3952730914709064</v>
      </c>
      <c r="H43" s="245">
        <f ca="1">'Tarifa Ponderada 2025-sem C.Reg'!$H$18</f>
        <v>3.3952730914709064</v>
      </c>
      <c r="I43" s="245">
        <f ca="1">'Tarifa Ponderada 2025-sem C.Reg'!$H$18</f>
        <v>3.3952730914709064</v>
      </c>
      <c r="J43" s="245">
        <f ca="1">'Tarifa Ponderada 2025-sem C.Reg'!$H$18</f>
        <v>3.3952730914709064</v>
      </c>
    </row>
    <row r="44" spans="2:10" x14ac:dyDescent="0.3">
      <c r="B44" s="246" t="s">
        <v>497</v>
      </c>
      <c r="C44" s="247">
        <f ca="1">C41+C43</f>
        <v>9.3541670856242867</v>
      </c>
      <c r="D44" s="247">
        <f t="shared" ref="D44:J44" ca="1" si="30">D41+D43</f>
        <v>8.7318064347259003</v>
      </c>
      <c r="E44" s="247">
        <f t="shared" ca="1" si="30"/>
        <v>8.8710515555883926</v>
      </c>
      <c r="F44" s="247">
        <f t="shared" ca="1" si="30"/>
        <v>3.9459402173603677</v>
      </c>
      <c r="G44" s="247">
        <f t="shared" ca="1" si="30"/>
        <v>9.2807901092810532</v>
      </c>
      <c r="H44" s="247">
        <f t="shared" ca="1" si="30"/>
        <v>3.9075440296763553</v>
      </c>
      <c r="I44" s="247">
        <f t="shared" ca="1" si="30"/>
        <v>3.9459402173603677</v>
      </c>
      <c r="J44" s="247">
        <f t="shared" ca="1" si="30"/>
        <v>3.9333177296726527</v>
      </c>
    </row>
    <row r="45" spans="2:10" ht="5.25" customHeight="1" x14ac:dyDescent="0.3"/>
    <row r="46" spans="2:10" x14ac:dyDescent="0.3">
      <c r="B46" s="244" t="s">
        <v>493</v>
      </c>
      <c r="C46" s="245">
        <f ca="1">'Tarifa Ponderada 2025-sem C.Reg'!$H$27</f>
        <v>3.1881521999726981</v>
      </c>
      <c r="D46" s="245">
        <f ca="1">C46</f>
        <v>3.1881521999726981</v>
      </c>
      <c r="E46" s="245">
        <f t="shared" ref="E46" ca="1" si="31">D46</f>
        <v>3.1881521999726981</v>
      </c>
      <c r="F46" s="245" t="s">
        <v>523</v>
      </c>
      <c r="G46" s="245">
        <f ca="1">E46</f>
        <v>3.1881521999726981</v>
      </c>
      <c r="H46" s="245">
        <f t="shared" ref="H46" ca="1" si="32">G46</f>
        <v>3.1881521999726981</v>
      </c>
      <c r="I46" s="245">
        <f t="shared" ref="I46" ca="1" si="33">H46</f>
        <v>3.1881521999726981</v>
      </c>
      <c r="J46" s="245">
        <f t="shared" ref="J46" ca="1" si="34">I46</f>
        <v>3.1881521999726981</v>
      </c>
    </row>
    <row r="47" spans="2:10" x14ac:dyDescent="0.3">
      <c r="B47" s="246" t="s">
        <v>497</v>
      </c>
      <c r="C47" s="247">
        <f ca="1">C41+C46</f>
        <v>9.1470461941260783</v>
      </c>
      <c r="D47" s="247">
        <f t="shared" ref="D47:J47" ca="1" si="35">D41+D46</f>
        <v>8.524685543227692</v>
      </c>
      <c r="E47" s="247">
        <f t="shared" ca="1" si="35"/>
        <v>8.6639306640901843</v>
      </c>
      <c r="F47" s="247" t="s">
        <v>523</v>
      </c>
      <c r="G47" s="247">
        <f t="shared" ca="1" si="35"/>
        <v>9.0736692177828449</v>
      </c>
      <c r="H47" s="247">
        <f t="shared" ca="1" si="35"/>
        <v>3.7004231381781469</v>
      </c>
      <c r="I47" s="247">
        <f t="shared" ca="1" si="35"/>
        <v>3.7388193258621594</v>
      </c>
      <c r="J47" s="247">
        <f t="shared" ca="1" si="35"/>
        <v>3.7261968381744444</v>
      </c>
    </row>
    <row r="48" spans="2:10" ht="5.25" customHeight="1" x14ac:dyDescent="0.3"/>
    <row r="49" spans="2:10" x14ac:dyDescent="0.3">
      <c r="B49" s="244" t="s">
        <v>494</v>
      </c>
      <c r="C49" s="245">
        <f ca="1">'Tarifa Ponderada 2025-sem C.Reg'!$H$23</f>
        <v>2.6960516553770235</v>
      </c>
      <c r="D49" s="245">
        <f ca="1">C49</f>
        <v>2.6960516553770235</v>
      </c>
      <c r="E49" s="245">
        <f t="shared" ref="E49" ca="1" si="36">D49</f>
        <v>2.6960516553770235</v>
      </c>
      <c r="F49" s="245" t="s">
        <v>523</v>
      </c>
      <c r="G49" s="245">
        <f ca="1">E49</f>
        <v>2.6960516553770235</v>
      </c>
      <c r="H49" s="245">
        <f t="shared" ref="H49" ca="1" si="37">G49</f>
        <v>2.6960516553770235</v>
      </c>
      <c r="I49" s="245">
        <f t="shared" ref="I49" ca="1" si="38">H49</f>
        <v>2.6960516553770235</v>
      </c>
      <c r="J49" s="245">
        <f t="shared" ref="J49" ca="1" si="39">I49</f>
        <v>2.6960516553770235</v>
      </c>
    </row>
    <row r="50" spans="2:10" x14ac:dyDescent="0.3">
      <c r="B50" s="246" t="s">
        <v>497</v>
      </c>
      <c r="C50" s="248">
        <f ca="1">C41+C49</f>
        <v>8.6549456495304042</v>
      </c>
      <c r="D50" s="248">
        <f t="shared" ref="D50:J50" ca="1" si="40">D41+D49</f>
        <v>8.0325849986320179</v>
      </c>
      <c r="E50" s="248">
        <f t="shared" ca="1" si="40"/>
        <v>8.1718301194945102</v>
      </c>
      <c r="F50" s="248" t="s">
        <v>523</v>
      </c>
      <c r="G50" s="248">
        <f t="shared" ca="1" si="40"/>
        <v>8.5815686731871708</v>
      </c>
      <c r="H50" s="248">
        <f t="shared" ca="1" si="40"/>
        <v>3.2083225935824724</v>
      </c>
      <c r="I50" s="248">
        <f t="shared" ca="1" si="40"/>
        <v>3.2467187812664848</v>
      </c>
      <c r="J50" s="248">
        <f t="shared" ca="1" si="40"/>
        <v>3.2340962935787698</v>
      </c>
    </row>
    <row r="51" spans="2:10" ht="5.25" customHeight="1" x14ac:dyDescent="0.3"/>
    <row r="52" spans="2:10" x14ac:dyDescent="0.3">
      <c r="B52" s="244" t="s">
        <v>495</v>
      </c>
      <c r="C52" s="245">
        <f ca="1">'Tarifa Ponderada 2025-sem C.Reg'!$H$29</f>
        <v>0.28952028224655152</v>
      </c>
      <c r="D52" s="245">
        <f ca="1">C52</f>
        <v>0.28952028224655152</v>
      </c>
      <c r="E52" s="245">
        <f t="shared" ref="E52" ca="1" si="41">D52</f>
        <v>0.28952028224655152</v>
      </c>
      <c r="F52" s="245" t="s">
        <v>523</v>
      </c>
      <c r="G52" s="245">
        <f ca="1">E52</f>
        <v>0.28952028224655152</v>
      </c>
      <c r="H52" s="245">
        <f t="shared" ref="H52" ca="1" si="42">G52</f>
        <v>0.28952028224655152</v>
      </c>
      <c r="I52" s="245">
        <f t="shared" ref="I52" ca="1" si="43">H52</f>
        <v>0.28952028224655152</v>
      </c>
      <c r="J52" s="245">
        <f t="shared" ref="J52" ca="1" si="44">I52</f>
        <v>0.28952028224655152</v>
      </c>
    </row>
    <row r="53" spans="2:10" x14ac:dyDescent="0.3">
      <c r="B53" s="246" t="s">
        <v>497</v>
      </c>
      <c r="C53" s="248">
        <f ca="1">C41+C52</f>
        <v>6.2484142763999317</v>
      </c>
      <c r="D53" s="248">
        <f t="shared" ref="D53:J53" ca="1" si="45">D41+D52</f>
        <v>5.6260536255015463</v>
      </c>
      <c r="E53" s="248">
        <f t="shared" ca="1" si="45"/>
        <v>5.7652987463640386</v>
      </c>
      <c r="F53" s="248" t="s">
        <v>523</v>
      </c>
      <c r="G53" s="248">
        <f t="shared" ca="1" si="45"/>
        <v>6.1750373000566983</v>
      </c>
      <c r="H53" s="248">
        <f t="shared" ca="1" si="45"/>
        <v>0.80179122045200035</v>
      </c>
      <c r="I53" s="248">
        <f t="shared" ca="1" si="45"/>
        <v>0.84018740813601278</v>
      </c>
      <c r="J53" s="248">
        <f t="shared" ca="1" si="45"/>
        <v>0.82756492044829777</v>
      </c>
    </row>
    <row r="54" spans="2:10" ht="5.25" customHeight="1" x14ac:dyDescent="0.3"/>
    <row r="55" spans="2:10" x14ac:dyDescent="0.3">
      <c r="B55" s="244" t="s">
        <v>496</v>
      </c>
      <c r="C55" s="245">
        <f ca="1">'Tarifa Ponderada 2025-sem C.Reg'!$H$30</f>
        <v>0.25036738427119093</v>
      </c>
      <c r="D55" s="245">
        <f ca="1">C55</f>
        <v>0.25036738427119093</v>
      </c>
      <c r="E55" s="245">
        <f t="shared" ref="E55" ca="1" si="46">D55</f>
        <v>0.25036738427119093</v>
      </c>
      <c r="F55" s="245" t="s">
        <v>523</v>
      </c>
      <c r="G55" s="245">
        <f ca="1">E55</f>
        <v>0.25036738427119093</v>
      </c>
      <c r="H55" s="245">
        <f t="shared" ref="H55" ca="1" si="47">G55</f>
        <v>0.25036738427119093</v>
      </c>
      <c r="I55" s="245">
        <f t="shared" ref="I55" ca="1" si="48">H55</f>
        <v>0.25036738427119093</v>
      </c>
      <c r="J55" s="245">
        <f t="shared" ref="J55" ca="1" si="49">I55</f>
        <v>0.25036738427119093</v>
      </c>
    </row>
    <row r="56" spans="2:10" x14ac:dyDescent="0.3">
      <c r="B56" s="246" t="s">
        <v>497</v>
      </c>
      <c r="C56" s="248">
        <f ca="1">C41+C55</f>
        <v>6.2092613784245705</v>
      </c>
      <c r="D56" s="248">
        <f t="shared" ref="D56:J56" ca="1" si="50">D41+D55</f>
        <v>5.5869007275261851</v>
      </c>
      <c r="E56" s="248">
        <f t="shared" ca="1" si="50"/>
        <v>5.7261458483886774</v>
      </c>
      <c r="F56" s="248" t="s">
        <v>523</v>
      </c>
      <c r="G56" s="248">
        <f t="shared" ca="1" si="50"/>
        <v>6.135884402081337</v>
      </c>
      <c r="H56" s="248">
        <f t="shared" ca="1" si="50"/>
        <v>0.76263832247663976</v>
      </c>
      <c r="I56" s="248">
        <f t="shared" ca="1" si="50"/>
        <v>0.80103451016065219</v>
      </c>
      <c r="J56" s="248">
        <f t="shared" ca="1" si="50"/>
        <v>0.78841202247293718</v>
      </c>
    </row>
  </sheetData>
  <pageMargins left="0.511811024" right="0.511811024" top="0.78740157499999996" bottom="0.78740157499999996" header="0.31496062000000002" footer="0.31496062000000002"/>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6"/>
  <dimension ref="A1:T247"/>
  <sheetViews>
    <sheetView zoomScale="80" zoomScaleNormal="80" workbookViewId="0">
      <pane xSplit="3" ySplit="6" topLeftCell="G186" activePane="bottomRight" state="frozen"/>
      <selection pane="topRight" activeCell="D1" sqref="D1"/>
      <selection pane="bottomLeft" activeCell="A7" sqref="A7"/>
      <selection pane="bottomRight" activeCell="M203" sqref="M203:M204"/>
    </sheetView>
  </sheetViews>
  <sheetFormatPr defaultColWidth="9.21875" defaultRowHeight="14.4" x14ac:dyDescent="0.3"/>
  <cols>
    <col min="1" max="1" width="8.21875" style="4" bestFit="1" customWidth="1"/>
    <col min="2" max="2" width="9.21875" style="4" customWidth="1"/>
    <col min="3" max="3" width="8.21875" style="14" bestFit="1" customWidth="1"/>
    <col min="4" max="4" width="22.77734375" style="4" customWidth="1"/>
    <col min="5" max="5" width="8.21875" style="13" bestFit="1" customWidth="1"/>
    <col min="6" max="6" width="23.21875" style="4" customWidth="1"/>
    <col min="7" max="7" width="13.21875" style="4" customWidth="1"/>
    <col min="8" max="8" width="12.77734375" style="4" hidden="1" customWidth="1"/>
    <col min="9" max="9" width="15.77734375" style="11" customWidth="1"/>
    <col min="10" max="10" width="12.77734375" style="4" hidden="1" customWidth="1"/>
    <col min="11" max="11" width="15.77734375" style="11" customWidth="1"/>
    <col min="12" max="12" width="15.77734375" style="11" hidden="1" customWidth="1"/>
    <col min="13" max="14" width="15.77734375" style="11" customWidth="1"/>
    <col min="15" max="16" width="32.21875" style="11" bestFit="1" customWidth="1"/>
    <col min="17" max="17" width="15.77734375" style="11" customWidth="1"/>
    <col min="18" max="18" width="12" style="4" customWidth="1"/>
    <col min="19" max="19" width="13.44140625" style="4" bestFit="1" customWidth="1"/>
    <col min="20" max="20" width="47.44140625" style="4" bestFit="1" customWidth="1"/>
    <col min="21" max="16384" width="9.21875" style="4"/>
  </cols>
  <sheetData>
    <row r="1" spans="1:20" x14ac:dyDescent="0.3">
      <c r="C1" s="13">
        <v>2</v>
      </c>
      <c r="D1" s="13">
        <v>3</v>
      </c>
      <c r="E1" s="13">
        <v>4</v>
      </c>
      <c r="F1" s="13">
        <v>5</v>
      </c>
      <c r="G1" s="13">
        <v>6</v>
      </c>
    </row>
    <row r="2" spans="1:20" x14ac:dyDescent="0.3">
      <c r="C2" s="4"/>
      <c r="E2" s="4"/>
      <c r="I2" s="4"/>
      <c r="K2" s="4"/>
      <c r="L2" s="4"/>
      <c r="M2" s="4"/>
      <c r="N2" s="4"/>
      <c r="O2" s="4"/>
      <c r="P2" s="4"/>
      <c r="Q2" s="4"/>
    </row>
    <row r="3" spans="1:20" x14ac:dyDescent="0.3">
      <c r="I3" s="4"/>
      <c r="K3" s="4"/>
      <c r="L3" s="4"/>
      <c r="M3" s="4"/>
      <c r="N3" s="4"/>
      <c r="O3" s="4"/>
      <c r="P3" s="4"/>
      <c r="Q3" s="4"/>
    </row>
    <row r="4" spans="1:20" x14ac:dyDescent="0.3">
      <c r="I4" s="4"/>
      <c r="K4" s="4"/>
      <c r="L4" s="4"/>
      <c r="M4" s="4"/>
      <c r="N4" s="4"/>
      <c r="O4" s="4"/>
      <c r="P4" s="4"/>
      <c r="Q4" s="4"/>
    </row>
    <row r="5" spans="1:20" x14ac:dyDescent="0.3">
      <c r="H5" s="14" t="s">
        <v>14</v>
      </c>
      <c r="I5" s="14" t="s">
        <v>14</v>
      </c>
      <c r="J5" s="14" t="s">
        <v>14</v>
      </c>
      <c r="K5" s="14" t="s">
        <v>14</v>
      </c>
      <c r="L5" s="14"/>
      <c r="M5" s="14"/>
      <c r="N5" s="14"/>
      <c r="O5" s="14"/>
      <c r="P5" s="14"/>
      <c r="Q5" s="14"/>
    </row>
    <row r="6" spans="1:20" x14ac:dyDescent="0.3">
      <c r="C6" s="19"/>
      <c r="D6" s="16" t="s">
        <v>176</v>
      </c>
      <c r="E6" s="20"/>
      <c r="F6" s="16" t="s">
        <v>177</v>
      </c>
      <c r="G6" s="16" t="s">
        <v>178</v>
      </c>
      <c r="H6" s="19" t="s">
        <v>179</v>
      </c>
      <c r="I6" s="19" t="s">
        <v>180</v>
      </c>
      <c r="J6" s="19" t="s">
        <v>181</v>
      </c>
      <c r="K6" s="19" t="s">
        <v>182</v>
      </c>
      <c r="L6" s="19"/>
      <c r="M6" s="19"/>
      <c r="N6" s="19"/>
      <c r="O6" s="19"/>
      <c r="P6" s="19"/>
      <c r="Q6" s="19"/>
      <c r="S6" s="18" t="s">
        <v>183</v>
      </c>
    </row>
    <row r="7" spans="1:20" x14ac:dyDescent="0.3">
      <c r="B7" s="4" t="s">
        <v>184</v>
      </c>
      <c r="C7" s="14" t="s">
        <v>185</v>
      </c>
      <c r="E7" s="14" t="s">
        <v>185</v>
      </c>
      <c r="S7" s="17"/>
    </row>
    <row r="8" spans="1:20" x14ac:dyDescent="0.3">
      <c r="A8" s="13"/>
      <c r="B8" s="13">
        <v>1</v>
      </c>
      <c r="C8" s="13" t="e">
        <f>VLOOKUP($B8,#REF!,C$1,FALSE)</f>
        <v>#REF!</v>
      </c>
      <c r="D8" s="25" t="e">
        <f>VLOOKUP($B8,#REF!,D$1,FALSE)</f>
        <v>#REF!</v>
      </c>
      <c r="E8" s="13" t="e">
        <f>VLOOKUP($B8,#REF!,E$1,FALSE)</f>
        <v>#REF!</v>
      </c>
      <c r="F8" s="25" t="e">
        <f>VLOOKUP($B8,#REF!,F$1,FALSE)</f>
        <v>#REF!</v>
      </c>
      <c r="G8" s="14" t="e">
        <f>IF(VLOOKUP($B8,#REF!,G$1,FALSE)=0,0.0001,VLOOKUP($B8,#REF!,G$1,FALSE))</f>
        <v>#REF!</v>
      </c>
      <c r="H8" s="23">
        <v>20545.2</v>
      </c>
      <c r="I8" s="24">
        <v>30080</v>
      </c>
      <c r="M8" s="40">
        <v>30080</v>
      </c>
      <c r="N8" s="40"/>
      <c r="O8" s="37" t="e">
        <f>D8</f>
        <v>#REF!</v>
      </c>
      <c r="P8" s="37" t="e">
        <f t="shared" ref="P8:Q11" si="0">F8</f>
        <v>#REF!</v>
      </c>
      <c r="Q8" s="14" t="e">
        <f t="shared" si="0"/>
        <v>#REF!</v>
      </c>
      <c r="S8" s="15" t="str">
        <f t="shared" ref="S8:S39" si="1">IF((H8&gt;0),IF((H8-I8)=0,"a",IF(H8/I8&lt;0.5,"b","c")),)</f>
        <v>c</v>
      </c>
      <c r="T8" s="4" t="e">
        <f>VLOOKUP(B8,#REF!,7,FALSE)</f>
        <v>#REF!</v>
      </c>
    </row>
    <row r="9" spans="1:20" x14ac:dyDescent="0.3">
      <c r="A9" s="13"/>
      <c r="B9" s="13">
        <v>2</v>
      </c>
      <c r="C9" s="13" t="e">
        <f>VLOOKUP($B9,#REF!,C$1,FALSE)</f>
        <v>#REF!</v>
      </c>
      <c r="D9" s="25" t="e">
        <f>VLOOKUP($B9,#REF!,D$1,FALSE)</f>
        <v>#REF!</v>
      </c>
      <c r="E9" s="13" t="e">
        <f>VLOOKUP($B9,#REF!,E$1,FALSE)</f>
        <v>#REF!</v>
      </c>
      <c r="F9" s="25" t="e">
        <f>VLOOKUP($B9,#REF!,F$1,FALSE)</f>
        <v>#REF!</v>
      </c>
      <c r="G9" s="14" t="e">
        <f>IF(VLOOKUP($B9,#REF!,G$1,FALSE)=0,0.0001,VLOOKUP($B9,#REF!,G$1,FALSE))</f>
        <v>#REF!</v>
      </c>
      <c r="H9" s="23">
        <v>20545.2</v>
      </c>
      <c r="I9" s="24">
        <v>30080</v>
      </c>
      <c r="M9" s="40">
        <v>30080</v>
      </c>
      <c r="N9" s="40"/>
      <c r="O9" s="37" t="e">
        <f>D9</f>
        <v>#REF!</v>
      </c>
      <c r="P9" s="37" t="e">
        <f t="shared" si="0"/>
        <v>#REF!</v>
      </c>
      <c r="Q9" s="14" t="e">
        <f t="shared" si="0"/>
        <v>#REF!</v>
      </c>
      <c r="R9" s="35" t="s">
        <v>186</v>
      </c>
      <c r="S9" s="15" t="str">
        <f t="shared" si="1"/>
        <v>c</v>
      </c>
      <c r="T9" s="4" t="e">
        <f>VLOOKUP(B9,#REF!,7,FALSE)</f>
        <v>#REF!</v>
      </c>
    </row>
    <row r="10" spans="1:20" x14ac:dyDescent="0.3">
      <c r="A10" s="13"/>
      <c r="B10" s="13">
        <v>3</v>
      </c>
      <c r="C10" s="13" t="e">
        <f>VLOOKUP($B10,#REF!,C$1,FALSE)</f>
        <v>#REF!</v>
      </c>
      <c r="D10" s="25" t="e">
        <f>VLOOKUP($B10,#REF!,D$1,FALSE)</f>
        <v>#REF!</v>
      </c>
      <c r="E10" s="13" t="e">
        <f>VLOOKUP($B10,#REF!,E$1,FALSE)</f>
        <v>#REF!</v>
      </c>
      <c r="F10" s="25" t="e">
        <f>VLOOKUP($B10,#REF!,F$1,FALSE)</f>
        <v>#REF!</v>
      </c>
      <c r="G10" s="14" t="e">
        <f>IF(VLOOKUP($B10,#REF!,G$1,FALSE)=0,0.0001,VLOOKUP($B10,#REF!,G$1,FALSE))</f>
        <v>#REF!</v>
      </c>
      <c r="H10" s="23">
        <v>20464.107</v>
      </c>
      <c r="I10" s="24">
        <v>30080</v>
      </c>
      <c r="M10" s="40">
        <v>30080</v>
      </c>
      <c r="N10" s="40"/>
      <c r="O10" s="37" t="e">
        <f>D10</f>
        <v>#REF!</v>
      </c>
      <c r="P10" s="37" t="e">
        <f t="shared" si="0"/>
        <v>#REF!</v>
      </c>
      <c r="Q10" s="14" t="e">
        <f t="shared" si="0"/>
        <v>#REF!</v>
      </c>
      <c r="R10" s="35" t="s">
        <v>186</v>
      </c>
      <c r="S10" s="15" t="str">
        <f t="shared" si="1"/>
        <v>c</v>
      </c>
      <c r="T10" s="4" t="e">
        <f>VLOOKUP(B10,#REF!,7,FALSE)</f>
        <v>#REF!</v>
      </c>
    </row>
    <row r="11" spans="1:20" x14ac:dyDescent="0.3">
      <c r="A11" s="13"/>
      <c r="B11" s="13">
        <v>4</v>
      </c>
      <c r="C11" s="13" t="e">
        <f>VLOOKUP($B11,#REF!,C$1,FALSE)</f>
        <v>#REF!</v>
      </c>
      <c r="D11" s="25" t="e">
        <f>VLOOKUP($B11,#REF!,D$1,FALSE)</f>
        <v>#REF!</v>
      </c>
      <c r="E11" s="13" t="e">
        <f>VLOOKUP($B11,#REF!,E$1,FALSE)</f>
        <v>#REF!</v>
      </c>
      <c r="F11" s="25" t="e">
        <f>VLOOKUP($B11,#REF!,F$1,FALSE)</f>
        <v>#REF!</v>
      </c>
      <c r="G11" s="14" t="e">
        <f>IF(VLOOKUP($B11,#REF!,G$1,FALSE)=0,0.0001,VLOOKUP($B11,#REF!,G$1,FALSE))</f>
        <v>#REF!</v>
      </c>
      <c r="H11" s="23">
        <v>20464.107</v>
      </c>
      <c r="I11" s="24">
        <v>30080</v>
      </c>
      <c r="M11" s="40">
        <v>30080</v>
      </c>
      <c r="N11" s="40"/>
      <c r="O11" s="37" t="e">
        <f>D11</f>
        <v>#REF!</v>
      </c>
      <c r="P11" s="37" t="e">
        <f t="shared" si="0"/>
        <v>#REF!</v>
      </c>
      <c r="Q11" s="14" t="e">
        <f t="shared" si="0"/>
        <v>#REF!</v>
      </c>
      <c r="R11" s="35" t="s">
        <v>186</v>
      </c>
      <c r="S11" s="15" t="str">
        <f t="shared" si="1"/>
        <v>c</v>
      </c>
      <c r="T11" s="4" t="e">
        <f>VLOOKUP(B11,#REF!,7,FALSE)</f>
        <v>#REF!</v>
      </c>
    </row>
    <row r="12" spans="1:20" x14ac:dyDescent="0.3">
      <c r="A12" s="13"/>
      <c r="B12" s="13">
        <v>5</v>
      </c>
      <c r="C12" s="13" t="e">
        <f>VLOOKUP($B12,#REF!,C$1,FALSE)</f>
        <v>#REF!</v>
      </c>
      <c r="D12" s="25" t="e">
        <f>VLOOKUP($B12,#REF!,D$1,FALSE)</f>
        <v>#REF!</v>
      </c>
      <c r="E12" s="13" t="e">
        <f>VLOOKUP($B12,#REF!,E$1,FALSE)</f>
        <v>#REF!</v>
      </c>
      <c r="F12" s="25" t="e">
        <f>VLOOKUP($B12,#REF!,F$1,FALSE)</f>
        <v>#REF!</v>
      </c>
      <c r="G12" s="14" t="e">
        <f>IF(VLOOKUP($B12,#REF!,G$1,FALSE)=0,0.0001,VLOOKUP($B12,#REF!,G$1,FALSE))</f>
        <v>#REF!</v>
      </c>
      <c r="H12" s="23">
        <v>19057.942999999999</v>
      </c>
      <c r="I12" s="24">
        <v>30080</v>
      </c>
      <c r="M12" s="391">
        <v>30080</v>
      </c>
      <c r="N12" s="391"/>
      <c r="O12" s="389" t="e">
        <f>D12</f>
        <v>#REF!</v>
      </c>
      <c r="P12" s="389" t="e">
        <f>F18</f>
        <v>#REF!</v>
      </c>
      <c r="Q12" s="390" t="e">
        <f>SUM(G12:G18)</f>
        <v>#REF!</v>
      </c>
      <c r="R12" s="387" t="s">
        <v>187</v>
      </c>
      <c r="S12" s="15" t="str">
        <f t="shared" si="1"/>
        <v>c</v>
      </c>
      <c r="T12" s="4" t="e">
        <f>VLOOKUP(B12,#REF!,7,FALSE)</f>
        <v>#REF!</v>
      </c>
    </row>
    <row r="13" spans="1:20" x14ac:dyDescent="0.3">
      <c r="A13" s="13"/>
      <c r="B13" s="13">
        <v>6</v>
      </c>
      <c r="C13" s="13" t="e">
        <f>VLOOKUP($B13,#REF!,C$1,FALSE)</f>
        <v>#REF!</v>
      </c>
      <c r="D13" s="25" t="e">
        <f>VLOOKUP($B13,#REF!,D$1,FALSE)</f>
        <v>#REF!</v>
      </c>
      <c r="E13" s="13" t="e">
        <f>VLOOKUP($B13,#REF!,E$1,FALSE)</f>
        <v>#REF!</v>
      </c>
      <c r="F13" s="25" t="e">
        <f>VLOOKUP($B13,#REF!,F$1,FALSE)</f>
        <v>#REF!</v>
      </c>
      <c r="G13" s="14" t="e">
        <f>IF(VLOOKUP($B13,#REF!,G$1,FALSE)=0,0.0001,VLOOKUP($B13,#REF!,G$1,FALSE))</f>
        <v>#REF!</v>
      </c>
      <c r="H13" s="23">
        <v>19056.240000000002</v>
      </c>
      <c r="I13" s="24">
        <v>30080</v>
      </c>
      <c r="M13" s="391"/>
      <c r="N13" s="391"/>
      <c r="O13" s="389"/>
      <c r="P13" s="389"/>
      <c r="Q13" s="390"/>
      <c r="R13" s="387"/>
      <c r="S13" s="15" t="str">
        <f t="shared" si="1"/>
        <v>c</v>
      </c>
      <c r="T13" s="4" t="e">
        <f>VLOOKUP(B13,#REF!,7,FALSE)</f>
        <v>#REF!</v>
      </c>
    </row>
    <row r="14" spans="1:20" x14ac:dyDescent="0.3">
      <c r="A14" s="13"/>
      <c r="B14" s="13">
        <v>7</v>
      </c>
      <c r="C14" s="13" t="e">
        <f>VLOOKUP($B14,#REF!,C$1,FALSE)</f>
        <v>#REF!</v>
      </c>
      <c r="D14" s="25" t="e">
        <f>VLOOKUP($B14,#REF!,D$1,FALSE)</f>
        <v>#REF!</v>
      </c>
      <c r="E14" s="13" t="e">
        <f>VLOOKUP($B14,#REF!,E$1,FALSE)</f>
        <v>#REF!</v>
      </c>
      <c r="F14" s="25" t="e">
        <f>VLOOKUP($B14,#REF!,F$1,FALSE)</f>
        <v>#REF!</v>
      </c>
      <c r="G14" s="14" t="e">
        <f>IF(VLOOKUP($B14,#REF!,G$1,FALSE)=0,0.0001,VLOOKUP($B14,#REF!,G$1,FALSE))</f>
        <v>#REF!</v>
      </c>
      <c r="H14" s="23">
        <v>19008.580000000002</v>
      </c>
      <c r="I14" s="24">
        <v>30080</v>
      </c>
      <c r="M14" s="391"/>
      <c r="N14" s="391"/>
      <c r="O14" s="389"/>
      <c r="P14" s="389"/>
      <c r="Q14" s="390"/>
      <c r="R14" s="387"/>
      <c r="S14" s="15" t="str">
        <f t="shared" si="1"/>
        <v>c</v>
      </c>
      <c r="T14" s="4" t="e">
        <f>VLOOKUP(B14,#REF!,7,FALSE)</f>
        <v>#REF!</v>
      </c>
    </row>
    <row r="15" spans="1:20" x14ac:dyDescent="0.3">
      <c r="A15" s="13"/>
      <c r="B15" s="13">
        <v>8</v>
      </c>
      <c r="C15" s="13" t="e">
        <f>VLOOKUP($B15,#REF!,C$1,FALSE)</f>
        <v>#REF!</v>
      </c>
      <c r="D15" s="25" t="e">
        <f>VLOOKUP($B15,#REF!,D$1,FALSE)</f>
        <v>#REF!</v>
      </c>
      <c r="E15" s="13" t="e">
        <f>VLOOKUP($B15,#REF!,E$1,FALSE)</f>
        <v>#REF!</v>
      </c>
      <c r="F15" s="25" t="e">
        <f>VLOOKUP($B15,#REF!,F$1,FALSE)</f>
        <v>#REF!</v>
      </c>
      <c r="G15" s="14" t="e">
        <f>IF(VLOOKUP($B15,#REF!,G$1,FALSE)=0,0.0001,VLOOKUP($B15,#REF!,G$1,FALSE))</f>
        <v>#REF!</v>
      </c>
      <c r="H15" s="23">
        <v>18942.807000000001</v>
      </c>
      <c r="I15" s="24">
        <v>30080</v>
      </c>
      <c r="M15" s="391"/>
      <c r="N15" s="391"/>
      <c r="O15" s="389"/>
      <c r="P15" s="389"/>
      <c r="Q15" s="390"/>
      <c r="R15" s="387"/>
      <c r="S15" s="15" t="str">
        <f t="shared" si="1"/>
        <v>c</v>
      </c>
      <c r="T15" s="4" t="e">
        <f>VLOOKUP(B15,#REF!,7,FALSE)</f>
        <v>#REF!</v>
      </c>
    </row>
    <row r="16" spans="1:20" x14ac:dyDescent="0.3">
      <c r="A16" s="13"/>
      <c r="B16" s="13">
        <v>9</v>
      </c>
      <c r="C16" s="13" t="e">
        <f>VLOOKUP($B16,#REF!,C$1,FALSE)</f>
        <v>#REF!</v>
      </c>
      <c r="D16" s="25" t="e">
        <f>VLOOKUP($B16,#REF!,D$1,FALSE)</f>
        <v>#REF!</v>
      </c>
      <c r="E16" s="13" t="e">
        <f>VLOOKUP($B16,#REF!,E$1,FALSE)</f>
        <v>#REF!</v>
      </c>
      <c r="F16" s="25" t="e">
        <f>VLOOKUP($B16,#REF!,F$1,FALSE)</f>
        <v>#REF!</v>
      </c>
      <c r="G16" s="14" t="e">
        <f>IF(VLOOKUP($B16,#REF!,G$1,FALSE)=0,0.0001,VLOOKUP($B16,#REF!,G$1,FALSE))</f>
        <v>#REF!</v>
      </c>
      <c r="H16" s="23">
        <v>18855.669999999998</v>
      </c>
      <c r="I16" s="24">
        <v>30080</v>
      </c>
      <c r="M16" s="391"/>
      <c r="N16" s="391"/>
      <c r="O16" s="389"/>
      <c r="P16" s="389"/>
      <c r="Q16" s="390"/>
      <c r="R16" s="387"/>
      <c r="S16" s="15" t="str">
        <f t="shared" si="1"/>
        <v>c</v>
      </c>
      <c r="T16" s="4" t="e">
        <f>VLOOKUP(B16,#REF!,7,FALSE)</f>
        <v>#REF!</v>
      </c>
    </row>
    <row r="17" spans="1:20" x14ac:dyDescent="0.3">
      <c r="A17" s="13"/>
      <c r="B17" s="13">
        <v>10</v>
      </c>
      <c r="C17" s="13" t="e">
        <f>VLOOKUP($B17,#REF!,C$1,FALSE)</f>
        <v>#REF!</v>
      </c>
      <c r="D17" s="25" t="e">
        <f>VLOOKUP($B17,#REF!,D$1,FALSE)</f>
        <v>#REF!</v>
      </c>
      <c r="E17" s="13" t="e">
        <f>VLOOKUP($B17,#REF!,E$1,FALSE)</f>
        <v>#REF!</v>
      </c>
      <c r="F17" s="25" t="e">
        <f>VLOOKUP($B17,#REF!,F$1,FALSE)</f>
        <v>#REF!</v>
      </c>
      <c r="G17" s="14" t="e">
        <f>IF(VLOOKUP($B17,#REF!,G$1,FALSE)=0,0.0001,VLOOKUP($B17,#REF!,G$1,FALSE))</f>
        <v>#REF!</v>
      </c>
      <c r="H17" s="23">
        <v>18837.857</v>
      </c>
      <c r="I17" s="24">
        <v>30080</v>
      </c>
      <c r="M17" s="391"/>
      <c r="N17" s="391"/>
      <c r="O17" s="389"/>
      <c r="P17" s="389"/>
      <c r="Q17" s="390"/>
      <c r="R17" s="387"/>
      <c r="S17" s="15" t="str">
        <f t="shared" si="1"/>
        <v>c</v>
      </c>
      <c r="T17" s="4" t="e">
        <f>VLOOKUP(B17,#REF!,7,FALSE)</f>
        <v>#REF!</v>
      </c>
    </row>
    <row r="18" spans="1:20" x14ac:dyDescent="0.3">
      <c r="A18" s="13"/>
      <c r="B18" s="13">
        <v>11</v>
      </c>
      <c r="C18" s="13" t="e">
        <f>VLOOKUP($B18,#REF!,C$1,FALSE)</f>
        <v>#REF!</v>
      </c>
      <c r="D18" s="25" t="e">
        <f>VLOOKUP($B18,#REF!,D$1,FALSE)</f>
        <v>#REF!</v>
      </c>
      <c r="E18" s="13" t="e">
        <f>VLOOKUP($B18,#REF!,E$1,FALSE)</f>
        <v>#REF!</v>
      </c>
      <c r="F18" s="25" t="e">
        <f>VLOOKUP($B18,#REF!,F$1,FALSE)</f>
        <v>#REF!</v>
      </c>
      <c r="G18" s="14" t="e">
        <f>IF(VLOOKUP($B18,#REF!,G$1,FALSE)=0,0.0001,VLOOKUP($B18,#REF!,G$1,FALSE))</f>
        <v>#REF!</v>
      </c>
      <c r="H18" s="23">
        <v>18628.38</v>
      </c>
      <c r="I18" s="24">
        <v>30080</v>
      </c>
      <c r="M18" s="391"/>
      <c r="N18" s="391"/>
      <c r="O18" s="389"/>
      <c r="P18" s="389"/>
      <c r="Q18" s="390"/>
      <c r="R18" s="387"/>
      <c r="S18" s="15" t="str">
        <f t="shared" si="1"/>
        <v>c</v>
      </c>
      <c r="T18" s="4" t="e">
        <f>VLOOKUP(B18,#REF!,7,FALSE)</f>
        <v>#REF!</v>
      </c>
    </row>
    <row r="19" spans="1:20" x14ac:dyDescent="0.3">
      <c r="A19" s="13"/>
      <c r="B19" s="13">
        <v>12</v>
      </c>
      <c r="C19" s="13" t="e">
        <f>VLOOKUP($B19,#REF!,C$1,FALSE)</f>
        <v>#REF!</v>
      </c>
      <c r="D19" s="25" t="e">
        <f>VLOOKUP($B19,#REF!,D$1,FALSE)</f>
        <v>#REF!</v>
      </c>
      <c r="E19" s="13" t="e">
        <f>VLOOKUP($B19,#REF!,E$1,FALSE)</f>
        <v>#REF!</v>
      </c>
      <c r="F19" s="25" t="e">
        <f>VLOOKUP($B19,#REF!,F$1,FALSE)</f>
        <v>#REF!</v>
      </c>
      <c r="G19" s="14" t="e">
        <f>IF(VLOOKUP($B19,#REF!,G$1,FALSE)=0,0.0001,VLOOKUP($B19,#REF!,G$1,FALSE))</f>
        <v>#REF!</v>
      </c>
      <c r="H19" s="23">
        <v>18317.900000000001</v>
      </c>
      <c r="I19" s="24">
        <v>30080</v>
      </c>
      <c r="M19" s="391">
        <v>30080</v>
      </c>
      <c r="N19" s="391"/>
      <c r="O19" s="389" t="e">
        <f>D19</f>
        <v>#REF!</v>
      </c>
      <c r="P19" s="389" t="e">
        <f>F23</f>
        <v>#REF!</v>
      </c>
      <c r="Q19" s="390" t="e">
        <f>SUM(G19:G23)</f>
        <v>#REF!</v>
      </c>
      <c r="R19" s="387" t="s">
        <v>188</v>
      </c>
      <c r="S19" s="15" t="str">
        <f t="shared" si="1"/>
        <v>c</v>
      </c>
      <c r="T19" s="4" t="e">
        <f>VLOOKUP(B19,#REF!,7,FALSE)</f>
        <v>#REF!</v>
      </c>
    </row>
    <row r="20" spans="1:20" x14ac:dyDescent="0.3">
      <c r="A20" s="13"/>
      <c r="B20" s="13">
        <v>13</v>
      </c>
      <c r="C20" s="13" t="e">
        <f>VLOOKUP($B20,#REF!,C$1,FALSE)</f>
        <v>#REF!</v>
      </c>
      <c r="D20" s="25" t="e">
        <f>VLOOKUP($B20,#REF!,D$1,FALSE)</f>
        <v>#REF!</v>
      </c>
      <c r="E20" s="13" t="e">
        <f>VLOOKUP($B20,#REF!,E$1,FALSE)</f>
        <v>#REF!</v>
      </c>
      <c r="F20" s="25" t="e">
        <f>VLOOKUP($B20,#REF!,F$1,FALSE)</f>
        <v>#REF!</v>
      </c>
      <c r="G20" s="14" t="e">
        <f>IF(VLOOKUP($B20,#REF!,G$1,FALSE)=0,0.0001,VLOOKUP($B20,#REF!,G$1,FALSE))</f>
        <v>#REF!</v>
      </c>
      <c r="H20" s="23">
        <v>18317.757000000001</v>
      </c>
      <c r="I20" s="24">
        <v>30080</v>
      </c>
      <c r="M20" s="391"/>
      <c r="N20" s="391"/>
      <c r="O20" s="389"/>
      <c r="P20" s="389"/>
      <c r="Q20" s="390"/>
      <c r="R20" s="387"/>
      <c r="S20" s="15" t="str">
        <f t="shared" si="1"/>
        <v>c</v>
      </c>
      <c r="T20" s="4" t="e">
        <f>VLOOKUP(B20,#REF!,7,FALSE)</f>
        <v>#REF!</v>
      </c>
    </row>
    <row r="21" spans="1:20" x14ac:dyDescent="0.3">
      <c r="A21" s="13"/>
      <c r="B21" s="13">
        <v>14</v>
      </c>
      <c r="C21" s="13" t="e">
        <f>VLOOKUP($B21,#REF!,C$1,FALSE)</f>
        <v>#REF!</v>
      </c>
      <c r="D21" s="25" t="e">
        <f>VLOOKUP($B21,#REF!,D$1,FALSE)</f>
        <v>#REF!</v>
      </c>
      <c r="E21" s="13" t="e">
        <f>VLOOKUP($B21,#REF!,E$1,FALSE)</f>
        <v>#REF!</v>
      </c>
      <c r="F21" s="25" t="e">
        <f>VLOOKUP($B21,#REF!,F$1,FALSE)</f>
        <v>#REF!</v>
      </c>
      <c r="G21" s="14" t="e">
        <f>IF(VLOOKUP($B21,#REF!,G$1,FALSE)=0,0.0001,VLOOKUP($B21,#REF!,G$1,FALSE))</f>
        <v>#REF!</v>
      </c>
      <c r="H21" s="23">
        <v>16911.02</v>
      </c>
      <c r="I21" s="24">
        <v>30080</v>
      </c>
      <c r="M21" s="391"/>
      <c r="N21" s="391"/>
      <c r="O21" s="389"/>
      <c r="P21" s="389"/>
      <c r="Q21" s="390"/>
      <c r="R21" s="387"/>
      <c r="S21" s="15" t="str">
        <f t="shared" si="1"/>
        <v>c</v>
      </c>
      <c r="T21" s="4" t="e">
        <f>VLOOKUP(B21,#REF!,7,FALSE)</f>
        <v>#REF!</v>
      </c>
    </row>
    <row r="22" spans="1:20" x14ac:dyDescent="0.3">
      <c r="A22" s="13"/>
      <c r="B22" s="13">
        <v>15</v>
      </c>
      <c r="C22" s="13" t="e">
        <f>VLOOKUP($B22,#REF!,C$1,FALSE)</f>
        <v>#REF!</v>
      </c>
      <c r="D22" s="25" t="e">
        <f>VLOOKUP($B22,#REF!,D$1,FALSE)</f>
        <v>#REF!</v>
      </c>
      <c r="E22" s="13" t="e">
        <f>VLOOKUP($B22,#REF!,E$1,FALSE)</f>
        <v>#REF!</v>
      </c>
      <c r="F22" s="25" t="e">
        <f>VLOOKUP($B22,#REF!,F$1,FALSE)</f>
        <v>#REF!</v>
      </c>
      <c r="G22" s="14" t="e">
        <f>IF(VLOOKUP($B22,#REF!,G$1,FALSE)=0,0.0001,VLOOKUP($B22,#REF!,G$1,FALSE))</f>
        <v>#REF!</v>
      </c>
      <c r="H22" s="23">
        <v>15538.954</v>
      </c>
      <c r="I22" s="24">
        <v>30080</v>
      </c>
      <c r="M22" s="391"/>
      <c r="N22" s="391"/>
      <c r="O22" s="389"/>
      <c r="P22" s="389"/>
      <c r="Q22" s="390"/>
      <c r="R22" s="387"/>
      <c r="S22" s="15" t="str">
        <f t="shared" si="1"/>
        <v>c</v>
      </c>
      <c r="T22" s="4" t="e">
        <f>VLOOKUP(B22,#REF!,7,FALSE)</f>
        <v>#REF!</v>
      </c>
    </row>
    <row r="23" spans="1:20" x14ac:dyDescent="0.3">
      <c r="A23" s="13"/>
      <c r="B23" s="13">
        <v>16</v>
      </c>
      <c r="C23" s="13" t="e">
        <f>VLOOKUP($B23,#REF!,C$1,FALSE)</f>
        <v>#REF!</v>
      </c>
      <c r="D23" s="25" t="e">
        <f>VLOOKUP($B23,#REF!,D$1,FALSE)</f>
        <v>#REF!</v>
      </c>
      <c r="E23" s="13" t="e">
        <f>VLOOKUP($B23,#REF!,E$1,FALSE)</f>
        <v>#REF!</v>
      </c>
      <c r="F23" s="25" t="e">
        <f>VLOOKUP($B23,#REF!,F$1,FALSE)</f>
        <v>#REF!</v>
      </c>
      <c r="G23" s="14" t="e">
        <f>IF(VLOOKUP($B23,#REF!,G$1,FALSE)=0,0.0001,VLOOKUP($B23,#REF!,G$1,FALSE))</f>
        <v>#REF!</v>
      </c>
      <c r="H23" s="23">
        <v>15135.09</v>
      </c>
      <c r="I23" s="24">
        <v>30080</v>
      </c>
      <c r="M23" s="391"/>
      <c r="N23" s="391"/>
      <c r="O23" s="389"/>
      <c r="P23" s="389"/>
      <c r="Q23" s="390"/>
      <c r="R23" s="387"/>
      <c r="S23" s="15" t="str">
        <f t="shared" si="1"/>
        <v>c</v>
      </c>
      <c r="T23" s="4" t="e">
        <f>VLOOKUP(B23,#REF!,7,FALSE)</f>
        <v>#REF!</v>
      </c>
    </row>
    <row r="24" spans="1:20" x14ac:dyDescent="0.3">
      <c r="A24" s="13"/>
      <c r="B24" s="13">
        <v>17</v>
      </c>
      <c r="C24" s="13" t="e">
        <f>VLOOKUP($B24,#REF!,C$1,FALSE)</f>
        <v>#REF!</v>
      </c>
      <c r="D24" s="25" t="e">
        <f>VLOOKUP($B24,#REF!,D$1,FALSE)</f>
        <v>#REF!</v>
      </c>
      <c r="E24" s="13" t="e">
        <f>VLOOKUP($B24,#REF!,E$1,FALSE)</f>
        <v>#REF!</v>
      </c>
      <c r="F24" s="25" t="e">
        <f>VLOOKUP($B24,#REF!,F$1,FALSE)</f>
        <v>#REF!</v>
      </c>
      <c r="G24" s="14" t="e">
        <f>IF(VLOOKUP($B24,#REF!,G$1,FALSE)=0,0.0001,VLOOKUP($B24,#REF!,G$1,FALSE))</f>
        <v>#REF!</v>
      </c>
      <c r="H24" s="23">
        <v>12970.58</v>
      </c>
      <c r="I24" s="24">
        <v>15000</v>
      </c>
      <c r="M24" s="40">
        <v>15000</v>
      </c>
      <c r="N24" s="40"/>
      <c r="O24" s="37" t="e">
        <f>D24</f>
        <v>#REF!</v>
      </c>
      <c r="P24" s="37" t="e">
        <f>F24</f>
        <v>#REF!</v>
      </c>
      <c r="Q24" s="14" t="e">
        <f>G24</f>
        <v>#REF!</v>
      </c>
      <c r="R24" s="14"/>
      <c r="S24" s="15" t="str">
        <f t="shared" si="1"/>
        <v>c</v>
      </c>
      <c r="T24" s="4" t="e">
        <f>VLOOKUP(B24,#REF!,7,FALSE)</f>
        <v>#REF!</v>
      </c>
    </row>
    <row r="25" spans="1:20" x14ac:dyDescent="0.3">
      <c r="A25" s="13"/>
      <c r="B25" s="13">
        <v>18</v>
      </c>
      <c r="C25" s="13" t="e">
        <f>VLOOKUP($B25,#REF!,C$1,FALSE)</f>
        <v>#REF!</v>
      </c>
      <c r="D25" s="25" t="e">
        <f>VLOOKUP($B25,#REF!,D$1,FALSE)</f>
        <v>#REF!</v>
      </c>
      <c r="E25" s="13" t="e">
        <f>VLOOKUP($B25,#REF!,E$1,FALSE)</f>
        <v>#REF!</v>
      </c>
      <c r="F25" s="25" t="e">
        <f>VLOOKUP($B25,#REF!,F$1,FALSE)</f>
        <v>#REF!</v>
      </c>
      <c r="G25" s="14" t="e">
        <f>IF(VLOOKUP($B25,#REF!,G$1,FALSE)=0,0.0001,VLOOKUP($B25,#REF!,G$1,FALSE))</f>
        <v>#REF!</v>
      </c>
      <c r="H25" s="23">
        <v>2568.63</v>
      </c>
      <c r="I25" s="24">
        <v>9300</v>
      </c>
      <c r="M25" s="391">
        <v>9300</v>
      </c>
      <c r="N25" s="391"/>
      <c r="O25" s="389" t="e">
        <f>D25</f>
        <v>#REF!</v>
      </c>
      <c r="P25" s="389" t="e">
        <f>F27</f>
        <v>#REF!</v>
      </c>
      <c r="Q25" s="392" t="e">
        <f>SUM(G25:G27)</f>
        <v>#REF!</v>
      </c>
      <c r="R25" s="387" t="s">
        <v>188</v>
      </c>
      <c r="S25" s="15" t="str">
        <f t="shared" si="1"/>
        <v>b</v>
      </c>
      <c r="T25" s="4" t="e">
        <f>VLOOKUP(B25,#REF!,7,FALSE)</f>
        <v>#REF!</v>
      </c>
    </row>
    <row r="26" spans="1:20" x14ac:dyDescent="0.3">
      <c r="A26" s="13"/>
      <c r="B26" s="13">
        <v>19</v>
      </c>
      <c r="C26" s="13" t="e">
        <f>VLOOKUP($B26,#REF!,C$1,FALSE)</f>
        <v>#REF!</v>
      </c>
      <c r="D26" s="25" t="e">
        <f>VLOOKUP($B26,#REF!,D$1,FALSE)</f>
        <v>#REF!</v>
      </c>
      <c r="E26" s="13" t="e">
        <f>VLOOKUP($B26,#REF!,E$1,FALSE)</f>
        <v>#REF!</v>
      </c>
      <c r="F26" s="25" t="e">
        <f>VLOOKUP($B26,#REF!,F$1,FALSE)</f>
        <v>#REF!</v>
      </c>
      <c r="G26" s="14" t="e">
        <f>IF(VLOOKUP($B26,#REF!,G$1,FALSE)=0,0.0001,VLOOKUP($B26,#REF!,G$1,FALSE))</f>
        <v>#REF!</v>
      </c>
      <c r="H26" s="23">
        <v>1181.8667</v>
      </c>
      <c r="I26" s="24">
        <v>9300</v>
      </c>
      <c r="M26" s="391"/>
      <c r="N26" s="391"/>
      <c r="O26" s="389"/>
      <c r="P26" s="389"/>
      <c r="Q26" s="392"/>
      <c r="R26" s="387"/>
      <c r="S26" s="15" t="str">
        <f t="shared" si="1"/>
        <v>b</v>
      </c>
      <c r="T26" s="4" t="e">
        <f>VLOOKUP(B26,#REF!,7,FALSE)</f>
        <v>#REF!</v>
      </c>
    </row>
    <row r="27" spans="1:20" x14ac:dyDescent="0.3">
      <c r="A27" s="13"/>
      <c r="B27" s="13">
        <v>20</v>
      </c>
      <c r="C27" s="13" t="e">
        <f>VLOOKUP($B27,#REF!,C$1,FALSE)</f>
        <v>#REF!</v>
      </c>
      <c r="D27" s="25" t="e">
        <f>VLOOKUP($B27,#REF!,D$1,FALSE)</f>
        <v>#REF!</v>
      </c>
      <c r="E27" s="13" t="e">
        <f>VLOOKUP($B27,#REF!,E$1,FALSE)</f>
        <v>#REF!</v>
      </c>
      <c r="F27" s="25" t="e">
        <f>VLOOKUP($B27,#REF!,F$1,FALSE)</f>
        <v>#REF!</v>
      </c>
      <c r="G27" s="14" t="e">
        <f>IF(VLOOKUP($B27,#REF!,G$1,FALSE)=0,0.0001,VLOOKUP($B27,#REF!,G$1,FALSE))</f>
        <v>#REF!</v>
      </c>
      <c r="H27" s="23">
        <v>621.75666999999999</v>
      </c>
      <c r="I27" s="24">
        <v>9300</v>
      </c>
      <c r="M27" s="391"/>
      <c r="N27" s="391"/>
      <c r="O27" s="389"/>
      <c r="P27" s="389"/>
      <c r="Q27" s="392"/>
      <c r="R27" s="387"/>
      <c r="S27" s="15" t="str">
        <f t="shared" si="1"/>
        <v>b</v>
      </c>
      <c r="T27" s="4" t="e">
        <f>VLOOKUP(B27,#REF!,7,FALSE)</f>
        <v>#REF!</v>
      </c>
    </row>
    <row r="28" spans="1:20" x14ac:dyDescent="0.3">
      <c r="A28" s="13"/>
      <c r="B28" s="13">
        <v>21</v>
      </c>
      <c r="C28" s="13" t="e">
        <f>VLOOKUP($B28,#REF!,C$1,FALSE)</f>
        <v>#REF!</v>
      </c>
      <c r="D28" s="25" t="e">
        <f>VLOOKUP($B28,#REF!,D$1,FALSE)</f>
        <v>#REF!</v>
      </c>
      <c r="E28" s="13" t="e">
        <f>VLOOKUP($B28,#REF!,E$1,FALSE)</f>
        <v>#REF!</v>
      </c>
      <c r="F28" s="25" t="e">
        <f>VLOOKUP($B28,#REF!,F$1,FALSE)</f>
        <v>#REF!</v>
      </c>
      <c r="G28" s="14" t="e">
        <f>IF(VLOOKUP($B28,#REF!,G$1,FALSE)=0,0.0001,VLOOKUP($B28,#REF!,G$1,FALSE))</f>
        <v>#REF!</v>
      </c>
      <c r="H28" s="23">
        <v>0</v>
      </c>
      <c r="I28" s="24">
        <v>9300</v>
      </c>
      <c r="M28" s="40">
        <v>9300</v>
      </c>
      <c r="N28" s="40"/>
      <c r="O28" s="37" t="e">
        <f>D28</f>
        <v>#REF!</v>
      </c>
      <c r="P28" s="37" t="e">
        <f>F28</f>
        <v>#REF!</v>
      </c>
      <c r="Q28" s="14" t="e">
        <f>G28</f>
        <v>#REF!</v>
      </c>
      <c r="R28" s="14"/>
      <c r="S28" s="15">
        <f t="shared" si="1"/>
        <v>0</v>
      </c>
      <c r="T28" s="4" t="e">
        <f>VLOOKUP(B28,#REF!,7,FALSE)</f>
        <v>#REF!</v>
      </c>
    </row>
    <row r="29" spans="1:20" x14ac:dyDescent="0.3">
      <c r="A29" s="13"/>
      <c r="B29" s="13">
        <v>22</v>
      </c>
      <c r="C29" s="13" t="e">
        <f>VLOOKUP($B29,#REF!,C$1,FALSE)</f>
        <v>#REF!</v>
      </c>
      <c r="D29" s="25" t="e">
        <f>VLOOKUP($B29,#REF!,D$1,FALSE)</f>
        <v>#REF!</v>
      </c>
      <c r="E29" s="13" t="e">
        <f>VLOOKUP($B29,#REF!,E$1,FALSE)</f>
        <v>#REF!</v>
      </c>
      <c r="F29" s="25" t="e">
        <f>VLOOKUP($B29,#REF!,F$1,FALSE)</f>
        <v>#REF!</v>
      </c>
      <c r="G29" s="14" t="e">
        <f>IF(VLOOKUP($B29,#REF!,G$1,FALSE)=0,0.0001,VLOOKUP($B29,#REF!,G$1,FALSE))</f>
        <v>#REF!</v>
      </c>
      <c r="H29" s="23">
        <v>10340.576999999999</v>
      </c>
      <c r="I29" s="24">
        <v>12580</v>
      </c>
      <c r="M29" s="391">
        <v>12580</v>
      </c>
      <c r="N29" s="391"/>
      <c r="O29" s="389" t="e">
        <f>D29</f>
        <v>#REF!</v>
      </c>
      <c r="P29" s="389" t="e">
        <f>F32</f>
        <v>#REF!</v>
      </c>
      <c r="Q29" s="392" t="e">
        <f>SUM(G29:G32)</f>
        <v>#REF!</v>
      </c>
      <c r="R29" s="387" t="s">
        <v>189</v>
      </c>
      <c r="S29" s="15" t="str">
        <f t="shared" si="1"/>
        <v>c</v>
      </c>
      <c r="T29" s="4" t="e">
        <f>VLOOKUP(B29,#REF!,7,FALSE)</f>
        <v>#REF!</v>
      </c>
    </row>
    <row r="30" spans="1:20" x14ac:dyDescent="0.3">
      <c r="A30" s="13"/>
      <c r="B30" s="13">
        <v>23</v>
      </c>
      <c r="C30" s="13" t="e">
        <f>VLOOKUP($B30,#REF!,C$1,FALSE)</f>
        <v>#REF!</v>
      </c>
      <c r="D30" s="25" t="e">
        <f>VLOOKUP($B30,#REF!,D$1,FALSE)</f>
        <v>#REF!</v>
      </c>
      <c r="E30" s="13" t="e">
        <f>VLOOKUP($B30,#REF!,E$1,FALSE)</f>
        <v>#REF!</v>
      </c>
      <c r="F30" s="25" t="e">
        <f>VLOOKUP($B30,#REF!,F$1,FALSE)</f>
        <v>#REF!</v>
      </c>
      <c r="G30" s="14" t="e">
        <f>IF(VLOOKUP($B30,#REF!,G$1,FALSE)=0,0.0001,VLOOKUP($B30,#REF!,G$1,FALSE))</f>
        <v>#REF!</v>
      </c>
      <c r="H30" s="23">
        <v>10058.576999999999</v>
      </c>
      <c r="I30" s="24">
        <v>12580</v>
      </c>
      <c r="M30" s="391"/>
      <c r="N30" s="391"/>
      <c r="O30" s="389"/>
      <c r="P30" s="389"/>
      <c r="Q30" s="392"/>
      <c r="R30" s="387"/>
      <c r="S30" s="15" t="str">
        <f t="shared" si="1"/>
        <v>c</v>
      </c>
      <c r="T30" s="4" t="e">
        <f>VLOOKUP(B30,#REF!,7,FALSE)</f>
        <v>#REF!</v>
      </c>
    </row>
    <row r="31" spans="1:20" x14ac:dyDescent="0.3">
      <c r="A31" s="13"/>
      <c r="B31" s="13">
        <v>24</v>
      </c>
      <c r="C31" s="13" t="e">
        <f>VLOOKUP($B31,#REF!,C$1,FALSE)</f>
        <v>#REF!</v>
      </c>
      <c r="D31" s="25" t="e">
        <f>VLOOKUP($B31,#REF!,D$1,FALSE)</f>
        <v>#REF!</v>
      </c>
      <c r="E31" s="13" t="e">
        <f>VLOOKUP($B31,#REF!,E$1,FALSE)</f>
        <v>#REF!</v>
      </c>
      <c r="F31" s="25" t="e">
        <f>VLOOKUP($B31,#REF!,F$1,FALSE)</f>
        <v>#REF!</v>
      </c>
      <c r="G31" s="14" t="e">
        <f>IF(VLOOKUP($B31,#REF!,G$1,FALSE)=0,0.0001,VLOOKUP($B31,#REF!,G$1,FALSE))</f>
        <v>#REF!</v>
      </c>
      <c r="H31" s="23">
        <v>9700.9333000000006</v>
      </c>
      <c r="I31" s="24">
        <v>12580</v>
      </c>
      <c r="M31" s="391"/>
      <c r="N31" s="391"/>
      <c r="O31" s="389"/>
      <c r="P31" s="389"/>
      <c r="Q31" s="392"/>
      <c r="R31" s="387"/>
      <c r="S31" s="15" t="str">
        <f t="shared" si="1"/>
        <v>c</v>
      </c>
      <c r="T31" s="4" t="e">
        <f>VLOOKUP(B31,#REF!,7,FALSE)</f>
        <v>#REF!</v>
      </c>
    </row>
    <row r="32" spans="1:20" x14ac:dyDescent="0.3">
      <c r="A32" s="13"/>
      <c r="B32" s="13">
        <v>25</v>
      </c>
      <c r="C32" s="13" t="e">
        <f>VLOOKUP($B32,#REF!,C$1,FALSE)</f>
        <v>#REF!</v>
      </c>
      <c r="D32" s="25" t="e">
        <f>VLOOKUP($B32,#REF!,D$1,FALSE)</f>
        <v>#REF!</v>
      </c>
      <c r="E32" s="13" t="e">
        <f>VLOOKUP($B32,#REF!,E$1,FALSE)</f>
        <v>#REF!</v>
      </c>
      <c r="F32" s="25" t="e">
        <f>VLOOKUP($B32,#REF!,F$1,FALSE)</f>
        <v>#REF!</v>
      </c>
      <c r="G32" s="14" t="e">
        <f>IF(VLOOKUP($B32,#REF!,G$1,FALSE)=0,0.0001,VLOOKUP($B32,#REF!,G$1,FALSE))</f>
        <v>#REF!</v>
      </c>
      <c r="H32" s="23">
        <v>9617.5467000000008</v>
      </c>
      <c r="I32" s="24">
        <v>12580</v>
      </c>
      <c r="M32" s="391"/>
      <c r="N32" s="391"/>
      <c r="O32" s="389"/>
      <c r="P32" s="389"/>
      <c r="Q32" s="392"/>
      <c r="R32" s="387"/>
      <c r="S32" s="15" t="str">
        <f t="shared" si="1"/>
        <v>c</v>
      </c>
      <c r="T32" s="4" t="e">
        <f>VLOOKUP(B32,#REF!,7,FALSE)</f>
        <v>#REF!</v>
      </c>
    </row>
    <row r="33" spans="1:20" x14ac:dyDescent="0.3">
      <c r="A33" s="13"/>
      <c r="B33" s="13">
        <v>26</v>
      </c>
      <c r="C33" s="13" t="e">
        <f>VLOOKUP($B33,#REF!,C$1,FALSE)</f>
        <v>#REF!</v>
      </c>
      <c r="D33" s="25" t="e">
        <f>VLOOKUP($B33,#REF!,D$1,FALSE)</f>
        <v>#REF!</v>
      </c>
      <c r="E33" s="13" t="e">
        <f>VLOOKUP($B33,#REF!,E$1,FALSE)</f>
        <v>#REF!</v>
      </c>
      <c r="F33" s="25" t="e">
        <f>VLOOKUP($B33,#REF!,F$1,FALSE)</f>
        <v>#REF!</v>
      </c>
      <c r="G33" s="14" t="e">
        <f>IF(VLOOKUP($B33,#REF!,G$1,FALSE)=0,0.0001,VLOOKUP($B33,#REF!,G$1,FALSE))</f>
        <v>#REF!</v>
      </c>
      <c r="H33" s="23">
        <v>9534.2199999999993</v>
      </c>
      <c r="I33" s="24">
        <v>12580</v>
      </c>
      <c r="M33" s="391">
        <v>12580</v>
      </c>
      <c r="N33" s="391"/>
      <c r="O33" s="389" t="e">
        <f>D33</f>
        <v>#REF!</v>
      </c>
      <c r="P33" s="389" t="e">
        <f>F36</f>
        <v>#REF!</v>
      </c>
      <c r="Q33" s="392" t="e">
        <f>SUM(G33:G36)</f>
        <v>#REF!</v>
      </c>
      <c r="R33" s="387" t="s">
        <v>190</v>
      </c>
      <c r="S33" s="15" t="str">
        <f t="shared" si="1"/>
        <v>c</v>
      </c>
      <c r="T33" s="4" t="e">
        <f>VLOOKUP(B33,#REF!,7,FALSE)</f>
        <v>#REF!</v>
      </c>
    </row>
    <row r="34" spans="1:20" x14ac:dyDescent="0.3">
      <c r="A34" s="13"/>
      <c r="B34" s="13">
        <v>27</v>
      </c>
      <c r="C34" s="13" t="e">
        <f>VLOOKUP($B34,#REF!,C$1,FALSE)</f>
        <v>#REF!</v>
      </c>
      <c r="D34" s="25" t="e">
        <f>VLOOKUP($B34,#REF!,D$1,FALSE)</f>
        <v>#REF!</v>
      </c>
      <c r="E34" s="13" t="e">
        <f>VLOOKUP($B34,#REF!,E$1,FALSE)</f>
        <v>#REF!</v>
      </c>
      <c r="F34" s="25" t="e">
        <f>VLOOKUP($B34,#REF!,F$1,FALSE)</f>
        <v>#REF!</v>
      </c>
      <c r="G34" s="14" t="e">
        <f>IF(VLOOKUP($B34,#REF!,G$1,FALSE)=0,0.0001,VLOOKUP($B34,#REF!,G$1,FALSE))</f>
        <v>#REF!</v>
      </c>
      <c r="H34" s="23">
        <v>9173.74</v>
      </c>
      <c r="I34" s="24">
        <v>12580</v>
      </c>
      <c r="M34" s="391"/>
      <c r="N34" s="391"/>
      <c r="O34" s="389"/>
      <c r="P34" s="389"/>
      <c r="Q34" s="392"/>
      <c r="R34" s="387"/>
      <c r="S34" s="15" t="str">
        <f t="shared" si="1"/>
        <v>c</v>
      </c>
      <c r="T34" s="4" t="e">
        <f>VLOOKUP(B34,#REF!,7,FALSE)</f>
        <v>#REF!</v>
      </c>
    </row>
    <row r="35" spans="1:20" x14ac:dyDescent="0.3">
      <c r="A35" s="13"/>
      <c r="B35" s="13">
        <v>28</v>
      </c>
      <c r="C35" s="13" t="e">
        <f>VLOOKUP($B35,#REF!,C$1,FALSE)</f>
        <v>#REF!</v>
      </c>
      <c r="D35" s="25" t="e">
        <f>VLOOKUP($B35,#REF!,D$1,FALSE)</f>
        <v>#REF!</v>
      </c>
      <c r="E35" s="13" t="e">
        <f>VLOOKUP($B35,#REF!,E$1,FALSE)</f>
        <v>#REF!</v>
      </c>
      <c r="F35" s="25" t="e">
        <f>VLOOKUP($B35,#REF!,F$1,FALSE)</f>
        <v>#REF!</v>
      </c>
      <c r="G35" s="14" t="e">
        <f>IF(VLOOKUP($B35,#REF!,G$1,FALSE)=0,0.0001,VLOOKUP($B35,#REF!,G$1,FALSE))</f>
        <v>#REF!</v>
      </c>
      <c r="H35" s="23">
        <v>8793.6633000000002</v>
      </c>
      <c r="I35" s="24">
        <v>12580</v>
      </c>
      <c r="M35" s="391"/>
      <c r="N35" s="391"/>
      <c r="O35" s="389"/>
      <c r="P35" s="389"/>
      <c r="Q35" s="392"/>
      <c r="R35" s="387"/>
      <c r="S35" s="15" t="str">
        <f t="shared" si="1"/>
        <v>c</v>
      </c>
      <c r="T35" s="4" t="e">
        <f>VLOOKUP(B35,#REF!,7,FALSE)</f>
        <v>#REF!</v>
      </c>
    </row>
    <row r="36" spans="1:20" x14ac:dyDescent="0.3">
      <c r="A36" s="13"/>
      <c r="B36" s="13">
        <v>29</v>
      </c>
      <c r="C36" s="13" t="e">
        <f>VLOOKUP($B36,#REF!,C$1,FALSE)</f>
        <v>#REF!</v>
      </c>
      <c r="D36" s="25" t="e">
        <f>VLOOKUP($B36,#REF!,D$1,FALSE)</f>
        <v>#REF!</v>
      </c>
      <c r="E36" s="13" t="e">
        <f>VLOOKUP($B36,#REF!,E$1,FALSE)</f>
        <v>#REF!</v>
      </c>
      <c r="F36" s="25" t="e">
        <f>VLOOKUP($B36,#REF!,F$1,FALSE)</f>
        <v>#REF!</v>
      </c>
      <c r="G36" s="14" t="e">
        <f>IF(VLOOKUP($B36,#REF!,G$1,FALSE)=0,0.0001,VLOOKUP($B36,#REF!,G$1,FALSE))</f>
        <v>#REF!</v>
      </c>
      <c r="H36" s="23">
        <v>8610.5033000000003</v>
      </c>
      <c r="I36" s="24">
        <v>12580</v>
      </c>
      <c r="M36" s="391"/>
      <c r="N36" s="391"/>
      <c r="O36" s="389"/>
      <c r="P36" s="389"/>
      <c r="Q36" s="392"/>
      <c r="R36" s="387"/>
      <c r="S36" s="15" t="str">
        <f t="shared" si="1"/>
        <v>c</v>
      </c>
      <c r="T36" s="4" t="e">
        <f>VLOOKUP(B36,#REF!,7,FALSE)</f>
        <v>#REF!</v>
      </c>
    </row>
    <row r="37" spans="1:20" x14ac:dyDescent="0.3">
      <c r="A37" s="13"/>
      <c r="B37" s="13">
        <v>30</v>
      </c>
      <c r="C37" s="13" t="e">
        <f>VLOOKUP($B37,#REF!,C$1,FALSE)</f>
        <v>#REF!</v>
      </c>
      <c r="D37" s="25" t="e">
        <f>VLOOKUP($B37,#REF!,D$1,FALSE)</f>
        <v>#REF!</v>
      </c>
      <c r="E37" s="13" t="e">
        <f>VLOOKUP($B37,#REF!,E$1,FALSE)</f>
        <v>#REF!</v>
      </c>
      <c r="F37" s="25" t="e">
        <f>VLOOKUP($B37,#REF!,F$1,FALSE)</f>
        <v>#REF!</v>
      </c>
      <c r="G37" s="14" t="e">
        <f>IF(VLOOKUP($B37,#REF!,G$1,FALSE)=0,0.0001,VLOOKUP($B37,#REF!,G$1,FALSE))</f>
        <v>#REF!</v>
      </c>
      <c r="H37" s="23">
        <v>8607.26</v>
      </c>
      <c r="I37" s="24">
        <v>12580</v>
      </c>
      <c r="M37" s="391">
        <v>12580</v>
      </c>
      <c r="N37" s="391"/>
      <c r="O37" s="389" t="e">
        <f>D37</f>
        <v>#REF!</v>
      </c>
      <c r="P37" s="389" t="e">
        <f>F38</f>
        <v>#REF!</v>
      </c>
      <c r="Q37" s="390" t="e">
        <f>SUM(G37:G38)</f>
        <v>#REF!</v>
      </c>
      <c r="R37" s="387" t="s">
        <v>191</v>
      </c>
      <c r="S37" s="15" t="str">
        <f t="shared" si="1"/>
        <v>c</v>
      </c>
      <c r="T37" s="4" t="e">
        <f>VLOOKUP(B37,#REF!,7,FALSE)</f>
        <v>#REF!</v>
      </c>
    </row>
    <row r="38" spans="1:20" x14ac:dyDescent="0.3">
      <c r="A38" s="13"/>
      <c r="B38" s="13">
        <v>31</v>
      </c>
      <c r="C38" s="13" t="e">
        <f>VLOOKUP($B38,#REF!,C$1,FALSE)</f>
        <v>#REF!</v>
      </c>
      <c r="D38" s="25" t="e">
        <f>VLOOKUP($B38,#REF!,D$1,FALSE)</f>
        <v>#REF!</v>
      </c>
      <c r="E38" s="13" t="e">
        <f>VLOOKUP($B38,#REF!,E$1,FALSE)</f>
        <v>#REF!</v>
      </c>
      <c r="F38" s="25" t="e">
        <f>VLOOKUP($B38,#REF!,F$1,FALSE)</f>
        <v>#REF!</v>
      </c>
      <c r="G38" s="14" t="e">
        <f>IF(VLOOKUP($B38,#REF!,G$1,FALSE)=0,0.0001,VLOOKUP($B38,#REF!,G$1,FALSE))</f>
        <v>#REF!</v>
      </c>
      <c r="H38" s="23">
        <v>8424.42</v>
      </c>
      <c r="I38" s="24">
        <v>12580</v>
      </c>
      <c r="M38" s="391"/>
      <c r="N38" s="391"/>
      <c r="O38" s="389"/>
      <c r="P38" s="389"/>
      <c r="Q38" s="390"/>
      <c r="R38" s="387"/>
      <c r="S38" s="15" t="str">
        <f t="shared" si="1"/>
        <v>c</v>
      </c>
      <c r="T38" s="4" t="e">
        <f>VLOOKUP(B38,#REF!,7,FALSE)</f>
        <v>#REF!</v>
      </c>
    </row>
    <row r="39" spans="1:20" x14ac:dyDescent="0.3">
      <c r="A39" s="13"/>
      <c r="B39" s="13">
        <v>32</v>
      </c>
      <c r="C39" s="13" t="e">
        <f>VLOOKUP($B39,#REF!,C$1,FALSE)</f>
        <v>#REF!</v>
      </c>
      <c r="D39" s="25" t="e">
        <f>VLOOKUP($B39,#REF!,D$1,FALSE)</f>
        <v>#REF!</v>
      </c>
      <c r="E39" s="13" t="e">
        <f>VLOOKUP($B39,#REF!,E$1,FALSE)</f>
        <v>#REF!</v>
      </c>
      <c r="F39" s="25" t="e">
        <f>VLOOKUP($B39,#REF!,F$1,FALSE)</f>
        <v>#REF!</v>
      </c>
      <c r="G39" s="14" t="e">
        <f>IF(VLOOKUP($B39,#REF!,G$1,FALSE)=0,0.0001,VLOOKUP($B39,#REF!,G$1,FALSE))</f>
        <v>#REF!</v>
      </c>
      <c r="H39" s="23">
        <v>7709.51</v>
      </c>
      <c r="I39" s="24">
        <v>12580</v>
      </c>
      <c r="M39" s="40">
        <v>12580</v>
      </c>
      <c r="N39" s="40"/>
      <c r="O39" s="37" t="e">
        <f>D39</f>
        <v>#REF!</v>
      </c>
      <c r="P39" s="37" t="e">
        <f>F39</f>
        <v>#REF!</v>
      </c>
      <c r="Q39" s="14" t="e">
        <f>G39</f>
        <v>#REF!</v>
      </c>
      <c r="R39" s="387" t="s">
        <v>191</v>
      </c>
      <c r="S39" s="15" t="str">
        <f t="shared" si="1"/>
        <v>c</v>
      </c>
      <c r="T39" s="4" t="e">
        <f>VLOOKUP(B39,#REF!,7,FALSE)</f>
        <v>#REF!</v>
      </c>
    </row>
    <row r="40" spans="1:20" x14ac:dyDescent="0.3">
      <c r="A40" s="13"/>
      <c r="B40" s="13">
        <v>33</v>
      </c>
      <c r="C40" s="13" t="e">
        <f>VLOOKUP($B40,#REF!,C$1,FALSE)</f>
        <v>#REF!</v>
      </c>
      <c r="D40" s="25" t="e">
        <f>VLOOKUP($B40,#REF!,D$1,FALSE)</f>
        <v>#REF!</v>
      </c>
      <c r="E40" s="13" t="e">
        <f>VLOOKUP($B40,#REF!,E$1,FALSE)</f>
        <v>#REF!</v>
      </c>
      <c r="F40" s="25" t="e">
        <f>VLOOKUP($B40,#REF!,F$1,FALSE)</f>
        <v>#REF!</v>
      </c>
      <c r="G40" s="14" t="e">
        <f>IF(VLOOKUP($B40,#REF!,G$1,FALSE)=0,0.0001,VLOOKUP($B40,#REF!,G$1,FALSE))</f>
        <v>#REF!</v>
      </c>
      <c r="H40" s="23">
        <v>6463.7466999999997</v>
      </c>
      <c r="I40" s="24">
        <v>12580</v>
      </c>
      <c r="M40" s="40">
        <v>12580</v>
      </c>
      <c r="N40" s="40"/>
      <c r="O40" s="37" t="e">
        <f>D40</f>
        <v>#REF!</v>
      </c>
      <c r="P40" s="37" t="e">
        <f>F40</f>
        <v>#REF!</v>
      </c>
      <c r="Q40" s="14" t="e">
        <f>G40</f>
        <v>#REF!</v>
      </c>
      <c r="R40" s="387"/>
      <c r="S40" s="15" t="str">
        <f t="shared" ref="S40:S56" si="2">IF((H40&gt;0),IF((H40-I40)=0,"a",IF(H40/I40&lt;0.5,"b","c")),)</f>
        <v>c</v>
      </c>
      <c r="T40" s="4" t="e">
        <f>VLOOKUP(B40,#REF!,7,FALSE)</f>
        <v>#REF!</v>
      </c>
    </row>
    <row r="41" spans="1:20" x14ac:dyDescent="0.3">
      <c r="A41" s="13"/>
      <c r="B41" s="13">
        <v>34</v>
      </c>
      <c r="C41" s="13" t="e">
        <f>VLOOKUP($B41,#REF!,C$1,FALSE)</f>
        <v>#REF!</v>
      </c>
      <c r="D41" s="25" t="e">
        <f>VLOOKUP($B41,#REF!,D$1,FALSE)</f>
        <v>#REF!</v>
      </c>
      <c r="E41" s="13" t="e">
        <f>VLOOKUP($B41,#REF!,E$1,FALSE)</f>
        <v>#REF!</v>
      </c>
      <c r="F41" s="25" t="e">
        <f>VLOOKUP($B41,#REF!,F$1,FALSE)</f>
        <v>#REF!</v>
      </c>
      <c r="G41" s="14" t="e">
        <f>IF(VLOOKUP($B41,#REF!,G$1,FALSE)=0,0.0001,VLOOKUP($B41,#REF!,G$1,FALSE))</f>
        <v>#REF!</v>
      </c>
      <c r="H41" s="23">
        <v>4648.5200000000004</v>
      </c>
      <c r="I41" s="26">
        <v>5500</v>
      </c>
      <c r="M41" s="391">
        <v>5500</v>
      </c>
      <c r="N41" s="391"/>
      <c r="O41" s="389" t="e">
        <f>D41</f>
        <v>#REF!</v>
      </c>
      <c r="P41" s="389" t="e">
        <f>F45</f>
        <v>#REF!</v>
      </c>
      <c r="Q41" s="392" t="e">
        <f>SUM(G41:G45)</f>
        <v>#REF!</v>
      </c>
      <c r="R41" s="387" t="s">
        <v>192</v>
      </c>
      <c r="S41" s="15" t="str">
        <f t="shared" si="2"/>
        <v>c</v>
      </c>
      <c r="T41" s="4" t="e">
        <f>VLOOKUP(B41,#REF!,7,FALSE)</f>
        <v>#REF!</v>
      </c>
    </row>
    <row r="42" spans="1:20" x14ac:dyDescent="0.3">
      <c r="A42" s="13"/>
      <c r="B42" s="13">
        <v>35</v>
      </c>
      <c r="C42" s="13" t="e">
        <f>VLOOKUP($B42,#REF!,C$1,FALSE)</f>
        <v>#REF!</v>
      </c>
      <c r="D42" s="25" t="e">
        <f>VLOOKUP($B42,#REF!,D$1,FALSE)</f>
        <v>#REF!</v>
      </c>
      <c r="E42" s="13" t="e">
        <f>VLOOKUP($B42,#REF!,E$1,FALSE)</f>
        <v>#REF!</v>
      </c>
      <c r="F42" s="25" t="e">
        <f>VLOOKUP($B42,#REF!,F$1,FALSE)</f>
        <v>#REF!</v>
      </c>
      <c r="G42" s="14" t="e">
        <f>IF(VLOOKUP($B42,#REF!,G$1,FALSE)=0,0.0001,VLOOKUP($B42,#REF!,G$1,FALSE))</f>
        <v>#REF!</v>
      </c>
      <c r="H42" s="23">
        <v>4512.7367000000004</v>
      </c>
      <c r="I42" s="26">
        <v>5500</v>
      </c>
      <c r="M42" s="391"/>
      <c r="N42" s="391"/>
      <c r="O42" s="389"/>
      <c r="P42" s="389"/>
      <c r="Q42" s="392"/>
      <c r="R42" s="387"/>
      <c r="S42" s="15" t="str">
        <f t="shared" si="2"/>
        <v>c</v>
      </c>
      <c r="T42" s="4" t="e">
        <f>VLOOKUP(B42,#REF!,7,FALSE)</f>
        <v>#REF!</v>
      </c>
    </row>
    <row r="43" spans="1:20" x14ac:dyDescent="0.3">
      <c r="A43" s="13"/>
      <c r="B43" s="13">
        <v>36</v>
      </c>
      <c r="C43" s="13" t="e">
        <f>VLOOKUP($B43,#REF!,C$1,FALSE)</f>
        <v>#REF!</v>
      </c>
      <c r="D43" s="25" t="e">
        <f>VLOOKUP($B43,#REF!,D$1,FALSE)</f>
        <v>#REF!</v>
      </c>
      <c r="E43" s="13" t="e">
        <f>VLOOKUP($B43,#REF!,E$1,FALSE)</f>
        <v>#REF!</v>
      </c>
      <c r="F43" s="25" t="e">
        <f>VLOOKUP($B43,#REF!,F$1,FALSE)</f>
        <v>#REF!</v>
      </c>
      <c r="G43" s="14" t="e">
        <f>IF(VLOOKUP($B43,#REF!,G$1,FALSE)=0,0.0001,VLOOKUP($B43,#REF!,G$1,FALSE))</f>
        <v>#REF!</v>
      </c>
      <c r="H43" s="23">
        <v>4002.2467000000001</v>
      </c>
      <c r="I43" s="26">
        <v>5500</v>
      </c>
      <c r="M43" s="391"/>
      <c r="N43" s="391"/>
      <c r="O43" s="389"/>
      <c r="P43" s="389"/>
      <c r="Q43" s="392"/>
      <c r="R43" s="387"/>
      <c r="S43" s="15" t="str">
        <f t="shared" si="2"/>
        <v>c</v>
      </c>
      <c r="T43" s="4" t="e">
        <f>VLOOKUP(B43,#REF!,7,FALSE)</f>
        <v>#REF!</v>
      </c>
    </row>
    <row r="44" spans="1:20" x14ac:dyDescent="0.3">
      <c r="A44" s="13"/>
      <c r="B44" s="13">
        <v>37</v>
      </c>
      <c r="C44" s="13" t="e">
        <f>VLOOKUP($B44,#REF!,C$1,FALSE)</f>
        <v>#REF!</v>
      </c>
      <c r="D44" s="25" t="e">
        <f>VLOOKUP($B44,#REF!,D$1,FALSE)</f>
        <v>#REF!</v>
      </c>
      <c r="E44" s="13" t="e">
        <f>VLOOKUP($B44,#REF!,E$1,FALSE)</f>
        <v>#REF!</v>
      </c>
      <c r="F44" s="25" t="e">
        <f>VLOOKUP($B44,#REF!,F$1,FALSE)</f>
        <v>#REF!</v>
      </c>
      <c r="G44" s="14" t="e">
        <f>IF(VLOOKUP($B44,#REF!,G$1,FALSE)=0,0.0001,VLOOKUP($B44,#REF!,G$1,FALSE))</f>
        <v>#REF!</v>
      </c>
      <c r="H44" s="23">
        <v>3798.63</v>
      </c>
      <c r="I44" s="26">
        <v>5500</v>
      </c>
      <c r="M44" s="391"/>
      <c r="N44" s="391"/>
      <c r="O44" s="389"/>
      <c r="P44" s="389"/>
      <c r="Q44" s="392"/>
      <c r="R44" s="387"/>
      <c r="S44" s="15" t="str">
        <f t="shared" si="2"/>
        <v>c</v>
      </c>
      <c r="T44" s="4" t="e">
        <f>VLOOKUP(B44,#REF!,7,FALSE)</f>
        <v>#REF!</v>
      </c>
    </row>
    <row r="45" spans="1:20" x14ac:dyDescent="0.3">
      <c r="A45" s="13"/>
      <c r="B45" s="13">
        <v>38</v>
      </c>
      <c r="C45" s="13" t="e">
        <f>VLOOKUP($B45,#REF!,C$1,FALSE)</f>
        <v>#REF!</v>
      </c>
      <c r="D45" s="25" t="e">
        <f>VLOOKUP($B45,#REF!,D$1,FALSE)</f>
        <v>#REF!</v>
      </c>
      <c r="E45" s="13" t="e">
        <f>VLOOKUP($B45,#REF!,E$1,FALSE)</f>
        <v>#REF!</v>
      </c>
      <c r="F45" s="25" t="e">
        <f>VLOOKUP($B45,#REF!,F$1,FALSE)</f>
        <v>#REF!</v>
      </c>
      <c r="G45" s="14" t="e">
        <f>IF(VLOOKUP($B45,#REF!,G$1,FALSE)=0,0.0001,VLOOKUP($B45,#REF!,G$1,FALSE))</f>
        <v>#REF!</v>
      </c>
      <c r="H45" s="23">
        <v>3776.2332999999999</v>
      </c>
      <c r="I45" s="26">
        <v>5500</v>
      </c>
      <c r="M45" s="391"/>
      <c r="N45" s="391"/>
      <c r="O45" s="389"/>
      <c r="P45" s="389"/>
      <c r="Q45" s="392"/>
      <c r="R45" s="387"/>
      <c r="S45" s="15" t="str">
        <f t="shared" si="2"/>
        <v>c</v>
      </c>
      <c r="T45" s="4" t="e">
        <f>VLOOKUP(B45,#REF!,7,FALSE)</f>
        <v>#REF!</v>
      </c>
    </row>
    <row r="46" spans="1:20" x14ac:dyDescent="0.3">
      <c r="A46" s="13"/>
      <c r="B46" s="13">
        <v>39</v>
      </c>
      <c r="C46" s="13" t="e">
        <f>VLOOKUP($B46,#REF!,C$1,FALSE)</f>
        <v>#REF!</v>
      </c>
      <c r="D46" s="25" t="e">
        <f>VLOOKUP($B46,#REF!,D$1,FALSE)</f>
        <v>#REF!</v>
      </c>
      <c r="E46" s="13" t="e">
        <f>VLOOKUP($B46,#REF!,E$1,FALSE)</f>
        <v>#REF!</v>
      </c>
      <c r="F46" s="25" t="e">
        <f>VLOOKUP($B46,#REF!,F$1,FALSE)</f>
        <v>#REF!</v>
      </c>
      <c r="G46" s="14" t="e">
        <f>IF(VLOOKUP($B46,#REF!,G$1,FALSE)=0,0.0001,VLOOKUP($B46,#REF!,G$1,FALSE))</f>
        <v>#REF!</v>
      </c>
      <c r="H46" s="23">
        <v>3476.78</v>
      </c>
      <c r="I46" s="24">
        <v>4400</v>
      </c>
      <c r="M46" s="391">
        <v>4400</v>
      </c>
      <c r="N46" s="391"/>
      <c r="O46" s="389" t="e">
        <f>D47</f>
        <v>#REF!</v>
      </c>
      <c r="P46" s="389" t="e">
        <f>F49</f>
        <v>#REF!</v>
      </c>
      <c r="Q46" s="392" t="e">
        <f>SUM(G46:G49)</f>
        <v>#REF!</v>
      </c>
      <c r="R46" s="387" t="s">
        <v>193</v>
      </c>
      <c r="S46" s="15" t="str">
        <f t="shared" si="2"/>
        <v>c</v>
      </c>
      <c r="T46" s="4" t="e">
        <f>VLOOKUP(B46,#REF!,7,FALSE)</f>
        <v>#REF!</v>
      </c>
    </row>
    <row r="47" spans="1:20" x14ac:dyDescent="0.3">
      <c r="A47" s="13"/>
      <c r="B47" s="13">
        <v>40</v>
      </c>
      <c r="C47" s="13" t="e">
        <f>VLOOKUP($B47,#REF!,C$1,FALSE)</f>
        <v>#REF!</v>
      </c>
      <c r="D47" s="25" t="e">
        <f>VLOOKUP($B47,#REF!,D$1,FALSE)</f>
        <v>#REF!</v>
      </c>
      <c r="E47" s="13" t="e">
        <f>VLOOKUP($B47,#REF!,E$1,FALSE)</f>
        <v>#REF!</v>
      </c>
      <c r="F47" s="25" t="e">
        <f>VLOOKUP($B47,#REF!,F$1,FALSE)</f>
        <v>#REF!</v>
      </c>
      <c r="G47" s="14" t="e">
        <f>IF(VLOOKUP($B47,#REF!,G$1,FALSE)=0,0.0001,VLOOKUP($B47,#REF!,G$1,FALSE))</f>
        <v>#REF!</v>
      </c>
      <c r="H47" s="23">
        <v>3352.66</v>
      </c>
      <c r="I47" s="24">
        <v>4400</v>
      </c>
      <c r="M47" s="391"/>
      <c r="N47" s="391"/>
      <c r="O47" s="389"/>
      <c r="P47" s="389"/>
      <c r="Q47" s="392"/>
      <c r="R47" s="387"/>
      <c r="S47" s="15" t="str">
        <f t="shared" si="2"/>
        <v>c</v>
      </c>
      <c r="T47" s="4" t="e">
        <f>VLOOKUP(B47,#REF!,7,FALSE)</f>
        <v>#REF!</v>
      </c>
    </row>
    <row r="48" spans="1:20" x14ac:dyDescent="0.3">
      <c r="A48" s="13"/>
      <c r="B48" s="13">
        <v>41</v>
      </c>
      <c r="C48" s="13" t="e">
        <f>VLOOKUP($B48,#REF!,C$1,FALSE)</f>
        <v>#REF!</v>
      </c>
      <c r="D48" s="25" t="e">
        <f>VLOOKUP($B48,#REF!,D$1,FALSE)</f>
        <v>#REF!</v>
      </c>
      <c r="E48" s="13" t="e">
        <f>VLOOKUP($B48,#REF!,E$1,FALSE)</f>
        <v>#REF!</v>
      </c>
      <c r="F48" s="25" t="e">
        <f>VLOOKUP($B48,#REF!,F$1,FALSE)</f>
        <v>#REF!</v>
      </c>
      <c r="G48" s="14" t="e">
        <f>IF(VLOOKUP($B48,#REF!,G$1,FALSE)=0,0.0001,VLOOKUP($B48,#REF!,G$1,FALSE))</f>
        <v>#REF!</v>
      </c>
      <c r="H48" s="23">
        <v>3200.6833000000001</v>
      </c>
      <c r="I48" s="24">
        <v>4400</v>
      </c>
      <c r="M48" s="391"/>
      <c r="N48" s="391"/>
      <c r="O48" s="389"/>
      <c r="P48" s="389"/>
      <c r="Q48" s="392"/>
      <c r="R48" s="387"/>
      <c r="S48" s="15" t="str">
        <f t="shared" si="2"/>
        <v>c</v>
      </c>
      <c r="T48" s="4" t="e">
        <f>VLOOKUP(B48,#REF!,7,FALSE)</f>
        <v>#REF!</v>
      </c>
    </row>
    <row r="49" spans="1:20" x14ac:dyDescent="0.3">
      <c r="A49" s="13"/>
      <c r="B49" s="13">
        <v>42</v>
      </c>
      <c r="C49" s="13" t="e">
        <f>VLOOKUP($B49,#REF!,C$1,FALSE)</f>
        <v>#REF!</v>
      </c>
      <c r="D49" s="25" t="e">
        <f>VLOOKUP($B49,#REF!,D$1,FALSE)</f>
        <v>#REF!</v>
      </c>
      <c r="E49" s="13" t="e">
        <f>VLOOKUP($B49,#REF!,E$1,FALSE)</f>
        <v>#REF!</v>
      </c>
      <c r="F49" s="25" t="e">
        <f>VLOOKUP($B49,#REF!,F$1,FALSE)</f>
        <v>#REF!</v>
      </c>
      <c r="G49" s="14" t="e">
        <f>IF(VLOOKUP($B49,#REF!,G$1,FALSE)=0,0.0001,VLOOKUP($B49,#REF!,G$1,FALSE))</f>
        <v>#REF!</v>
      </c>
      <c r="H49" s="23">
        <v>2796.0533</v>
      </c>
      <c r="I49" s="24">
        <v>2800</v>
      </c>
      <c r="M49" s="391"/>
      <c r="N49" s="391"/>
      <c r="O49" s="389"/>
      <c r="P49" s="389"/>
      <c r="Q49" s="392"/>
      <c r="R49" s="387"/>
      <c r="S49" s="15" t="str">
        <f t="shared" si="2"/>
        <v>c</v>
      </c>
      <c r="T49" s="4" t="e">
        <f>VLOOKUP(B49,#REF!,7,FALSE)</f>
        <v>#REF!</v>
      </c>
    </row>
    <row r="50" spans="1:20" x14ac:dyDescent="0.3">
      <c r="A50" s="13"/>
      <c r="B50" s="13">
        <v>43</v>
      </c>
      <c r="C50" s="13" t="e">
        <f>VLOOKUP($B50,#REF!,C$1,FALSE)</f>
        <v>#REF!</v>
      </c>
      <c r="D50" s="25" t="e">
        <f>VLOOKUP($B50,#REF!,D$1,FALSE)</f>
        <v>#REF!</v>
      </c>
      <c r="E50" s="13" t="e">
        <f>VLOOKUP($B50,#REF!,E$1,FALSE)</f>
        <v>#REF!</v>
      </c>
      <c r="F50" s="25" t="e">
        <f>VLOOKUP($B50,#REF!,F$1,FALSE)</f>
        <v>#REF!</v>
      </c>
      <c r="G50" s="14" t="e">
        <f>IF(VLOOKUP($B50,#REF!,G$1,FALSE)=0,0.0001,VLOOKUP($B50,#REF!,G$1,FALSE))</f>
        <v>#REF!</v>
      </c>
      <c r="H50" s="23">
        <v>2366.5500000000002</v>
      </c>
      <c r="I50" s="24">
        <v>2800</v>
      </c>
      <c r="M50" s="391">
        <v>2800</v>
      </c>
      <c r="N50" s="391"/>
      <c r="O50" s="389" t="e">
        <f>D50</f>
        <v>#REF!</v>
      </c>
      <c r="P50" s="389" t="str">
        <f>F54</f>
        <v>Canoas</v>
      </c>
      <c r="Q50" s="390" t="e">
        <f>SUM(G50:G54)</f>
        <v>#REF!</v>
      </c>
      <c r="R50" s="390" t="s">
        <v>194</v>
      </c>
      <c r="S50" s="15" t="str">
        <f t="shared" si="2"/>
        <v>c</v>
      </c>
      <c r="T50" s="4" t="e">
        <f>VLOOKUP(B50,#REF!,7,FALSE)</f>
        <v>#REF!</v>
      </c>
    </row>
    <row r="51" spans="1:20" x14ac:dyDescent="0.3">
      <c r="A51" s="13"/>
      <c r="B51" s="13">
        <v>44</v>
      </c>
      <c r="C51" s="13" t="e">
        <f>VLOOKUP($B51,#REF!,C$1,FALSE)</f>
        <v>#REF!</v>
      </c>
      <c r="D51" s="25" t="e">
        <f>VLOOKUP($B51,#REF!,D$1,FALSE)</f>
        <v>#REF!</v>
      </c>
      <c r="E51" s="13" t="e">
        <f>VLOOKUP($B51,#REF!,E$1,FALSE)</f>
        <v>#REF!</v>
      </c>
      <c r="F51" s="25" t="e">
        <f>VLOOKUP($B51,#REF!,F$1,FALSE)</f>
        <v>#REF!</v>
      </c>
      <c r="G51" s="14" t="e">
        <f>IF(VLOOKUP($B51,#REF!,G$1,FALSE)=0,0.0001,VLOOKUP($B51,#REF!,G$1,FALSE))</f>
        <v>#REF!</v>
      </c>
      <c r="H51" s="23">
        <v>2174.5032999999999</v>
      </c>
      <c r="I51" s="24">
        <v>2800</v>
      </c>
      <c r="M51" s="391"/>
      <c r="N51" s="391"/>
      <c r="O51" s="389"/>
      <c r="P51" s="389"/>
      <c r="Q51" s="390"/>
      <c r="R51" s="390"/>
      <c r="S51" s="15" t="str">
        <f t="shared" si="2"/>
        <v>c</v>
      </c>
      <c r="T51" s="4" t="e">
        <f>VLOOKUP(B51,#REF!,7,FALSE)</f>
        <v>#REF!</v>
      </c>
    </row>
    <row r="52" spans="1:20" x14ac:dyDescent="0.3">
      <c r="A52" s="13"/>
      <c r="B52" s="13">
        <v>45</v>
      </c>
      <c r="C52" s="13" t="e">
        <f>VLOOKUP($B52,#REF!,C$1,FALSE)</f>
        <v>#REF!</v>
      </c>
      <c r="D52" s="25" t="e">
        <f>VLOOKUP($B52,#REF!,D$1,FALSE)</f>
        <v>#REF!</v>
      </c>
      <c r="E52" s="13" t="e">
        <f>VLOOKUP($B52,#REF!,E$1,FALSE)</f>
        <v>#REF!</v>
      </c>
      <c r="F52" s="25" t="e">
        <f>VLOOKUP($B52,#REF!,F$1,FALSE)</f>
        <v>#REF!</v>
      </c>
      <c r="G52" s="14" t="e">
        <f>IF(VLOOKUP($B52,#REF!,G$1,FALSE)=0,0.0001,VLOOKUP($B52,#REF!,G$1,FALSE))</f>
        <v>#REF!</v>
      </c>
      <c r="H52" s="23">
        <v>2156.42</v>
      </c>
      <c r="I52" s="24">
        <v>2800</v>
      </c>
      <c r="M52" s="391"/>
      <c r="N52" s="391"/>
      <c r="O52" s="389"/>
      <c r="P52" s="389"/>
      <c r="Q52" s="390"/>
      <c r="R52" s="390"/>
      <c r="S52" s="15" t="str">
        <f t="shared" si="2"/>
        <v>c</v>
      </c>
      <c r="T52" s="4" t="e">
        <f>VLOOKUP(B52,#REF!,7,FALSE)</f>
        <v>#REF!</v>
      </c>
    </row>
    <row r="53" spans="1:20" x14ac:dyDescent="0.3">
      <c r="A53" s="13"/>
      <c r="B53" s="13">
        <v>46</v>
      </c>
      <c r="C53" s="13" t="e">
        <f>VLOOKUP($B53,#REF!,C$1,FALSE)</f>
        <v>#REF!</v>
      </c>
      <c r="D53" s="25" t="e">
        <f>VLOOKUP($B53,#REF!,D$1,FALSE)</f>
        <v>#REF!</v>
      </c>
      <c r="E53" s="13" t="e">
        <f>VLOOKUP($B53,#REF!,E$1,FALSE)</f>
        <v>#REF!</v>
      </c>
      <c r="F53" s="25" t="e">
        <f>VLOOKUP($B53,#REF!,F$1,FALSE)</f>
        <v>#REF!</v>
      </c>
      <c r="G53" s="14" t="e">
        <f>IF(VLOOKUP($B53,#REF!,G$1,FALSE)=0,0.0001,VLOOKUP($B53,#REF!,G$1,FALSE))</f>
        <v>#REF!</v>
      </c>
      <c r="H53" s="23">
        <v>1932.3333</v>
      </c>
      <c r="I53" s="24">
        <v>2400</v>
      </c>
      <c r="M53" s="391"/>
      <c r="N53" s="391"/>
      <c r="O53" s="389"/>
      <c r="P53" s="389"/>
      <c r="Q53" s="390"/>
      <c r="R53" s="390"/>
      <c r="S53" s="15" t="str">
        <f t="shared" si="2"/>
        <v>c</v>
      </c>
      <c r="T53" s="4" t="e">
        <f>VLOOKUP(B53,#REF!,7,FALSE)</f>
        <v>#REF!</v>
      </c>
    </row>
    <row r="54" spans="1:20" x14ac:dyDescent="0.3">
      <c r="A54" s="13"/>
      <c r="B54" s="13">
        <v>47</v>
      </c>
      <c r="C54" s="13" t="e">
        <f>VLOOKUP($B54,#REF!,C$1,FALSE)</f>
        <v>#REF!</v>
      </c>
      <c r="D54" s="25" t="e">
        <f>VLOOKUP($B54,#REF!,D$1,FALSE)</f>
        <v>#REF!</v>
      </c>
      <c r="E54" s="13">
        <v>69</v>
      </c>
      <c r="F54" s="25" t="s">
        <v>57</v>
      </c>
      <c r="G54" s="14" t="e">
        <f>IF(VLOOKUP($B54,#REF!,G$1,FALSE)=0,0.0001,VLOOKUP($B54,#REF!,G$1,FALSE))</f>
        <v>#REF!</v>
      </c>
      <c r="H54" s="23">
        <v>1516.0667000000001</v>
      </c>
      <c r="I54" s="24">
        <v>2400</v>
      </c>
      <c r="M54" s="391"/>
      <c r="N54" s="391"/>
      <c r="O54" s="389"/>
      <c r="P54" s="389"/>
      <c r="Q54" s="390"/>
      <c r="R54" s="390"/>
      <c r="S54" s="15" t="str">
        <f t="shared" si="2"/>
        <v>c</v>
      </c>
      <c r="T54" s="4" t="e">
        <f>VLOOKUP(B54,#REF!,7,FALSE)</f>
        <v>#REF!</v>
      </c>
    </row>
    <row r="55" spans="1:20" x14ac:dyDescent="0.3">
      <c r="A55" s="13"/>
      <c r="B55" s="13">
        <v>48</v>
      </c>
      <c r="C55" s="13">
        <v>69</v>
      </c>
      <c r="D55" s="25" t="s">
        <v>57</v>
      </c>
      <c r="E55" s="13" t="e">
        <f>VLOOKUP($B55,#REF!,E$1,FALSE)</f>
        <v>#REF!</v>
      </c>
      <c r="F55" s="25" t="e">
        <f>VLOOKUP($B55,#REF!,F$1,FALSE)</f>
        <v>#REF!</v>
      </c>
      <c r="G55" s="14" t="e">
        <f>IF(VLOOKUP($B55,#REF!,G$1,FALSE)=0,0.0001,VLOOKUP($B55,#REF!,G$1,FALSE))</f>
        <v>#REF!</v>
      </c>
      <c r="H55" s="23">
        <v>1515.87</v>
      </c>
      <c r="I55" s="24">
        <v>2400</v>
      </c>
      <c r="M55" s="40">
        <v>2400</v>
      </c>
      <c r="N55" s="40"/>
      <c r="O55" s="37" t="str">
        <f>D55</f>
        <v>Canoas</v>
      </c>
      <c r="P55" s="37" t="e">
        <f>F55</f>
        <v>#REF!</v>
      </c>
      <c r="Q55" s="14" t="e">
        <f>G55</f>
        <v>#REF!</v>
      </c>
      <c r="R55" s="35" t="s">
        <v>194</v>
      </c>
      <c r="S55" s="15" t="str">
        <f t="shared" si="2"/>
        <v>c</v>
      </c>
      <c r="T55" s="4" t="e">
        <f>VLOOKUP(B55,#REF!,7,FALSE)</f>
        <v>#REF!</v>
      </c>
    </row>
    <row r="56" spans="1:20" x14ac:dyDescent="0.3">
      <c r="A56" s="13"/>
      <c r="B56" s="13">
        <v>49</v>
      </c>
      <c r="C56" s="13" t="e">
        <f>VLOOKUP($B56,#REF!,C$1,FALSE)</f>
        <v>#REF!</v>
      </c>
      <c r="D56" s="25" t="e">
        <f>VLOOKUP($B56,#REF!,D$1,FALSE)</f>
        <v>#REF!</v>
      </c>
      <c r="E56" s="13" t="e">
        <f>VLOOKUP($B54,#REF!,E$1,FALSE)</f>
        <v>#REF!</v>
      </c>
      <c r="F56" s="25" t="e">
        <f>VLOOKUP($B54,#REF!,F$1,FALSE)</f>
        <v>#REF!</v>
      </c>
      <c r="G56" s="14" t="e">
        <f>IF(VLOOKUP($B56,#REF!,G$1,FALSE)=0,0.0001,VLOOKUP($B56,#REF!,G$1,FALSE))</f>
        <v>#REF!</v>
      </c>
      <c r="H56" s="23">
        <v>785.73667</v>
      </c>
      <c r="I56" s="24">
        <v>2400</v>
      </c>
      <c r="M56" s="40">
        <v>2400</v>
      </c>
      <c r="N56" s="40"/>
      <c r="O56" s="37" t="e">
        <f>D56</f>
        <v>#REF!</v>
      </c>
      <c r="P56" s="37" t="str">
        <f>F54</f>
        <v>Canoas</v>
      </c>
      <c r="Q56" s="14" t="e">
        <f>G56</f>
        <v>#REF!</v>
      </c>
      <c r="R56" s="35" t="s">
        <v>194</v>
      </c>
      <c r="S56" s="15" t="str">
        <f t="shared" si="2"/>
        <v>b</v>
      </c>
      <c r="T56" s="4" t="e">
        <f>VLOOKUP(B56,#REF!,7,FALSE)</f>
        <v>#REF!</v>
      </c>
    </row>
    <row r="57" spans="1:20" x14ac:dyDescent="0.3">
      <c r="A57" s="13"/>
      <c r="M57" s="32"/>
      <c r="N57" s="32"/>
      <c r="O57" s="37"/>
      <c r="P57" s="37"/>
      <c r="Q57" s="14"/>
    </row>
    <row r="58" spans="1:20" x14ac:dyDescent="0.3">
      <c r="A58" s="13"/>
      <c r="B58" s="13">
        <v>50</v>
      </c>
      <c r="C58" s="13" t="e">
        <f>VLOOKUP($B58,#REF!,C$1,FALSE)</f>
        <v>#REF!</v>
      </c>
      <c r="D58" s="25" t="e">
        <f>VLOOKUP($B58,#REF!,D$1,FALSE)</f>
        <v>#REF!</v>
      </c>
      <c r="E58" s="13" t="e">
        <f>VLOOKUP($B58,#REF!,E$1,FALSE)</f>
        <v>#REF!</v>
      </c>
      <c r="F58" s="25" t="e">
        <f>VLOOKUP($B58,#REF!,F$1,FALSE)</f>
        <v>#REF!</v>
      </c>
      <c r="G58" s="14" t="e">
        <f>IF(VLOOKUP($B58,#REF!,G$1,FALSE)=0,0.0001,VLOOKUP($B58,#REF!,G$1,FALSE))</f>
        <v>#REF!</v>
      </c>
      <c r="H58" s="23">
        <v>283.38225</v>
      </c>
      <c r="I58" s="24">
        <v>1200</v>
      </c>
      <c r="M58" s="40">
        <v>1200</v>
      </c>
      <c r="N58" s="40"/>
      <c r="O58" s="37" t="e">
        <f>D58</f>
        <v>#REF!</v>
      </c>
      <c r="P58" s="37" t="e">
        <f>F58</f>
        <v>#REF!</v>
      </c>
      <c r="Q58" s="14" t="e">
        <f>G58</f>
        <v>#REF!</v>
      </c>
      <c r="R58" s="14" t="s">
        <v>195</v>
      </c>
      <c r="S58" s="15" t="str">
        <f>IF((H58&gt;0),IF((H58-I58)=0,"a",IF(H58/I58&lt;0.5,"b","c")),)</f>
        <v>b</v>
      </c>
      <c r="T58" s="4" t="e">
        <f>VLOOKUP(B58,#REF!,7,FALSE)</f>
        <v>#REF!</v>
      </c>
    </row>
    <row r="59" spans="1:20" x14ac:dyDescent="0.3">
      <c r="A59" s="13"/>
      <c r="M59" s="40"/>
      <c r="N59" s="40"/>
      <c r="O59" s="37"/>
      <c r="P59" s="37"/>
      <c r="Q59" s="14"/>
    </row>
    <row r="60" spans="1:20" x14ac:dyDescent="0.3">
      <c r="A60" s="13"/>
      <c r="B60" s="13">
        <v>51</v>
      </c>
      <c r="C60" s="13" t="e">
        <f>VLOOKUP($B60,#REF!,C$1,FALSE)</f>
        <v>#REF!</v>
      </c>
      <c r="D60" s="25" t="e">
        <f>VLOOKUP($B60,#REF!,D$1,FALSE)</f>
        <v>#REF!</v>
      </c>
      <c r="E60" s="13" t="e">
        <f>VLOOKUP($B60,#REF!,E$1,FALSE)</f>
        <v>#REF!</v>
      </c>
      <c r="F60" s="25" t="e">
        <f>VLOOKUP($B60,#REF!,F$1,FALSE)</f>
        <v>#REF!</v>
      </c>
      <c r="G60" s="14" t="e">
        <f>IF(VLOOKUP($B60,#REF!,G$1,FALSE)=0,0.0001,VLOOKUP($B60,#REF!,G$1,FALSE))</f>
        <v>#REF!</v>
      </c>
      <c r="H60" s="23">
        <v>0</v>
      </c>
      <c r="I60" s="24">
        <v>15000</v>
      </c>
      <c r="K60" s="24">
        <v>15000</v>
      </c>
      <c r="L60" s="24"/>
      <c r="M60" s="391">
        <v>15000</v>
      </c>
      <c r="N60" s="391">
        <v>15000</v>
      </c>
      <c r="O60" s="393" t="e">
        <f>D60</f>
        <v>#REF!</v>
      </c>
      <c r="P60" s="389" t="e">
        <f>F63</f>
        <v>#REF!</v>
      </c>
      <c r="Q60" s="390" t="e">
        <f>SUM(G60:G63)</f>
        <v>#REF!</v>
      </c>
      <c r="R60" s="387" t="s">
        <v>187</v>
      </c>
      <c r="S60" s="15">
        <f t="shared" ref="S60:S68" si="3">IF((H60&gt;0),IF((H60-I60)=0,"a",IF(H60/I60&lt;0.5,"b","c")),)</f>
        <v>0</v>
      </c>
      <c r="T60" s="4" t="e">
        <f>VLOOKUP(B60,#REF!,7,FALSE)</f>
        <v>#REF!</v>
      </c>
    </row>
    <row r="61" spans="1:20" x14ac:dyDescent="0.3">
      <c r="A61" s="13"/>
      <c r="B61" s="13">
        <v>52</v>
      </c>
      <c r="C61" s="13" t="e">
        <f>VLOOKUP($B61,#REF!,C$1,FALSE)</f>
        <v>#REF!</v>
      </c>
      <c r="D61" s="25" t="e">
        <f>VLOOKUP($B61,#REF!,D$1,FALSE)</f>
        <v>#REF!</v>
      </c>
      <c r="E61" s="13" t="e">
        <f>VLOOKUP($B61,#REF!,E$1,FALSE)</f>
        <v>#REF!</v>
      </c>
      <c r="F61" s="25" t="e">
        <f>VLOOKUP($B61,#REF!,F$1,FALSE)</f>
        <v>#REF!</v>
      </c>
      <c r="G61" s="14" t="e">
        <f>IF(VLOOKUP($B61,#REF!,G$1,FALSE)=0,0.0001,VLOOKUP($B61,#REF!,G$1,FALSE))</f>
        <v>#REF!</v>
      </c>
      <c r="H61" s="23">
        <v>0</v>
      </c>
      <c r="I61" s="24">
        <v>999999999</v>
      </c>
      <c r="K61" s="24">
        <v>999999999</v>
      </c>
      <c r="L61" s="24"/>
      <c r="M61" s="391"/>
      <c r="N61" s="391"/>
      <c r="O61" s="393"/>
      <c r="P61" s="389"/>
      <c r="Q61" s="390"/>
      <c r="R61" s="387"/>
      <c r="S61" s="15">
        <f t="shared" si="3"/>
        <v>0</v>
      </c>
      <c r="T61" s="4" t="e">
        <f>VLOOKUP(B61,#REF!,7,FALSE)</f>
        <v>#REF!</v>
      </c>
    </row>
    <row r="62" spans="1:20" x14ac:dyDescent="0.3">
      <c r="A62" s="13"/>
      <c r="B62" s="13">
        <v>53</v>
      </c>
      <c r="C62" s="13" t="e">
        <f>VLOOKUP($B62,#REF!,C$1,FALSE)</f>
        <v>#REF!</v>
      </c>
      <c r="D62" s="25" t="e">
        <f>VLOOKUP($B62,#REF!,D$1,FALSE)</f>
        <v>#REF!</v>
      </c>
      <c r="E62" s="13" t="e">
        <f>VLOOKUP($B62,#REF!,E$1,FALSE)</f>
        <v>#REF!</v>
      </c>
      <c r="F62" s="25" t="e">
        <f>VLOOKUP($B62,#REF!,F$1,FALSE)</f>
        <v>#REF!</v>
      </c>
      <c r="G62" s="14" t="e">
        <f>IF(VLOOKUP($B62,#REF!,G$1,FALSE)=0,0.0001,VLOOKUP($B62,#REF!,G$1,FALSE))</f>
        <v>#REF!</v>
      </c>
      <c r="H62" s="23">
        <v>0</v>
      </c>
      <c r="I62" s="24">
        <v>999999999</v>
      </c>
      <c r="K62" s="24">
        <v>999999999</v>
      </c>
      <c r="L62" s="24"/>
      <c r="M62" s="391"/>
      <c r="N62" s="391"/>
      <c r="O62" s="393"/>
      <c r="P62" s="389"/>
      <c r="Q62" s="390"/>
      <c r="R62" s="387"/>
      <c r="S62" s="15">
        <f t="shared" si="3"/>
        <v>0</v>
      </c>
      <c r="T62" s="4" t="e">
        <f>VLOOKUP(B62,#REF!,7,FALSE)</f>
        <v>#REF!</v>
      </c>
    </row>
    <row r="63" spans="1:20" x14ac:dyDescent="0.3">
      <c r="A63" s="13"/>
      <c r="B63" s="13">
        <v>54</v>
      </c>
      <c r="C63" s="13" t="e">
        <f>VLOOKUP($B63,#REF!,C$1,FALSE)</f>
        <v>#REF!</v>
      </c>
      <c r="D63" s="25" t="e">
        <f>VLOOKUP($B63,#REF!,D$1,FALSE)</f>
        <v>#REF!</v>
      </c>
      <c r="E63" s="13" t="e">
        <f>VLOOKUP($B63,#REF!,E$1,FALSE)</f>
        <v>#REF!</v>
      </c>
      <c r="F63" s="25" t="e">
        <f>VLOOKUP($B63,#REF!,F$1,FALSE)</f>
        <v>#REF!</v>
      </c>
      <c r="G63" s="14" t="e">
        <f>IF(VLOOKUP($B63,#REF!,G$1,FALSE)=0,0.0001,VLOOKUP($B63,#REF!,G$1,FALSE))</f>
        <v>#REF!</v>
      </c>
      <c r="H63" s="23">
        <v>0</v>
      </c>
      <c r="I63" s="24">
        <v>999999999</v>
      </c>
      <c r="K63" s="24">
        <v>999999999</v>
      </c>
      <c r="L63" s="24"/>
      <c r="M63" s="391"/>
      <c r="N63" s="391"/>
      <c r="O63" s="393"/>
      <c r="P63" s="389"/>
      <c r="Q63" s="390"/>
      <c r="R63" s="387"/>
      <c r="S63" s="15">
        <f t="shared" si="3"/>
        <v>0</v>
      </c>
      <c r="T63" s="4" t="e">
        <f>VLOOKUP(B63,#REF!,7,FALSE)</f>
        <v>#REF!</v>
      </c>
    </row>
    <row r="64" spans="1:20" x14ac:dyDescent="0.3">
      <c r="A64" s="13"/>
      <c r="B64" s="13">
        <v>55</v>
      </c>
      <c r="C64" s="13" t="e">
        <f>VLOOKUP($B64,#REF!,C$1,FALSE)</f>
        <v>#REF!</v>
      </c>
      <c r="D64" s="25" t="e">
        <f>VLOOKUP($B64,#REF!,D$1,FALSE)</f>
        <v>#REF!</v>
      </c>
      <c r="E64" s="13" t="e">
        <f>VLOOKUP($B64,#REF!,E$1,FALSE)</f>
        <v>#REF!</v>
      </c>
      <c r="F64" s="25" t="e">
        <f>VLOOKUP($B64,#REF!,F$1,FALSE)</f>
        <v>#REF!</v>
      </c>
      <c r="G64" s="14" t="e">
        <f>IF(VLOOKUP($B64,#REF!,G$1,FALSE)=0,0.0001,VLOOKUP($B64,#REF!,G$1,FALSE))</f>
        <v>#REF!</v>
      </c>
      <c r="H64" s="23">
        <v>0</v>
      </c>
      <c r="I64" s="24">
        <v>999999999</v>
      </c>
      <c r="K64" s="24">
        <v>999999999</v>
      </c>
      <c r="L64" s="24"/>
      <c r="M64" s="38">
        <v>999999999</v>
      </c>
      <c r="N64" s="38">
        <v>999999999</v>
      </c>
      <c r="O64" s="37" t="e">
        <f>D64</f>
        <v>#REF!</v>
      </c>
      <c r="P64" s="37" t="e">
        <f t="shared" ref="P64:Q68" si="4">F64</f>
        <v>#REF!</v>
      </c>
      <c r="Q64" s="14" t="e">
        <f t="shared" si="4"/>
        <v>#REF!</v>
      </c>
      <c r="R64" s="14" t="s">
        <v>196</v>
      </c>
      <c r="S64" s="15">
        <f t="shared" si="3"/>
        <v>0</v>
      </c>
      <c r="T64" s="4" t="e">
        <f>VLOOKUP(B64,#REF!,7,FALSE)</f>
        <v>#REF!</v>
      </c>
    </row>
    <row r="65" spans="1:20" x14ac:dyDescent="0.3">
      <c r="A65" s="13"/>
      <c r="B65" s="13">
        <v>56</v>
      </c>
      <c r="C65" s="13" t="e">
        <f>VLOOKUP($B65,#REF!,C$1,FALSE)</f>
        <v>#REF!</v>
      </c>
      <c r="D65" s="25" t="e">
        <f>VLOOKUP($B65,#REF!,D$1,FALSE)</f>
        <v>#REF!</v>
      </c>
      <c r="E65" s="13" t="e">
        <f>VLOOKUP($B65,#REF!,E$1,FALSE)</f>
        <v>#REF!</v>
      </c>
      <c r="F65" s="25" t="e">
        <f>VLOOKUP($B65,#REF!,F$1,FALSE)</f>
        <v>#REF!</v>
      </c>
      <c r="G65" s="14" t="e">
        <f>IF(VLOOKUP($B65,#REF!,G$1,FALSE)=0,0.0001,VLOOKUP($B65,#REF!,G$1,FALSE))</f>
        <v>#REF!</v>
      </c>
      <c r="H65" s="23">
        <v>0</v>
      </c>
      <c r="I65" s="24">
        <v>999999999</v>
      </c>
      <c r="K65" s="24">
        <v>999999999</v>
      </c>
      <c r="L65" s="24"/>
      <c r="M65" s="38">
        <v>999999999</v>
      </c>
      <c r="N65" s="38">
        <v>999999999</v>
      </c>
      <c r="O65" s="37" t="e">
        <f>D65</f>
        <v>#REF!</v>
      </c>
      <c r="P65" s="37" t="e">
        <f t="shared" si="4"/>
        <v>#REF!</v>
      </c>
      <c r="Q65" s="14" t="e">
        <f t="shared" si="4"/>
        <v>#REF!</v>
      </c>
      <c r="R65" s="14" t="s">
        <v>187</v>
      </c>
      <c r="S65" s="15">
        <f t="shared" si="3"/>
        <v>0</v>
      </c>
      <c r="T65" s="4" t="e">
        <f>VLOOKUP(B65,#REF!,7,FALSE)</f>
        <v>#REF!</v>
      </c>
    </row>
    <row r="66" spans="1:20" x14ac:dyDescent="0.3">
      <c r="A66" s="13"/>
      <c r="B66" s="13">
        <v>57</v>
      </c>
      <c r="C66" s="13" t="e">
        <f>VLOOKUP($B66,#REF!,C$1,FALSE)</f>
        <v>#REF!</v>
      </c>
      <c r="D66" s="25" t="e">
        <f>VLOOKUP($B66,#REF!,D$1,FALSE)</f>
        <v>#REF!</v>
      </c>
      <c r="E66" s="13" t="e">
        <f>VLOOKUP($B66,#REF!,E$1,FALSE)</f>
        <v>#REF!</v>
      </c>
      <c r="F66" s="25" t="e">
        <f>VLOOKUP($B66,#REF!,F$1,FALSE)</f>
        <v>#REF!</v>
      </c>
      <c r="G66" s="14" t="e">
        <f>IF(VLOOKUP($B66,#REF!,G$1,FALSE)=0,0.0001,VLOOKUP($B66,#REF!,G$1,FALSE))</f>
        <v>#REF!</v>
      </c>
      <c r="H66" s="23">
        <v>0</v>
      </c>
      <c r="I66" s="24">
        <v>999999999</v>
      </c>
      <c r="K66" s="24">
        <v>999999999</v>
      </c>
      <c r="L66" s="24"/>
      <c r="M66" s="38">
        <v>999999999</v>
      </c>
      <c r="N66" s="38">
        <v>999999999</v>
      </c>
      <c r="O66" s="37" t="e">
        <f>D66</f>
        <v>#REF!</v>
      </c>
      <c r="P66" s="37" t="e">
        <f t="shared" si="4"/>
        <v>#REF!</v>
      </c>
      <c r="Q66" s="14" t="e">
        <f t="shared" si="4"/>
        <v>#REF!</v>
      </c>
      <c r="R66" s="14" t="s">
        <v>197</v>
      </c>
      <c r="S66" s="15">
        <f t="shared" si="3"/>
        <v>0</v>
      </c>
      <c r="T66" s="4" t="e">
        <f>VLOOKUP(B66,#REF!,7,FALSE)</f>
        <v>#REF!</v>
      </c>
    </row>
    <row r="67" spans="1:20" x14ac:dyDescent="0.3">
      <c r="A67" s="13"/>
      <c r="B67" s="13">
        <v>58</v>
      </c>
      <c r="C67" s="13" t="e">
        <f>VLOOKUP($B67,#REF!,C$1,FALSE)</f>
        <v>#REF!</v>
      </c>
      <c r="D67" s="25" t="e">
        <f>VLOOKUP($B67,#REF!,D$1,FALSE)</f>
        <v>#REF!</v>
      </c>
      <c r="E67" s="13" t="e">
        <f>VLOOKUP($B67,#REF!,E$1,FALSE)</f>
        <v>#REF!</v>
      </c>
      <c r="F67" s="25" t="e">
        <f>VLOOKUP($B67,#REF!,F$1,FALSE)</f>
        <v>#REF!</v>
      </c>
      <c r="G67" s="14" t="e">
        <f>IF(VLOOKUP($B67,#REF!,G$1,FALSE)=0,0.0001,VLOOKUP($B67,#REF!,G$1,FALSE))</f>
        <v>#REF!</v>
      </c>
      <c r="H67" s="23">
        <v>0</v>
      </c>
      <c r="I67" s="24">
        <v>999999999</v>
      </c>
      <c r="K67" s="24">
        <v>999999999</v>
      </c>
      <c r="L67" s="24"/>
      <c r="M67" s="38">
        <v>999999999</v>
      </c>
      <c r="N67" s="38">
        <v>999999999</v>
      </c>
      <c r="O67" s="37" t="e">
        <f>D67</f>
        <v>#REF!</v>
      </c>
      <c r="P67" s="37" t="e">
        <f t="shared" si="4"/>
        <v>#REF!</v>
      </c>
      <c r="Q67" s="14" t="e">
        <f t="shared" si="4"/>
        <v>#REF!</v>
      </c>
      <c r="R67" s="14" t="s">
        <v>196</v>
      </c>
      <c r="S67" s="15">
        <f t="shared" si="3"/>
        <v>0</v>
      </c>
      <c r="T67" s="4" t="e">
        <f>VLOOKUP(B67,#REF!,7,FALSE)</f>
        <v>#REF!</v>
      </c>
    </row>
    <row r="68" spans="1:20" x14ac:dyDescent="0.3">
      <c r="A68" s="13"/>
      <c r="B68" s="13">
        <v>59</v>
      </c>
      <c r="C68" s="13" t="e">
        <f>VLOOKUP($B68,#REF!,C$1,FALSE)</f>
        <v>#REF!</v>
      </c>
      <c r="D68" s="25" t="e">
        <f>VLOOKUP($B68,#REF!,D$1,FALSE)</f>
        <v>#REF!</v>
      </c>
      <c r="E68" s="13" t="e">
        <f>VLOOKUP($B68,#REF!,E$1,FALSE)</f>
        <v>#REF!</v>
      </c>
      <c r="F68" s="25" t="e">
        <f>VLOOKUP($B68,#REF!,F$1,FALSE)</f>
        <v>#REF!</v>
      </c>
      <c r="G68" s="14" t="e">
        <f>IF(VLOOKUP($B68,#REF!,G$1,FALSE)=0,0.0001,VLOOKUP($B68,#REF!,G$1,FALSE))</f>
        <v>#REF!</v>
      </c>
      <c r="H68" s="23">
        <v>2663.3119999999999</v>
      </c>
      <c r="I68" s="24">
        <v>999999999</v>
      </c>
      <c r="K68" s="24">
        <v>999999999</v>
      </c>
      <c r="L68" s="24"/>
      <c r="M68" s="38">
        <v>999999999</v>
      </c>
      <c r="N68" s="38">
        <v>999999999</v>
      </c>
      <c r="O68" s="37" t="e">
        <f>D68</f>
        <v>#REF!</v>
      </c>
      <c r="P68" s="37" t="e">
        <f t="shared" si="4"/>
        <v>#REF!</v>
      </c>
      <c r="Q68" s="14" t="e">
        <f t="shared" si="4"/>
        <v>#REF!</v>
      </c>
      <c r="R68" s="14" t="s">
        <v>198</v>
      </c>
      <c r="S68" s="15" t="str">
        <f t="shared" si="3"/>
        <v>b</v>
      </c>
      <c r="T68" s="4" t="e">
        <f>VLOOKUP(B68,#REF!,7,FALSE)</f>
        <v>#REF!</v>
      </c>
    </row>
    <row r="69" spans="1:20" x14ac:dyDescent="0.3">
      <c r="A69" s="13"/>
      <c r="M69" s="32"/>
      <c r="N69" s="32"/>
      <c r="O69" s="37"/>
      <c r="P69" s="37"/>
      <c r="Q69" s="14"/>
    </row>
    <row r="70" spans="1:20" x14ac:dyDescent="0.3">
      <c r="A70" s="13"/>
      <c r="B70" s="13">
        <v>73</v>
      </c>
      <c r="C70" s="13" t="e">
        <f>VLOOKUP($B70,#REF!,E$1,FALSE)</f>
        <v>#REF!</v>
      </c>
      <c r="D70" s="25" t="e">
        <f>VLOOKUP($B70,#REF!,F$1,FALSE)</f>
        <v>#REF!</v>
      </c>
      <c r="E70" s="13" t="e">
        <f>VLOOKUP($B70,#REF!,C$1,FALSE)</f>
        <v>#REF!</v>
      </c>
      <c r="F70" s="25" t="e">
        <f>VLOOKUP($B70,#REF!,D$1,FALSE)</f>
        <v>#REF!</v>
      </c>
      <c r="G70" s="14" t="e">
        <f>IF(VLOOKUP($B70,#REF!,G$1,FALSE)=0,0.0001,VLOOKUP($B70,#REF!,G$1,FALSE))</f>
        <v>#REF!</v>
      </c>
      <c r="H70" s="23">
        <v>0</v>
      </c>
      <c r="I70" s="24">
        <v>999999999</v>
      </c>
      <c r="K70" s="24">
        <v>999999999</v>
      </c>
      <c r="L70" s="24"/>
      <c r="M70" s="38">
        <v>999999999</v>
      </c>
      <c r="N70" s="38">
        <v>999999999</v>
      </c>
      <c r="O70" s="37" t="e">
        <f>D70</f>
        <v>#REF!</v>
      </c>
      <c r="P70" s="37" t="e">
        <f>F70</f>
        <v>#REF!</v>
      </c>
      <c r="Q70" s="14" t="e">
        <f>G70</f>
        <v>#REF!</v>
      </c>
      <c r="R70" s="14" t="s">
        <v>189</v>
      </c>
      <c r="S70" s="15">
        <f t="shared" ref="S70:S84" si="5">IF((H70&gt;0),IF((H70-I70)=0,"a",IF(H70/I70&lt;0.5,"b","c")),)</f>
        <v>0</v>
      </c>
      <c r="T70" s="4" t="e">
        <f>VLOOKUP(B70,#REF!,7,FALSE)</f>
        <v>#REF!</v>
      </c>
    </row>
    <row r="71" spans="1:20" x14ac:dyDescent="0.3">
      <c r="A71" s="13"/>
      <c r="B71" s="13">
        <v>72</v>
      </c>
      <c r="C71" s="13" t="e">
        <f>VLOOKUP($B71,#REF!,E$1,FALSE)</f>
        <v>#REF!</v>
      </c>
      <c r="D71" s="25" t="e">
        <f>VLOOKUP($B71,#REF!,F$1,FALSE)</f>
        <v>#REF!</v>
      </c>
      <c r="E71" s="13" t="e">
        <f>VLOOKUP($B71,#REF!,C$1,FALSE)</f>
        <v>#REF!</v>
      </c>
      <c r="F71" s="25" t="e">
        <f>VLOOKUP($B71,#REF!,D$1,FALSE)</f>
        <v>#REF!</v>
      </c>
      <c r="G71" s="14" t="e">
        <f>IF(VLOOKUP($B71,#REF!,G$1,FALSE)=0,0.0001,VLOOKUP($B71,#REF!,G$1,FALSE))</f>
        <v>#REF!</v>
      </c>
      <c r="H71" s="23">
        <v>0</v>
      </c>
      <c r="I71" s="24">
        <v>999999999</v>
      </c>
      <c r="K71" s="24">
        <v>999999999</v>
      </c>
      <c r="L71" s="24"/>
      <c r="M71" s="38">
        <v>999999999</v>
      </c>
      <c r="N71" s="38">
        <v>999999999</v>
      </c>
      <c r="O71" s="37" t="e">
        <f>D71</f>
        <v>#REF!</v>
      </c>
      <c r="P71" s="37" t="e">
        <f>F71</f>
        <v>#REF!</v>
      </c>
      <c r="Q71" s="14" t="e">
        <f>G71</f>
        <v>#REF!</v>
      </c>
      <c r="R71" s="14" t="s">
        <v>196</v>
      </c>
      <c r="S71" s="15">
        <f t="shared" si="5"/>
        <v>0</v>
      </c>
      <c r="T71" s="4" t="e">
        <f>VLOOKUP(B71,#REF!,7,FALSE)</f>
        <v>#REF!</v>
      </c>
    </row>
    <row r="72" spans="1:20" x14ac:dyDescent="0.3">
      <c r="A72" s="13"/>
      <c r="B72" s="13">
        <v>71</v>
      </c>
      <c r="C72" s="13" t="e">
        <f>VLOOKUP($B72,#REF!,E$1,FALSE)</f>
        <v>#REF!</v>
      </c>
      <c r="D72" s="25" t="e">
        <f>VLOOKUP($B72,#REF!,F$1,FALSE)</f>
        <v>#REF!</v>
      </c>
      <c r="E72" s="13" t="e">
        <f>VLOOKUP($B72,#REF!,C$1,FALSE)</f>
        <v>#REF!</v>
      </c>
      <c r="F72" s="25" t="e">
        <f>VLOOKUP($B72,#REF!,D$1,FALSE)</f>
        <v>#REF!</v>
      </c>
      <c r="G72" s="14" t="e">
        <f>IF(VLOOKUP($B72,#REF!,G$1,FALSE)=0,0.0001,VLOOKUP($B72,#REF!,G$1,FALSE))</f>
        <v>#REF!</v>
      </c>
      <c r="H72" s="23">
        <v>0</v>
      </c>
      <c r="I72" s="24">
        <v>999999999</v>
      </c>
      <c r="K72" s="24">
        <v>999999999</v>
      </c>
      <c r="L72" s="24"/>
      <c r="M72" s="388">
        <v>999999999</v>
      </c>
      <c r="N72" s="388">
        <v>999999999</v>
      </c>
      <c r="O72" s="393" t="e">
        <f>D72</f>
        <v>#REF!</v>
      </c>
      <c r="P72" s="393" t="e">
        <f>F73</f>
        <v>#REF!</v>
      </c>
      <c r="Q72" s="390" t="e">
        <f>SUM(G72:G73)</f>
        <v>#REF!</v>
      </c>
      <c r="R72" s="387" t="s">
        <v>189</v>
      </c>
      <c r="S72" s="15">
        <f t="shared" si="5"/>
        <v>0</v>
      </c>
      <c r="T72" s="4" t="e">
        <f>VLOOKUP(B72,#REF!,7,FALSE)</f>
        <v>#REF!</v>
      </c>
    </row>
    <row r="73" spans="1:20" x14ac:dyDescent="0.3">
      <c r="A73" s="13"/>
      <c r="B73" s="13">
        <v>70</v>
      </c>
      <c r="C73" s="13" t="e">
        <f>VLOOKUP($B73,#REF!,E$1,FALSE)</f>
        <v>#REF!</v>
      </c>
      <c r="D73" s="25" t="e">
        <f>VLOOKUP($B73,#REF!,F$1,FALSE)</f>
        <v>#REF!</v>
      </c>
      <c r="E73" s="13" t="e">
        <f>VLOOKUP($B73,#REF!,C$1,FALSE)</f>
        <v>#REF!</v>
      </c>
      <c r="F73" s="25" t="e">
        <f>VLOOKUP($B73,#REF!,D$1,FALSE)</f>
        <v>#REF!</v>
      </c>
      <c r="G73" s="14" t="e">
        <f>IF(VLOOKUP($B73,#REF!,G$1,FALSE)=0,0.0001,VLOOKUP($B73,#REF!,G$1,FALSE))</f>
        <v>#REF!</v>
      </c>
      <c r="H73" s="23">
        <v>0</v>
      </c>
      <c r="I73" s="24">
        <v>999999999</v>
      </c>
      <c r="K73" s="24">
        <v>999999999</v>
      </c>
      <c r="L73" s="24"/>
      <c r="M73" s="388"/>
      <c r="N73" s="388"/>
      <c r="O73" s="393"/>
      <c r="P73" s="393"/>
      <c r="Q73" s="390"/>
      <c r="R73" s="387"/>
      <c r="S73" s="15">
        <f t="shared" si="5"/>
        <v>0</v>
      </c>
      <c r="T73" s="4" t="e">
        <f>VLOOKUP(B73,#REF!,7,FALSE)</f>
        <v>#REF!</v>
      </c>
    </row>
    <row r="74" spans="1:20" x14ac:dyDescent="0.3">
      <c r="A74" s="13"/>
      <c r="B74" s="13">
        <v>69</v>
      </c>
      <c r="C74" s="13" t="e">
        <f>VLOOKUP($B74,#REF!,C$1,FALSE)</f>
        <v>#REF!</v>
      </c>
      <c r="D74" s="25" t="e">
        <f>VLOOKUP($B74,#REF!,D$1,FALSE)</f>
        <v>#REF!</v>
      </c>
      <c r="E74" s="13" t="e">
        <f>VLOOKUP($B74,#REF!,E$1,FALSE)</f>
        <v>#REF!</v>
      </c>
      <c r="F74" s="25" t="e">
        <f>VLOOKUP($B74,#REF!,F$1,FALSE)</f>
        <v>#REF!</v>
      </c>
      <c r="G74" s="14" t="e">
        <f>IF(VLOOKUP($B74,#REF!,G$1,FALSE)=0,0.0001,VLOOKUP($B74,#REF!,G$1,FALSE))</f>
        <v>#REF!</v>
      </c>
      <c r="H74" s="23">
        <v>0</v>
      </c>
      <c r="I74" s="24">
        <v>999999999</v>
      </c>
      <c r="M74" s="38">
        <v>999999999</v>
      </c>
      <c r="N74" s="32"/>
      <c r="O74" s="37" t="e">
        <f>D74</f>
        <v>#REF!</v>
      </c>
      <c r="P74" s="37" t="e">
        <f>F74</f>
        <v>#REF!</v>
      </c>
      <c r="Q74" s="14" t="e">
        <f>G74</f>
        <v>#REF!</v>
      </c>
      <c r="R74" s="14"/>
      <c r="S74" s="15">
        <f t="shared" si="5"/>
        <v>0</v>
      </c>
      <c r="T74" s="4" t="e">
        <f>VLOOKUP(B74,#REF!,7,FALSE)</f>
        <v>#REF!</v>
      </c>
    </row>
    <row r="75" spans="1:20" x14ac:dyDescent="0.3">
      <c r="A75" s="13"/>
      <c r="B75" s="13">
        <v>68</v>
      </c>
      <c r="C75" s="13" t="e">
        <f>VLOOKUP($B75,#REF!,E$1,FALSE)</f>
        <v>#REF!</v>
      </c>
      <c r="D75" s="25" t="e">
        <f>VLOOKUP($B75,#REF!,F$1,FALSE)</f>
        <v>#REF!</v>
      </c>
      <c r="E75" s="13" t="e">
        <f>VLOOKUP($B75,#REF!,C$1,FALSE)</f>
        <v>#REF!</v>
      </c>
      <c r="F75" s="25" t="e">
        <f>VLOOKUP($B75,#REF!,D$1,FALSE)</f>
        <v>#REF!</v>
      </c>
      <c r="G75" s="14" t="e">
        <f>IF(VLOOKUP($B75,#REF!,G$1,FALSE)=0,0.0001,VLOOKUP($B75,#REF!,G$1,FALSE))</f>
        <v>#REF!</v>
      </c>
      <c r="H75" s="23">
        <v>0</v>
      </c>
      <c r="I75" s="24">
        <v>999999999</v>
      </c>
      <c r="K75" s="24">
        <v>999999999</v>
      </c>
      <c r="L75" s="24"/>
      <c r="M75" s="33">
        <v>999999999</v>
      </c>
      <c r="N75" s="33">
        <v>999999999</v>
      </c>
      <c r="O75" s="9" t="e">
        <f>D75</f>
        <v>#REF!</v>
      </c>
      <c r="P75" s="9" t="e">
        <f>F75</f>
        <v>#REF!</v>
      </c>
      <c r="Q75" s="36" t="e">
        <f>SUM(G75:G76)</f>
        <v>#REF!</v>
      </c>
      <c r="R75" s="35" t="s">
        <v>188</v>
      </c>
      <c r="S75" s="15">
        <f t="shared" si="5"/>
        <v>0</v>
      </c>
      <c r="T75" s="4" t="e">
        <f>VLOOKUP(B75,#REF!,7,FALSE)</f>
        <v>#REF!</v>
      </c>
    </row>
    <row r="76" spans="1:20" x14ac:dyDescent="0.3">
      <c r="A76" s="13"/>
      <c r="B76" s="13">
        <v>67</v>
      </c>
      <c r="C76" s="13" t="e">
        <f>VLOOKUP($B76,#REF!,E$1,FALSE)</f>
        <v>#REF!</v>
      </c>
      <c r="D76" s="25" t="e">
        <f>VLOOKUP($B76,#REF!,F$1,FALSE)</f>
        <v>#REF!</v>
      </c>
      <c r="E76" s="13" t="e">
        <f>VLOOKUP($B76,#REF!,C$1,FALSE)</f>
        <v>#REF!</v>
      </c>
      <c r="F76" s="25" t="e">
        <f>VLOOKUP($B76,#REF!,D$1,FALSE)</f>
        <v>#REF!</v>
      </c>
      <c r="G76" s="14" t="e">
        <f>IF(VLOOKUP($B76,#REF!,G$1,FALSE)=0,0.0001,VLOOKUP($B76,#REF!,G$1,FALSE))</f>
        <v>#REF!</v>
      </c>
      <c r="H76" s="23">
        <v>2099.5985000000001</v>
      </c>
      <c r="I76" s="24">
        <v>999999999</v>
      </c>
      <c r="K76" s="24">
        <v>999999999</v>
      </c>
      <c r="L76" s="24"/>
      <c r="M76" s="33">
        <v>999999999</v>
      </c>
      <c r="N76" s="33">
        <v>999999999</v>
      </c>
      <c r="O76" s="9" t="e">
        <f>D76</f>
        <v>#REF!</v>
      </c>
      <c r="P76" s="9" t="e">
        <f>F76</f>
        <v>#REF!</v>
      </c>
      <c r="Q76" s="36" t="e">
        <f>SUM(G76:G77)</f>
        <v>#REF!</v>
      </c>
      <c r="R76" s="35" t="s">
        <v>188</v>
      </c>
      <c r="S76" s="15" t="str">
        <f t="shared" si="5"/>
        <v>b</v>
      </c>
      <c r="T76" s="4" t="e">
        <f>VLOOKUP(B76,#REF!,7,FALSE)</f>
        <v>#REF!</v>
      </c>
    </row>
    <row r="77" spans="1:20" x14ac:dyDescent="0.3">
      <c r="A77" s="13"/>
      <c r="B77" s="13">
        <v>66</v>
      </c>
      <c r="C77" s="13" t="e">
        <f>VLOOKUP($B77,#REF!,E$1,FALSE)</f>
        <v>#REF!</v>
      </c>
      <c r="D77" s="25" t="e">
        <f>VLOOKUP($B77,#REF!,F$1,FALSE)</f>
        <v>#REF!</v>
      </c>
      <c r="E77" s="13" t="e">
        <f>VLOOKUP($B77,#REF!,C$1,FALSE)</f>
        <v>#REF!</v>
      </c>
      <c r="F77" s="25" t="e">
        <f>VLOOKUP($B77,#REF!,D$1,FALSE)</f>
        <v>#REF!</v>
      </c>
      <c r="G77" s="14" t="e">
        <f>IF(VLOOKUP($B77,#REF!,G$1,FALSE)=0,0.0001,VLOOKUP($B77,#REF!,G$1,FALSE))</f>
        <v>#REF!</v>
      </c>
      <c r="H77" s="23">
        <v>371.33753999999999</v>
      </c>
      <c r="I77" s="24">
        <v>999999999</v>
      </c>
      <c r="K77" s="24">
        <v>999999999</v>
      </c>
      <c r="L77" s="24"/>
      <c r="M77" s="38">
        <v>999999999</v>
      </c>
      <c r="N77" s="38">
        <v>999999999</v>
      </c>
      <c r="O77" s="37" t="e">
        <f>D77</f>
        <v>#REF!</v>
      </c>
      <c r="P77" s="37" t="e">
        <f>F77</f>
        <v>#REF!</v>
      </c>
      <c r="Q77" s="14" t="e">
        <f>G77</f>
        <v>#REF!</v>
      </c>
      <c r="R77" s="14" t="s">
        <v>196</v>
      </c>
      <c r="S77" s="15" t="str">
        <f t="shared" si="5"/>
        <v>b</v>
      </c>
      <c r="T77" s="4" t="e">
        <f>VLOOKUP(B77,#REF!,7,FALSE)</f>
        <v>#REF!</v>
      </c>
    </row>
    <row r="78" spans="1:20" x14ac:dyDescent="0.3">
      <c r="A78" s="13"/>
      <c r="B78" s="13">
        <v>60</v>
      </c>
      <c r="C78" s="13" t="e">
        <f>VLOOKUP($B78,#REF!,C$1,FALSE)</f>
        <v>#REF!</v>
      </c>
      <c r="D78" s="25" t="e">
        <f>VLOOKUP($B78,#REF!,D$1,FALSE)</f>
        <v>#REF!</v>
      </c>
      <c r="E78" s="13" t="e">
        <f>VLOOKUP($B78,#REF!,E$1,FALSE)</f>
        <v>#REF!</v>
      </c>
      <c r="F78" s="25" t="e">
        <f>VLOOKUP($B78,#REF!,F$1,FALSE)</f>
        <v>#REF!</v>
      </c>
      <c r="G78" s="14" t="e">
        <f>IF(VLOOKUP($B78,#REF!,G$1,FALSE)=0,0.0001,VLOOKUP($B78,#REF!,G$1,FALSE))</f>
        <v>#REF!</v>
      </c>
      <c r="H78" s="23">
        <v>0</v>
      </c>
      <c r="I78" s="24">
        <v>999999999</v>
      </c>
      <c r="K78" s="24">
        <v>999999999</v>
      </c>
      <c r="L78" s="24"/>
      <c r="M78" s="388">
        <v>999999999</v>
      </c>
      <c r="N78" s="388">
        <v>999999999</v>
      </c>
      <c r="O78" s="389" t="e">
        <f>D78</f>
        <v>#REF!</v>
      </c>
      <c r="P78" s="389" t="e">
        <f>F80</f>
        <v>#REF!</v>
      </c>
      <c r="Q78" s="390" t="e">
        <f>SUM(G78:G80)</f>
        <v>#REF!</v>
      </c>
      <c r="R78" s="387" t="s">
        <v>187</v>
      </c>
      <c r="S78" s="15">
        <f t="shared" si="5"/>
        <v>0</v>
      </c>
      <c r="T78" s="4" t="e">
        <f>VLOOKUP(B78,#REF!,7,FALSE)</f>
        <v>#REF!</v>
      </c>
    </row>
    <row r="79" spans="1:20" x14ac:dyDescent="0.3">
      <c r="B79" s="13">
        <v>61</v>
      </c>
      <c r="C79" s="13" t="e">
        <f>VLOOKUP($B79,#REF!,C$1,FALSE)</f>
        <v>#REF!</v>
      </c>
      <c r="D79" s="25" t="e">
        <f>VLOOKUP($B79,#REF!,D$1,FALSE)</f>
        <v>#REF!</v>
      </c>
      <c r="E79" s="13" t="e">
        <f>VLOOKUP($B79,#REF!,E$1,FALSE)</f>
        <v>#REF!</v>
      </c>
      <c r="F79" s="25" t="e">
        <f>VLOOKUP($B79,#REF!,F$1,FALSE)</f>
        <v>#REF!</v>
      </c>
      <c r="G79" s="14" t="e">
        <f>IF(VLOOKUP($B79,#REF!,G$1,FALSE)=0,0.0001,VLOOKUP($B79,#REF!,G$1,FALSE))</f>
        <v>#REF!</v>
      </c>
      <c r="H79" s="23">
        <v>0</v>
      </c>
      <c r="I79" s="24">
        <v>999999999</v>
      </c>
      <c r="K79" s="24">
        <v>999999999</v>
      </c>
      <c r="L79" s="24"/>
      <c r="M79" s="388"/>
      <c r="N79" s="388"/>
      <c r="O79" s="389"/>
      <c r="P79" s="389"/>
      <c r="Q79" s="390"/>
      <c r="R79" s="387"/>
      <c r="S79" s="15">
        <f t="shared" si="5"/>
        <v>0</v>
      </c>
      <c r="T79" s="4" t="e">
        <f>VLOOKUP(B79,#REF!,7,FALSE)</f>
        <v>#REF!</v>
      </c>
    </row>
    <row r="80" spans="1:20" x14ac:dyDescent="0.3">
      <c r="A80" s="13"/>
      <c r="B80" s="13">
        <v>62</v>
      </c>
      <c r="C80" s="13" t="e">
        <f>VLOOKUP($B80,#REF!,C$1,FALSE)</f>
        <v>#REF!</v>
      </c>
      <c r="D80" s="25" t="e">
        <f>VLOOKUP($B80,#REF!,D$1,FALSE)</f>
        <v>#REF!</v>
      </c>
      <c r="E80" s="13" t="e">
        <f>VLOOKUP($B80,#REF!,E$1,FALSE)</f>
        <v>#REF!</v>
      </c>
      <c r="F80" s="25" t="e">
        <f>VLOOKUP($B80,#REF!,F$1,FALSE)</f>
        <v>#REF!</v>
      </c>
      <c r="G80" s="14" t="e">
        <f>IF(VLOOKUP($B80,#REF!,G$1,FALSE)=0,0.0001,VLOOKUP($B80,#REF!,G$1,FALSE))</f>
        <v>#REF!</v>
      </c>
      <c r="H80" s="23">
        <v>0</v>
      </c>
      <c r="I80" s="24">
        <v>999999999</v>
      </c>
      <c r="K80" s="24">
        <v>999999999</v>
      </c>
      <c r="L80" s="24"/>
      <c r="M80" s="388"/>
      <c r="N80" s="388"/>
      <c r="O80" s="389"/>
      <c r="P80" s="389"/>
      <c r="Q80" s="390"/>
      <c r="R80" s="387"/>
      <c r="S80" s="15">
        <f t="shared" si="5"/>
        <v>0</v>
      </c>
      <c r="T80" s="4" t="e">
        <f>VLOOKUP(B80,#REF!,7,FALSE)</f>
        <v>#REF!</v>
      </c>
    </row>
    <row r="81" spans="1:20" x14ac:dyDescent="0.3">
      <c r="A81" s="13"/>
      <c r="B81" s="13">
        <v>63</v>
      </c>
      <c r="C81" s="13" t="e">
        <f>VLOOKUP($B81,#REF!,C$1,FALSE)</f>
        <v>#REF!</v>
      </c>
      <c r="D81" s="25" t="e">
        <f>VLOOKUP($B81,#REF!,D$1,FALSE)</f>
        <v>#REF!</v>
      </c>
      <c r="E81" s="13" t="e">
        <f>VLOOKUP($B81,#REF!,E$1,FALSE)</f>
        <v>#REF!</v>
      </c>
      <c r="F81" s="25" t="e">
        <f>VLOOKUP($B81,#REF!,F$1,FALSE)</f>
        <v>#REF!</v>
      </c>
      <c r="G81" s="14" t="e">
        <f>IF(VLOOKUP($B81,#REF!,G$1,FALSE)=0,0.0001,VLOOKUP($B81,#REF!,G$1,FALSE))</f>
        <v>#REF!</v>
      </c>
      <c r="H81" s="23">
        <v>0</v>
      </c>
      <c r="I81" s="24">
        <v>999999999</v>
      </c>
      <c r="K81" s="24">
        <v>999999999</v>
      </c>
      <c r="L81" s="24"/>
      <c r="M81" s="388">
        <v>999999999</v>
      </c>
      <c r="N81" s="388">
        <v>999999999</v>
      </c>
      <c r="O81" s="393" t="e">
        <f>D81</f>
        <v>#REF!</v>
      </c>
      <c r="P81" s="393" t="e">
        <f>F83</f>
        <v>#REF!</v>
      </c>
      <c r="Q81" s="14" t="e">
        <f>G81</f>
        <v>#REF!</v>
      </c>
      <c r="R81" s="387" t="s">
        <v>199</v>
      </c>
      <c r="S81" s="15">
        <f t="shared" si="5"/>
        <v>0</v>
      </c>
      <c r="T81" s="4" t="e">
        <f>VLOOKUP(B81,#REF!,7,FALSE)</f>
        <v>#REF!</v>
      </c>
    </row>
    <row r="82" spans="1:20" x14ac:dyDescent="0.3">
      <c r="A82" s="13"/>
      <c r="B82" s="13">
        <v>64</v>
      </c>
      <c r="C82" s="13" t="e">
        <f>VLOOKUP($B82,#REF!,C$1,FALSE)</f>
        <v>#REF!</v>
      </c>
      <c r="D82" s="25" t="e">
        <f>VLOOKUP($B82,#REF!,D$1,FALSE)</f>
        <v>#REF!</v>
      </c>
      <c r="E82" s="13" t="e">
        <f>VLOOKUP($B82,#REF!,E$1,FALSE)</f>
        <v>#REF!</v>
      </c>
      <c r="F82" s="25" t="e">
        <f>VLOOKUP($B82,#REF!,F$1,FALSE)</f>
        <v>#REF!</v>
      </c>
      <c r="G82" s="14" t="e">
        <f>IF(VLOOKUP($B82,#REF!,G$1,FALSE)=0,0.0001,VLOOKUP($B82,#REF!,G$1,FALSE))</f>
        <v>#REF!</v>
      </c>
      <c r="H82" s="23">
        <v>0</v>
      </c>
      <c r="I82" s="24">
        <v>999999999</v>
      </c>
      <c r="K82" s="24">
        <v>999999999</v>
      </c>
      <c r="L82" s="24"/>
      <c r="M82" s="388"/>
      <c r="N82" s="388"/>
      <c r="O82" s="393"/>
      <c r="P82" s="393"/>
      <c r="Q82" s="14" t="e">
        <f>G82</f>
        <v>#REF!</v>
      </c>
      <c r="R82" s="387"/>
      <c r="S82" s="15">
        <f t="shared" si="5"/>
        <v>0</v>
      </c>
      <c r="T82" s="4" t="e">
        <f>VLOOKUP(B82,#REF!,7,FALSE)</f>
        <v>#REF!</v>
      </c>
    </row>
    <row r="83" spans="1:20" x14ac:dyDescent="0.3">
      <c r="B83" s="13">
        <v>65</v>
      </c>
      <c r="C83" s="13" t="e">
        <f>VLOOKUP($B83,#REF!,C$1,FALSE)</f>
        <v>#REF!</v>
      </c>
      <c r="D83" s="25" t="e">
        <f>VLOOKUP($B83,#REF!,D$1,FALSE)</f>
        <v>#REF!</v>
      </c>
      <c r="E83" s="13" t="e">
        <f>VLOOKUP($B83,#REF!,E$1,FALSE)</f>
        <v>#REF!</v>
      </c>
      <c r="F83" s="25" t="e">
        <f>VLOOKUP($B83,#REF!,F$1,FALSE)</f>
        <v>#REF!</v>
      </c>
      <c r="G83" s="14" t="e">
        <f>IF(VLOOKUP($B83,#REF!,G$1,FALSE)=0,0.0001,VLOOKUP($B83,#REF!,G$1,FALSE))</f>
        <v>#REF!</v>
      </c>
      <c r="H83" s="23">
        <v>0</v>
      </c>
      <c r="I83" s="24">
        <v>999999999</v>
      </c>
      <c r="K83" s="24">
        <v>999999999</v>
      </c>
      <c r="L83" s="24"/>
      <c r="M83" s="388"/>
      <c r="N83" s="388"/>
      <c r="O83" s="393"/>
      <c r="P83" s="393"/>
      <c r="Q83" s="14" t="e">
        <f>G83</f>
        <v>#REF!</v>
      </c>
      <c r="R83" s="387"/>
      <c r="S83" s="15">
        <f t="shared" si="5"/>
        <v>0</v>
      </c>
      <c r="T83" s="4" t="e">
        <f>VLOOKUP(B83,#REF!,7,FALSE)</f>
        <v>#REF!</v>
      </c>
    </row>
    <row r="84" spans="1:20" x14ac:dyDescent="0.3">
      <c r="A84" s="13"/>
      <c r="B84" s="13">
        <v>74</v>
      </c>
      <c r="C84" s="13" t="e">
        <f>VLOOKUP($B84,#REF!,C$1,FALSE)</f>
        <v>#REF!</v>
      </c>
      <c r="D84" s="25" t="e">
        <f>VLOOKUP($B84,#REF!,D$1,FALSE)</f>
        <v>#REF!</v>
      </c>
      <c r="E84" s="13" t="e">
        <f>VLOOKUP($B84,#REF!,E$1,FALSE)</f>
        <v>#REF!</v>
      </c>
      <c r="F84" s="25" t="e">
        <f>VLOOKUP($B84,#REF!,F$1,FALSE)</f>
        <v>#REF!</v>
      </c>
      <c r="G84" s="14" t="e">
        <f>IF(VLOOKUP($B84,#REF!,G$1,FALSE)=0,0.0001,VLOOKUP($B84,#REF!,G$1,FALSE))</f>
        <v>#REF!</v>
      </c>
      <c r="H84" s="23">
        <v>12720.319</v>
      </c>
      <c r="I84" s="24">
        <v>999999999</v>
      </c>
      <c r="M84" s="38">
        <v>999999999</v>
      </c>
      <c r="N84" s="32"/>
      <c r="O84" s="37" t="e">
        <f>D84</f>
        <v>#REF!</v>
      </c>
      <c r="P84" s="37" t="e">
        <f>F84</f>
        <v>#REF!</v>
      </c>
      <c r="Q84" s="14" t="e">
        <f>G84</f>
        <v>#REF!</v>
      </c>
      <c r="R84" s="14" t="s">
        <v>188</v>
      </c>
      <c r="S84" s="15" t="str">
        <f t="shared" si="5"/>
        <v>b</v>
      </c>
      <c r="T84" s="4" t="e">
        <f>VLOOKUP(B84,#REF!,7,FALSE)</f>
        <v>#REF!</v>
      </c>
    </row>
    <row r="85" spans="1:20" x14ac:dyDescent="0.3">
      <c r="A85" s="13"/>
      <c r="M85" s="32"/>
      <c r="N85" s="32"/>
      <c r="O85" s="37"/>
      <c r="P85" s="37"/>
      <c r="Q85" s="14"/>
    </row>
    <row r="86" spans="1:20" x14ac:dyDescent="0.3">
      <c r="A86" s="13"/>
      <c r="B86" s="13">
        <v>75</v>
      </c>
      <c r="C86" s="13" t="e">
        <f>VLOOKUP($B86,#REF!,C$1,FALSE)</f>
        <v>#REF!</v>
      </c>
      <c r="D86" s="25" t="e">
        <f>VLOOKUP($B86,#REF!,D$1,FALSE)</f>
        <v>#REF!</v>
      </c>
      <c r="E86" s="13" t="e">
        <f>VLOOKUP($B86,#REF!,E$1,FALSE)</f>
        <v>#REF!</v>
      </c>
      <c r="F86" s="25" t="e">
        <f>VLOOKUP($B86,#REF!,F$1,FALSE)</f>
        <v>#REF!</v>
      </c>
      <c r="G86" s="14" t="e">
        <f>IF(VLOOKUP($B86,#REF!,G$1,FALSE)=0,0.0001,VLOOKUP($B86,#REF!,G$1,FALSE))</f>
        <v>#REF!</v>
      </c>
      <c r="H86" s="23">
        <v>0</v>
      </c>
      <c r="I86" s="24">
        <v>999999999</v>
      </c>
      <c r="K86" s="24">
        <v>999999999</v>
      </c>
      <c r="L86" s="24"/>
      <c r="M86" s="38">
        <v>999999999</v>
      </c>
      <c r="N86" s="38">
        <v>999999999</v>
      </c>
      <c r="O86" s="37" t="e">
        <f>D86</f>
        <v>#REF!</v>
      </c>
      <c r="P86" s="37" t="e">
        <f>F86</f>
        <v>#REF!</v>
      </c>
      <c r="Q86" s="14" t="e">
        <f>G86</f>
        <v>#REF!</v>
      </c>
      <c r="R86" s="14" t="s">
        <v>196</v>
      </c>
      <c r="S86" s="15">
        <f>IF((H86&gt;0),IF((H86-I86)=0,"a",IF(H86/I86&lt;0.5,"b","c")),)</f>
        <v>0</v>
      </c>
      <c r="T86" s="4" t="e">
        <f>VLOOKUP(B86,#REF!,7,FALSE)</f>
        <v>#REF!</v>
      </c>
    </row>
    <row r="87" spans="1:20" x14ac:dyDescent="0.3">
      <c r="A87" s="13"/>
      <c r="M87" s="32"/>
      <c r="N87" s="32"/>
      <c r="O87" s="37"/>
      <c r="P87" s="37"/>
      <c r="Q87" s="14"/>
    </row>
    <row r="88" spans="1:20" x14ac:dyDescent="0.3">
      <c r="A88" s="13"/>
      <c r="B88" s="13">
        <v>79</v>
      </c>
      <c r="C88" s="13" t="e">
        <f>VLOOKUP($B88,#REF!,E$1,FALSE)</f>
        <v>#REF!</v>
      </c>
      <c r="D88" s="25" t="e">
        <f>VLOOKUP($B88,#REF!,F$1,FALSE)</f>
        <v>#REF!</v>
      </c>
      <c r="E88" s="13" t="e">
        <f>VLOOKUP($B88,#REF!,C$1,FALSE)</f>
        <v>#REF!</v>
      </c>
      <c r="F88" s="25" t="e">
        <f>VLOOKUP($B88,#REF!,D$1,FALSE)</f>
        <v>#REF!</v>
      </c>
      <c r="G88" s="14" t="e">
        <f>IF(VLOOKUP($B88,#REF!,G$1,FALSE)=0,0.0001,VLOOKUP($B88,#REF!,G$1,FALSE))</f>
        <v>#REF!</v>
      </c>
      <c r="H88" s="23">
        <v>3492.3678</v>
      </c>
      <c r="I88" s="24">
        <v>999999999</v>
      </c>
      <c r="K88" s="24">
        <v>999999999</v>
      </c>
      <c r="L88" s="24"/>
      <c r="M88" s="388">
        <v>999999999</v>
      </c>
      <c r="N88" s="388">
        <v>999999999</v>
      </c>
      <c r="O88" s="389" t="e">
        <f>D88</f>
        <v>#REF!</v>
      </c>
      <c r="P88" s="389" t="e">
        <f>F90</f>
        <v>#REF!</v>
      </c>
      <c r="Q88" s="392" t="e">
        <f>SUM(G88:G90)</f>
        <v>#REF!</v>
      </c>
      <c r="R88" s="387" t="s">
        <v>190</v>
      </c>
      <c r="S88" s="15" t="str">
        <f>IF((H88&gt;0),IF((H88-I88)=0,"a",IF(H88/I88&lt;0.5,"b","c")),)</f>
        <v>b</v>
      </c>
      <c r="T88" s="4" t="e">
        <f>VLOOKUP(B88,#REF!,7,FALSE)</f>
        <v>#REF!</v>
      </c>
    </row>
    <row r="89" spans="1:20" x14ac:dyDescent="0.3">
      <c r="A89" s="13"/>
      <c r="B89" s="13">
        <v>80</v>
      </c>
      <c r="C89" s="13" t="e">
        <f>VLOOKUP($B89,#REF!,E$1,FALSE)</f>
        <v>#REF!</v>
      </c>
      <c r="D89" s="25" t="e">
        <f>VLOOKUP($B89,#REF!,F$1,FALSE)</f>
        <v>#REF!</v>
      </c>
      <c r="E89" s="13" t="e">
        <f>VLOOKUP($B89,#REF!,C$1,FALSE)</f>
        <v>#REF!</v>
      </c>
      <c r="F89" s="25" t="e">
        <f>VLOOKUP($B89,#REF!,D$1,FALSE)</f>
        <v>#REF!</v>
      </c>
      <c r="G89" s="14" t="e">
        <f>IF(VLOOKUP($B89,#REF!,G$1,FALSE)=0,0.0001,VLOOKUP($B89,#REF!,G$1,FALSE))</f>
        <v>#REF!</v>
      </c>
      <c r="H89" s="23">
        <v>2240.4569000000001</v>
      </c>
      <c r="I89" s="24">
        <v>999999999</v>
      </c>
      <c r="K89" s="24">
        <v>999999999</v>
      </c>
      <c r="L89" s="24"/>
      <c r="M89" s="388"/>
      <c r="N89" s="388"/>
      <c r="O89" s="389"/>
      <c r="P89" s="389"/>
      <c r="Q89" s="392"/>
      <c r="R89" s="387"/>
      <c r="S89" s="15" t="str">
        <f>IF((H89&gt;0),IF((H89-I89)=0,"a",IF(H89/I89&lt;0.5,"b","c")),)</f>
        <v>b</v>
      </c>
      <c r="T89" s="4" t="e">
        <f>VLOOKUP(B89,#REF!,7,FALSE)</f>
        <v>#REF!</v>
      </c>
    </row>
    <row r="90" spans="1:20" x14ac:dyDescent="0.3">
      <c r="A90" s="13"/>
      <c r="B90" s="13">
        <v>81</v>
      </c>
      <c r="C90" s="13" t="e">
        <f>VLOOKUP($B90,#REF!,E$1,FALSE)</f>
        <v>#REF!</v>
      </c>
      <c r="D90" s="25" t="e">
        <f>VLOOKUP($B90,#REF!,F$1,FALSE)</f>
        <v>#REF!</v>
      </c>
      <c r="E90" s="13" t="e">
        <f>VLOOKUP($B90,#REF!,C$1,FALSE)</f>
        <v>#REF!</v>
      </c>
      <c r="F90" s="25" t="e">
        <f>VLOOKUP($B90,#REF!,D$1,FALSE)</f>
        <v>#REF!</v>
      </c>
      <c r="G90" s="14" t="e">
        <f>IF(VLOOKUP($B90,#REF!,G$1,FALSE)=0,0.0001,VLOOKUP($B90,#REF!,G$1,FALSE))</f>
        <v>#REF!</v>
      </c>
      <c r="H90" s="23">
        <v>1041.3898999999999</v>
      </c>
      <c r="I90" s="24">
        <v>999999999</v>
      </c>
      <c r="K90" s="24">
        <v>999999999</v>
      </c>
      <c r="L90" s="24"/>
      <c r="M90" s="388"/>
      <c r="N90" s="388"/>
      <c r="O90" s="389"/>
      <c r="P90" s="389"/>
      <c r="Q90" s="392"/>
      <c r="R90" s="387"/>
      <c r="S90" s="15" t="str">
        <f>IF((H90&gt;0),IF((H90-I90)=0,"a",IF(H90/I90&lt;0.5,"b","c")),)</f>
        <v>b</v>
      </c>
      <c r="T90" s="4" t="e">
        <f>VLOOKUP(B90,#REF!,7,FALSE)</f>
        <v>#REF!</v>
      </c>
    </row>
    <row r="91" spans="1:20" x14ac:dyDescent="0.3">
      <c r="A91" s="13"/>
      <c r="B91" s="13">
        <v>78</v>
      </c>
      <c r="C91" s="13" t="e">
        <f>VLOOKUP($B91,#REF!,C$1,FALSE)</f>
        <v>#REF!</v>
      </c>
      <c r="D91" s="25" t="e">
        <f>VLOOKUP($B91,#REF!,D$1,FALSE)</f>
        <v>#REF!</v>
      </c>
      <c r="E91" s="13" t="e">
        <f>VLOOKUP($B91,#REF!,E$1,FALSE)</f>
        <v>#REF!</v>
      </c>
      <c r="F91" s="25" t="e">
        <f>VLOOKUP($B91,#REF!,F$1,FALSE)</f>
        <v>#REF!</v>
      </c>
      <c r="G91" s="14" t="e">
        <f>IF(VLOOKUP($B91,#REF!,G$1,FALSE)=0,0.0001,VLOOKUP($B91,#REF!,G$1,FALSE))</f>
        <v>#REF!</v>
      </c>
      <c r="H91" s="23">
        <v>618.97388999999998</v>
      </c>
      <c r="I91" s="24">
        <v>999999999</v>
      </c>
      <c r="K91" s="24">
        <v>999999999</v>
      </c>
      <c r="L91" s="24"/>
      <c r="M91" s="38">
        <v>999999999</v>
      </c>
      <c r="N91" s="38">
        <v>999999999</v>
      </c>
      <c r="O91" s="37" t="e">
        <f>D91</f>
        <v>#REF!</v>
      </c>
      <c r="P91" s="37" t="e">
        <f>F91</f>
        <v>#REF!</v>
      </c>
      <c r="Q91" s="14" t="e">
        <f>G91</f>
        <v>#REF!</v>
      </c>
      <c r="R91" s="14" t="s">
        <v>189</v>
      </c>
      <c r="S91" s="15" t="str">
        <f>IF((H91&gt;0),IF((H91-I91)=0,"a",IF(H91/I91&lt;0.5,"b","c")),)</f>
        <v>b</v>
      </c>
      <c r="T91" s="4" t="e">
        <f>VLOOKUP(B91,#REF!,7,FALSE)</f>
        <v>#REF!</v>
      </c>
    </row>
    <row r="92" spans="1:20" x14ac:dyDescent="0.3">
      <c r="A92" s="13"/>
      <c r="B92" s="13">
        <v>82</v>
      </c>
      <c r="C92" s="13" t="e">
        <f>VLOOKUP($B92,#REF!,C$1,FALSE)</f>
        <v>#REF!</v>
      </c>
      <c r="D92" s="25" t="e">
        <f>VLOOKUP($B92,#REF!,D$1,FALSE)</f>
        <v>#REF!</v>
      </c>
      <c r="E92" s="13" t="e">
        <f>VLOOKUP($B92,#REF!,E$1,FALSE)</f>
        <v>#REF!</v>
      </c>
      <c r="F92" s="25" t="e">
        <f>VLOOKUP($B92,#REF!,F$1,FALSE)</f>
        <v>#REF!</v>
      </c>
      <c r="G92" s="14" t="e">
        <f>IF(VLOOKUP($B92,#REF!,G$1,FALSE)=0,0.0001,VLOOKUP($B92,#REF!,G$1,FALSE))</f>
        <v>#REF!</v>
      </c>
      <c r="H92" s="23">
        <v>0</v>
      </c>
      <c r="I92" s="24">
        <v>999999999</v>
      </c>
      <c r="M92" s="38">
        <v>999999999</v>
      </c>
      <c r="N92" s="32"/>
      <c r="O92" s="37" t="e">
        <f>D92</f>
        <v>#REF!</v>
      </c>
      <c r="P92" s="37" t="e">
        <f>F92</f>
        <v>#REF!</v>
      </c>
      <c r="Q92" s="14" t="e">
        <f>G92</f>
        <v>#REF!</v>
      </c>
      <c r="R92" s="35"/>
      <c r="S92" s="15">
        <f>IF((H92&gt;0),IF((H92-I92)=0,"a",IF(H92/I92&lt;0.5,"b","c")),)</f>
        <v>0</v>
      </c>
      <c r="T92" s="4" t="e">
        <f>VLOOKUP(B92,#REF!,7,FALSE)</f>
        <v>#REF!</v>
      </c>
    </row>
    <row r="93" spans="1:20" x14ac:dyDescent="0.3">
      <c r="A93" s="13"/>
      <c r="C93" s="4"/>
      <c r="E93" s="4"/>
      <c r="I93" s="4"/>
      <c r="K93" s="4"/>
      <c r="L93" s="4"/>
      <c r="M93" s="36"/>
      <c r="N93" s="36"/>
      <c r="O93" s="39"/>
      <c r="P93" s="39"/>
      <c r="Q93" s="14"/>
    </row>
    <row r="94" spans="1:20" x14ac:dyDescent="0.3">
      <c r="A94" s="13"/>
      <c r="B94" s="13">
        <v>76</v>
      </c>
      <c r="C94" s="13" t="e">
        <f>VLOOKUP($B94,#REF!,E$1,FALSE)</f>
        <v>#REF!</v>
      </c>
      <c r="D94" s="25" t="e">
        <f>VLOOKUP($B94,#REF!,F$1,FALSE)</f>
        <v>#REF!</v>
      </c>
      <c r="E94" s="13" t="e">
        <f>VLOOKUP($B94,#REF!,C$1,FALSE)</f>
        <v>#REF!</v>
      </c>
      <c r="F94" s="25" t="e">
        <f>VLOOKUP($B94,#REF!,D$1,FALSE)</f>
        <v>#REF!</v>
      </c>
      <c r="G94" s="14" t="e">
        <f>IF(VLOOKUP($B94,#REF!,G$1,FALSE)=0,0.0001,VLOOKUP($B94,#REF!,G$1,FALSE))</f>
        <v>#REF!</v>
      </c>
      <c r="H94" s="23">
        <v>0</v>
      </c>
      <c r="I94" s="24">
        <v>999999999</v>
      </c>
      <c r="K94" s="24">
        <v>999999999</v>
      </c>
      <c r="L94" s="24"/>
      <c r="M94" s="38">
        <v>999999999</v>
      </c>
      <c r="N94" s="38">
        <v>999999999</v>
      </c>
      <c r="O94" s="37" t="e">
        <f>D94</f>
        <v>#REF!</v>
      </c>
      <c r="P94" s="37" t="e">
        <f>F94</f>
        <v>#REF!</v>
      </c>
      <c r="Q94" s="14" t="e">
        <f>G94</f>
        <v>#REF!</v>
      </c>
      <c r="R94" s="14" t="s">
        <v>196</v>
      </c>
      <c r="S94" s="15">
        <f>IF((H94&gt;0),IF((H94-I94)=0,"a",IF(H94/I94&lt;0.5,"b","c")),)</f>
        <v>0</v>
      </c>
      <c r="T94" s="4" t="e">
        <f>VLOOKUP(B94,#REF!,7,FALSE)</f>
        <v>#REF!</v>
      </c>
    </row>
    <row r="95" spans="1:20" x14ac:dyDescent="0.3">
      <c r="A95" s="13"/>
      <c r="B95" s="13">
        <v>77</v>
      </c>
      <c r="C95" s="13" t="e">
        <f>VLOOKUP($B95,#REF!,E$1,FALSE)</f>
        <v>#REF!</v>
      </c>
      <c r="D95" s="25" t="e">
        <f>VLOOKUP($B95,#REF!,F$1,FALSE)</f>
        <v>#REF!</v>
      </c>
      <c r="E95" s="13" t="e">
        <f>VLOOKUP($B95,#REF!,C$1,FALSE)</f>
        <v>#REF!</v>
      </c>
      <c r="F95" s="25" t="e">
        <f>VLOOKUP($B95,#REF!,D$1,FALSE)</f>
        <v>#REF!</v>
      </c>
      <c r="G95" s="14" t="e">
        <f>IF(VLOOKUP($B95,#REF!,G$1,FALSE)=0,0.0001,VLOOKUP($B95,#REF!,G$1,FALSE))</f>
        <v>#REF!</v>
      </c>
      <c r="H95" s="23">
        <v>0</v>
      </c>
      <c r="I95" s="24">
        <v>999999999</v>
      </c>
      <c r="K95" s="24">
        <v>999999999</v>
      </c>
      <c r="L95" s="24"/>
      <c r="M95" s="38">
        <v>999999999</v>
      </c>
      <c r="N95" s="38">
        <v>999999999</v>
      </c>
      <c r="O95" s="37" t="e">
        <f>D95</f>
        <v>#REF!</v>
      </c>
      <c r="P95" s="37" t="e">
        <f>F95</f>
        <v>#REF!</v>
      </c>
      <c r="Q95" s="14" t="e">
        <f>G95</f>
        <v>#REF!</v>
      </c>
      <c r="R95" s="14" t="s">
        <v>189</v>
      </c>
      <c r="S95" s="15">
        <f>IF((H95&gt;0),IF((H95-I95)=0,"a",IF(H95/I95&lt;0.5,"b","c")),)</f>
        <v>0</v>
      </c>
      <c r="T95" s="4" t="e">
        <f>VLOOKUP(B95,#REF!,7,FALSE)</f>
        <v>#REF!</v>
      </c>
    </row>
    <row r="96" spans="1:20" x14ac:dyDescent="0.3">
      <c r="A96" s="13"/>
      <c r="C96" s="4"/>
      <c r="E96" s="4"/>
      <c r="I96" s="4"/>
      <c r="K96" s="4"/>
      <c r="L96" s="4"/>
      <c r="M96" s="36"/>
      <c r="N96" s="36"/>
      <c r="O96" s="37"/>
      <c r="P96" s="37"/>
      <c r="Q96" s="14"/>
    </row>
    <row r="97" spans="1:20" x14ac:dyDescent="0.3">
      <c r="A97" s="13"/>
      <c r="B97" s="13">
        <v>83</v>
      </c>
      <c r="C97" s="13" t="e">
        <f>VLOOKUP($B97,#REF!,C$1,FALSE)</f>
        <v>#REF!</v>
      </c>
      <c r="D97" s="25" t="e">
        <f>VLOOKUP($B97,#REF!,D$1,FALSE)</f>
        <v>#REF!</v>
      </c>
      <c r="E97" s="13" t="e">
        <f>VLOOKUP($B97,#REF!,E$1,FALSE)</f>
        <v>#REF!</v>
      </c>
      <c r="F97" s="25" t="e">
        <f>VLOOKUP($B97,#REF!,F$1,FALSE)</f>
        <v>#REF!</v>
      </c>
      <c r="G97" s="11" t="e">
        <f>IF(VLOOKUP($B97,#REF!,G$1,FALSE)=0,0.0001,VLOOKUP($B97,#REF!,G$1,FALSE))</f>
        <v>#REF!</v>
      </c>
      <c r="H97" s="23">
        <v>12720.319</v>
      </c>
      <c r="I97" s="24">
        <v>999999999</v>
      </c>
      <c r="M97" s="38">
        <v>999999999</v>
      </c>
      <c r="N97" s="32"/>
      <c r="O97" s="37" t="e">
        <f>D97</f>
        <v>#REF!</v>
      </c>
      <c r="P97" s="37" t="e">
        <f>F97</f>
        <v>#REF!</v>
      </c>
      <c r="Q97" s="14" t="e">
        <f>G97</f>
        <v>#REF!</v>
      </c>
      <c r="R97" s="14" t="s">
        <v>196</v>
      </c>
      <c r="S97" s="15" t="str">
        <f>IF((H97&gt;0),IF((H97-I97)=0,"a",IF(H97/I97&lt;0.5,"b","c")),)</f>
        <v>b</v>
      </c>
      <c r="T97" s="4" t="e">
        <f>VLOOKUP(B97,#REF!,7,FALSE)</f>
        <v>#REF!</v>
      </c>
    </row>
    <row r="98" spans="1:20" x14ac:dyDescent="0.3">
      <c r="A98" s="13"/>
      <c r="B98" s="13">
        <v>84</v>
      </c>
      <c r="C98" s="13" t="e">
        <f>VLOOKUP($B98,#REF!,C$1,FALSE)</f>
        <v>#REF!</v>
      </c>
      <c r="D98" s="25" t="e">
        <f>VLOOKUP($B98,#REF!,D$1,FALSE)</f>
        <v>#REF!</v>
      </c>
      <c r="E98" s="13" t="e">
        <f>VLOOKUP($B98,#REF!,E$1,FALSE)</f>
        <v>#REF!</v>
      </c>
      <c r="F98" s="25" t="e">
        <f>VLOOKUP($B98,#REF!,F$1,FALSE)</f>
        <v>#REF!</v>
      </c>
      <c r="G98" s="11" t="e">
        <f>IF(VLOOKUP($B98,#REF!,G$1,FALSE)=0,0.0001,VLOOKUP($B98,#REF!,G$1,FALSE))</f>
        <v>#REF!</v>
      </c>
      <c r="H98" s="23">
        <v>0</v>
      </c>
      <c r="I98" s="24">
        <v>999999999</v>
      </c>
      <c r="K98" s="24">
        <v>999999999</v>
      </c>
      <c r="L98" s="24"/>
      <c r="M98" s="38">
        <v>999999999</v>
      </c>
      <c r="N98" s="38">
        <v>999999999</v>
      </c>
      <c r="O98" s="37" t="e">
        <f>D98</f>
        <v>#REF!</v>
      </c>
      <c r="P98" s="37" t="e">
        <f>F98</f>
        <v>#REF!</v>
      </c>
      <c r="Q98" s="14" t="e">
        <f>G98</f>
        <v>#REF!</v>
      </c>
      <c r="R98" s="14" t="s">
        <v>196</v>
      </c>
      <c r="S98" s="15">
        <f>IF((H98&gt;0),IF((H98-I98)=0,"a",IF(H98/I98&lt;0.5,"b","c")),)</f>
        <v>0</v>
      </c>
      <c r="T98" s="4" t="e">
        <f>VLOOKUP(B98,#REF!,7,FALSE)</f>
        <v>#REF!</v>
      </c>
    </row>
    <row r="99" spans="1:20" x14ac:dyDescent="0.3">
      <c r="A99" s="13"/>
      <c r="M99" s="32"/>
      <c r="N99" s="32"/>
      <c r="O99" s="37"/>
      <c r="P99" s="37"/>
      <c r="Q99" s="14"/>
    </row>
    <row r="100" spans="1:20" x14ac:dyDescent="0.3">
      <c r="A100" s="13"/>
      <c r="B100" s="13">
        <v>95</v>
      </c>
      <c r="C100" s="13" t="e">
        <f>VLOOKUP($B100,#REF!,C$1,FALSE)</f>
        <v>#REF!</v>
      </c>
      <c r="D100" s="25" t="e">
        <f>VLOOKUP($B100,#REF!,D$1,FALSE)</f>
        <v>#REF!</v>
      </c>
      <c r="E100" s="13" t="e">
        <f>VLOOKUP($B100,#REF!,E$1,FALSE)</f>
        <v>#REF!</v>
      </c>
      <c r="F100" s="25" t="e">
        <f>VLOOKUP($B100,#REF!,F$1,FALSE)</f>
        <v>#REF!</v>
      </c>
      <c r="G100" s="14" t="e">
        <f>IF(VLOOKUP($B100,#REF!,G$1,FALSE)=0,0.0001,VLOOKUP($B100,#REF!,G$1,FALSE))</f>
        <v>#REF!</v>
      </c>
      <c r="H100" s="23">
        <v>986.50365999999997</v>
      </c>
      <c r="I100" s="24">
        <v>999999999</v>
      </c>
      <c r="M100" s="38">
        <v>999999999</v>
      </c>
      <c r="N100" s="32"/>
      <c r="O100" s="37" t="e">
        <f>D100</f>
        <v>#REF!</v>
      </c>
      <c r="P100" s="37" t="e">
        <f>F100</f>
        <v>#REF!</v>
      </c>
      <c r="Q100" s="14" t="e">
        <f>G100</f>
        <v>#REF!</v>
      </c>
      <c r="R100" s="35" t="s">
        <v>200</v>
      </c>
      <c r="S100" s="15" t="str">
        <f t="shared" ref="S100:S110" si="6">IF((H100&gt;0),IF((H100-I100)=0,"a",IF(H100/I100&lt;0.5,"b","c")),)</f>
        <v>b</v>
      </c>
      <c r="T100" s="4" t="e">
        <f>VLOOKUP(B100,#REF!,7,FALSE)</f>
        <v>#REF!</v>
      </c>
    </row>
    <row r="101" spans="1:20" x14ac:dyDescent="0.3">
      <c r="A101" s="13"/>
      <c r="B101" s="13">
        <v>94</v>
      </c>
      <c r="C101" s="13" t="e">
        <f>VLOOKUP($B101,#REF!,C$1,FALSE)</f>
        <v>#REF!</v>
      </c>
      <c r="D101" s="25" t="e">
        <f>VLOOKUP($B101,#REF!,D$1,FALSE)</f>
        <v>#REF!</v>
      </c>
      <c r="E101" s="13" t="e">
        <f>VLOOKUP($B101,#REF!,E$1,FALSE)</f>
        <v>#REF!</v>
      </c>
      <c r="F101" s="25" t="e">
        <f>VLOOKUP($B101,#REF!,F$1,FALSE)</f>
        <v>#REF!</v>
      </c>
      <c r="G101" s="14" t="e">
        <f>IF(VLOOKUP($B101,#REF!,G$1,FALSE)=0,0.0001,VLOOKUP($B101,#REF!,G$1,FALSE))</f>
        <v>#REF!</v>
      </c>
      <c r="H101" s="23">
        <v>1437.6048000000001</v>
      </c>
      <c r="I101" s="24">
        <v>999999999</v>
      </c>
      <c r="M101" s="388">
        <v>999999999</v>
      </c>
      <c r="N101" s="388"/>
      <c r="O101" s="389" t="e">
        <f>D102</f>
        <v>#REF!</v>
      </c>
      <c r="P101" s="389" t="e">
        <f>F101</f>
        <v>#REF!</v>
      </c>
      <c r="Q101" s="392" t="e">
        <f>SUM(G101:G102)</f>
        <v>#REF!</v>
      </c>
      <c r="R101" s="35" t="s">
        <v>200</v>
      </c>
      <c r="S101" s="15" t="str">
        <f t="shared" si="6"/>
        <v>b</v>
      </c>
      <c r="T101" s="4" t="e">
        <f>VLOOKUP(B101,#REF!,7,FALSE)</f>
        <v>#REF!</v>
      </c>
    </row>
    <row r="102" spans="1:20" x14ac:dyDescent="0.3">
      <c r="A102" s="13"/>
      <c r="B102" s="13">
        <v>93</v>
      </c>
      <c r="C102" s="13" t="e">
        <f>VLOOKUP($B102,#REF!,C$1,FALSE)</f>
        <v>#REF!</v>
      </c>
      <c r="D102" s="25" t="e">
        <f>VLOOKUP($B102,#REF!,D$1,FALSE)</f>
        <v>#REF!</v>
      </c>
      <c r="E102" s="13" t="e">
        <f>VLOOKUP($B102,#REF!,E$1,FALSE)</f>
        <v>#REF!</v>
      </c>
      <c r="F102" s="25" t="e">
        <f>VLOOKUP($B102,#REF!,F$1,FALSE)</f>
        <v>#REF!</v>
      </c>
      <c r="G102" s="14" t="e">
        <f>IF(VLOOKUP($B102,#REF!,G$1,FALSE)=0,0.0001,VLOOKUP($B102,#REF!,G$1,FALSE))</f>
        <v>#REF!</v>
      </c>
      <c r="H102" s="23">
        <v>1787.7670000000001</v>
      </c>
      <c r="I102" s="24">
        <v>999999999</v>
      </c>
      <c r="M102" s="388"/>
      <c r="N102" s="388"/>
      <c r="O102" s="389"/>
      <c r="P102" s="389"/>
      <c r="Q102" s="392"/>
      <c r="R102" s="35" t="s">
        <v>200</v>
      </c>
      <c r="S102" s="15" t="str">
        <f t="shared" si="6"/>
        <v>b</v>
      </c>
      <c r="T102" s="4" t="e">
        <f>VLOOKUP(B102,#REF!,7,FALSE)</f>
        <v>#REF!</v>
      </c>
    </row>
    <row r="103" spans="1:20" x14ac:dyDescent="0.3">
      <c r="A103" s="13"/>
      <c r="B103" s="13">
        <v>92</v>
      </c>
      <c r="C103" s="13" t="e">
        <f>VLOOKUP($B103,#REF!,C$1,FALSE)</f>
        <v>#REF!</v>
      </c>
      <c r="D103" s="25" t="e">
        <f>VLOOKUP($B103,#REF!,D$1,FALSE)</f>
        <v>#REF!</v>
      </c>
      <c r="E103" s="13" t="e">
        <f>VLOOKUP($B103,#REF!,E$1,FALSE)</f>
        <v>#REF!</v>
      </c>
      <c r="F103" s="25" t="e">
        <f>VLOOKUP($B103,#REF!,F$1,FALSE)</f>
        <v>#REF!</v>
      </c>
      <c r="G103" s="14" t="e">
        <f>IF(VLOOKUP($B103,#REF!,G$1,FALSE)=0,0.0001,VLOOKUP($B103,#REF!,G$1,FALSE))</f>
        <v>#REF!</v>
      </c>
      <c r="H103" s="23">
        <v>2579.5796999999998</v>
      </c>
      <c r="I103" s="24">
        <v>999999999</v>
      </c>
      <c r="M103" s="388">
        <v>999999999</v>
      </c>
      <c r="N103" s="388"/>
      <c r="O103" s="389" t="e">
        <f>D104</f>
        <v>#REF!</v>
      </c>
      <c r="P103" s="389" t="e">
        <f>F103</f>
        <v>#REF!</v>
      </c>
      <c r="Q103" s="392" t="e">
        <f>SUM(G103:G104)</f>
        <v>#REF!</v>
      </c>
      <c r="R103" s="35" t="s">
        <v>200</v>
      </c>
      <c r="S103" s="15" t="str">
        <f t="shared" si="6"/>
        <v>b</v>
      </c>
      <c r="T103" s="4" t="e">
        <f>VLOOKUP(B103,#REF!,7,FALSE)</f>
        <v>#REF!</v>
      </c>
    </row>
    <row r="104" spans="1:20" x14ac:dyDescent="0.3">
      <c r="A104" s="13"/>
      <c r="B104" s="13">
        <v>91</v>
      </c>
      <c r="C104" s="13" t="e">
        <f>VLOOKUP($B104,#REF!,C$1,FALSE)</f>
        <v>#REF!</v>
      </c>
      <c r="D104" s="25" t="e">
        <f>VLOOKUP($B104,#REF!,D$1,FALSE)</f>
        <v>#REF!</v>
      </c>
      <c r="E104" s="13" t="e">
        <f>VLOOKUP($B104,#REF!,E$1,FALSE)</f>
        <v>#REF!</v>
      </c>
      <c r="F104" s="25" t="e">
        <f>VLOOKUP($B104,#REF!,F$1,FALSE)</f>
        <v>#REF!</v>
      </c>
      <c r="G104" s="14" t="e">
        <f>IF(VLOOKUP($B104,#REF!,G$1,FALSE)=0,0.0001,VLOOKUP($B104,#REF!,G$1,FALSE))</f>
        <v>#REF!</v>
      </c>
      <c r="H104" s="23">
        <v>2769.5459999999998</v>
      </c>
      <c r="I104" s="24">
        <v>999999999</v>
      </c>
      <c r="M104" s="388"/>
      <c r="N104" s="388"/>
      <c r="O104" s="389"/>
      <c r="P104" s="389"/>
      <c r="Q104" s="392"/>
      <c r="R104" s="35" t="s">
        <v>200</v>
      </c>
      <c r="S104" s="15" t="str">
        <f t="shared" si="6"/>
        <v>b</v>
      </c>
      <c r="T104" s="4" t="e">
        <f>VLOOKUP(B104,#REF!,7,FALSE)</f>
        <v>#REF!</v>
      </c>
    </row>
    <row r="105" spans="1:20" x14ac:dyDescent="0.3">
      <c r="A105" s="13"/>
      <c r="B105" s="13">
        <v>90</v>
      </c>
      <c r="C105" s="13" t="e">
        <f>VLOOKUP($B105,#REF!,C$1,FALSE)</f>
        <v>#REF!</v>
      </c>
      <c r="D105" s="25" t="e">
        <f>VLOOKUP($B105,#REF!,D$1,FALSE)</f>
        <v>#REF!</v>
      </c>
      <c r="E105" s="13" t="e">
        <f>VLOOKUP($B105,#REF!,E$1,FALSE)</f>
        <v>#REF!</v>
      </c>
      <c r="F105" s="25" t="e">
        <f>VLOOKUP($B105,#REF!,F$1,FALSE)</f>
        <v>#REF!</v>
      </c>
      <c r="G105" s="14" t="e">
        <f>IF(VLOOKUP($B105,#REF!,G$1,FALSE)=0,0.0001,VLOOKUP($B105,#REF!,G$1,FALSE))</f>
        <v>#REF!</v>
      </c>
      <c r="H105" s="23">
        <v>3967.3595999999998</v>
      </c>
      <c r="I105" s="24">
        <v>999999999</v>
      </c>
      <c r="M105" s="388">
        <v>999999999</v>
      </c>
      <c r="N105" s="388"/>
      <c r="O105" s="389" t="e">
        <f>D106</f>
        <v>#REF!</v>
      </c>
      <c r="P105" s="389" t="e">
        <f>D104</f>
        <v>#REF!</v>
      </c>
      <c r="Q105" s="392" t="e">
        <f>SUM(G105:G106)</f>
        <v>#REF!</v>
      </c>
      <c r="R105" s="387" t="s">
        <v>201</v>
      </c>
      <c r="S105" s="15" t="str">
        <f t="shared" si="6"/>
        <v>b</v>
      </c>
      <c r="T105" s="4" t="e">
        <f>VLOOKUP(B105,#REF!,7,FALSE)</f>
        <v>#REF!</v>
      </c>
    </row>
    <row r="106" spans="1:20" x14ac:dyDescent="0.3">
      <c r="A106" s="13"/>
      <c r="B106" s="13">
        <v>89</v>
      </c>
      <c r="C106" s="13" t="e">
        <f>VLOOKUP($B106,#REF!,C$1,FALSE)</f>
        <v>#REF!</v>
      </c>
      <c r="D106" s="25" t="e">
        <f>VLOOKUP($B106,#REF!,D$1,FALSE)</f>
        <v>#REF!</v>
      </c>
      <c r="E106" s="13" t="e">
        <f>VLOOKUP($B106,#REF!,E$1,FALSE)</f>
        <v>#REF!</v>
      </c>
      <c r="F106" s="25" t="e">
        <f>VLOOKUP($B106,#REF!,F$1,FALSE)</f>
        <v>#REF!</v>
      </c>
      <c r="G106" s="14" t="e">
        <f>IF(VLOOKUP($B106,#REF!,G$1,FALSE)=0,0.0001,VLOOKUP($B106,#REF!,G$1,FALSE))</f>
        <v>#REF!</v>
      </c>
      <c r="H106" s="23">
        <v>3987.0511000000001</v>
      </c>
      <c r="I106" s="24">
        <v>999999999</v>
      </c>
      <c r="M106" s="388"/>
      <c r="N106" s="388"/>
      <c r="O106" s="389"/>
      <c r="P106" s="389"/>
      <c r="Q106" s="392"/>
      <c r="R106" s="387"/>
      <c r="S106" s="15" t="str">
        <f t="shared" si="6"/>
        <v>b</v>
      </c>
      <c r="T106" s="4" t="e">
        <f>VLOOKUP(B106,#REF!,7,FALSE)</f>
        <v>#REF!</v>
      </c>
    </row>
    <row r="107" spans="1:20" x14ac:dyDescent="0.3">
      <c r="A107" s="13"/>
      <c r="B107" s="13">
        <v>88</v>
      </c>
      <c r="C107" s="13" t="e">
        <f>VLOOKUP($B107,#REF!,C$1,FALSE)</f>
        <v>#REF!</v>
      </c>
      <c r="D107" s="25" t="e">
        <f>VLOOKUP($B107,#REF!,D$1,FALSE)</f>
        <v>#REF!</v>
      </c>
      <c r="E107" s="13" t="e">
        <f>VLOOKUP($B107,#REF!,E$1,FALSE)</f>
        <v>#REF!</v>
      </c>
      <c r="F107" s="25" t="e">
        <f>VLOOKUP($B107,#REF!,F$1,FALSE)</f>
        <v>#REF!</v>
      </c>
      <c r="G107" s="14" t="e">
        <f>IF(VLOOKUP($B107,#REF!,G$1,FALSE)=0,0.0001,VLOOKUP($B107,#REF!,G$1,FALSE))</f>
        <v>#REF!</v>
      </c>
      <c r="H107" s="23">
        <v>4088.2190999999998</v>
      </c>
      <c r="I107" s="24">
        <v>999999999</v>
      </c>
      <c r="M107" s="38">
        <v>999999999</v>
      </c>
      <c r="N107" s="32"/>
      <c r="O107" s="37" t="e">
        <f>D107</f>
        <v>#REF!</v>
      </c>
      <c r="P107" s="37" t="e">
        <f t="shared" ref="P107:Q110" si="7">F107</f>
        <v>#REF!</v>
      </c>
      <c r="Q107" s="14" t="e">
        <f t="shared" si="7"/>
        <v>#REF!</v>
      </c>
      <c r="R107" s="35" t="s">
        <v>202</v>
      </c>
      <c r="S107" s="15" t="str">
        <f t="shared" si="6"/>
        <v>b</v>
      </c>
      <c r="T107" s="4" t="e">
        <f>VLOOKUP(B107,#REF!,7,FALSE)</f>
        <v>#REF!</v>
      </c>
    </row>
    <row r="108" spans="1:20" x14ac:dyDescent="0.3">
      <c r="A108" s="13"/>
      <c r="B108" s="13">
        <v>87</v>
      </c>
      <c r="C108" s="13" t="e">
        <f>VLOOKUP($B108,#REF!,C$1,FALSE)</f>
        <v>#REF!</v>
      </c>
      <c r="D108" s="25" t="e">
        <f>VLOOKUP($B108,#REF!,D$1,FALSE)</f>
        <v>#REF!</v>
      </c>
      <c r="E108" s="13" t="e">
        <f>VLOOKUP($B108,#REF!,E$1,FALSE)</f>
        <v>#REF!</v>
      </c>
      <c r="F108" s="25" t="e">
        <f>VLOOKUP($B108,#REF!,F$1,FALSE)</f>
        <v>#REF!</v>
      </c>
      <c r="G108" s="14" t="e">
        <f>IF(VLOOKUP($B108,#REF!,G$1,FALSE)=0,0.0001,VLOOKUP($B108,#REF!,G$1,FALSE))</f>
        <v>#REF!</v>
      </c>
      <c r="H108" s="23">
        <v>4547.7695000000003</v>
      </c>
      <c r="I108" s="24">
        <v>999999999</v>
      </c>
      <c r="M108" s="38">
        <v>999999999</v>
      </c>
      <c r="N108" s="32"/>
      <c r="O108" s="37" t="e">
        <f>D108</f>
        <v>#REF!</v>
      </c>
      <c r="P108" s="37" t="e">
        <f t="shared" si="7"/>
        <v>#REF!</v>
      </c>
      <c r="Q108" s="14" t="e">
        <f t="shared" si="7"/>
        <v>#REF!</v>
      </c>
      <c r="R108" s="35" t="s">
        <v>202</v>
      </c>
      <c r="S108" s="15" t="str">
        <f t="shared" si="6"/>
        <v>b</v>
      </c>
      <c r="T108" s="4" t="e">
        <f>VLOOKUP(B108,#REF!,7,FALSE)</f>
        <v>#REF!</v>
      </c>
    </row>
    <row r="109" spans="1:20" x14ac:dyDescent="0.3">
      <c r="A109" s="13"/>
      <c r="B109" s="13">
        <v>85</v>
      </c>
      <c r="C109" s="13" t="e">
        <f>VLOOKUP($B109,#REF!,C$1,FALSE)</f>
        <v>#REF!</v>
      </c>
      <c r="D109" s="25" t="e">
        <f>VLOOKUP($B109,#REF!,D$1,FALSE)</f>
        <v>#REF!</v>
      </c>
      <c r="E109" s="13" t="e">
        <f>VLOOKUP($B109,#REF!,E$1,FALSE)</f>
        <v>#REF!</v>
      </c>
      <c r="F109" s="25" t="e">
        <f>VLOOKUP($B109,#REF!,F$1,FALSE)</f>
        <v>#REF!</v>
      </c>
      <c r="G109" s="14" t="e">
        <f>IF(VLOOKUP($B109,#REF!,G$1,FALSE)=0,0.0001,VLOOKUP($B109,#REF!,G$1,FALSE))</f>
        <v>#REF!</v>
      </c>
      <c r="H109" s="23">
        <v>0</v>
      </c>
      <c r="I109" s="24">
        <v>999999999</v>
      </c>
      <c r="M109" s="38">
        <v>999999999</v>
      </c>
      <c r="N109" s="32"/>
      <c r="O109" s="37" t="e">
        <f>D109</f>
        <v>#REF!</v>
      </c>
      <c r="P109" s="37" t="e">
        <f t="shared" si="7"/>
        <v>#REF!</v>
      </c>
      <c r="Q109" s="14" t="e">
        <f t="shared" si="7"/>
        <v>#REF!</v>
      </c>
      <c r="R109" s="14" t="s">
        <v>203</v>
      </c>
      <c r="S109" s="15">
        <f t="shared" si="6"/>
        <v>0</v>
      </c>
      <c r="T109" s="4" t="e">
        <f>VLOOKUP(B109,#REF!,7,FALSE)</f>
        <v>#REF!</v>
      </c>
    </row>
    <row r="110" spans="1:20" x14ac:dyDescent="0.3">
      <c r="A110" s="13"/>
      <c r="B110" s="13">
        <v>86</v>
      </c>
      <c r="C110" s="13" t="e">
        <f>VLOOKUP($B110,#REF!,C$1,FALSE)</f>
        <v>#REF!</v>
      </c>
      <c r="D110" s="25" t="e">
        <f>VLOOKUP($B110,#REF!,D$1,FALSE)</f>
        <v>#REF!</v>
      </c>
      <c r="E110" s="13" t="e">
        <f>VLOOKUP($B110,#REF!,E$1,FALSE)</f>
        <v>#REF!</v>
      </c>
      <c r="F110" s="25" t="e">
        <f>VLOOKUP($B110,#REF!,F$1,FALSE)</f>
        <v>#REF!</v>
      </c>
      <c r="G110" s="14" t="e">
        <f>IF(VLOOKUP($B110,#REF!,G$1,FALSE)=0,0.0001,VLOOKUP($B110,#REF!,G$1,FALSE))</f>
        <v>#REF!</v>
      </c>
      <c r="H110" s="23">
        <v>4604.1985000000004</v>
      </c>
      <c r="I110" s="24">
        <v>999999999</v>
      </c>
      <c r="M110" s="38">
        <v>999999999</v>
      </c>
      <c r="N110" s="32"/>
      <c r="O110" s="37" t="e">
        <f>D110</f>
        <v>#REF!</v>
      </c>
      <c r="P110" s="37" t="e">
        <f t="shared" si="7"/>
        <v>#REF!</v>
      </c>
      <c r="Q110" s="14" t="e">
        <f t="shared" si="7"/>
        <v>#REF!</v>
      </c>
      <c r="R110" s="14" t="s">
        <v>203</v>
      </c>
      <c r="S110" s="15" t="str">
        <f t="shared" si="6"/>
        <v>b</v>
      </c>
      <c r="T110" s="4" t="e">
        <f>VLOOKUP(B110,#REF!,7,FALSE)</f>
        <v>#REF!</v>
      </c>
    </row>
    <row r="111" spans="1:20" x14ac:dyDescent="0.3">
      <c r="A111" s="13"/>
      <c r="O111" s="37"/>
      <c r="P111" s="37"/>
      <c r="Q111" s="14"/>
    </row>
    <row r="112" spans="1:20" x14ac:dyDescent="0.3">
      <c r="A112" s="13"/>
      <c r="B112" s="13">
        <v>96</v>
      </c>
      <c r="C112" s="13" t="e">
        <f>VLOOKUP($B112,#REF!,C$1,FALSE)</f>
        <v>#REF!</v>
      </c>
      <c r="D112" s="25" t="e">
        <f>VLOOKUP($B112,#REF!,D$1,FALSE)</f>
        <v>#REF!</v>
      </c>
      <c r="E112" s="13" t="e">
        <f>VLOOKUP($B112,#REF!,E$1,FALSE)</f>
        <v>#REF!</v>
      </c>
      <c r="F112" s="25" t="e">
        <f>VLOOKUP($B112,#REF!,F$1,FALSE)</f>
        <v>#REF!</v>
      </c>
      <c r="G112" s="14" t="e">
        <f>IF(VLOOKUP($B112,#REF!,G$1,FALSE)=0,0.0001,VLOOKUP($B112,#REF!,G$1,FALSE))</f>
        <v>#REF!</v>
      </c>
      <c r="H112" s="23">
        <v>1142.3041000000001</v>
      </c>
      <c r="I112" s="24">
        <v>999999999</v>
      </c>
      <c r="M112" s="24">
        <v>999999999</v>
      </c>
      <c r="O112" s="37" t="e">
        <f>D112</f>
        <v>#REF!</v>
      </c>
      <c r="P112" s="37" t="e">
        <f>F112</f>
        <v>#REF!</v>
      </c>
      <c r="Q112" s="14" t="e">
        <f>G112</f>
        <v>#REF!</v>
      </c>
      <c r="R112" s="14" t="s">
        <v>199</v>
      </c>
      <c r="S112" s="15" t="str">
        <f t="shared" ref="S112:S117" si="8">IF((H112&gt;0),IF((H112-I112)=0,"a",IF(H112/I112&lt;0.5,"b","c")),)</f>
        <v>b</v>
      </c>
      <c r="T112" s="4" t="e">
        <f>VLOOKUP(B112,#REF!,7,FALSE)</f>
        <v>#REF!</v>
      </c>
    </row>
    <row r="113" spans="1:20" x14ac:dyDescent="0.3">
      <c r="A113" s="13"/>
      <c r="B113" s="13">
        <v>97</v>
      </c>
      <c r="C113" s="13" t="e">
        <f>VLOOKUP($B113,#REF!,E$1,FALSE)</f>
        <v>#REF!</v>
      </c>
      <c r="D113" s="25" t="e">
        <f>VLOOKUP($B113,#REF!,F$1,FALSE)</f>
        <v>#REF!</v>
      </c>
      <c r="E113" s="13" t="e">
        <f>VLOOKUP($B113,#REF!,C$1,FALSE)</f>
        <v>#REF!</v>
      </c>
      <c r="F113" s="25" t="e">
        <f>VLOOKUP($B113,#REF!,D$1,FALSE)</f>
        <v>#REF!</v>
      </c>
      <c r="G113" s="14" t="e">
        <f>IF(VLOOKUP($B113,#REF!,G$1,FALSE)=0,0.0001,VLOOKUP($B113,#REF!,G$1,FALSE))</f>
        <v>#REF!</v>
      </c>
      <c r="H113" s="23">
        <v>2166.3685999999998</v>
      </c>
      <c r="I113" s="24">
        <v>999999999</v>
      </c>
      <c r="K113" s="24">
        <v>999999999</v>
      </c>
      <c r="L113" s="24"/>
      <c r="M113" s="388">
        <v>999999999</v>
      </c>
      <c r="N113" s="388">
        <v>999999999</v>
      </c>
      <c r="O113" s="389" t="e">
        <f>D114</f>
        <v>#REF!</v>
      </c>
      <c r="P113" s="389" t="e">
        <f>F113</f>
        <v>#REF!</v>
      </c>
      <c r="Q113" s="392" t="e">
        <f>SUM(G113:G114)</f>
        <v>#REF!</v>
      </c>
      <c r="R113" s="387" t="s">
        <v>199</v>
      </c>
      <c r="S113" s="15" t="str">
        <f t="shared" si="8"/>
        <v>b</v>
      </c>
      <c r="T113" s="4" t="e">
        <f>VLOOKUP(B113,#REF!,7,FALSE)</f>
        <v>#REF!</v>
      </c>
    </row>
    <row r="114" spans="1:20" x14ac:dyDescent="0.3">
      <c r="A114" s="13"/>
      <c r="B114" s="13">
        <v>98</v>
      </c>
      <c r="C114" s="13" t="e">
        <f>VLOOKUP($B114,#REF!,E$1,FALSE)</f>
        <v>#REF!</v>
      </c>
      <c r="D114" s="25" t="e">
        <f>VLOOKUP($B114,#REF!,F$1,FALSE)</f>
        <v>#REF!</v>
      </c>
      <c r="E114" s="13" t="e">
        <f>VLOOKUP($B114,#REF!,C$1,FALSE)</f>
        <v>#REF!</v>
      </c>
      <c r="F114" s="25" t="e">
        <f>VLOOKUP($B114,#REF!,D$1,FALSE)</f>
        <v>#REF!</v>
      </c>
      <c r="G114" s="14" t="e">
        <f>IF(VLOOKUP($B114,#REF!,G$1,FALSE)=0,0.0001,VLOOKUP($B114,#REF!,G$1,FALSE))</f>
        <v>#REF!</v>
      </c>
      <c r="H114" s="23">
        <v>2259.8852999999999</v>
      </c>
      <c r="I114" s="24">
        <v>999999999</v>
      </c>
      <c r="K114" s="24">
        <v>999999999</v>
      </c>
      <c r="L114" s="24"/>
      <c r="M114" s="388"/>
      <c r="N114" s="388"/>
      <c r="O114" s="389"/>
      <c r="P114" s="389"/>
      <c r="Q114" s="392"/>
      <c r="R114" s="387"/>
      <c r="S114" s="15" t="str">
        <f t="shared" si="8"/>
        <v>b</v>
      </c>
      <c r="T114" s="4" t="e">
        <f>VLOOKUP(B114,#REF!,7,FALSE)</f>
        <v>#REF!</v>
      </c>
    </row>
    <row r="115" spans="1:20" x14ac:dyDescent="0.3">
      <c r="A115" s="13"/>
      <c r="B115" s="13">
        <v>99</v>
      </c>
      <c r="C115" s="13" t="e">
        <f>VLOOKUP($B115,#REF!,E$1,FALSE)</f>
        <v>#REF!</v>
      </c>
      <c r="D115" s="25" t="e">
        <f>VLOOKUP($B115,#REF!,F$1,FALSE)</f>
        <v>#REF!</v>
      </c>
      <c r="E115" s="13" t="e">
        <f>VLOOKUP($B115,#REF!,C$1,FALSE)</f>
        <v>#REF!</v>
      </c>
      <c r="F115" s="25" t="e">
        <f>VLOOKUP($B115,#REF!,D$1,FALSE)</f>
        <v>#REF!</v>
      </c>
      <c r="G115" s="14" t="e">
        <f>IF(VLOOKUP($B115,#REF!,G$1,FALSE)=0,0.0001,VLOOKUP($B115,#REF!,G$1,FALSE))</f>
        <v>#REF!</v>
      </c>
      <c r="H115" s="23">
        <v>2279.4191000000001</v>
      </c>
      <c r="I115" s="24">
        <v>999999999</v>
      </c>
      <c r="K115" s="24">
        <v>999999999</v>
      </c>
      <c r="L115" s="24"/>
      <c r="M115" s="24">
        <v>999999999</v>
      </c>
      <c r="N115" s="24">
        <v>999999999</v>
      </c>
      <c r="O115" s="37" t="e">
        <f>D115</f>
        <v>#REF!</v>
      </c>
      <c r="P115" s="37" t="e">
        <f t="shared" ref="P115:Q117" si="9">F115</f>
        <v>#REF!</v>
      </c>
      <c r="Q115" s="14" t="e">
        <f t="shared" si="9"/>
        <v>#REF!</v>
      </c>
      <c r="R115" s="31"/>
      <c r="S115" s="15" t="str">
        <f t="shared" si="8"/>
        <v>b</v>
      </c>
      <c r="T115" s="4" t="e">
        <f>VLOOKUP(B115,#REF!,7,FALSE)</f>
        <v>#REF!</v>
      </c>
    </row>
    <row r="116" spans="1:20" x14ac:dyDescent="0.3">
      <c r="A116" s="13"/>
      <c r="B116" s="13">
        <v>101</v>
      </c>
      <c r="C116" s="13" t="e">
        <f>VLOOKUP($B116,#REF!,C$1,FALSE)</f>
        <v>#REF!</v>
      </c>
      <c r="D116" s="25" t="e">
        <f>VLOOKUP($B116,#REF!,D$1,FALSE)</f>
        <v>#REF!</v>
      </c>
      <c r="E116" s="13" t="e">
        <f>VLOOKUP($B116,#REF!,E$1,FALSE)</f>
        <v>#REF!</v>
      </c>
      <c r="F116" s="25" t="e">
        <f>VLOOKUP($B116,#REF!,F$1,FALSE)</f>
        <v>#REF!</v>
      </c>
      <c r="G116" s="14" t="e">
        <f>IF(VLOOKUP($B116,#REF!,G$1,FALSE)=0,0.0001,VLOOKUP($B116,#REF!,G$1,FALSE))</f>
        <v>#REF!</v>
      </c>
      <c r="H116" s="23">
        <v>2566.5679</v>
      </c>
      <c r="I116" s="24">
        <v>999999999</v>
      </c>
      <c r="M116" s="24">
        <v>999999999</v>
      </c>
      <c r="O116" s="37" t="e">
        <f>D116</f>
        <v>#REF!</v>
      </c>
      <c r="P116" s="37" t="e">
        <f t="shared" si="9"/>
        <v>#REF!</v>
      </c>
      <c r="Q116" s="14" t="e">
        <f t="shared" si="9"/>
        <v>#REF!</v>
      </c>
      <c r="R116" s="14" t="s">
        <v>198</v>
      </c>
      <c r="S116" s="15" t="str">
        <f t="shared" si="8"/>
        <v>b</v>
      </c>
      <c r="T116" s="4" t="e">
        <f>VLOOKUP(B116,#REF!,7,FALSE)</f>
        <v>#REF!</v>
      </c>
    </row>
    <row r="117" spans="1:20" x14ac:dyDescent="0.3">
      <c r="A117" s="13"/>
      <c r="B117" s="13">
        <v>100</v>
      </c>
      <c r="C117" s="13" t="e">
        <f>VLOOKUP($B117,#REF!,E$1,FALSE)</f>
        <v>#REF!</v>
      </c>
      <c r="D117" s="25" t="e">
        <f>VLOOKUP($B117,#REF!,F$1,FALSE)</f>
        <v>#REF!</v>
      </c>
      <c r="E117" s="13" t="e">
        <f>VLOOKUP($B117,#REF!,C$1,FALSE)</f>
        <v>#REF!</v>
      </c>
      <c r="F117" s="25" t="e">
        <f>VLOOKUP($B117,#REF!,D$1,FALSE)</f>
        <v>#REF!</v>
      </c>
      <c r="G117" s="14" t="e">
        <f>IF(VLOOKUP($B117,#REF!,G$1,FALSE)=0,0.0001,VLOOKUP($B117,#REF!,G$1,FALSE))</f>
        <v>#REF!</v>
      </c>
      <c r="H117" s="23">
        <v>13328.395</v>
      </c>
      <c r="I117" s="24">
        <v>999999999</v>
      </c>
      <c r="K117" s="24">
        <v>999999999</v>
      </c>
      <c r="L117" s="24"/>
      <c r="M117" s="24">
        <v>999999999</v>
      </c>
      <c r="N117" s="24">
        <v>999999999</v>
      </c>
      <c r="O117" s="37" t="e">
        <f>D117</f>
        <v>#REF!</v>
      </c>
      <c r="P117" s="37" t="e">
        <f t="shared" si="9"/>
        <v>#REF!</v>
      </c>
      <c r="Q117" s="14" t="e">
        <f t="shared" si="9"/>
        <v>#REF!</v>
      </c>
      <c r="R117" s="14" t="s">
        <v>196</v>
      </c>
      <c r="S117" s="15" t="str">
        <f t="shared" si="8"/>
        <v>b</v>
      </c>
      <c r="T117" s="4" t="e">
        <f>VLOOKUP(B117,#REF!,7,FALSE)</f>
        <v>#REF!</v>
      </c>
    </row>
    <row r="118" spans="1:20" x14ac:dyDescent="0.3">
      <c r="A118" s="13"/>
      <c r="O118" s="37"/>
      <c r="P118" s="37"/>
      <c r="Q118" s="14"/>
    </row>
    <row r="119" spans="1:20" x14ac:dyDescent="0.3">
      <c r="A119" s="13"/>
      <c r="B119" s="13">
        <v>106</v>
      </c>
      <c r="C119" s="13" t="e">
        <f>VLOOKUP($B119,#REF!,C$1,FALSE)</f>
        <v>#REF!</v>
      </c>
      <c r="D119" s="25" t="e">
        <f>VLOOKUP($B119,#REF!,D$1,FALSE)</f>
        <v>#REF!</v>
      </c>
      <c r="E119" s="13" t="e">
        <f>VLOOKUP($B119,#REF!,E$1,FALSE)</f>
        <v>#REF!</v>
      </c>
      <c r="F119" s="25" t="e">
        <f>VLOOKUP($B119,#REF!,F$1,FALSE)</f>
        <v>#REF!</v>
      </c>
      <c r="G119" s="14" t="e">
        <f>IF(VLOOKUP($B119,#REF!,G$1,FALSE)=0,0.0001,VLOOKUP($B119,#REF!,G$1,FALSE))</f>
        <v>#REF!</v>
      </c>
      <c r="H119" s="23">
        <v>1838.9359999999999</v>
      </c>
      <c r="I119" s="24">
        <v>999999999</v>
      </c>
      <c r="M119" s="388">
        <v>999999999</v>
      </c>
      <c r="N119" s="388"/>
      <c r="O119" s="389" t="e">
        <f>D119</f>
        <v>#REF!</v>
      </c>
      <c r="P119" s="389" t="e">
        <f>F120</f>
        <v>#REF!</v>
      </c>
      <c r="Q119" s="392" t="e">
        <f>SUM(G119:G120)</f>
        <v>#REF!</v>
      </c>
      <c r="R119" s="387" t="s">
        <v>204</v>
      </c>
      <c r="S119" s="15" t="str">
        <f>IF((H119&gt;0),IF((H119-I119)=0,"a",IF(H119/I119&lt;0.5,"b","c")),)</f>
        <v>b</v>
      </c>
      <c r="T119" s="4" t="e">
        <f>VLOOKUP(B119,#REF!,7,FALSE)</f>
        <v>#REF!</v>
      </c>
    </row>
    <row r="120" spans="1:20" x14ac:dyDescent="0.3">
      <c r="A120" s="13"/>
      <c r="B120" s="13">
        <v>107</v>
      </c>
      <c r="C120" s="13" t="e">
        <f>VLOOKUP($B120,#REF!,C$1,FALSE)</f>
        <v>#REF!</v>
      </c>
      <c r="D120" s="25" t="e">
        <f>VLOOKUP($B120,#REF!,D$1,FALSE)</f>
        <v>#REF!</v>
      </c>
      <c r="E120" s="13" t="e">
        <f>VLOOKUP($B120,#REF!,E$1,FALSE)</f>
        <v>#REF!</v>
      </c>
      <c r="F120" s="25" t="e">
        <f>VLOOKUP($B120,#REF!,F$1,FALSE)</f>
        <v>#REF!</v>
      </c>
      <c r="G120" s="14" t="e">
        <f>IF(VLOOKUP($B120,#REF!,G$1,FALSE)=0,0.0001,VLOOKUP($B120,#REF!,G$1,FALSE))</f>
        <v>#REF!</v>
      </c>
      <c r="H120" s="23">
        <v>3718.7453999999998</v>
      </c>
      <c r="I120" s="24">
        <v>999999999</v>
      </c>
      <c r="M120" s="388"/>
      <c r="N120" s="388"/>
      <c r="O120" s="389"/>
      <c r="P120" s="389"/>
      <c r="Q120" s="392"/>
      <c r="R120" s="387"/>
      <c r="S120" s="15" t="str">
        <f>IF((H120&gt;0),IF((H120-I120)=0,"a",IF(H120/I120&lt;0.5,"b","c")),)</f>
        <v>b</v>
      </c>
      <c r="T120" s="4" t="e">
        <f>VLOOKUP(B120,#REF!,7,FALSE)</f>
        <v>#REF!</v>
      </c>
    </row>
    <row r="121" spans="1:20" x14ac:dyDescent="0.3">
      <c r="A121" s="13"/>
      <c r="B121" s="13">
        <v>108</v>
      </c>
      <c r="C121" s="13" t="e">
        <f>VLOOKUP($B121,#REF!,C$1,FALSE)</f>
        <v>#REF!</v>
      </c>
      <c r="D121" s="25" t="e">
        <f>VLOOKUP($B121,#REF!,D$1,FALSE)</f>
        <v>#REF!</v>
      </c>
      <c r="E121" s="13" t="e">
        <f>VLOOKUP($B121,#REF!,E$1,FALSE)</f>
        <v>#REF!</v>
      </c>
      <c r="F121" s="25" t="e">
        <f>VLOOKUP($B121,#REF!,F$1,FALSE)</f>
        <v>#REF!</v>
      </c>
      <c r="G121" s="14" t="e">
        <f>IF(VLOOKUP($B121,#REF!,G$1,FALSE)=0,0.0001,VLOOKUP($B121,#REF!,G$1,FALSE))</f>
        <v>#REF!</v>
      </c>
      <c r="H121" s="23">
        <v>722.77566999999999</v>
      </c>
      <c r="I121" s="24">
        <v>999999999</v>
      </c>
      <c r="M121" s="24">
        <v>999999999</v>
      </c>
      <c r="O121" s="37" t="e">
        <f>D121</f>
        <v>#REF!</v>
      </c>
      <c r="P121" s="37" t="e">
        <f>F121</f>
        <v>#REF!</v>
      </c>
      <c r="Q121" s="14" t="e">
        <f>G121</f>
        <v>#REF!</v>
      </c>
      <c r="R121" s="14" t="s">
        <v>203</v>
      </c>
      <c r="S121" s="15" t="str">
        <f>IF((H121&gt;0),IF((H121-I121)=0,"a",IF(H121/I121&lt;0.5,"b","c")),)</f>
        <v>b</v>
      </c>
      <c r="T121" s="4" t="e">
        <f>VLOOKUP(B121,#REF!,7,FALSE)</f>
        <v>#REF!</v>
      </c>
    </row>
    <row r="122" spans="1:20" x14ac:dyDescent="0.3">
      <c r="A122" s="13"/>
      <c r="B122" s="13">
        <v>109</v>
      </c>
      <c r="C122" s="13" t="e">
        <f>VLOOKUP($B122,#REF!,C$1,FALSE)</f>
        <v>#REF!</v>
      </c>
      <c r="D122" s="25" t="e">
        <f>VLOOKUP($B122,#REF!,D$1,FALSE)</f>
        <v>#REF!</v>
      </c>
      <c r="E122" s="13" t="e">
        <f>VLOOKUP($B122,#REF!,E$1,FALSE)</f>
        <v>#REF!</v>
      </c>
      <c r="F122" s="25" t="e">
        <f>VLOOKUP($B122,#REF!,F$1,FALSE)</f>
        <v>#REF!</v>
      </c>
      <c r="G122" s="14" t="e">
        <f>IF(VLOOKUP($B122,#REF!,G$1,FALSE)=0,0.0001,VLOOKUP($B122,#REF!,G$1,FALSE))</f>
        <v>#REF!</v>
      </c>
      <c r="H122" s="23">
        <v>1759.4701</v>
      </c>
      <c r="I122" s="24">
        <v>999999999</v>
      </c>
      <c r="M122" s="24">
        <v>999999999</v>
      </c>
      <c r="O122" s="37" t="e">
        <f>D122</f>
        <v>#REF!</v>
      </c>
      <c r="P122" s="37" t="e">
        <f>F122</f>
        <v>#REF!</v>
      </c>
      <c r="Q122" s="14" t="e">
        <f>G122</f>
        <v>#REF!</v>
      </c>
      <c r="R122" s="14" t="s">
        <v>196</v>
      </c>
      <c r="S122" s="15" t="str">
        <f>IF((H122&gt;0),IF((H122-I122)=0,"a",IF(H122/I122&lt;0.5,"b","c")),)</f>
        <v>b</v>
      </c>
      <c r="T122" s="4" t="e">
        <f>VLOOKUP(B122,#REF!,7,FALSE)</f>
        <v>#REF!</v>
      </c>
    </row>
    <row r="123" spans="1:20" x14ac:dyDescent="0.3">
      <c r="A123" s="13"/>
      <c r="O123" s="37"/>
      <c r="P123" s="37"/>
      <c r="Q123" s="14"/>
    </row>
    <row r="124" spans="1:20" x14ac:dyDescent="0.3">
      <c r="A124" s="13"/>
      <c r="B124" s="13">
        <v>103</v>
      </c>
      <c r="C124" s="13" t="e">
        <f>VLOOKUP($B124,#REF!,C$1,FALSE)</f>
        <v>#REF!</v>
      </c>
      <c r="D124" s="25" t="e">
        <f>VLOOKUP($B124,#REF!,D$1,FALSE)</f>
        <v>#REF!</v>
      </c>
      <c r="E124" s="13" t="e">
        <f>VLOOKUP($B124,#REF!,E$1,FALSE)</f>
        <v>#REF!</v>
      </c>
      <c r="F124" s="25" t="e">
        <f>VLOOKUP($B124,#REF!,F$1,FALSE)</f>
        <v>#REF!</v>
      </c>
      <c r="G124" s="14" t="e">
        <f>IF(VLOOKUP($B124,#REF!,G$1,FALSE)=0,0.0001,VLOOKUP($B124,#REF!,G$1,FALSE))</f>
        <v>#REF!</v>
      </c>
      <c r="H124" s="23">
        <v>0</v>
      </c>
      <c r="I124" s="24">
        <v>999999999</v>
      </c>
      <c r="K124" s="24">
        <v>999999999</v>
      </c>
      <c r="L124" s="24"/>
      <c r="M124" s="24">
        <v>999999999</v>
      </c>
      <c r="N124" s="24">
        <v>999999999</v>
      </c>
      <c r="O124" s="37" t="e">
        <f t="shared" ref="O124:O134" si="10">D124</f>
        <v>#REF!</v>
      </c>
      <c r="P124" s="37" t="e">
        <f t="shared" ref="P124:P134" si="11">F124</f>
        <v>#REF!</v>
      </c>
      <c r="Q124" s="14" t="e">
        <f t="shared" ref="Q124:Q134" si="12">G124</f>
        <v>#REF!</v>
      </c>
      <c r="R124" s="14" t="s">
        <v>204</v>
      </c>
      <c r="S124" s="15">
        <f>IF((H124&gt;0),IF((H124-I124)=0,"a",IF(H124/I124&lt;0.5,"b","c")),)</f>
        <v>0</v>
      </c>
      <c r="T124" s="4" t="e">
        <f>VLOOKUP(B124,#REF!,7,FALSE)</f>
        <v>#REF!</v>
      </c>
    </row>
    <row r="125" spans="1:20" x14ac:dyDescent="0.3">
      <c r="A125" s="13"/>
      <c r="B125" s="13">
        <v>102</v>
      </c>
      <c r="C125" s="13" t="e">
        <f>VLOOKUP($B125,#REF!,C$1,FALSE)</f>
        <v>#REF!</v>
      </c>
      <c r="D125" s="25" t="e">
        <f>VLOOKUP($B125,#REF!,D$1,FALSE)</f>
        <v>#REF!</v>
      </c>
      <c r="E125" s="13" t="e">
        <f>VLOOKUP($B125,#REF!,E$1,FALSE)</f>
        <v>#REF!</v>
      </c>
      <c r="F125" s="25" t="e">
        <f>VLOOKUP($B125,#REF!,F$1,FALSE)</f>
        <v>#REF!</v>
      </c>
      <c r="G125" s="14" t="e">
        <f>IF(VLOOKUP($B125,#REF!,G$1,FALSE)=0,0.0001,VLOOKUP($B125,#REF!,G$1,FALSE))</f>
        <v>#REF!</v>
      </c>
      <c r="H125" s="23">
        <v>2272.8690999999999</v>
      </c>
      <c r="I125" s="24">
        <v>999999999</v>
      </c>
      <c r="M125" s="24">
        <v>999999999</v>
      </c>
      <c r="O125" s="37" t="e">
        <f t="shared" si="10"/>
        <v>#REF!</v>
      </c>
      <c r="P125" s="37" t="e">
        <f t="shared" si="11"/>
        <v>#REF!</v>
      </c>
      <c r="Q125" s="14" t="e">
        <f t="shared" si="12"/>
        <v>#REF!</v>
      </c>
      <c r="R125" s="14" t="s">
        <v>198</v>
      </c>
      <c r="S125" s="15" t="str">
        <f>IF((H125&gt;0),IF((H125-I125)=0,"a",IF(H125/I125&lt;0.5,"b","c")),)</f>
        <v>b</v>
      </c>
      <c r="T125" s="4" t="e">
        <f>VLOOKUP(B125,#REF!,7,FALSE)</f>
        <v>#REF!</v>
      </c>
    </row>
    <row r="126" spans="1:20" x14ac:dyDescent="0.3">
      <c r="A126" s="13"/>
      <c r="B126" s="13">
        <v>104</v>
      </c>
      <c r="C126" s="13" t="e">
        <f>VLOOKUP($B126,#REF!,E$1,FALSE)</f>
        <v>#REF!</v>
      </c>
      <c r="D126" s="25" t="e">
        <f>VLOOKUP($B126,#REF!,F$1,FALSE)</f>
        <v>#REF!</v>
      </c>
      <c r="E126" s="13" t="e">
        <f>VLOOKUP($B126,#REF!,C$1,FALSE)</f>
        <v>#REF!</v>
      </c>
      <c r="F126" s="25" t="e">
        <f>VLOOKUP($B126,#REF!,D$1,FALSE)</f>
        <v>#REF!</v>
      </c>
      <c r="G126" s="14" t="e">
        <f>IF(VLOOKUP($B126,#REF!,G$1,FALSE)=0,0.0001,VLOOKUP($B126,#REF!,G$1,FALSE))</f>
        <v>#REF!</v>
      </c>
      <c r="H126" s="23">
        <v>786.81904999999995</v>
      </c>
      <c r="I126" s="24">
        <v>999999999</v>
      </c>
      <c r="K126" s="24">
        <v>999999999</v>
      </c>
      <c r="L126" s="24"/>
      <c r="M126" s="24">
        <v>999999999</v>
      </c>
      <c r="N126" s="24">
        <v>999999999</v>
      </c>
      <c r="O126" s="37" t="e">
        <f t="shared" si="10"/>
        <v>#REF!</v>
      </c>
      <c r="P126" s="37" t="e">
        <f t="shared" si="11"/>
        <v>#REF!</v>
      </c>
      <c r="Q126" s="14" t="e">
        <f t="shared" si="12"/>
        <v>#REF!</v>
      </c>
      <c r="R126" s="14" t="s">
        <v>204</v>
      </c>
      <c r="S126" s="27" t="str">
        <f>IF((H126&gt;0),IF((H126-I126)=0,"a",IF(H126/I126&lt;0.5,"b","c")),)</f>
        <v>b</v>
      </c>
      <c r="T126" s="4" t="e">
        <f>VLOOKUP(B126,#REF!,7,FALSE)</f>
        <v>#REF!</v>
      </c>
    </row>
    <row r="127" spans="1:20" x14ac:dyDescent="0.3">
      <c r="A127" s="13"/>
      <c r="B127" s="13"/>
      <c r="C127" s="13"/>
      <c r="D127" s="25"/>
      <c r="F127" s="25"/>
      <c r="G127" s="14"/>
      <c r="H127" s="28"/>
      <c r="I127" s="29"/>
      <c r="M127" s="29"/>
      <c r="O127" s="37"/>
      <c r="P127" s="37"/>
      <c r="Q127" s="14"/>
      <c r="R127" s="14"/>
      <c r="S127" s="30"/>
    </row>
    <row r="128" spans="1:20" x14ac:dyDescent="0.3">
      <c r="A128" s="13"/>
      <c r="B128" s="13">
        <v>105</v>
      </c>
      <c r="C128" s="13" t="e">
        <f>VLOOKUP($B128,#REF!,C$1,FALSE)</f>
        <v>#REF!</v>
      </c>
      <c r="D128" s="25" t="e">
        <f>VLOOKUP($B128,#REF!,D$1,FALSE)</f>
        <v>#REF!</v>
      </c>
      <c r="E128" s="13" t="e">
        <f>VLOOKUP($B128,#REF!,E$1,FALSE)</f>
        <v>#REF!</v>
      </c>
      <c r="F128" s="25" t="e">
        <f>VLOOKUP($B128,#REF!,F$1,FALSE)</f>
        <v>#REF!</v>
      </c>
      <c r="G128" s="14" t="e">
        <f>IF(VLOOKUP($B128,#REF!,G$1,FALSE)=0,0.0001,VLOOKUP($B128,#REF!,G$1,FALSE))</f>
        <v>#REF!</v>
      </c>
      <c r="H128" s="23">
        <v>23240.400000000001</v>
      </c>
      <c r="I128" s="24">
        <v>999999999</v>
      </c>
      <c r="K128" s="24">
        <v>999999999</v>
      </c>
      <c r="L128" s="24"/>
      <c r="M128" s="24">
        <v>999999999</v>
      </c>
      <c r="N128" s="24">
        <v>999999999</v>
      </c>
      <c r="O128" s="37" t="e">
        <f t="shared" si="10"/>
        <v>#REF!</v>
      </c>
      <c r="P128" s="37" t="e">
        <f t="shared" si="11"/>
        <v>#REF!</v>
      </c>
      <c r="Q128" s="14" t="e">
        <f t="shared" si="12"/>
        <v>#REF!</v>
      </c>
      <c r="R128" s="14" t="s">
        <v>196</v>
      </c>
      <c r="S128" s="15" t="str">
        <f>IF((H128&gt;0),IF((H128-I128)=0,"a",IF(H128/I128&lt;0.5,"b","c")),)</f>
        <v>b</v>
      </c>
      <c r="T128" s="4" t="e">
        <f>VLOOKUP(B128,#REF!,7,FALSE)</f>
        <v>#REF!</v>
      </c>
    </row>
    <row r="129" spans="1:20" x14ac:dyDescent="0.3">
      <c r="A129" s="13"/>
      <c r="B129" s="13">
        <v>110</v>
      </c>
      <c r="C129" s="13" t="e">
        <f>VLOOKUP($B129,#REF!,C$1,FALSE)</f>
        <v>#REF!</v>
      </c>
      <c r="D129" s="25" t="e">
        <f>VLOOKUP($B129,#REF!,D$1,FALSE)</f>
        <v>#REF!</v>
      </c>
      <c r="E129" s="13" t="e">
        <f>VLOOKUP($B129,#REF!,E$1,FALSE)</f>
        <v>#REF!</v>
      </c>
      <c r="F129" s="25" t="e">
        <f>VLOOKUP($B129,#REF!,F$1,FALSE)</f>
        <v>#REF!</v>
      </c>
      <c r="G129" s="14" t="e">
        <f>IF(VLOOKUP($B129,#REF!,G$1,FALSE)=0,0.0001,VLOOKUP($B129,#REF!,G$1,FALSE))</f>
        <v>#REF!</v>
      </c>
      <c r="H129" s="23">
        <v>14113.519</v>
      </c>
      <c r="I129" s="24">
        <v>999999999</v>
      </c>
      <c r="M129" s="24">
        <v>999999999</v>
      </c>
      <c r="O129" s="37" t="e">
        <f t="shared" si="10"/>
        <v>#REF!</v>
      </c>
      <c r="P129" s="37" t="e">
        <f t="shared" si="11"/>
        <v>#REF!</v>
      </c>
      <c r="Q129" s="14" t="e">
        <f t="shared" si="12"/>
        <v>#REF!</v>
      </c>
      <c r="R129" s="14" t="s">
        <v>196</v>
      </c>
      <c r="S129" s="15" t="str">
        <f>IF((H129&gt;0),IF((H129-I129)=0,"a",IF(H129/I129&lt;0.5,"b","c")),)</f>
        <v>b</v>
      </c>
      <c r="T129" s="4" t="e">
        <f>VLOOKUP(B129,#REF!,7,FALSE)</f>
        <v>#REF!</v>
      </c>
    </row>
    <row r="130" spans="1:20" x14ac:dyDescent="0.3">
      <c r="O130" s="37"/>
      <c r="P130" s="37"/>
      <c r="Q130" s="14"/>
    </row>
    <row r="131" spans="1:20" x14ac:dyDescent="0.3">
      <c r="A131" s="13"/>
      <c r="B131" s="13">
        <v>111</v>
      </c>
      <c r="C131" s="13" t="e">
        <f>VLOOKUP($B131,#REF!,C$1,FALSE)</f>
        <v>#REF!</v>
      </c>
      <c r="D131" s="25" t="e">
        <f>VLOOKUP($B131,#REF!,D$1,FALSE)</f>
        <v>#REF!</v>
      </c>
      <c r="E131" s="13" t="e">
        <f>VLOOKUP($B131,#REF!,E$1,FALSE)</f>
        <v>#REF!</v>
      </c>
      <c r="F131" s="25" t="e">
        <f>VLOOKUP($B131,#REF!,F$1,FALSE)</f>
        <v>#REF!</v>
      </c>
      <c r="G131" s="14" t="e">
        <f>IF(VLOOKUP($B131,#REF!,G$1,FALSE)=0,0.0001,VLOOKUP($B131,#REF!,G$1,FALSE))</f>
        <v>#REF!</v>
      </c>
      <c r="H131" s="23">
        <v>0</v>
      </c>
      <c r="I131" s="24">
        <v>999999999</v>
      </c>
      <c r="K131" s="24">
        <v>999999999</v>
      </c>
      <c r="L131" s="24"/>
      <c r="M131" s="24">
        <v>999999999</v>
      </c>
      <c r="N131" s="24">
        <v>999999999</v>
      </c>
      <c r="O131" s="37" t="e">
        <f t="shared" si="10"/>
        <v>#REF!</v>
      </c>
      <c r="P131" s="37" t="e">
        <f t="shared" si="11"/>
        <v>#REF!</v>
      </c>
      <c r="Q131" s="14" t="e">
        <f t="shared" si="12"/>
        <v>#REF!</v>
      </c>
      <c r="R131" s="14" t="s">
        <v>204</v>
      </c>
      <c r="S131" s="15">
        <f t="shared" ref="S131:S136" si="13">IF((H131&gt;0),IF((H131-I131)=0,"a",IF(H131/I131&lt;0.5,"b","c")),)</f>
        <v>0</v>
      </c>
      <c r="T131" s="4" t="e">
        <f>VLOOKUP(B131,#REF!,7,FALSE)</f>
        <v>#REF!</v>
      </c>
    </row>
    <row r="132" spans="1:20" x14ac:dyDescent="0.3">
      <c r="A132" s="13"/>
      <c r="B132" s="13">
        <v>112</v>
      </c>
      <c r="C132" s="13" t="e">
        <f>VLOOKUP($B132,#REF!,E$1,FALSE)</f>
        <v>#REF!</v>
      </c>
      <c r="D132" s="25" t="e">
        <f>VLOOKUP($B132,#REF!,F$1,FALSE)</f>
        <v>#REF!</v>
      </c>
      <c r="E132" s="13" t="e">
        <f>VLOOKUP($B132,#REF!,C$1,FALSE)</f>
        <v>#REF!</v>
      </c>
      <c r="F132" s="25" t="e">
        <f>VLOOKUP($B132,#REF!,D$1,FALSE)</f>
        <v>#REF!</v>
      </c>
      <c r="G132" s="14" t="e">
        <f>IF(VLOOKUP($B132,#REF!,G$1,FALSE)=0,0.0001,VLOOKUP($B132,#REF!,G$1,FALSE))</f>
        <v>#REF!</v>
      </c>
      <c r="H132" s="23">
        <v>0</v>
      </c>
      <c r="I132" s="24">
        <v>999999999</v>
      </c>
      <c r="M132" s="24">
        <v>999999999</v>
      </c>
      <c r="O132" s="37" t="e">
        <f t="shared" si="10"/>
        <v>#REF!</v>
      </c>
      <c r="P132" s="37" t="e">
        <f t="shared" si="11"/>
        <v>#REF!</v>
      </c>
      <c r="Q132" s="14" t="e">
        <f t="shared" si="12"/>
        <v>#REF!</v>
      </c>
      <c r="R132" s="14" t="s">
        <v>204</v>
      </c>
      <c r="S132" s="15">
        <f t="shared" si="13"/>
        <v>0</v>
      </c>
      <c r="T132" s="4" t="e">
        <f>VLOOKUP(B132,#REF!,7,FALSE)</f>
        <v>#REF!</v>
      </c>
    </row>
    <row r="133" spans="1:20" x14ac:dyDescent="0.3">
      <c r="A133" s="13"/>
      <c r="B133" s="13">
        <v>113</v>
      </c>
      <c r="C133" s="13" t="e">
        <f>VLOOKUP($B133,#REF!,C$1,FALSE)</f>
        <v>#REF!</v>
      </c>
      <c r="D133" s="25" t="e">
        <f>VLOOKUP($B133,#REF!,D$1,FALSE)</f>
        <v>#REF!</v>
      </c>
      <c r="E133" s="13" t="e">
        <f>VLOOKUP($B133,#REF!,E$1,FALSE)</f>
        <v>#REF!</v>
      </c>
      <c r="F133" s="25" t="e">
        <f>VLOOKUP($B133,#REF!,F$1,FALSE)</f>
        <v>#REF!</v>
      </c>
      <c r="G133" s="14" t="e">
        <f>IF(VLOOKUP($B133,#REF!,G$1,FALSE)=0,0.0001,VLOOKUP($B133,#REF!,G$1,FALSE))</f>
        <v>#REF!</v>
      </c>
      <c r="H133" s="23">
        <v>0</v>
      </c>
      <c r="I133" s="24">
        <v>999999999</v>
      </c>
      <c r="K133" s="24">
        <v>999999999</v>
      </c>
      <c r="L133" s="24"/>
      <c r="M133" s="24">
        <v>999999999</v>
      </c>
      <c r="N133" s="24">
        <v>999999999</v>
      </c>
      <c r="O133" s="37" t="e">
        <f t="shared" si="10"/>
        <v>#REF!</v>
      </c>
      <c r="P133" s="37" t="e">
        <f t="shared" si="11"/>
        <v>#REF!</v>
      </c>
      <c r="Q133" s="14" t="e">
        <f t="shared" si="12"/>
        <v>#REF!</v>
      </c>
      <c r="R133" s="14" t="s">
        <v>204</v>
      </c>
      <c r="S133" s="15">
        <f t="shared" si="13"/>
        <v>0</v>
      </c>
      <c r="T133" s="4" t="e">
        <f>VLOOKUP(B133,#REF!,7,FALSE)</f>
        <v>#REF!</v>
      </c>
    </row>
    <row r="134" spans="1:20" x14ac:dyDescent="0.3">
      <c r="A134" s="13"/>
      <c r="B134" s="13">
        <v>114</v>
      </c>
      <c r="C134" s="13" t="e">
        <f>VLOOKUP($B134,#REF!,C$1,FALSE)</f>
        <v>#REF!</v>
      </c>
      <c r="D134" s="25" t="e">
        <f>VLOOKUP($B134,#REF!,D$1,FALSE)</f>
        <v>#REF!</v>
      </c>
      <c r="E134" s="13" t="e">
        <f>VLOOKUP($B134,#REF!,E$1,FALSE)</f>
        <v>#REF!</v>
      </c>
      <c r="F134" s="25" t="e">
        <f>VLOOKUP($B134,#REF!,F$1,FALSE)</f>
        <v>#REF!</v>
      </c>
      <c r="G134" s="14" t="e">
        <f>IF(VLOOKUP($B134,#REF!,G$1,FALSE)=0,0.0001,VLOOKUP($B134,#REF!,G$1,FALSE))</f>
        <v>#REF!</v>
      </c>
      <c r="H134" s="23">
        <v>0</v>
      </c>
      <c r="I134" s="24">
        <v>999999999</v>
      </c>
      <c r="K134" s="24">
        <v>999999999</v>
      </c>
      <c r="L134" s="24"/>
      <c r="M134" s="24">
        <v>999999999</v>
      </c>
      <c r="N134" s="24">
        <v>999999999</v>
      </c>
      <c r="O134" s="37" t="e">
        <f t="shared" si="10"/>
        <v>#REF!</v>
      </c>
      <c r="P134" s="37" t="e">
        <f t="shared" si="11"/>
        <v>#REF!</v>
      </c>
      <c r="Q134" s="14" t="e">
        <f t="shared" si="12"/>
        <v>#REF!</v>
      </c>
      <c r="R134" s="14" t="s">
        <v>204</v>
      </c>
      <c r="S134" s="15">
        <f t="shared" si="13"/>
        <v>0</v>
      </c>
      <c r="T134" s="4" t="e">
        <f>VLOOKUP(B134,#REF!,7,FALSE)</f>
        <v>#REF!</v>
      </c>
    </row>
    <row r="135" spans="1:20" x14ac:dyDescent="0.3">
      <c r="A135" s="13"/>
      <c r="B135" s="13">
        <v>115</v>
      </c>
      <c r="C135" s="13" t="e">
        <f>VLOOKUP($B135,#REF!,C$1,FALSE)</f>
        <v>#REF!</v>
      </c>
      <c r="D135" s="25" t="e">
        <f>VLOOKUP($B135,#REF!,D$1,FALSE)</f>
        <v>#REF!</v>
      </c>
      <c r="E135" s="13" t="e">
        <f>VLOOKUP($B135,#REF!,E$1,FALSE)</f>
        <v>#REF!</v>
      </c>
      <c r="F135" s="25" t="e">
        <f>VLOOKUP($B135,#REF!,F$1,FALSE)</f>
        <v>#REF!</v>
      </c>
      <c r="G135" s="14" t="e">
        <f>IF(VLOOKUP($B135,#REF!,G$1,FALSE)=0,0.0001,VLOOKUP($B135,#REF!,G$1,FALSE))</f>
        <v>#REF!</v>
      </c>
      <c r="H135" s="23">
        <v>0</v>
      </c>
      <c r="I135" s="24">
        <v>999999999</v>
      </c>
      <c r="K135" s="24">
        <v>999999999</v>
      </c>
      <c r="L135" s="24"/>
      <c r="M135" s="388">
        <v>999999999</v>
      </c>
      <c r="N135" s="388">
        <v>999999999</v>
      </c>
      <c r="O135" s="393" t="e">
        <f>D135</f>
        <v>#REF!</v>
      </c>
      <c r="P135" s="393" t="e">
        <f>F136</f>
        <v>#REF!</v>
      </c>
      <c r="Q135" s="390" t="e">
        <f>SUM(G135:G136)</f>
        <v>#REF!</v>
      </c>
      <c r="R135" s="387" t="s">
        <v>204</v>
      </c>
      <c r="S135" s="15">
        <f t="shared" si="13"/>
        <v>0</v>
      </c>
      <c r="T135" s="4" t="e">
        <f>VLOOKUP(B135,#REF!,7,FALSE)</f>
        <v>#REF!</v>
      </c>
    </row>
    <row r="136" spans="1:20" x14ac:dyDescent="0.3">
      <c r="A136" s="13"/>
      <c r="B136" s="13">
        <v>116</v>
      </c>
      <c r="C136" s="13" t="e">
        <f>VLOOKUP($B136,#REF!,C$1,FALSE)</f>
        <v>#REF!</v>
      </c>
      <c r="D136" s="25" t="e">
        <f>VLOOKUP($B136,#REF!,D$1,FALSE)</f>
        <v>#REF!</v>
      </c>
      <c r="E136" s="13" t="e">
        <f>VLOOKUP($B136,#REF!,E$1,FALSE)</f>
        <v>#REF!</v>
      </c>
      <c r="F136" s="25" t="e">
        <f>VLOOKUP($B136,#REF!,F$1,FALSE)</f>
        <v>#REF!</v>
      </c>
      <c r="G136" s="14" t="e">
        <f>IF(VLOOKUP($B136,#REF!,G$1,FALSE)=0,0.0001,VLOOKUP($B136,#REF!,G$1,FALSE))</f>
        <v>#REF!</v>
      </c>
      <c r="H136" s="23">
        <v>0</v>
      </c>
      <c r="I136" s="24">
        <v>999999999</v>
      </c>
      <c r="K136" s="24">
        <v>999999999</v>
      </c>
      <c r="L136" s="24"/>
      <c r="M136" s="388"/>
      <c r="N136" s="388"/>
      <c r="O136" s="393"/>
      <c r="P136" s="393"/>
      <c r="Q136" s="390"/>
      <c r="R136" s="387"/>
      <c r="S136" s="15">
        <f t="shared" si="13"/>
        <v>0</v>
      </c>
      <c r="T136" s="4" t="e">
        <f>VLOOKUP(B136,#REF!,7,FALSE)</f>
        <v>#REF!</v>
      </c>
    </row>
    <row r="137" spans="1:20" x14ac:dyDescent="0.3">
      <c r="A137" s="13"/>
      <c r="O137" s="37"/>
      <c r="P137" s="37"/>
      <c r="Q137" s="14"/>
    </row>
    <row r="138" spans="1:20" x14ac:dyDescent="0.3">
      <c r="A138" s="13"/>
      <c r="B138" s="13">
        <v>117</v>
      </c>
      <c r="C138" s="13" t="e">
        <f>VLOOKUP($B138,#REF!,E$1,FALSE)</f>
        <v>#REF!</v>
      </c>
      <c r="D138" s="25" t="e">
        <f>VLOOKUP($B138,#REF!,F$1,FALSE)</f>
        <v>#REF!</v>
      </c>
      <c r="E138" s="13" t="e">
        <f>VLOOKUP($B138,#REF!,C$1,FALSE)</f>
        <v>#REF!</v>
      </c>
      <c r="F138" s="25" t="e">
        <f>VLOOKUP($B138,#REF!,D$1,FALSE)</f>
        <v>#REF!</v>
      </c>
      <c r="G138" s="14" t="e">
        <f>IF(VLOOKUP($B138,#REF!,G$1,FALSE)=0,0.0001,VLOOKUP($B138,#REF!,G$1,FALSE))</f>
        <v>#REF!</v>
      </c>
      <c r="H138" s="23">
        <v>524.11639000000002</v>
      </c>
      <c r="I138" s="24">
        <v>999999999</v>
      </c>
      <c r="K138" s="24">
        <v>999999999</v>
      </c>
      <c r="L138" s="24"/>
      <c r="M138" s="24">
        <v>999999999</v>
      </c>
      <c r="N138" s="24">
        <v>999999999</v>
      </c>
      <c r="O138" s="37" t="e">
        <f t="shared" ref="O138:O144" si="14">D138</f>
        <v>#REF!</v>
      </c>
      <c r="P138" s="37" t="e">
        <f t="shared" ref="P138:P144" si="15">F138</f>
        <v>#REF!</v>
      </c>
      <c r="Q138" s="14" t="e">
        <f t="shared" ref="Q138:Q144" si="16">G138</f>
        <v>#REF!</v>
      </c>
      <c r="R138" s="14" t="s">
        <v>196</v>
      </c>
      <c r="S138" s="15" t="str">
        <f t="shared" ref="S138:S144" si="17">IF((H138&gt;0),IF((H138-I138)=0,"a",IF(H138/I138&lt;0.5,"b","c")),)</f>
        <v>b</v>
      </c>
      <c r="T138" s="4" t="e">
        <f>VLOOKUP(B138,#REF!,7,FALSE)</f>
        <v>#REF!</v>
      </c>
    </row>
    <row r="139" spans="1:20" x14ac:dyDescent="0.3">
      <c r="A139" s="13"/>
      <c r="B139" s="13">
        <v>118</v>
      </c>
      <c r="C139" s="13" t="e">
        <f>VLOOKUP($B139,#REF!,E$1,FALSE)</f>
        <v>#REF!</v>
      </c>
      <c r="D139" s="25" t="e">
        <f>VLOOKUP($B139,#REF!,F$1,FALSE)</f>
        <v>#REF!</v>
      </c>
      <c r="E139" s="13" t="e">
        <f>VLOOKUP($B139,#REF!,C$1,FALSE)</f>
        <v>#REF!</v>
      </c>
      <c r="F139" s="25" t="e">
        <f>VLOOKUP($B139,#REF!,D$1,FALSE)</f>
        <v>#REF!</v>
      </c>
      <c r="G139" s="14" t="e">
        <f>IF(VLOOKUP($B139,#REF!,G$1,FALSE)=0,0.0001,VLOOKUP($B139,#REF!,G$1,FALSE))</f>
        <v>#REF!</v>
      </c>
      <c r="H139" s="23">
        <v>680.57005000000004</v>
      </c>
      <c r="I139" s="24">
        <v>999999999</v>
      </c>
      <c r="K139" s="24">
        <v>999999999</v>
      </c>
      <c r="L139" s="24"/>
      <c r="M139" s="24">
        <v>999999999</v>
      </c>
      <c r="N139" s="24">
        <v>999999999</v>
      </c>
      <c r="O139" s="37" t="e">
        <f t="shared" si="14"/>
        <v>#REF!</v>
      </c>
      <c r="P139" s="37" t="e">
        <f t="shared" si="15"/>
        <v>#REF!</v>
      </c>
      <c r="Q139" s="14" t="e">
        <f t="shared" si="16"/>
        <v>#REF!</v>
      </c>
      <c r="R139" s="14" t="s">
        <v>69</v>
      </c>
      <c r="S139" s="15" t="str">
        <f t="shared" si="17"/>
        <v>b</v>
      </c>
      <c r="T139" s="4" t="e">
        <f>VLOOKUP(B139,#REF!,7,FALSE)</f>
        <v>#REF!</v>
      </c>
    </row>
    <row r="140" spans="1:20" x14ac:dyDescent="0.3">
      <c r="A140" s="13"/>
      <c r="B140" s="13">
        <v>119</v>
      </c>
      <c r="C140" s="13" t="e">
        <f>VLOOKUP($B140,#REF!,E$1,FALSE)</f>
        <v>#REF!</v>
      </c>
      <c r="D140" s="25" t="e">
        <f>VLOOKUP($B140,#REF!,F$1,FALSE)</f>
        <v>#REF!</v>
      </c>
      <c r="E140" s="13" t="e">
        <f>VLOOKUP($B140,#REF!,C$1,FALSE)</f>
        <v>#REF!</v>
      </c>
      <c r="F140" s="25" t="e">
        <f>VLOOKUP($B140,#REF!,D$1,FALSE)</f>
        <v>#REF!</v>
      </c>
      <c r="G140" s="14" t="e">
        <f>IF(VLOOKUP($B140,#REF!,G$1,FALSE)=0,0.0001,VLOOKUP($B140,#REF!,G$1,FALSE))</f>
        <v>#REF!</v>
      </c>
      <c r="H140" s="23">
        <v>700.11265000000003</v>
      </c>
      <c r="I140" s="24">
        <v>999999999</v>
      </c>
      <c r="K140" s="24">
        <v>999999999</v>
      </c>
      <c r="L140" s="24"/>
      <c r="M140" s="24">
        <v>999999999</v>
      </c>
      <c r="N140" s="24">
        <v>999999999</v>
      </c>
      <c r="O140" s="37" t="e">
        <f t="shared" si="14"/>
        <v>#REF!</v>
      </c>
      <c r="P140" s="37" t="e">
        <f t="shared" si="15"/>
        <v>#REF!</v>
      </c>
      <c r="Q140" s="14" t="e">
        <f t="shared" si="16"/>
        <v>#REF!</v>
      </c>
      <c r="R140" s="14" t="s">
        <v>205</v>
      </c>
      <c r="S140" s="15" t="str">
        <f t="shared" si="17"/>
        <v>b</v>
      </c>
      <c r="T140" s="4" t="e">
        <f>VLOOKUP(B140,#REF!,7,FALSE)</f>
        <v>#REF!</v>
      </c>
    </row>
    <row r="141" spans="1:20" x14ac:dyDescent="0.3">
      <c r="A141" s="13"/>
      <c r="B141" s="13">
        <v>122</v>
      </c>
      <c r="C141" s="13" t="e">
        <f>VLOOKUP($B141,#REF!,E$1,FALSE)</f>
        <v>#REF!</v>
      </c>
      <c r="D141" s="25" t="e">
        <f>VLOOKUP($B141,#REF!,F$1,FALSE)</f>
        <v>#REF!</v>
      </c>
      <c r="E141" s="13" t="e">
        <f>VLOOKUP($B141,#REF!,C$1,FALSE)</f>
        <v>#REF!</v>
      </c>
      <c r="F141" s="25" t="e">
        <f>VLOOKUP($B141,#REF!,D$1,FALSE)</f>
        <v>#REF!</v>
      </c>
      <c r="G141" s="14" t="e">
        <f>IF(VLOOKUP($B141,#REF!,G$1,FALSE)=0,0.0001,VLOOKUP($B141,#REF!,G$1,FALSE))</f>
        <v>#REF!</v>
      </c>
      <c r="H141" s="23">
        <v>541.41224999999997</v>
      </c>
      <c r="I141" s="24">
        <v>999999999</v>
      </c>
      <c r="K141" s="24">
        <v>999999999</v>
      </c>
      <c r="L141" s="24"/>
      <c r="M141" s="24">
        <v>999999999</v>
      </c>
      <c r="N141" s="24">
        <v>999999999</v>
      </c>
      <c r="O141" s="37" t="e">
        <f t="shared" si="14"/>
        <v>#REF!</v>
      </c>
      <c r="P141" s="37" t="e">
        <f t="shared" si="15"/>
        <v>#REF!</v>
      </c>
      <c r="Q141" s="14" t="e">
        <f t="shared" si="16"/>
        <v>#REF!</v>
      </c>
      <c r="R141" s="14" t="s">
        <v>196</v>
      </c>
      <c r="S141" s="15" t="str">
        <f t="shared" si="17"/>
        <v>b</v>
      </c>
      <c r="T141" s="4" t="e">
        <f>VLOOKUP(B141,#REF!,7,FALSE)</f>
        <v>#REF!</v>
      </c>
    </row>
    <row r="142" spans="1:20" x14ac:dyDescent="0.3">
      <c r="A142" s="13"/>
      <c r="B142" s="13">
        <v>123</v>
      </c>
      <c r="C142" s="13" t="e">
        <f>VLOOKUP($B142,#REF!,E$1,FALSE)</f>
        <v>#REF!</v>
      </c>
      <c r="D142" s="25" t="e">
        <f>VLOOKUP($B142,#REF!,F$1,FALSE)</f>
        <v>#REF!</v>
      </c>
      <c r="E142" s="13" t="e">
        <f>VLOOKUP($B142,#REF!,C$1,FALSE)</f>
        <v>#REF!</v>
      </c>
      <c r="F142" s="25" t="e">
        <f>VLOOKUP($B142,#REF!,D$1,FALSE)</f>
        <v>#REF!</v>
      </c>
      <c r="G142" s="14" t="e">
        <f>IF(VLOOKUP($B142,#REF!,G$1,FALSE)=0,0.0001,VLOOKUP($B142,#REF!,G$1,FALSE))</f>
        <v>#REF!</v>
      </c>
      <c r="H142" s="23">
        <v>692.61434999999994</v>
      </c>
      <c r="I142" s="24">
        <v>999999999</v>
      </c>
      <c r="K142" s="24">
        <v>999999999</v>
      </c>
      <c r="L142" s="24"/>
      <c r="M142" s="24">
        <v>999999999</v>
      </c>
      <c r="N142" s="24">
        <v>999999999</v>
      </c>
      <c r="O142" s="37" t="e">
        <f t="shared" si="14"/>
        <v>#REF!</v>
      </c>
      <c r="P142" s="37" t="e">
        <f t="shared" si="15"/>
        <v>#REF!</v>
      </c>
      <c r="Q142" s="14" t="e">
        <f t="shared" si="16"/>
        <v>#REF!</v>
      </c>
      <c r="R142" s="14" t="s">
        <v>205</v>
      </c>
      <c r="S142" s="15" t="str">
        <f t="shared" si="17"/>
        <v>b</v>
      </c>
      <c r="T142" s="4" t="e">
        <f>VLOOKUP(B142,#REF!,7,FALSE)</f>
        <v>#REF!</v>
      </c>
    </row>
    <row r="143" spans="1:20" x14ac:dyDescent="0.3">
      <c r="A143" s="13"/>
      <c r="B143" s="13">
        <v>120</v>
      </c>
      <c r="C143" s="13" t="e">
        <f>VLOOKUP($B143,#REF!,E$1,FALSE)</f>
        <v>#REF!</v>
      </c>
      <c r="D143" s="25" t="e">
        <f>VLOOKUP($B143,#REF!,F$1,FALSE)</f>
        <v>#REF!</v>
      </c>
      <c r="E143" s="13" t="e">
        <f>VLOOKUP($B143,#REF!,C$1,FALSE)</f>
        <v>#REF!</v>
      </c>
      <c r="F143" s="25" t="e">
        <f>VLOOKUP($B143,#REF!,D$1,FALSE)</f>
        <v>#REF!</v>
      </c>
      <c r="G143" s="14" t="e">
        <f>IF(VLOOKUP($B143,#REF!,G$1,FALSE)=0,0.0001,VLOOKUP($B143,#REF!,G$1,FALSE))</f>
        <v>#REF!</v>
      </c>
      <c r="H143" s="23">
        <v>158.7004</v>
      </c>
      <c r="I143" s="24">
        <v>999999999</v>
      </c>
      <c r="K143" s="24">
        <v>999999999</v>
      </c>
      <c r="L143" s="24"/>
      <c r="M143" s="24">
        <v>999999999</v>
      </c>
      <c r="N143" s="24">
        <v>999999999</v>
      </c>
      <c r="O143" s="37" t="e">
        <f t="shared" si="14"/>
        <v>#REF!</v>
      </c>
      <c r="P143" s="37" t="e">
        <f t="shared" si="15"/>
        <v>#REF!</v>
      </c>
      <c r="Q143" s="14" t="e">
        <f t="shared" si="16"/>
        <v>#REF!</v>
      </c>
      <c r="R143" s="14" t="s">
        <v>196</v>
      </c>
      <c r="S143" s="15" t="str">
        <f t="shared" si="17"/>
        <v>b</v>
      </c>
      <c r="T143" s="4" t="e">
        <f>VLOOKUP(B143,#REF!,7,FALSE)</f>
        <v>#REF!</v>
      </c>
    </row>
    <row r="144" spans="1:20" x14ac:dyDescent="0.3">
      <c r="A144" s="13"/>
      <c r="B144" s="13">
        <v>121</v>
      </c>
      <c r="C144" s="13" t="e">
        <f>VLOOKUP($B144,#REF!,C$1,FALSE)</f>
        <v>#REF!</v>
      </c>
      <c r="D144" s="25" t="e">
        <f>VLOOKUP($B144,#REF!,D$1,FALSE)</f>
        <v>#REF!</v>
      </c>
      <c r="E144" s="13" t="e">
        <f>VLOOKUP($B144,#REF!,E$1,FALSE)</f>
        <v>#REF!</v>
      </c>
      <c r="F144" s="25" t="e">
        <f>VLOOKUP($B144,#REF!,F$1,FALSE)</f>
        <v>#REF!</v>
      </c>
      <c r="G144" s="14" t="e">
        <f>IF(VLOOKUP($B144,#REF!,G$1,FALSE)=0,0.0001,VLOOKUP($B144,#REF!,G$1,FALSE))</f>
        <v>#REF!</v>
      </c>
      <c r="H144" s="23">
        <v>197.94472999999999</v>
      </c>
      <c r="I144" s="24">
        <v>999999999</v>
      </c>
      <c r="M144" s="24">
        <v>999999999</v>
      </c>
      <c r="O144" s="37" t="e">
        <f t="shared" si="14"/>
        <v>#REF!</v>
      </c>
      <c r="P144" s="37" t="e">
        <f t="shared" si="15"/>
        <v>#REF!</v>
      </c>
      <c r="Q144" s="14" t="e">
        <f t="shared" si="16"/>
        <v>#REF!</v>
      </c>
      <c r="R144" s="14" t="s">
        <v>205</v>
      </c>
      <c r="S144" s="15" t="str">
        <f t="shared" si="17"/>
        <v>b</v>
      </c>
      <c r="T144" s="4" t="e">
        <f>VLOOKUP(B144,#REF!,7,FALSE)</f>
        <v>#REF!</v>
      </c>
    </row>
    <row r="145" spans="1:20" x14ac:dyDescent="0.3">
      <c r="A145" s="13"/>
      <c r="O145" s="37"/>
      <c r="P145" s="37"/>
      <c r="Q145" s="14"/>
    </row>
    <row r="146" spans="1:20" x14ac:dyDescent="0.3">
      <c r="A146" s="13"/>
      <c r="B146" s="13">
        <v>132</v>
      </c>
      <c r="C146" s="13" t="e">
        <f>VLOOKUP($B146,#REF!,C$1,FALSE)</f>
        <v>#REF!</v>
      </c>
      <c r="D146" s="25" t="e">
        <f>VLOOKUP($B146,#REF!,D$1,FALSE)</f>
        <v>#REF!</v>
      </c>
      <c r="E146" s="13" t="e">
        <f>VLOOKUP($B146,#REF!,E$1,FALSE)</f>
        <v>#REF!</v>
      </c>
      <c r="F146" s="25" t="e">
        <f>VLOOKUP($B146,#REF!,F$1,FALSE)</f>
        <v>#REF!</v>
      </c>
      <c r="G146" s="14" t="e">
        <f>IF(VLOOKUP($B146,#REF!,G$1,FALSE)=0,0.0001,VLOOKUP($B146,#REF!,G$1,FALSE))</f>
        <v>#REF!</v>
      </c>
      <c r="H146" s="23">
        <v>0</v>
      </c>
      <c r="I146" s="24">
        <v>999999999</v>
      </c>
      <c r="M146" s="388">
        <v>999999999</v>
      </c>
      <c r="N146" s="388"/>
      <c r="O146" s="389" t="e">
        <f>D148</f>
        <v>#REF!</v>
      </c>
      <c r="P146" s="389" t="e">
        <f>F146</f>
        <v>#REF!</v>
      </c>
      <c r="Q146" s="390" t="e">
        <f>SUM(G146:G148)</f>
        <v>#REF!</v>
      </c>
      <c r="R146" s="387" t="s">
        <v>206</v>
      </c>
      <c r="S146" s="15">
        <f>IF((H146&gt;0),IF((H146-I146)=0,"a",IF(H146/I146&lt;0.5,"b","c")),)</f>
        <v>0</v>
      </c>
      <c r="T146" s="4" t="e">
        <f>VLOOKUP(B146,#REF!,7,FALSE)</f>
        <v>#REF!</v>
      </c>
    </row>
    <row r="147" spans="1:20" x14ac:dyDescent="0.3">
      <c r="A147" s="13"/>
      <c r="B147" s="13">
        <v>131</v>
      </c>
      <c r="C147" s="13" t="e">
        <f>VLOOKUP($B147,#REF!,C$1,FALSE)</f>
        <v>#REF!</v>
      </c>
      <c r="D147" s="25" t="e">
        <f>VLOOKUP($B147,#REF!,D$1,FALSE)</f>
        <v>#REF!</v>
      </c>
      <c r="E147" s="13" t="e">
        <f>VLOOKUP($B147,#REF!,E$1,FALSE)</f>
        <v>#REF!</v>
      </c>
      <c r="F147" s="25" t="e">
        <f>VLOOKUP($B147,#REF!,F$1,FALSE)</f>
        <v>#REF!</v>
      </c>
      <c r="G147" s="14" t="e">
        <f>IF(VLOOKUP($B147,#REF!,G$1,FALSE)=0,0.0001,VLOOKUP($B147,#REF!,G$1,FALSE))</f>
        <v>#REF!</v>
      </c>
      <c r="H147" s="23">
        <v>0</v>
      </c>
      <c r="I147" s="24">
        <v>999999999</v>
      </c>
      <c r="M147" s="388"/>
      <c r="N147" s="388"/>
      <c r="O147" s="389"/>
      <c r="P147" s="389"/>
      <c r="Q147" s="390"/>
      <c r="R147" s="387"/>
      <c r="S147" s="15">
        <f>IF((H147&gt;0),IF((H147-I147)=0,"a",IF(H147/I147&lt;0.5,"b","c")),)</f>
        <v>0</v>
      </c>
      <c r="T147" s="4" t="e">
        <f>VLOOKUP(B147,#REF!,7,FALSE)</f>
        <v>#REF!</v>
      </c>
    </row>
    <row r="148" spans="1:20" x14ac:dyDescent="0.3">
      <c r="A148" s="13"/>
      <c r="B148" s="13">
        <v>130</v>
      </c>
      <c r="C148" s="13" t="e">
        <f>VLOOKUP($B148,#REF!,C$1,FALSE)</f>
        <v>#REF!</v>
      </c>
      <c r="D148" s="25" t="e">
        <f>VLOOKUP($B148,#REF!,D$1,FALSE)</f>
        <v>#REF!</v>
      </c>
      <c r="E148" s="13" t="e">
        <f>VLOOKUP($B148,#REF!,E$1,FALSE)</f>
        <v>#REF!</v>
      </c>
      <c r="F148" s="25" t="e">
        <f>VLOOKUP($B148,#REF!,F$1,FALSE)</f>
        <v>#REF!</v>
      </c>
      <c r="G148" s="14" t="e">
        <f>IF(VLOOKUP($B148,#REF!,G$1,FALSE)=0,0.0001,VLOOKUP($B148,#REF!,G$1,FALSE))</f>
        <v>#REF!</v>
      </c>
      <c r="H148" s="23">
        <v>0</v>
      </c>
      <c r="I148" s="24">
        <v>999999999</v>
      </c>
      <c r="M148" s="388"/>
      <c r="N148" s="388"/>
      <c r="O148" s="389"/>
      <c r="P148" s="389"/>
      <c r="Q148" s="390"/>
      <c r="R148" s="387"/>
      <c r="S148" s="15">
        <f>IF((H148&gt;0),IF((H148-I148)=0,"a",IF(H148/I148&lt;0.5,"b","c")),)</f>
        <v>0</v>
      </c>
      <c r="T148" s="4" t="e">
        <f>VLOOKUP(B148,#REF!,7,FALSE)</f>
        <v>#REF!</v>
      </c>
    </row>
    <row r="149" spans="1:20" x14ac:dyDescent="0.3">
      <c r="A149" s="13"/>
      <c r="O149" s="37"/>
      <c r="P149" s="37"/>
      <c r="Q149" s="14"/>
    </row>
    <row r="150" spans="1:20" x14ac:dyDescent="0.3">
      <c r="A150" s="13"/>
      <c r="B150" s="13">
        <v>125</v>
      </c>
      <c r="C150" s="13" t="e">
        <f>VLOOKUP($B150,#REF!,C$1,FALSE)</f>
        <v>#REF!</v>
      </c>
      <c r="D150" s="25" t="e">
        <f>VLOOKUP($B150,#REF!,D$1,FALSE)</f>
        <v>#REF!</v>
      </c>
      <c r="E150" s="13" t="e">
        <f>VLOOKUP($B150,#REF!,E$1,FALSE)</f>
        <v>#REF!</v>
      </c>
      <c r="F150" s="25" t="e">
        <f>VLOOKUP($B150,#REF!,F$1,FALSE)</f>
        <v>#REF!</v>
      </c>
      <c r="G150" s="14" t="e">
        <f>IF(VLOOKUP($B150,#REF!,G$1,FALSE)=0,0.0001,VLOOKUP($B150,#REF!,G$1,FALSE))</f>
        <v>#REF!</v>
      </c>
      <c r="H150" s="23">
        <v>410.48230000000001</v>
      </c>
      <c r="I150" s="24">
        <v>999999999</v>
      </c>
      <c r="M150" s="388">
        <v>999999999</v>
      </c>
      <c r="N150" s="388"/>
      <c r="O150" s="389" t="e">
        <f>D151</f>
        <v>#REF!</v>
      </c>
      <c r="P150" s="389" t="e">
        <f>F150</f>
        <v>#REF!</v>
      </c>
      <c r="Q150" s="390" t="e">
        <f>SUM(G150:G151)</f>
        <v>#REF!</v>
      </c>
      <c r="R150" s="387" t="s">
        <v>207</v>
      </c>
      <c r="S150" s="15" t="str">
        <f t="shared" ref="S150:S162" si="18">IF((H150&gt;0),IF((H150-I150)=0,"a",IF(H150/I150&lt;0.5,"b","c")),)</f>
        <v>b</v>
      </c>
      <c r="T150" s="4" t="e">
        <f>VLOOKUP(B150,#REF!,7,FALSE)</f>
        <v>#REF!</v>
      </c>
    </row>
    <row r="151" spans="1:20" x14ac:dyDescent="0.3">
      <c r="A151" s="13"/>
      <c r="B151" s="13">
        <v>124</v>
      </c>
      <c r="C151" s="13" t="e">
        <f>VLOOKUP($B151,#REF!,C$1,FALSE)</f>
        <v>#REF!</v>
      </c>
      <c r="D151" s="25" t="e">
        <f>VLOOKUP($B151,#REF!,D$1,FALSE)</f>
        <v>#REF!</v>
      </c>
      <c r="E151" s="13" t="e">
        <f>VLOOKUP($B151,#REF!,E$1,FALSE)</f>
        <v>#REF!</v>
      </c>
      <c r="F151" s="25" t="e">
        <f>VLOOKUP($B151,#REF!,F$1,FALSE)</f>
        <v>#REF!</v>
      </c>
      <c r="G151" s="14" t="e">
        <f>IF(VLOOKUP($B151,#REF!,G$1,FALSE)=0,0.0001,VLOOKUP($B151,#REF!,G$1,FALSE))</f>
        <v>#REF!</v>
      </c>
      <c r="H151" s="23">
        <v>905.03626999999994</v>
      </c>
      <c r="I151" s="24">
        <v>999999999</v>
      </c>
      <c r="M151" s="388"/>
      <c r="N151" s="388"/>
      <c r="O151" s="389"/>
      <c r="P151" s="389"/>
      <c r="Q151" s="390"/>
      <c r="R151" s="387"/>
      <c r="S151" s="15" t="str">
        <f t="shared" si="18"/>
        <v>b</v>
      </c>
      <c r="T151" s="4" t="e">
        <f>VLOOKUP(B151,#REF!,7,FALSE)</f>
        <v>#REF!</v>
      </c>
    </row>
    <row r="152" spans="1:20" x14ac:dyDescent="0.3">
      <c r="A152" s="13"/>
      <c r="B152" s="13">
        <v>126</v>
      </c>
      <c r="C152" s="13" t="e">
        <f>VLOOKUP($B152,#REF!,E$1,FALSE)</f>
        <v>#REF!</v>
      </c>
      <c r="D152" s="25" t="e">
        <f>VLOOKUP($B152,#REF!,F$1,FALSE)</f>
        <v>#REF!</v>
      </c>
      <c r="E152" s="13" t="e">
        <f>VLOOKUP($B152,#REF!,C$1,FALSE)</f>
        <v>#REF!</v>
      </c>
      <c r="F152" s="25" t="e">
        <f>VLOOKUP($B152,#REF!,D$1,FALSE)</f>
        <v>#REF!</v>
      </c>
      <c r="G152" s="14" t="e">
        <f>IF(VLOOKUP($B152,#REF!,G$1,FALSE)=0,0.0001,VLOOKUP($B152,#REF!,G$1,FALSE))</f>
        <v>#REF!</v>
      </c>
      <c r="H152" s="23">
        <v>1597.6505999999999</v>
      </c>
      <c r="I152" s="24">
        <v>999999999</v>
      </c>
      <c r="K152" s="24">
        <v>999999999</v>
      </c>
      <c r="L152" s="24"/>
      <c r="M152" s="24">
        <v>999999999</v>
      </c>
      <c r="N152" s="24">
        <v>999999999</v>
      </c>
      <c r="O152" s="37" t="e">
        <f>D152</f>
        <v>#REF!</v>
      </c>
      <c r="P152" s="37" t="e">
        <f>F152</f>
        <v>#REF!</v>
      </c>
      <c r="Q152" s="14" t="e">
        <f>G152</f>
        <v>#REF!</v>
      </c>
      <c r="R152" s="14" t="s">
        <v>196</v>
      </c>
      <c r="S152" s="15" t="str">
        <f t="shared" si="18"/>
        <v>b</v>
      </c>
      <c r="T152" s="4" t="e">
        <f>VLOOKUP(B152,#REF!,7,FALSE)</f>
        <v>#REF!</v>
      </c>
    </row>
    <row r="153" spans="1:20" x14ac:dyDescent="0.3">
      <c r="A153" s="13"/>
      <c r="B153" s="13">
        <v>127</v>
      </c>
      <c r="C153" s="13" t="e">
        <f>VLOOKUP($B153,#REF!,E$1,FALSE)</f>
        <v>#REF!</v>
      </c>
      <c r="D153" s="25" t="e">
        <f>VLOOKUP($B153,#REF!,F$1,FALSE)</f>
        <v>#REF!</v>
      </c>
      <c r="E153" s="13" t="e">
        <f>VLOOKUP($B153,#REF!,C$1,FALSE)</f>
        <v>#REF!</v>
      </c>
      <c r="F153" s="25" t="e">
        <f>VLOOKUP($B153,#REF!,D$1,FALSE)</f>
        <v>#REF!</v>
      </c>
      <c r="G153" s="14" t="e">
        <f>IF(VLOOKUP($B153,#REF!,G$1,FALSE)=0,0.0001,VLOOKUP($B153,#REF!,G$1,FALSE))</f>
        <v>#REF!</v>
      </c>
      <c r="H153" s="23">
        <v>1628.9494999999999</v>
      </c>
      <c r="I153" s="24">
        <v>999999999</v>
      </c>
      <c r="K153" s="24">
        <v>999999999</v>
      </c>
      <c r="L153" s="24"/>
      <c r="M153" s="388">
        <v>999999999</v>
      </c>
      <c r="N153" s="388">
        <v>999999999</v>
      </c>
      <c r="O153" s="389" t="e">
        <f>D155</f>
        <v>#REF!</v>
      </c>
      <c r="P153" s="389" t="e">
        <f>F153</f>
        <v>#REF!</v>
      </c>
      <c r="Q153" s="390" t="e">
        <f>SUM(G153:G155)</f>
        <v>#REF!</v>
      </c>
      <c r="R153" s="387" t="s">
        <v>205</v>
      </c>
      <c r="S153" s="15" t="str">
        <f t="shared" si="18"/>
        <v>b</v>
      </c>
      <c r="T153" s="4" t="e">
        <f>VLOOKUP(B153,#REF!,7,FALSE)</f>
        <v>#REF!</v>
      </c>
    </row>
    <row r="154" spans="1:20" x14ac:dyDescent="0.3">
      <c r="A154" s="13"/>
      <c r="B154" s="13">
        <v>128</v>
      </c>
      <c r="C154" s="13" t="e">
        <f>VLOOKUP($B154,#REF!,E$1,FALSE)</f>
        <v>#REF!</v>
      </c>
      <c r="D154" s="25" t="e">
        <f>VLOOKUP($B154,#REF!,F$1,FALSE)</f>
        <v>#REF!</v>
      </c>
      <c r="E154" s="13" t="e">
        <f>VLOOKUP($B154,#REF!,C$1,FALSE)</f>
        <v>#REF!</v>
      </c>
      <c r="F154" s="25" t="e">
        <f>VLOOKUP($B154,#REF!,D$1,FALSE)</f>
        <v>#REF!</v>
      </c>
      <c r="G154" s="14" t="e">
        <f>IF(VLOOKUP($B154,#REF!,G$1,FALSE)=0,0.0001,VLOOKUP($B154,#REF!,G$1,FALSE))</f>
        <v>#REF!</v>
      </c>
      <c r="H154" s="23">
        <v>1994.6889000000001</v>
      </c>
      <c r="I154" s="24">
        <v>999999999</v>
      </c>
      <c r="K154" s="24">
        <v>999999999</v>
      </c>
      <c r="L154" s="24"/>
      <c r="M154" s="388"/>
      <c r="N154" s="388"/>
      <c r="O154" s="389"/>
      <c r="P154" s="389"/>
      <c r="Q154" s="390"/>
      <c r="R154" s="387"/>
      <c r="S154" s="15" t="str">
        <f t="shared" si="18"/>
        <v>b</v>
      </c>
      <c r="T154" s="4" t="e">
        <f>VLOOKUP(B154,#REF!,7,FALSE)</f>
        <v>#REF!</v>
      </c>
    </row>
    <row r="155" spans="1:20" x14ac:dyDescent="0.3">
      <c r="A155" s="13"/>
      <c r="B155" s="13">
        <v>129</v>
      </c>
      <c r="C155" s="13" t="e">
        <f>VLOOKUP($B155,#REF!,E$1,FALSE)</f>
        <v>#REF!</v>
      </c>
      <c r="D155" s="25" t="e">
        <f>VLOOKUP($B155,#REF!,F$1,FALSE)</f>
        <v>#REF!</v>
      </c>
      <c r="E155" s="13" t="e">
        <f>VLOOKUP($B155,#REF!,C$1,FALSE)</f>
        <v>#REF!</v>
      </c>
      <c r="F155" s="25" t="e">
        <f>VLOOKUP($B155,#REF!,D$1,FALSE)</f>
        <v>#REF!</v>
      </c>
      <c r="G155" s="14" t="e">
        <f>IF(VLOOKUP($B155,#REF!,G$1,FALSE)=0,0.0001,VLOOKUP($B155,#REF!,G$1,FALSE))</f>
        <v>#REF!</v>
      </c>
      <c r="H155" s="23">
        <v>3115.5958000000001</v>
      </c>
      <c r="I155" s="24">
        <v>999999999</v>
      </c>
      <c r="K155" s="24">
        <v>999999999</v>
      </c>
      <c r="L155" s="24"/>
      <c r="M155" s="388"/>
      <c r="N155" s="388"/>
      <c r="O155" s="389"/>
      <c r="P155" s="389"/>
      <c r="Q155" s="390"/>
      <c r="R155" s="387"/>
      <c r="S155" s="15" t="str">
        <f t="shared" si="18"/>
        <v>b</v>
      </c>
      <c r="T155" s="4" t="e">
        <f>VLOOKUP(B155,#REF!,7,FALSE)</f>
        <v>#REF!</v>
      </c>
    </row>
    <row r="156" spans="1:20" x14ac:dyDescent="0.3">
      <c r="A156" s="13"/>
      <c r="B156" s="13">
        <v>133</v>
      </c>
      <c r="C156" s="13" t="e">
        <f>VLOOKUP($B156,#REF!,C$1,FALSE)</f>
        <v>#REF!</v>
      </c>
      <c r="D156" s="25" t="e">
        <f>VLOOKUP($B156,#REF!,D$1,FALSE)</f>
        <v>#REF!</v>
      </c>
      <c r="E156" s="13" t="e">
        <f>VLOOKUP($B156,#REF!,E$1,FALSE)</f>
        <v>#REF!</v>
      </c>
      <c r="F156" s="25" t="e">
        <f>VLOOKUP($B156,#REF!,F$1,FALSE)</f>
        <v>#REF!</v>
      </c>
      <c r="G156" s="14" t="e">
        <f>IF(VLOOKUP($B156,#REF!,G$1,FALSE)=0,0.0001,VLOOKUP($B156,#REF!,G$1,FALSE))</f>
        <v>#REF!</v>
      </c>
      <c r="H156" s="23">
        <v>0</v>
      </c>
      <c r="I156" s="24">
        <v>999999999</v>
      </c>
      <c r="K156" s="24">
        <v>999999999</v>
      </c>
      <c r="L156" s="24"/>
      <c r="M156" s="24">
        <v>999999999</v>
      </c>
      <c r="N156" s="24">
        <v>999999999</v>
      </c>
      <c r="O156" s="37" t="e">
        <f>D156</f>
        <v>#REF!</v>
      </c>
      <c r="P156" s="37" t="e">
        <f>F156</f>
        <v>#REF!</v>
      </c>
      <c r="Q156" s="14" t="e">
        <f>G156</f>
        <v>#REF!</v>
      </c>
      <c r="R156" s="31"/>
      <c r="S156" s="15">
        <f t="shared" si="18"/>
        <v>0</v>
      </c>
      <c r="T156" s="4" t="e">
        <f>VLOOKUP(B156,#REF!,7,FALSE)</f>
        <v>#REF!</v>
      </c>
    </row>
    <row r="157" spans="1:20" x14ac:dyDescent="0.3">
      <c r="A157" s="13"/>
      <c r="B157" s="13">
        <v>134</v>
      </c>
      <c r="C157" s="13" t="e">
        <f>VLOOKUP($B157,#REF!,C$1,FALSE)</f>
        <v>#REF!</v>
      </c>
      <c r="D157" s="25" t="e">
        <f>VLOOKUP($B157,#REF!,D$1,FALSE)</f>
        <v>#REF!</v>
      </c>
      <c r="E157" s="13" t="e">
        <f>VLOOKUP($B157,#REF!,E$1,FALSE)</f>
        <v>#REF!</v>
      </c>
      <c r="F157" s="25" t="e">
        <f>VLOOKUP($B157,#REF!,F$1,FALSE)</f>
        <v>#REF!</v>
      </c>
      <c r="G157" s="14" t="e">
        <f>IF(VLOOKUP($B157,#REF!,G$1,FALSE)=0,0.0001,VLOOKUP($B157,#REF!,G$1,FALSE))</f>
        <v>#REF!</v>
      </c>
      <c r="H157" s="23">
        <v>0</v>
      </c>
      <c r="I157" s="24">
        <v>999999999</v>
      </c>
      <c r="K157" s="24">
        <v>999999999</v>
      </c>
      <c r="L157" s="24"/>
      <c r="M157" s="388">
        <v>999999999</v>
      </c>
      <c r="N157" s="388">
        <v>999999999</v>
      </c>
      <c r="O157" s="389" t="e">
        <f>D157</f>
        <v>#REF!</v>
      </c>
      <c r="P157" s="389" t="e">
        <f>F160</f>
        <v>#REF!</v>
      </c>
      <c r="Q157" s="390" t="e">
        <f>SUM(G157:G160)</f>
        <v>#REF!</v>
      </c>
      <c r="R157" s="387" t="s">
        <v>208</v>
      </c>
      <c r="S157" s="15">
        <f t="shared" si="18"/>
        <v>0</v>
      </c>
      <c r="T157" s="4" t="e">
        <f>VLOOKUP(B157,#REF!,7,FALSE)</f>
        <v>#REF!</v>
      </c>
    </row>
    <row r="158" spans="1:20" x14ac:dyDescent="0.3">
      <c r="A158" s="13"/>
      <c r="B158" s="13">
        <v>135</v>
      </c>
      <c r="C158" s="13" t="e">
        <f>VLOOKUP($B158,#REF!,C$1,FALSE)</f>
        <v>#REF!</v>
      </c>
      <c r="D158" s="25" t="e">
        <f>VLOOKUP($B158,#REF!,D$1,FALSE)</f>
        <v>#REF!</v>
      </c>
      <c r="E158" s="13" t="e">
        <f>VLOOKUP($B158,#REF!,E$1,FALSE)</f>
        <v>#REF!</v>
      </c>
      <c r="F158" s="25" t="e">
        <f>VLOOKUP($B158,#REF!,F$1,FALSE)</f>
        <v>#REF!</v>
      </c>
      <c r="G158" s="14" t="e">
        <f>IF(VLOOKUP($B158,#REF!,G$1,FALSE)=0,0.0001,VLOOKUP($B158,#REF!,G$1,FALSE))</f>
        <v>#REF!</v>
      </c>
      <c r="H158" s="23">
        <v>0</v>
      </c>
      <c r="I158" s="24">
        <v>999999999</v>
      </c>
      <c r="K158" s="24">
        <v>999999999</v>
      </c>
      <c r="L158" s="24"/>
      <c r="M158" s="388"/>
      <c r="N158" s="388"/>
      <c r="O158" s="389"/>
      <c r="P158" s="389"/>
      <c r="Q158" s="390"/>
      <c r="R158" s="387"/>
      <c r="S158" s="15">
        <f t="shared" si="18"/>
        <v>0</v>
      </c>
      <c r="T158" s="4" t="e">
        <f>VLOOKUP(B158,#REF!,7,FALSE)</f>
        <v>#REF!</v>
      </c>
    </row>
    <row r="159" spans="1:20" x14ac:dyDescent="0.3">
      <c r="A159" s="13"/>
      <c r="B159" s="13">
        <v>136</v>
      </c>
      <c r="C159" s="13" t="e">
        <f>VLOOKUP($B159,#REF!,C$1,FALSE)</f>
        <v>#REF!</v>
      </c>
      <c r="D159" s="25" t="e">
        <f>VLOOKUP($B159,#REF!,D$1,FALSE)</f>
        <v>#REF!</v>
      </c>
      <c r="E159" s="13" t="e">
        <f>VLOOKUP($B159,#REF!,E$1,FALSE)</f>
        <v>#REF!</v>
      </c>
      <c r="F159" s="25" t="e">
        <f>VLOOKUP($B159,#REF!,F$1,FALSE)</f>
        <v>#REF!</v>
      </c>
      <c r="G159" s="14" t="e">
        <f>IF(VLOOKUP($B159,#REF!,G$1,FALSE)=0,0.0001,VLOOKUP($B159,#REF!,G$1,FALSE))</f>
        <v>#REF!</v>
      </c>
      <c r="H159" s="23">
        <v>0</v>
      </c>
      <c r="I159" s="24">
        <v>999999999</v>
      </c>
      <c r="K159" s="24">
        <v>999999999</v>
      </c>
      <c r="L159" s="24"/>
      <c r="M159" s="388"/>
      <c r="N159" s="388"/>
      <c r="O159" s="389"/>
      <c r="P159" s="389"/>
      <c r="Q159" s="390"/>
      <c r="R159" s="387"/>
      <c r="S159" s="15">
        <f t="shared" si="18"/>
        <v>0</v>
      </c>
      <c r="T159" s="4" t="e">
        <f>VLOOKUP(B159,#REF!,7,FALSE)</f>
        <v>#REF!</v>
      </c>
    </row>
    <row r="160" spans="1:20" x14ac:dyDescent="0.3">
      <c r="A160" s="13"/>
      <c r="B160" s="13">
        <v>137</v>
      </c>
      <c r="C160" s="13" t="e">
        <f>VLOOKUP($B160,#REF!,C$1,FALSE)</f>
        <v>#REF!</v>
      </c>
      <c r="D160" s="25" t="e">
        <f>VLOOKUP($B160,#REF!,D$1,FALSE)</f>
        <v>#REF!</v>
      </c>
      <c r="E160" s="13" t="e">
        <f>VLOOKUP($B160,#REF!,E$1,FALSE)</f>
        <v>#REF!</v>
      </c>
      <c r="F160" s="25" t="e">
        <f>VLOOKUP($B160,#REF!,F$1,FALSE)</f>
        <v>#REF!</v>
      </c>
      <c r="G160" s="14" t="e">
        <f>IF(VLOOKUP($B160,#REF!,G$1,FALSE)=0,0.0001,VLOOKUP($B160,#REF!,G$1,FALSE))</f>
        <v>#REF!</v>
      </c>
      <c r="H160" s="23">
        <v>0</v>
      </c>
      <c r="I160" s="24">
        <v>999999999</v>
      </c>
      <c r="K160" s="24">
        <v>999999999</v>
      </c>
      <c r="L160" s="24"/>
      <c r="M160" s="388"/>
      <c r="N160" s="388"/>
      <c r="O160" s="389"/>
      <c r="P160" s="389"/>
      <c r="Q160" s="390"/>
      <c r="R160" s="387"/>
      <c r="S160" s="15">
        <f t="shared" si="18"/>
        <v>0</v>
      </c>
      <c r="T160" s="4" t="e">
        <f>VLOOKUP(B160,#REF!,7,FALSE)</f>
        <v>#REF!</v>
      </c>
    </row>
    <row r="161" spans="1:20" x14ac:dyDescent="0.3">
      <c r="A161" s="13"/>
      <c r="B161" s="13">
        <v>138</v>
      </c>
      <c r="C161" s="13" t="e">
        <f>VLOOKUP($B161,#REF!,C$1,FALSE)</f>
        <v>#REF!</v>
      </c>
      <c r="D161" s="25" t="e">
        <f>VLOOKUP($B161,#REF!,D$1,FALSE)</f>
        <v>#REF!</v>
      </c>
      <c r="E161" s="13" t="e">
        <f>VLOOKUP($B161,#REF!,E$1,FALSE)</f>
        <v>#REF!</v>
      </c>
      <c r="F161" s="25" t="e">
        <f>VLOOKUP($B161,#REF!,F$1,FALSE)</f>
        <v>#REF!</v>
      </c>
      <c r="G161" s="14" t="e">
        <f>IF(VLOOKUP($B161,#REF!,G$1,FALSE)=0,0.0001,VLOOKUP($B161,#REF!,G$1,FALSE))</f>
        <v>#REF!</v>
      </c>
      <c r="H161" s="23">
        <v>0</v>
      </c>
      <c r="I161" s="24">
        <v>999999999</v>
      </c>
      <c r="K161" s="24">
        <v>999999999</v>
      </c>
      <c r="L161" s="24"/>
      <c r="M161" s="24">
        <v>999999999</v>
      </c>
      <c r="N161" s="24">
        <v>999999999</v>
      </c>
      <c r="O161" s="37" t="e">
        <f>D161</f>
        <v>#REF!</v>
      </c>
      <c r="P161" s="37" t="e">
        <f>F161</f>
        <v>#REF!</v>
      </c>
      <c r="Q161" s="14" t="e">
        <f>G161</f>
        <v>#REF!</v>
      </c>
      <c r="R161" s="14" t="s">
        <v>196</v>
      </c>
      <c r="S161" s="15">
        <f t="shared" si="18"/>
        <v>0</v>
      </c>
      <c r="T161" s="4" t="e">
        <f>VLOOKUP(B161,#REF!,7,FALSE)</f>
        <v>#REF!</v>
      </c>
    </row>
    <row r="162" spans="1:20" x14ac:dyDescent="0.3">
      <c r="A162" s="13"/>
      <c r="B162" s="13">
        <v>139</v>
      </c>
      <c r="C162" s="13" t="e">
        <f>VLOOKUP($B162,#REF!,C$1,FALSE)</f>
        <v>#REF!</v>
      </c>
      <c r="D162" s="25" t="e">
        <f>VLOOKUP($B162,#REF!,D$1,FALSE)</f>
        <v>#REF!</v>
      </c>
      <c r="E162" s="13" t="e">
        <f>VLOOKUP($B162,#REF!,E$1,FALSE)</f>
        <v>#REF!</v>
      </c>
      <c r="F162" s="25" t="e">
        <f>VLOOKUP($B162,#REF!,F$1,FALSE)</f>
        <v>#REF!</v>
      </c>
      <c r="G162" s="14" t="e">
        <f>IF(VLOOKUP($B162,#REF!,G$1,FALSE)=0,0.0001,VLOOKUP($B162,#REF!,G$1,FALSE))</f>
        <v>#REF!</v>
      </c>
      <c r="H162" s="23">
        <v>7759.3590999999997</v>
      </c>
      <c r="I162" s="24">
        <v>999999999</v>
      </c>
      <c r="K162" s="24">
        <v>999999999</v>
      </c>
      <c r="L162" s="24"/>
      <c r="M162" s="24">
        <v>999999999</v>
      </c>
      <c r="N162" s="24">
        <v>999999999</v>
      </c>
      <c r="O162" s="37" t="e">
        <f>D162</f>
        <v>#REF!</v>
      </c>
      <c r="P162" s="37" t="e">
        <f>F162</f>
        <v>#REF!</v>
      </c>
      <c r="Q162" s="14" t="e">
        <f>G162</f>
        <v>#REF!</v>
      </c>
      <c r="R162" s="14" t="s">
        <v>196</v>
      </c>
      <c r="S162" s="15" t="str">
        <f t="shared" si="18"/>
        <v>b</v>
      </c>
      <c r="T162" s="4" t="e">
        <f>VLOOKUP(B162,#REF!,7,FALSE)</f>
        <v>#REF!</v>
      </c>
    </row>
    <row r="163" spans="1:20" x14ac:dyDescent="0.3">
      <c r="A163" s="13"/>
      <c r="C163" s="4"/>
      <c r="E163" s="4"/>
      <c r="I163" s="4"/>
      <c r="K163" s="4"/>
      <c r="L163" s="4"/>
      <c r="M163" s="4"/>
      <c r="N163" s="4"/>
      <c r="O163" s="39"/>
      <c r="P163" s="39"/>
      <c r="Q163" s="14"/>
    </row>
    <row r="164" spans="1:20" x14ac:dyDescent="0.3">
      <c r="B164" s="13">
        <v>150</v>
      </c>
      <c r="C164" s="13" t="e">
        <f>VLOOKUP($B164,#REF!,E$1,FALSE)</f>
        <v>#REF!</v>
      </c>
      <c r="D164" s="25" t="e">
        <f>VLOOKUP($B164,#REF!,F$1,FALSE)</f>
        <v>#REF!</v>
      </c>
      <c r="E164" s="13" t="e">
        <f>VLOOKUP($B164,#REF!,C$1,FALSE)</f>
        <v>#REF!</v>
      </c>
      <c r="F164" s="25" t="e">
        <f>VLOOKUP($B164,#REF!,D$1,FALSE)</f>
        <v>#REF!</v>
      </c>
      <c r="G164" s="14" t="e">
        <f>IF(VLOOKUP($B164,#REF!,G$1,FALSE)=0,0.0001,VLOOKUP($B164,#REF!,G$1,FALSE))</f>
        <v>#REF!</v>
      </c>
      <c r="H164" s="23">
        <v>2988.6660000000002</v>
      </c>
      <c r="I164" s="24">
        <v>999999999</v>
      </c>
      <c r="K164" s="24">
        <v>999999999</v>
      </c>
      <c r="L164" s="24"/>
      <c r="M164" s="26">
        <v>999999999</v>
      </c>
      <c r="N164" s="26">
        <v>999999999</v>
      </c>
      <c r="O164" s="9" t="e">
        <f>D164</f>
        <v>#REF!</v>
      </c>
      <c r="P164" s="9" t="e">
        <f>F164</f>
        <v>#REF!</v>
      </c>
      <c r="Q164" s="36" t="e">
        <f>G164</f>
        <v>#REF!</v>
      </c>
      <c r="R164" s="35" t="s">
        <v>209</v>
      </c>
      <c r="S164" s="15" t="str">
        <f t="shared" ref="S164:S177" si="19">IF((H164&gt;0),IF((H164-I164)=0,"a",IF(H164/I164&lt;0.5,"b","c")),)</f>
        <v>b</v>
      </c>
      <c r="T164" s="4" t="e">
        <f>VLOOKUP(B164,#REF!,7,FALSE)</f>
        <v>#REF!</v>
      </c>
    </row>
    <row r="165" spans="1:20" x14ac:dyDescent="0.3">
      <c r="B165" s="13">
        <v>151</v>
      </c>
      <c r="C165" s="13" t="e">
        <f>VLOOKUP($B165,#REF!,C$1,FALSE)</f>
        <v>#REF!</v>
      </c>
      <c r="D165" s="25" t="e">
        <f>VLOOKUP($B165,#REF!,D$1,FALSE)</f>
        <v>#REF!</v>
      </c>
      <c r="E165" s="13" t="e">
        <f>VLOOKUP($B165,#REF!,E$1,FALSE)</f>
        <v>#REF!</v>
      </c>
      <c r="F165" s="25" t="e">
        <f>VLOOKUP($B165,#REF!,F$1,FALSE)</f>
        <v>#REF!</v>
      </c>
      <c r="G165" s="14" t="e">
        <f>IF(VLOOKUP($B165,#REF!,G$1,FALSE)=0,0.0001,VLOOKUP($B165,#REF!,G$1,FALSE))</f>
        <v>#REF!</v>
      </c>
      <c r="H165" s="23">
        <v>0</v>
      </c>
      <c r="I165" s="24">
        <v>999999999</v>
      </c>
      <c r="K165" s="24">
        <v>999999999</v>
      </c>
      <c r="L165" s="24"/>
      <c r="M165" s="26">
        <v>999999999</v>
      </c>
      <c r="N165" s="26">
        <v>999999999</v>
      </c>
      <c r="O165" s="9" t="e">
        <f>F165</f>
        <v>#REF!</v>
      </c>
      <c r="P165" s="9" t="e">
        <f>D165</f>
        <v>#REF!</v>
      </c>
      <c r="Q165" s="36" t="e">
        <f>G165</f>
        <v>#REF!</v>
      </c>
      <c r="R165" s="35" t="s">
        <v>209</v>
      </c>
      <c r="S165" s="15">
        <f t="shared" si="19"/>
        <v>0</v>
      </c>
      <c r="T165" s="4" t="e">
        <f>VLOOKUP(B165,#REF!,7,FALSE)</f>
        <v>#REF!</v>
      </c>
    </row>
    <row r="166" spans="1:20" x14ac:dyDescent="0.3">
      <c r="A166" s="13"/>
      <c r="B166" s="13">
        <v>152</v>
      </c>
      <c r="C166" s="13" t="e">
        <f>VLOOKUP($B166,#REF!,C$1,FALSE)</f>
        <v>#REF!</v>
      </c>
      <c r="D166" s="25" t="e">
        <f>VLOOKUP($B166,#REF!,D$1,FALSE)</f>
        <v>#REF!</v>
      </c>
      <c r="E166" s="13" t="e">
        <f>VLOOKUP($B166,#REF!,E$1,FALSE)</f>
        <v>#REF!</v>
      </c>
      <c r="F166" s="25" t="e">
        <f>VLOOKUP($B166,#REF!,F$1,FALSE)</f>
        <v>#REF!</v>
      </c>
      <c r="G166" s="14" t="e">
        <f>IF(VLOOKUP($B166,#REF!,G$1,FALSE)=0,0.0001,VLOOKUP($B166,#REF!,G$1,FALSE))</f>
        <v>#REF!</v>
      </c>
      <c r="H166" s="23">
        <v>0</v>
      </c>
      <c r="I166" s="24">
        <v>999999999</v>
      </c>
      <c r="M166" s="386">
        <v>999999999</v>
      </c>
      <c r="N166" s="385"/>
      <c r="O166" s="393" t="e">
        <f>D166</f>
        <v>#REF!</v>
      </c>
      <c r="P166" s="389" t="e">
        <f>F167</f>
        <v>#REF!</v>
      </c>
      <c r="Q166" s="390" t="e">
        <f>SUM(G166:G167)</f>
        <v>#REF!</v>
      </c>
      <c r="R166" s="387" t="s">
        <v>209</v>
      </c>
      <c r="S166" s="15">
        <f t="shared" si="19"/>
        <v>0</v>
      </c>
      <c r="T166" s="4" t="e">
        <f>VLOOKUP(B166,#REF!,7,FALSE)</f>
        <v>#REF!</v>
      </c>
    </row>
    <row r="167" spans="1:20" x14ac:dyDescent="0.3">
      <c r="A167" s="13"/>
      <c r="B167" s="13">
        <v>153</v>
      </c>
      <c r="C167" s="13" t="e">
        <f>VLOOKUP($B167,#REF!,C$1,FALSE)</f>
        <v>#REF!</v>
      </c>
      <c r="D167" s="25" t="e">
        <f>VLOOKUP($B167,#REF!,D$1,FALSE)</f>
        <v>#REF!</v>
      </c>
      <c r="E167" s="13" t="e">
        <f>VLOOKUP($B167,#REF!,E$1,FALSE)</f>
        <v>#REF!</v>
      </c>
      <c r="F167" s="25" t="e">
        <f>VLOOKUP($B167,#REF!,F$1,FALSE)</f>
        <v>#REF!</v>
      </c>
      <c r="G167" s="14" t="e">
        <f>IF(VLOOKUP($B167,#REF!,G$1,FALSE)=0,0.0001,VLOOKUP($B167,#REF!,G$1,FALSE))</f>
        <v>#REF!</v>
      </c>
      <c r="H167" s="23">
        <v>0</v>
      </c>
      <c r="I167" s="24">
        <v>999999999</v>
      </c>
      <c r="M167" s="386"/>
      <c r="N167" s="385"/>
      <c r="O167" s="393"/>
      <c r="P167" s="389"/>
      <c r="Q167" s="390"/>
      <c r="R167" s="387"/>
      <c r="S167" s="15">
        <f t="shared" si="19"/>
        <v>0</v>
      </c>
      <c r="T167" s="4" t="e">
        <f>VLOOKUP(B167,#REF!,7,FALSE)</f>
        <v>#REF!</v>
      </c>
    </row>
    <row r="168" spans="1:20" x14ac:dyDescent="0.3">
      <c r="A168" s="13"/>
      <c r="B168" s="13">
        <v>154</v>
      </c>
      <c r="C168" s="13" t="e">
        <f>VLOOKUP($B168,#REF!,C$1,FALSE)</f>
        <v>#REF!</v>
      </c>
      <c r="D168" s="25" t="e">
        <f>VLOOKUP($B168,#REF!,D$1,FALSE)</f>
        <v>#REF!</v>
      </c>
      <c r="E168" s="13" t="e">
        <f>VLOOKUP($B168,#REF!,E$1,FALSE)</f>
        <v>#REF!</v>
      </c>
      <c r="F168" s="25" t="e">
        <f>VLOOKUP($B168,#REF!,F$1,FALSE)</f>
        <v>#REF!</v>
      </c>
      <c r="G168" s="14" t="e">
        <f>IF(VLOOKUP($B168,#REF!,G$1,FALSE)=0,0.0001,VLOOKUP($B168,#REF!,G$1,FALSE))</f>
        <v>#REF!</v>
      </c>
      <c r="H168" s="23">
        <v>0</v>
      </c>
      <c r="I168" s="24">
        <v>999999999</v>
      </c>
      <c r="K168" s="24">
        <v>999999999</v>
      </c>
      <c r="L168" s="24"/>
      <c r="M168" s="24">
        <v>999999999</v>
      </c>
      <c r="N168" s="24">
        <v>999999999</v>
      </c>
      <c r="O168" s="37" t="e">
        <f>D168</f>
        <v>#REF!</v>
      </c>
      <c r="P168" s="37" t="e">
        <f>F168</f>
        <v>#REF!</v>
      </c>
      <c r="Q168" s="14" t="e">
        <f>G168</f>
        <v>#REF!</v>
      </c>
      <c r="R168" s="14" t="s">
        <v>196</v>
      </c>
      <c r="S168" s="15">
        <f t="shared" si="19"/>
        <v>0</v>
      </c>
      <c r="T168" s="4" t="e">
        <f>VLOOKUP(B168,#REF!,7,FALSE)</f>
        <v>#REF!</v>
      </c>
    </row>
    <row r="169" spans="1:20" x14ac:dyDescent="0.3">
      <c r="A169" s="13"/>
      <c r="B169" s="13">
        <v>146</v>
      </c>
      <c r="C169" s="13" t="e">
        <f>VLOOKUP($B169,#REF!,E$1,FALSE)</f>
        <v>#REF!</v>
      </c>
      <c r="D169" s="25" t="e">
        <f>VLOOKUP($B169,#REF!,F$1,FALSE)</f>
        <v>#REF!</v>
      </c>
      <c r="E169" s="13" t="e">
        <f>VLOOKUP($B169,#REF!,C$1,FALSE)</f>
        <v>#REF!</v>
      </c>
      <c r="F169" s="25" t="e">
        <f>VLOOKUP($B169,#REF!,D$1,FALSE)</f>
        <v>#REF!</v>
      </c>
      <c r="G169" s="14" t="e">
        <f>IF(VLOOKUP($B169,#REF!,G$1,FALSE)=0,0.0001,VLOOKUP($B169,#REF!,G$1,FALSE))</f>
        <v>#REF!</v>
      </c>
      <c r="H169" s="23">
        <v>2154.4312</v>
      </c>
      <c r="I169" s="24">
        <v>999999999</v>
      </c>
      <c r="M169" s="24">
        <v>999999999</v>
      </c>
      <c r="O169" s="37" t="e">
        <f>D169</f>
        <v>#REF!</v>
      </c>
      <c r="P169" s="37" t="e">
        <f>F169</f>
        <v>#REF!</v>
      </c>
      <c r="Q169" s="14" t="e">
        <f>G169</f>
        <v>#REF!</v>
      </c>
      <c r="R169" s="14" t="s">
        <v>196</v>
      </c>
      <c r="S169" s="15" t="str">
        <f t="shared" si="19"/>
        <v>b</v>
      </c>
      <c r="T169" s="4" t="e">
        <f>VLOOKUP(B169,#REF!,7,FALSE)</f>
        <v>#REF!</v>
      </c>
    </row>
    <row r="170" spans="1:20" x14ac:dyDescent="0.3">
      <c r="A170" s="13"/>
      <c r="B170" s="13">
        <v>147</v>
      </c>
      <c r="C170" s="13" t="e">
        <f>VLOOKUP($B170,#REF!,E$1,FALSE)</f>
        <v>#REF!</v>
      </c>
      <c r="D170" s="25" t="e">
        <f>VLOOKUP($B170,#REF!,F$1,FALSE)</f>
        <v>#REF!</v>
      </c>
      <c r="E170" s="13" t="e">
        <f>VLOOKUP($B170,#REF!,C$1,FALSE)</f>
        <v>#REF!</v>
      </c>
      <c r="F170" s="25" t="e">
        <f>VLOOKUP($B170,#REF!,D$1,FALSE)</f>
        <v>#REF!</v>
      </c>
      <c r="G170" s="14" t="e">
        <f>IF(VLOOKUP($B170,#REF!,G$1,FALSE)=0,0.0001,VLOOKUP($B170,#REF!,G$1,FALSE))</f>
        <v>#REF!</v>
      </c>
      <c r="H170" s="23">
        <v>3141.4515999999999</v>
      </c>
      <c r="I170" s="24">
        <v>999999999</v>
      </c>
      <c r="M170" s="388">
        <v>999999999</v>
      </c>
      <c r="N170" s="34"/>
      <c r="O170" s="393" t="e">
        <f>D170</f>
        <v>#REF!</v>
      </c>
      <c r="P170" s="393" t="e">
        <f>F171</f>
        <v>#REF!</v>
      </c>
      <c r="Q170" s="390" t="e">
        <f>G171</f>
        <v>#REF!</v>
      </c>
      <c r="R170" s="14" t="s">
        <v>196</v>
      </c>
      <c r="S170" s="15" t="str">
        <f t="shared" si="19"/>
        <v>b</v>
      </c>
      <c r="T170" s="4" t="e">
        <f>VLOOKUP(B170,#REF!,7,FALSE)</f>
        <v>#REF!</v>
      </c>
    </row>
    <row r="171" spans="1:20" x14ac:dyDescent="0.3">
      <c r="A171" s="13"/>
      <c r="B171" s="13">
        <v>148</v>
      </c>
      <c r="C171" s="13" t="e">
        <f>VLOOKUP($B171,#REF!,E$1,FALSE)</f>
        <v>#REF!</v>
      </c>
      <c r="D171" s="25" t="e">
        <f>VLOOKUP($B171,#REF!,F$1,FALSE)</f>
        <v>#REF!</v>
      </c>
      <c r="E171" s="13" t="e">
        <f>VLOOKUP($B171,#REF!,C$1,FALSE)</f>
        <v>#REF!</v>
      </c>
      <c r="F171" s="25" t="e">
        <f>VLOOKUP($B171,#REF!,D$1,FALSE)</f>
        <v>#REF!</v>
      </c>
      <c r="G171" s="14" t="e">
        <f>IF(VLOOKUP($B171,#REF!,G$1,FALSE)=0,0.0001,VLOOKUP($B171,#REF!,G$1,FALSE))</f>
        <v>#REF!</v>
      </c>
      <c r="H171" s="23">
        <v>0</v>
      </c>
      <c r="I171" s="24">
        <v>999999999</v>
      </c>
      <c r="M171" s="388"/>
      <c r="N171" s="34"/>
      <c r="O171" s="393"/>
      <c r="P171" s="393"/>
      <c r="Q171" s="390"/>
      <c r="R171" s="14" t="s">
        <v>196</v>
      </c>
      <c r="S171" s="15">
        <f t="shared" si="19"/>
        <v>0</v>
      </c>
      <c r="T171" s="4" t="e">
        <f>VLOOKUP(B171,#REF!,7,FALSE)</f>
        <v>#REF!</v>
      </c>
    </row>
    <row r="172" spans="1:20" x14ac:dyDescent="0.3">
      <c r="A172" s="13"/>
      <c r="B172" s="13">
        <v>140</v>
      </c>
      <c r="C172" s="13" t="e">
        <f>VLOOKUP($B172,#REF!,C$1,FALSE)</f>
        <v>#REF!</v>
      </c>
      <c r="D172" s="25" t="e">
        <f>VLOOKUP($B172,#REF!,D$1,FALSE)</f>
        <v>#REF!</v>
      </c>
      <c r="E172" s="13" t="e">
        <f>VLOOKUP($B172,#REF!,E$1,FALSE)</f>
        <v>#REF!</v>
      </c>
      <c r="F172" s="25" t="e">
        <f>VLOOKUP($B172,#REF!,F$1,FALSE)</f>
        <v>#REF!</v>
      </c>
      <c r="G172" s="14" t="e">
        <f>IF(VLOOKUP($B172,#REF!,G$1,FALSE)=0,0.0001,VLOOKUP($B172,#REF!,G$1,FALSE))</f>
        <v>#REF!</v>
      </c>
      <c r="H172" s="23">
        <v>1149.2601</v>
      </c>
      <c r="I172" s="24">
        <v>999999999</v>
      </c>
      <c r="M172" s="24">
        <v>999999999</v>
      </c>
      <c r="O172" s="9" t="e">
        <f>D177</f>
        <v>#REF!</v>
      </c>
      <c r="P172" s="9" t="e">
        <f>F172</f>
        <v>#REF!</v>
      </c>
      <c r="Q172" s="14" t="e">
        <f>G172</f>
        <v>#REF!</v>
      </c>
      <c r="R172" s="35" t="s">
        <v>210</v>
      </c>
      <c r="S172" s="15" t="str">
        <f t="shared" si="19"/>
        <v>b</v>
      </c>
      <c r="T172" s="4" t="e">
        <f>VLOOKUP(B172,#REF!,7,FALSE)</f>
        <v>#REF!</v>
      </c>
    </row>
    <row r="173" spans="1:20" x14ac:dyDescent="0.3">
      <c r="A173" s="13"/>
      <c r="B173" s="13">
        <v>141</v>
      </c>
      <c r="C173" s="13" t="e">
        <f>VLOOKUP($B173,#REF!,C$1,FALSE)</f>
        <v>#REF!</v>
      </c>
      <c r="D173" s="25" t="e">
        <f>VLOOKUP($B173,#REF!,D$1,FALSE)</f>
        <v>#REF!</v>
      </c>
      <c r="E173" s="13" t="e">
        <f>VLOOKUP($B173,#REF!,E$1,FALSE)</f>
        <v>#REF!</v>
      </c>
      <c r="F173" s="25" t="e">
        <f>VLOOKUP($B173,#REF!,F$1,FALSE)</f>
        <v>#REF!</v>
      </c>
      <c r="G173" s="14" t="e">
        <f>IF(VLOOKUP($B173,#REF!,G$1,FALSE)=0,0.0001,VLOOKUP($B173,#REF!,G$1,FALSE))</f>
        <v>#REF!</v>
      </c>
      <c r="H173" s="23">
        <v>930.17803000000004</v>
      </c>
      <c r="I173" s="24">
        <v>999999999</v>
      </c>
      <c r="M173" s="388">
        <v>999999999</v>
      </c>
      <c r="N173" s="385"/>
      <c r="O173" s="389" t="e">
        <f>D173</f>
        <v>#REF!</v>
      </c>
      <c r="P173" s="389" t="e">
        <f>F177</f>
        <v>#REF!</v>
      </c>
      <c r="Q173" s="390" t="e">
        <f>SUM(F173:F177)</f>
        <v>#REF!</v>
      </c>
      <c r="R173" s="387" t="s">
        <v>210</v>
      </c>
      <c r="S173" s="15" t="str">
        <f t="shared" si="19"/>
        <v>b</v>
      </c>
      <c r="T173" s="4" t="e">
        <f>VLOOKUP(B173,#REF!,7,FALSE)</f>
        <v>#REF!</v>
      </c>
    </row>
    <row r="174" spans="1:20" x14ac:dyDescent="0.3">
      <c r="A174" s="13"/>
      <c r="B174" s="13">
        <v>142</v>
      </c>
      <c r="C174" s="13" t="e">
        <f>VLOOKUP($B174,#REF!,C$1,FALSE)</f>
        <v>#REF!</v>
      </c>
      <c r="D174" s="25" t="e">
        <f>VLOOKUP($B174,#REF!,D$1,FALSE)</f>
        <v>#REF!</v>
      </c>
      <c r="E174" s="13" t="e">
        <f>VLOOKUP($B174,#REF!,E$1,FALSE)</f>
        <v>#REF!</v>
      </c>
      <c r="F174" s="25" t="e">
        <f>VLOOKUP($B174,#REF!,F$1,FALSE)</f>
        <v>#REF!</v>
      </c>
      <c r="G174" s="14" t="e">
        <f>IF(VLOOKUP($B174,#REF!,G$1,FALSE)=0,0.0001,VLOOKUP($B174,#REF!,G$1,FALSE))</f>
        <v>#REF!</v>
      </c>
      <c r="H174" s="23">
        <v>0</v>
      </c>
      <c r="I174" s="24">
        <v>999999999</v>
      </c>
      <c r="M174" s="388"/>
      <c r="N174" s="385"/>
      <c r="O174" s="389"/>
      <c r="P174" s="389"/>
      <c r="Q174" s="390"/>
      <c r="R174" s="387"/>
      <c r="S174" s="15">
        <f t="shared" si="19"/>
        <v>0</v>
      </c>
      <c r="T174" s="4" t="e">
        <f>VLOOKUP(B174,#REF!,7,FALSE)</f>
        <v>#REF!</v>
      </c>
    </row>
    <row r="175" spans="1:20" x14ac:dyDescent="0.3">
      <c r="A175" s="13"/>
      <c r="B175" s="13">
        <v>143</v>
      </c>
      <c r="C175" s="13" t="e">
        <f>VLOOKUP($B175,#REF!,C$1,FALSE)</f>
        <v>#REF!</v>
      </c>
      <c r="D175" s="25" t="e">
        <f>VLOOKUP($B175,#REF!,D$1,FALSE)</f>
        <v>#REF!</v>
      </c>
      <c r="E175" s="13" t="e">
        <f>VLOOKUP($B175,#REF!,E$1,FALSE)</f>
        <v>#REF!</v>
      </c>
      <c r="F175" s="25" t="e">
        <f>VLOOKUP($B175,#REF!,F$1,FALSE)</f>
        <v>#REF!</v>
      </c>
      <c r="G175" s="14" t="e">
        <f>IF(VLOOKUP($B175,#REF!,G$1,FALSE)=0,0.0001,VLOOKUP($B175,#REF!,G$1,FALSE))</f>
        <v>#REF!</v>
      </c>
      <c r="H175" s="23">
        <v>221.60902999999999</v>
      </c>
      <c r="I175" s="24">
        <v>999999999</v>
      </c>
      <c r="M175" s="388"/>
      <c r="N175" s="385"/>
      <c r="O175" s="389"/>
      <c r="P175" s="389"/>
      <c r="Q175" s="390"/>
      <c r="R175" s="387"/>
      <c r="S175" s="15" t="str">
        <f t="shared" si="19"/>
        <v>b</v>
      </c>
      <c r="T175" s="4" t="e">
        <f>VLOOKUP(B175,#REF!,7,FALSE)</f>
        <v>#REF!</v>
      </c>
    </row>
    <row r="176" spans="1:20" x14ac:dyDescent="0.3">
      <c r="A176" s="13"/>
      <c r="B176" s="13">
        <v>144</v>
      </c>
      <c r="C176" s="13" t="e">
        <f>VLOOKUP($B176,#REF!,C$1,FALSE)</f>
        <v>#REF!</v>
      </c>
      <c r="D176" s="25" t="e">
        <f>VLOOKUP($B176,#REF!,D$1,FALSE)</f>
        <v>#REF!</v>
      </c>
      <c r="E176" s="13" t="e">
        <f>VLOOKUP($B176,#REF!,E$1,FALSE)</f>
        <v>#REF!</v>
      </c>
      <c r="F176" s="25" t="e">
        <f>VLOOKUP($B176,#REF!,F$1,FALSE)</f>
        <v>#REF!</v>
      </c>
      <c r="G176" s="14" t="e">
        <f>IF(VLOOKUP($B176,#REF!,G$1,FALSE)=0,0.0001,VLOOKUP($B176,#REF!,G$1,FALSE))</f>
        <v>#REF!</v>
      </c>
      <c r="H176" s="23">
        <v>0</v>
      </c>
      <c r="I176" s="24">
        <v>999999999</v>
      </c>
      <c r="M176" s="388"/>
      <c r="N176" s="385"/>
      <c r="O176" s="389"/>
      <c r="P176" s="389"/>
      <c r="Q176" s="390"/>
      <c r="R176" s="387"/>
      <c r="S176" s="15">
        <f t="shared" si="19"/>
        <v>0</v>
      </c>
      <c r="T176" s="4" t="e">
        <f>VLOOKUP(B176,#REF!,7,FALSE)</f>
        <v>#REF!</v>
      </c>
    </row>
    <row r="177" spans="1:20" x14ac:dyDescent="0.3">
      <c r="A177" s="13"/>
      <c r="B177" s="13">
        <v>145</v>
      </c>
      <c r="C177" s="13" t="e">
        <f>VLOOKUP($B177,#REF!,C$1,FALSE)</f>
        <v>#REF!</v>
      </c>
      <c r="D177" s="25" t="e">
        <f>VLOOKUP($B177,#REF!,D$1,FALSE)</f>
        <v>#REF!</v>
      </c>
      <c r="E177" s="13" t="e">
        <f>VLOOKUP($B177,#REF!,E$1,FALSE)</f>
        <v>#REF!</v>
      </c>
      <c r="F177" s="25" t="e">
        <f>VLOOKUP($B177,#REF!,F$1,FALSE)</f>
        <v>#REF!</v>
      </c>
      <c r="G177" s="14" t="e">
        <f>IF(VLOOKUP($B177,#REF!,G$1,FALSE)=0,0.0001,VLOOKUP($B177,#REF!,G$1,FALSE))</f>
        <v>#REF!</v>
      </c>
      <c r="H177" s="23">
        <v>0</v>
      </c>
      <c r="I177" s="24">
        <v>999999999</v>
      </c>
      <c r="M177" s="388"/>
      <c r="N177" s="385"/>
      <c r="O177" s="389"/>
      <c r="P177" s="389"/>
      <c r="Q177" s="390"/>
      <c r="R177" s="387"/>
      <c r="S177" s="15">
        <f t="shared" si="19"/>
        <v>0</v>
      </c>
      <c r="T177" s="4" t="e">
        <f>VLOOKUP(B177,#REF!,7,FALSE)</f>
        <v>#REF!</v>
      </c>
    </row>
    <row r="178" spans="1:20" x14ac:dyDescent="0.3">
      <c r="A178" s="13"/>
      <c r="B178" s="13">
        <v>149</v>
      </c>
      <c r="C178" s="13" t="e">
        <f>VLOOKUP($B178,#REF!,C$1,FALSE)</f>
        <v>#REF!</v>
      </c>
      <c r="D178" s="25" t="e">
        <f>VLOOKUP($B178,#REF!,D$1,FALSE)</f>
        <v>#REF!</v>
      </c>
      <c r="E178" s="13" t="e">
        <f>VLOOKUP($B178,#REF!,E$1,FALSE)</f>
        <v>#REF!</v>
      </c>
      <c r="F178" s="25" t="e">
        <f>VLOOKUP($B178,#REF!,F$1,FALSE)</f>
        <v>#REF!</v>
      </c>
      <c r="G178" s="14" t="e">
        <f>IF(VLOOKUP($B178,#REF!,G$1,FALSE)=0,0.0001,VLOOKUP($B178,#REF!,G$1,FALSE))</f>
        <v>#REF!</v>
      </c>
      <c r="H178" s="23">
        <v>0</v>
      </c>
      <c r="I178" s="24">
        <v>999999999</v>
      </c>
      <c r="K178" s="24">
        <v>999999999</v>
      </c>
      <c r="L178" s="24"/>
      <c r="M178" s="24">
        <v>999999999</v>
      </c>
      <c r="N178" s="24">
        <v>999999999</v>
      </c>
      <c r="O178" s="37" t="e">
        <f>D178</f>
        <v>#REF!</v>
      </c>
      <c r="P178" s="37" t="e">
        <f>F178</f>
        <v>#REF!</v>
      </c>
      <c r="Q178" s="14" t="e">
        <f>G178</f>
        <v>#REF!</v>
      </c>
      <c r="R178" s="14" t="s">
        <v>196</v>
      </c>
      <c r="S178" s="15">
        <f>IF((H178&gt;0),IF((H178-K178)=0,"a",IF(H178/K178&lt;0.5,"b","c")),)</f>
        <v>0</v>
      </c>
      <c r="T178" s="4" t="e">
        <f>VLOOKUP(B178,#REF!,7,FALSE)</f>
        <v>#REF!</v>
      </c>
    </row>
    <row r="179" spans="1:20" x14ac:dyDescent="0.3">
      <c r="A179" s="13"/>
      <c r="B179" s="13">
        <v>155</v>
      </c>
      <c r="C179" s="13" t="e">
        <f>VLOOKUP($B179,#REF!,C$1,FALSE)</f>
        <v>#REF!</v>
      </c>
      <c r="D179" s="25" t="e">
        <f>VLOOKUP($B179,#REF!,D$1,FALSE)</f>
        <v>#REF!</v>
      </c>
      <c r="E179" s="13" t="e">
        <f>VLOOKUP($B179,#REF!,E$1,FALSE)</f>
        <v>#REF!</v>
      </c>
      <c r="F179" s="25" t="e">
        <f>VLOOKUP($B179,#REF!,F$1,FALSE)</f>
        <v>#REF!</v>
      </c>
      <c r="G179" s="14" t="e">
        <f>IF(VLOOKUP($B179,#REF!,G$1,FALSE)=0,0.0001,VLOOKUP($B179,#REF!,G$1,FALSE))</f>
        <v>#REF!</v>
      </c>
      <c r="H179" s="23">
        <v>0</v>
      </c>
      <c r="I179" s="24">
        <v>999999999</v>
      </c>
      <c r="K179" s="24">
        <v>999999999</v>
      </c>
      <c r="L179" s="24"/>
      <c r="M179" s="26">
        <v>999999999</v>
      </c>
      <c r="N179" s="26">
        <v>999999999</v>
      </c>
      <c r="O179" s="9" t="e">
        <f>D179</f>
        <v>#REF!</v>
      </c>
      <c r="P179" s="9" t="e">
        <f>F179</f>
        <v>#REF!</v>
      </c>
      <c r="Q179" s="36" t="e">
        <f>SUM(G179:G183)</f>
        <v>#REF!</v>
      </c>
      <c r="R179" s="35" t="s">
        <v>211</v>
      </c>
      <c r="S179" s="15">
        <f t="shared" ref="S179:S185" si="20">IF((H179&gt;0),IF((H179-I179)=0,"a",IF(H179/I179&lt;0.5,"b","c")),)</f>
        <v>0</v>
      </c>
      <c r="T179" s="4" t="e">
        <f>VLOOKUP(B179,#REF!,7,FALSE)</f>
        <v>#REF!</v>
      </c>
    </row>
    <row r="180" spans="1:20" x14ac:dyDescent="0.3">
      <c r="A180" s="13"/>
      <c r="B180" s="13">
        <v>156</v>
      </c>
      <c r="C180" s="13" t="e">
        <f>VLOOKUP($B180,#REF!,C$1,FALSE)</f>
        <v>#REF!</v>
      </c>
      <c r="D180" s="25" t="e">
        <f>VLOOKUP($B180,#REF!,D$1,FALSE)</f>
        <v>#REF!</v>
      </c>
      <c r="E180" s="13" t="e">
        <f>VLOOKUP($B180,#REF!,E$1,FALSE)</f>
        <v>#REF!</v>
      </c>
      <c r="F180" s="25" t="e">
        <f>VLOOKUP($B180,#REF!,F$1,FALSE)</f>
        <v>#REF!</v>
      </c>
      <c r="G180" s="14" t="e">
        <f>IF(VLOOKUP($B180,#REF!,G$1,FALSE)=0,0.0001,VLOOKUP($B180,#REF!,G$1,FALSE))</f>
        <v>#REF!</v>
      </c>
      <c r="H180" s="23">
        <v>891.43173000000002</v>
      </c>
      <c r="I180" s="24">
        <v>999999999</v>
      </c>
      <c r="M180" s="26">
        <v>999999999</v>
      </c>
      <c r="O180" s="9" t="e">
        <f>D180</f>
        <v>#REF!</v>
      </c>
      <c r="P180" s="9" t="e">
        <f>F180</f>
        <v>#REF!</v>
      </c>
      <c r="Q180" s="36" t="e">
        <f>G180</f>
        <v>#REF!</v>
      </c>
      <c r="R180" s="35" t="s">
        <v>211</v>
      </c>
      <c r="S180" s="15" t="str">
        <f t="shared" si="20"/>
        <v>b</v>
      </c>
      <c r="T180" s="4" t="e">
        <f>VLOOKUP(B180,#REF!,7,FALSE)</f>
        <v>#REF!</v>
      </c>
    </row>
    <row r="181" spans="1:20" x14ac:dyDescent="0.3">
      <c r="A181" s="13"/>
      <c r="B181" s="13">
        <v>157</v>
      </c>
      <c r="C181" s="13" t="e">
        <f>VLOOKUP($B181,#REF!,C$1,FALSE)</f>
        <v>#REF!</v>
      </c>
      <c r="D181" s="25" t="e">
        <f>VLOOKUP($B181,#REF!,D$1,FALSE)</f>
        <v>#REF!</v>
      </c>
      <c r="E181" s="13" t="e">
        <f>VLOOKUP($B181,#REF!,E$1,FALSE)</f>
        <v>#REF!</v>
      </c>
      <c r="F181" s="25" t="e">
        <f>VLOOKUP($B181,#REF!,F$1,FALSE)</f>
        <v>#REF!</v>
      </c>
      <c r="G181" s="14" t="e">
        <f>IF(VLOOKUP($B181,#REF!,G$1,FALSE)=0,0.0001,VLOOKUP($B181,#REF!,G$1,FALSE))</f>
        <v>#REF!</v>
      </c>
      <c r="H181" s="23">
        <v>1657.3178</v>
      </c>
      <c r="I181" s="24">
        <v>999999999</v>
      </c>
      <c r="M181" s="26">
        <v>999999999</v>
      </c>
      <c r="O181" s="9" t="e">
        <f>D181</f>
        <v>#REF!</v>
      </c>
      <c r="P181" s="9" t="e">
        <f>F181</f>
        <v>#REF!</v>
      </c>
      <c r="Q181" s="36" t="e">
        <f>G181</f>
        <v>#REF!</v>
      </c>
      <c r="R181" s="35" t="s">
        <v>211</v>
      </c>
      <c r="S181" s="15" t="str">
        <f t="shared" si="20"/>
        <v>b</v>
      </c>
      <c r="T181" s="4" t="e">
        <f>VLOOKUP(B181,#REF!,7,FALSE)</f>
        <v>#REF!</v>
      </c>
    </row>
    <row r="182" spans="1:20" x14ac:dyDescent="0.3">
      <c r="A182" s="13"/>
      <c r="B182" s="13">
        <v>158</v>
      </c>
      <c r="C182" s="13" t="e">
        <f>VLOOKUP($B182,#REF!,C$1,FALSE)</f>
        <v>#REF!</v>
      </c>
      <c r="D182" s="25" t="e">
        <f>VLOOKUP($B182,#REF!,D$1,FALSE)</f>
        <v>#REF!</v>
      </c>
      <c r="E182" s="13" t="e">
        <f>VLOOKUP($B182,#REF!,E$1,FALSE)</f>
        <v>#REF!</v>
      </c>
      <c r="F182" s="25" t="e">
        <f>VLOOKUP($B182,#REF!,F$1,FALSE)</f>
        <v>#REF!</v>
      </c>
      <c r="G182" s="14" t="e">
        <f>IF(VLOOKUP($B182,#REF!,G$1,FALSE)=0,0.0001,VLOOKUP($B182,#REF!,G$1,FALSE))</f>
        <v>#REF!</v>
      </c>
      <c r="H182" s="23">
        <v>0</v>
      </c>
      <c r="I182" s="24">
        <v>999999999</v>
      </c>
      <c r="M182" s="386">
        <v>999999999</v>
      </c>
      <c r="N182" s="385"/>
      <c r="O182" s="389" t="e">
        <f>D182</f>
        <v>#REF!</v>
      </c>
      <c r="P182" s="389" t="e">
        <f>F183</f>
        <v>#REF!</v>
      </c>
      <c r="Q182" s="390" t="e">
        <f>SUM(G182:G183)</f>
        <v>#REF!</v>
      </c>
      <c r="R182" s="387" t="s">
        <v>211</v>
      </c>
      <c r="S182" s="15">
        <f t="shared" si="20"/>
        <v>0</v>
      </c>
      <c r="T182" s="4" t="e">
        <f>VLOOKUP(B182,#REF!,7,FALSE)</f>
        <v>#REF!</v>
      </c>
    </row>
    <row r="183" spans="1:20" x14ac:dyDescent="0.3">
      <c r="A183" s="13"/>
      <c r="B183" s="13">
        <v>159</v>
      </c>
      <c r="C183" s="13" t="e">
        <f>VLOOKUP($B183,#REF!,C$1,FALSE)</f>
        <v>#REF!</v>
      </c>
      <c r="D183" s="25" t="e">
        <f>VLOOKUP($B183,#REF!,D$1,FALSE)</f>
        <v>#REF!</v>
      </c>
      <c r="E183" s="13" t="e">
        <f>VLOOKUP($B183,#REF!,E$1,FALSE)</f>
        <v>#REF!</v>
      </c>
      <c r="F183" s="25" t="e">
        <f>VLOOKUP($B183,#REF!,F$1,FALSE)</f>
        <v>#REF!</v>
      </c>
      <c r="G183" s="14" t="e">
        <f>IF(VLOOKUP($B183,#REF!,G$1,FALSE)=0,0.0001,VLOOKUP($B183,#REF!,G$1,FALSE))</f>
        <v>#REF!</v>
      </c>
      <c r="H183" s="23">
        <v>435.17462999999998</v>
      </c>
      <c r="I183" s="24">
        <v>999999999</v>
      </c>
      <c r="M183" s="386"/>
      <c r="N183" s="385"/>
      <c r="O183" s="389"/>
      <c r="P183" s="389"/>
      <c r="Q183" s="390"/>
      <c r="R183" s="387"/>
      <c r="S183" s="15" t="str">
        <f t="shared" si="20"/>
        <v>b</v>
      </c>
      <c r="T183" s="4" t="e">
        <f>VLOOKUP(B183,#REF!,7,FALSE)</f>
        <v>#REF!</v>
      </c>
    </row>
    <row r="184" spans="1:20" x14ac:dyDescent="0.3">
      <c r="A184" s="13"/>
      <c r="B184" s="13">
        <v>160</v>
      </c>
      <c r="C184" s="13" t="e">
        <f>VLOOKUP($B184,#REF!,C$1,FALSE)</f>
        <v>#REF!</v>
      </c>
      <c r="D184" s="25" t="e">
        <f>VLOOKUP($B184,#REF!,D$1,FALSE)</f>
        <v>#REF!</v>
      </c>
      <c r="E184" s="13" t="e">
        <f>VLOOKUP($B184,#REF!,E$1,FALSE)</f>
        <v>#REF!</v>
      </c>
      <c r="F184" s="25" t="e">
        <f>VLOOKUP($B184,#REF!,F$1,FALSE)</f>
        <v>#REF!</v>
      </c>
      <c r="G184" s="14" t="e">
        <f>IF(VLOOKUP($B184,#REF!,G$1,FALSE)=0,0.0001,VLOOKUP($B184,#REF!,G$1,FALSE))</f>
        <v>#REF!</v>
      </c>
      <c r="H184" s="23">
        <v>229.99340000000001</v>
      </c>
      <c r="I184" s="24">
        <v>999999999</v>
      </c>
      <c r="K184" s="24">
        <v>999999999</v>
      </c>
      <c r="L184" s="24"/>
      <c r="M184" s="24">
        <v>999999999</v>
      </c>
      <c r="N184" s="24">
        <v>999999999</v>
      </c>
      <c r="O184" s="37" t="e">
        <f>D184</f>
        <v>#REF!</v>
      </c>
      <c r="P184" s="37" t="e">
        <f>F184</f>
        <v>#REF!</v>
      </c>
      <c r="Q184" s="14" t="e">
        <f>G184</f>
        <v>#REF!</v>
      </c>
      <c r="R184" s="14" t="s">
        <v>196</v>
      </c>
      <c r="S184" s="15" t="str">
        <f t="shared" si="20"/>
        <v>b</v>
      </c>
      <c r="T184" s="4" t="e">
        <f>VLOOKUP(B184,#REF!,7,FALSE)</f>
        <v>#REF!</v>
      </c>
    </row>
    <row r="185" spans="1:20" x14ac:dyDescent="0.3">
      <c r="A185" s="13"/>
      <c r="B185" s="13">
        <v>161</v>
      </c>
      <c r="C185" s="13" t="e">
        <f>VLOOKUP($B185,#REF!,E$1,FALSE)</f>
        <v>#REF!</v>
      </c>
      <c r="D185" s="25" t="e">
        <f>VLOOKUP($B185,#REF!,F$1,FALSE)</f>
        <v>#REF!</v>
      </c>
      <c r="E185" s="13" t="e">
        <f>VLOOKUP($B185,#REF!,C$1,FALSE)</f>
        <v>#REF!</v>
      </c>
      <c r="F185" s="25" t="e">
        <f>VLOOKUP($B185,#REF!,D$1,FALSE)</f>
        <v>#REF!</v>
      </c>
      <c r="G185" s="14" t="e">
        <f>IF(VLOOKUP($B185,#REF!,G$1,FALSE)=0,0.0001,VLOOKUP($B185,#REF!,G$1,FALSE))</f>
        <v>#REF!</v>
      </c>
      <c r="H185" s="23">
        <v>8256.9714000000004</v>
      </c>
      <c r="I185" s="24">
        <v>999999999</v>
      </c>
      <c r="K185" s="24">
        <v>999999999</v>
      </c>
      <c r="L185" s="24"/>
      <c r="M185" s="24">
        <v>999999999</v>
      </c>
      <c r="N185" s="24">
        <v>999999999</v>
      </c>
      <c r="O185" s="37" t="e">
        <f>D185</f>
        <v>#REF!</v>
      </c>
      <c r="P185" s="37" t="e">
        <f>F185</f>
        <v>#REF!</v>
      </c>
      <c r="Q185" s="14" t="e">
        <f>G185</f>
        <v>#REF!</v>
      </c>
      <c r="R185" s="14"/>
      <c r="S185" s="15" t="str">
        <f t="shared" si="20"/>
        <v>b</v>
      </c>
      <c r="T185" s="4" t="e">
        <f>VLOOKUP(B185,#REF!,7,FALSE)</f>
        <v>#REF!</v>
      </c>
    </row>
    <row r="186" spans="1:20" x14ac:dyDescent="0.3">
      <c r="A186" s="13"/>
      <c r="O186" s="37"/>
      <c r="P186" s="37"/>
      <c r="Q186" s="14"/>
    </row>
    <row r="187" spans="1:20" x14ac:dyDescent="0.3">
      <c r="A187" s="13"/>
      <c r="B187" s="13">
        <v>162</v>
      </c>
      <c r="C187" s="13" t="e">
        <f>VLOOKUP($B187,#REF!,C$1,FALSE)</f>
        <v>#REF!</v>
      </c>
      <c r="D187" s="25" t="e">
        <f>VLOOKUP($B187,#REF!,D$1,FALSE)</f>
        <v>#REF!</v>
      </c>
      <c r="E187" s="13" t="e">
        <f>VLOOKUP($B187,#REF!,E$1,FALSE)</f>
        <v>#REF!</v>
      </c>
      <c r="F187" s="25" t="e">
        <f>VLOOKUP($B187,#REF!,F$1,FALSE)</f>
        <v>#REF!</v>
      </c>
      <c r="G187" s="14" t="e">
        <f>IF(VLOOKUP($B187,#REF!,G$1,FALSE)=0,0.0001,VLOOKUP($B187,#REF!,G$1,FALSE))</f>
        <v>#REF!</v>
      </c>
      <c r="H187" s="23">
        <v>727.60569999999996</v>
      </c>
      <c r="I187" s="24">
        <v>999999999</v>
      </c>
      <c r="K187" s="4"/>
      <c r="L187" s="4"/>
      <c r="M187" s="388">
        <v>999999999</v>
      </c>
      <c r="N187" s="390"/>
      <c r="O187" s="393" t="e">
        <f>D187</f>
        <v>#REF!</v>
      </c>
      <c r="P187" s="393" t="e">
        <f>F188</f>
        <v>#REF!</v>
      </c>
      <c r="Q187" s="390" t="e">
        <f>G188</f>
        <v>#REF!</v>
      </c>
      <c r="R187" s="387" t="s">
        <v>212</v>
      </c>
      <c r="S187" s="15" t="str">
        <f t="shared" ref="S187:S210" si="21">IF((H187&gt;0),IF((H187-I187)=0,"a",IF(H187/I187&lt;0.5,"b","c")),)</f>
        <v>b</v>
      </c>
      <c r="T187" s="4" t="e">
        <f>VLOOKUP(B187,#REF!,7,FALSE)</f>
        <v>#REF!</v>
      </c>
    </row>
    <row r="188" spans="1:20" x14ac:dyDescent="0.3">
      <c r="B188" s="13">
        <v>163</v>
      </c>
      <c r="C188" s="13" t="e">
        <f>VLOOKUP($B188,#REF!,C$1,FALSE)</f>
        <v>#REF!</v>
      </c>
      <c r="D188" s="25" t="e">
        <f>VLOOKUP($B188,#REF!,D$1,FALSE)</f>
        <v>#REF!</v>
      </c>
      <c r="E188" s="13" t="e">
        <f>VLOOKUP($B188,#REF!,E$1,FALSE)</f>
        <v>#REF!</v>
      </c>
      <c r="F188" s="25" t="e">
        <f>VLOOKUP($B188,#REF!,F$1,FALSE)</f>
        <v>#REF!</v>
      </c>
      <c r="G188" s="14" t="e">
        <f>IF(VLOOKUP($B188,#REF!,G$1,FALSE)=0,0.0001,VLOOKUP($B188,#REF!,G$1,FALSE))</f>
        <v>#REF!</v>
      </c>
      <c r="H188" s="23">
        <v>0</v>
      </c>
      <c r="I188" s="24">
        <v>999999999</v>
      </c>
      <c r="M188" s="388"/>
      <c r="N188" s="390"/>
      <c r="O188" s="393"/>
      <c r="P188" s="393"/>
      <c r="Q188" s="390"/>
      <c r="R188" s="387"/>
      <c r="S188" s="15">
        <f t="shared" si="21"/>
        <v>0</v>
      </c>
      <c r="T188" s="4" t="e">
        <f>VLOOKUP(B188,#REF!,7,FALSE)</f>
        <v>#REF!</v>
      </c>
    </row>
    <row r="189" spans="1:20" x14ac:dyDescent="0.3">
      <c r="A189" s="13"/>
      <c r="B189" s="13">
        <v>164</v>
      </c>
      <c r="C189" s="13" t="e">
        <f>VLOOKUP($B189,#REF!,E$1,FALSE)</f>
        <v>#REF!</v>
      </c>
      <c r="D189" s="25" t="e">
        <f>VLOOKUP($B189,#REF!,F$1,FALSE)</f>
        <v>#REF!</v>
      </c>
      <c r="E189" s="13" t="e">
        <f>VLOOKUP($B189,#REF!,C$1,FALSE)</f>
        <v>#REF!</v>
      </c>
      <c r="F189" s="25" t="e">
        <f>VLOOKUP($B189,#REF!,D$1,FALSE)</f>
        <v>#REF!</v>
      </c>
      <c r="G189" s="14" t="e">
        <f>IF(VLOOKUP($B189,#REF!,G$1,FALSE)=0,0.0001,VLOOKUP($B189,#REF!,G$1,FALSE))</f>
        <v>#REF!</v>
      </c>
      <c r="H189" s="23">
        <v>8211.2047000000002</v>
      </c>
      <c r="I189" s="24">
        <v>999999999</v>
      </c>
      <c r="K189" s="24">
        <v>999999999</v>
      </c>
      <c r="L189" s="24"/>
      <c r="M189" s="386">
        <v>999999999</v>
      </c>
      <c r="N189" s="386">
        <v>999999999</v>
      </c>
      <c r="O189" s="389" t="e">
        <f>D189</f>
        <v>#REF!</v>
      </c>
      <c r="P189" s="389" t="e">
        <f>F191</f>
        <v>#REF!</v>
      </c>
      <c r="Q189" s="390" t="e">
        <f>SUM(G189:G191)</f>
        <v>#REF!</v>
      </c>
      <c r="R189" s="387" t="s">
        <v>212</v>
      </c>
      <c r="S189" s="15" t="str">
        <f t="shared" si="21"/>
        <v>b</v>
      </c>
      <c r="T189" s="4" t="e">
        <f>VLOOKUP(B189,#REF!,7,FALSE)</f>
        <v>#REF!</v>
      </c>
    </row>
    <row r="190" spans="1:20" x14ac:dyDescent="0.3">
      <c r="A190" s="13"/>
      <c r="B190" s="13">
        <v>165</v>
      </c>
      <c r="C190" s="13" t="e">
        <f>VLOOKUP($B190,#REF!,E$1,FALSE)</f>
        <v>#REF!</v>
      </c>
      <c r="D190" s="25" t="e">
        <f>VLOOKUP($B190,#REF!,F$1,FALSE)</f>
        <v>#REF!</v>
      </c>
      <c r="E190" s="13" t="e">
        <f>VLOOKUP($B190,#REF!,C$1,FALSE)</f>
        <v>#REF!</v>
      </c>
      <c r="F190" s="25" t="e">
        <f>VLOOKUP($B190,#REF!,D$1,FALSE)</f>
        <v>#REF!</v>
      </c>
      <c r="G190" s="14" t="e">
        <f>IF(VLOOKUP($B190,#REF!,G$1,FALSE)=0,0.0001,VLOOKUP($B190,#REF!,G$1,FALSE))</f>
        <v>#REF!</v>
      </c>
      <c r="H190" s="23">
        <v>8211.2047000000002</v>
      </c>
      <c r="I190" s="24">
        <v>999999999</v>
      </c>
      <c r="K190" s="24">
        <v>999999999</v>
      </c>
      <c r="L190" s="24"/>
      <c r="M190" s="386"/>
      <c r="N190" s="386"/>
      <c r="O190" s="389"/>
      <c r="P190" s="389"/>
      <c r="Q190" s="390"/>
      <c r="R190" s="387"/>
      <c r="S190" s="15" t="str">
        <f t="shared" si="21"/>
        <v>b</v>
      </c>
      <c r="T190" s="4" t="e">
        <f>VLOOKUP(B190,#REF!,7,FALSE)</f>
        <v>#REF!</v>
      </c>
    </row>
    <row r="191" spans="1:20" x14ac:dyDescent="0.3">
      <c r="A191" s="13"/>
      <c r="B191" s="13">
        <v>166</v>
      </c>
      <c r="C191" s="13" t="e">
        <f>VLOOKUP($B191,#REF!,E$1,FALSE)</f>
        <v>#REF!</v>
      </c>
      <c r="D191" s="25" t="e">
        <f>VLOOKUP($B191,#REF!,F$1,FALSE)</f>
        <v>#REF!</v>
      </c>
      <c r="E191" s="13" t="e">
        <f>VLOOKUP($B191,#REF!,C$1,FALSE)</f>
        <v>#REF!</v>
      </c>
      <c r="F191" s="25" t="e">
        <f>VLOOKUP($B191,#REF!,D$1,FALSE)</f>
        <v>#REF!</v>
      </c>
      <c r="G191" s="14" t="e">
        <f>IF(VLOOKUP($B191,#REF!,G$1,FALSE)=0,0.0001,VLOOKUP($B191,#REF!,G$1,FALSE))</f>
        <v>#REF!</v>
      </c>
      <c r="H191" s="23">
        <v>8201.2649000000001</v>
      </c>
      <c r="I191" s="24">
        <v>999999999</v>
      </c>
      <c r="K191" s="24">
        <v>999999999</v>
      </c>
      <c r="L191" s="24"/>
      <c r="M191" s="386"/>
      <c r="N191" s="386"/>
      <c r="O191" s="389"/>
      <c r="P191" s="389"/>
      <c r="Q191" s="390"/>
      <c r="R191" s="387"/>
      <c r="S191" s="15" t="str">
        <f t="shared" si="21"/>
        <v>b</v>
      </c>
      <c r="T191" s="4" t="e">
        <f>VLOOKUP(B191,#REF!,7,FALSE)</f>
        <v>#REF!</v>
      </c>
    </row>
    <row r="192" spans="1:20" x14ac:dyDescent="0.3">
      <c r="B192" s="13">
        <v>167</v>
      </c>
      <c r="C192" s="13" t="e">
        <f>VLOOKUP($B192,#REF!,E$1,FALSE)</f>
        <v>#REF!</v>
      </c>
      <c r="D192" s="25" t="e">
        <f>VLOOKUP($B192,#REF!,F$1,FALSE)</f>
        <v>#REF!</v>
      </c>
      <c r="E192" s="13" t="e">
        <f>VLOOKUP($B192,#REF!,C$1,FALSE)</f>
        <v>#REF!</v>
      </c>
      <c r="F192" s="25" t="e">
        <f>VLOOKUP($B192,#REF!,D$1,FALSE)</f>
        <v>#REF!</v>
      </c>
      <c r="G192" s="14" t="e">
        <f>IF(VLOOKUP($B192,#REF!,G$1,FALSE)=0,0.0001,VLOOKUP($B192,#REF!,G$1,FALSE))</f>
        <v>#REF!</v>
      </c>
      <c r="H192" s="23">
        <v>8201.2317000000003</v>
      </c>
      <c r="I192" s="24">
        <v>999999999</v>
      </c>
      <c r="K192" s="24">
        <v>999999999</v>
      </c>
      <c r="L192" s="24"/>
      <c r="M192" s="386">
        <v>999999999</v>
      </c>
      <c r="N192" s="386">
        <v>999999999</v>
      </c>
      <c r="O192" s="389" t="e">
        <f>D192</f>
        <v>#REF!</v>
      </c>
      <c r="P192" s="389" t="e">
        <f>F194</f>
        <v>#REF!</v>
      </c>
      <c r="Q192" s="390" t="e">
        <f>SUM(G192:G194)</f>
        <v>#REF!</v>
      </c>
      <c r="R192" s="387" t="s">
        <v>105</v>
      </c>
      <c r="S192" s="15" t="str">
        <f t="shared" si="21"/>
        <v>b</v>
      </c>
      <c r="T192" s="4" t="e">
        <f>VLOOKUP(B192,#REF!,7,FALSE)</f>
        <v>#REF!</v>
      </c>
    </row>
    <row r="193" spans="2:20" x14ac:dyDescent="0.3">
      <c r="B193" s="13">
        <v>168</v>
      </c>
      <c r="C193" s="13" t="e">
        <f>VLOOKUP($B193,#REF!,E$1,FALSE)</f>
        <v>#REF!</v>
      </c>
      <c r="D193" s="25" t="e">
        <f>VLOOKUP($B193,#REF!,F$1,FALSE)</f>
        <v>#REF!</v>
      </c>
      <c r="E193" s="13" t="e">
        <f>VLOOKUP($B193,#REF!,C$1,FALSE)</f>
        <v>#REF!</v>
      </c>
      <c r="F193" s="25" t="e">
        <f>VLOOKUP($B193,#REF!,D$1,FALSE)</f>
        <v>#REF!</v>
      </c>
      <c r="G193" s="14" t="e">
        <f>IF(VLOOKUP($B193,#REF!,G$1,FALSE)=0,0.0001,VLOOKUP($B193,#REF!,G$1,FALSE))</f>
        <v>#REF!</v>
      </c>
      <c r="H193" s="23">
        <v>8126.8140000000003</v>
      </c>
      <c r="I193" s="24">
        <v>999999999</v>
      </c>
      <c r="K193" s="24">
        <v>999999999</v>
      </c>
      <c r="L193" s="24"/>
      <c r="M193" s="386"/>
      <c r="N193" s="386"/>
      <c r="O193" s="389"/>
      <c r="P193" s="389"/>
      <c r="Q193" s="390"/>
      <c r="R193" s="387"/>
      <c r="S193" s="15" t="str">
        <f t="shared" si="21"/>
        <v>b</v>
      </c>
      <c r="T193" s="4" t="e">
        <f>VLOOKUP(B193,#REF!,7,FALSE)</f>
        <v>#REF!</v>
      </c>
    </row>
    <row r="194" spans="2:20" x14ac:dyDescent="0.3">
      <c r="B194" s="13">
        <v>169</v>
      </c>
      <c r="C194" s="13" t="e">
        <f>VLOOKUP($B194,#REF!,E$1,FALSE)</f>
        <v>#REF!</v>
      </c>
      <c r="D194" s="25" t="e">
        <f>VLOOKUP($B194,#REF!,F$1,FALSE)</f>
        <v>#REF!</v>
      </c>
      <c r="E194" s="13" t="e">
        <f>VLOOKUP($B194,#REF!,C$1,FALSE)</f>
        <v>#REF!</v>
      </c>
      <c r="F194" s="25" t="e">
        <f>VLOOKUP($B194,#REF!,D$1,FALSE)</f>
        <v>#REF!</v>
      </c>
      <c r="G194" s="14" t="e">
        <f>IF(VLOOKUP($B194,#REF!,G$1,FALSE)=0,0.0001,VLOOKUP($B194,#REF!,G$1,FALSE))</f>
        <v>#REF!</v>
      </c>
      <c r="H194" s="23">
        <v>8104.7025000000003</v>
      </c>
      <c r="I194" s="24">
        <v>999999999</v>
      </c>
      <c r="K194" s="24">
        <v>999999999</v>
      </c>
      <c r="L194" s="24"/>
      <c r="M194" s="386"/>
      <c r="N194" s="386"/>
      <c r="O194" s="389"/>
      <c r="P194" s="389"/>
      <c r="Q194" s="390"/>
      <c r="R194" s="387"/>
      <c r="S194" s="15" t="str">
        <f t="shared" si="21"/>
        <v>b</v>
      </c>
      <c r="T194" s="4" t="e">
        <f>VLOOKUP(B194,#REF!,7,FALSE)</f>
        <v>#REF!</v>
      </c>
    </row>
    <row r="195" spans="2:20" x14ac:dyDescent="0.3">
      <c r="B195" s="13">
        <v>170</v>
      </c>
      <c r="C195" s="13" t="e">
        <f>VLOOKUP($B195,#REF!,C$1,FALSE)</f>
        <v>#REF!</v>
      </c>
      <c r="D195" s="25" t="e">
        <f>VLOOKUP($B195,#REF!,D$1,FALSE)</f>
        <v>#REF!</v>
      </c>
      <c r="E195" s="13" t="e">
        <f>VLOOKUP($B195,#REF!,E$1,FALSE)</f>
        <v>#REF!</v>
      </c>
      <c r="F195" s="25" t="e">
        <f>VLOOKUP($B195,#REF!,F$1,FALSE)</f>
        <v>#REF!</v>
      </c>
      <c r="G195" s="14" t="e">
        <f>IF(VLOOKUP($B195,#REF!,G$1,FALSE)=0,0.0001,VLOOKUP($B195,#REF!,G$1,FALSE))</f>
        <v>#REF!</v>
      </c>
      <c r="H195" s="23">
        <v>0</v>
      </c>
      <c r="I195" s="24">
        <v>999999999</v>
      </c>
      <c r="M195" s="388">
        <v>999999999</v>
      </c>
      <c r="N195" s="385"/>
      <c r="O195" s="389" t="e">
        <f>D195</f>
        <v>#REF!</v>
      </c>
      <c r="P195" s="389" t="e">
        <f>F196</f>
        <v>#REF!</v>
      </c>
      <c r="Q195" s="390" t="e">
        <f>G196</f>
        <v>#REF!</v>
      </c>
      <c r="R195" s="387" t="s">
        <v>105</v>
      </c>
      <c r="S195" s="15">
        <f t="shared" si="21"/>
        <v>0</v>
      </c>
      <c r="T195" s="4" t="e">
        <f>VLOOKUP(B195,#REF!,7,FALSE)</f>
        <v>#REF!</v>
      </c>
    </row>
    <row r="196" spans="2:20" x14ac:dyDescent="0.3">
      <c r="B196" s="13">
        <v>171</v>
      </c>
      <c r="C196" s="13" t="e">
        <f>VLOOKUP($B196,#REF!,C$1,FALSE)</f>
        <v>#REF!</v>
      </c>
      <c r="D196" s="25" t="e">
        <f>VLOOKUP($B196,#REF!,D$1,FALSE)</f>
        <v>#REF!</v>
      </c>
      <c r="E196" s="13" t="e">
        <f>VLOOKUP($B196,#REF!,E$1,FALSE)</f>
        <v>#REF!</v>
      </c>
      <c r="F196" s="25" t="e">
        <f>VLOOKUP($B196,#REF!,F$1,FALSE)</f>
        <v>#REF!</v>
      </c>
      <c r="G196" s="14" t="e">
        <f>IF(VLOOKUP($B196,#REF!,G$1,FALSE)=0,0.0001,VLOOKUP($B196,#REF!,G$1,FALSE))</f>
        <v>#REF!</v>
      </c>
      <c r="H196" s="23">
        <v>0</v>
      </c>
      <c r="I196" s="24">
        <v>999999999</v>
      </c>
      <c r="M196" s="388"/>
      <c r="N196" s="385"/>
      <c r="O196" s="389"/>
      <c r="P196" s="389"/>
      <c r="Q196" s="390"/>
      <c r="R196" s="387"/>
      <c r="S196" s="15">
        <f t="shared" si="21"/>
        <v>0</v>
      </c>
      <c r="T196" s="4" t="e">
        <f>VLOOKUP(B196,#REF!,7,FALSE)</f>
        <v>#REF!</v>
      </c>
    </row>
    <row r="197" spans="2:20" x14ac:dyDescent="0.3">
      <c r="B197" s="13">
        <v>172</v>
      </c>
      <c r="C197" s="13" t="e">
        <f>VLOOKUP($B197,#REF!,C$1,FALSE)</f>
        <v>#REF!</v>
      </c>
      <c r="D197" s="25" t="e">
        <f>VLOOKUP($B197,#REF!,D$1,FALSE)</f>
        <v>#REF!</v>
      </c>
      <c r="E197" s="13" t="e">
        <f>VLOOKUP($B197,#REF!,E$1,FALSE)</f>
        <v>#REF!</v>
      </c>
      <c r="F197" s="25" t="e">
        <f>VLOOKUP($B197,#REF!,F$1,FALSE)</f>
        <v>#REF!</v>
      </c>
      <c r="G197" s="14" t="e">
        <f>IF(VLOOKUP($B197,#REF!,G$1,FALSE)=0,0.0001,VLOOKUP($B197,#REF!,G$1,FALSE))</f>
        <v>#REF!</v>
      </c>
      <c r="H197" s="23">
        <v>68.874233000000004</v>
      </c>
      <c r="I197" s="24">
        <v>999999999</v>
      </c>
      <c r="K197" s="24">
        <v>999999999</v>
      </c>
      <c r="L197" s="24"/>
      <c r="M197" s="26">
        <v>999999999</v>
      </c>
      <c r="N197" s="26">
        <v>999999999</v>
      </c>
      <c r="O197" s="9" t="e">
        <f>D197</f>
        <v>#REF!</v>
      </c>
      <c r="P197" s="9" t="e">
        <f>F197</f>
        <v>#REF!</v>
      </c>
      <c r="Q197" s="14" t="e">
        <f>G197</f>
        <v>#REF!</v>
      </c>
      <c r="R197" s="35" t="s">
        <v>105</v>
      </c>
      <c r="S197" s="15" t="str">
        <f t="shared" si="21"/>
        <v>b</v>
      </c>
      <c r="T197" s="4" t="e">
        <f>VLOOKUP(B197,#REF!,7,FALSE)</f>
        <v>#REF!</v>
      </c>
    </row>
    <row r="198" spans="2:20" x14ac:dyDescent="0.3">
      <c r="B198" s="13">
        <v>173</v>
      </c>
      <c r="C198" s="13" t="e">
        <f>VLOOKUP($B198,#REF!,E$1,FALSE)</f>
        <v>#REF!</v>
      </c>
      <c r="D198" s="25" t="e">
        <f>VLOOKUP($B198,#REF!,F$1,FALSE)</f>
        <v>#REF!</v>
      </c>
      <c r="E198" s="13" t="e">
        <f>VLOOKUP($B198,#REF!,C$1,FALSE)</f>
        <v>#REF!</v>
      </c>
      <c r="F198" s="25" t="e">
        <f>VLOOKUP($B198,#REF!,D$1,FALSE)</f>
        <v>#REF!</v>
      </c>
      <c r="G198" s="14" t="e">
        <f>IF(VLOOKUP($B198,#REF!,G$1,FALSE)=0,0.0001,VLOOKUP($B198,#REF!,G$1,FALSE))</f>
        <v>#REF!</v>
      </c>
      <c r="H198" s="23">
        <v>8020.3770000000004</v>
      </c>
      <c r="I198" s="24">
        <v>999999999</v>
      </c>
      <c r="K198" s="24">
        <v>999999999</v>
      </c>
      <c r="L198" s="24"/>
      <c r="M198" s="24">
        <v>999999999</v>
      </c>
      <c r="N198" s="24">
        <v>999999999</v>
      </c>
      <c r="O198" s="37" t="e">
        <f>D198</f>
        <v>#REF!</v>
      </c>
      <c r="P198" s="37" t="e">
        <f>F198</f>
        <v>#REF!</v>
      </c>
      <c r="Q198" s="14" t="e">
        <f>G198</f>
        <v>#REF!</v>
      </c>
      <c r="R198" s="14" t="s">
        <v>105</v>
      </c>
      <c r="S198" s="15" t="str">
        <f t="shared" si="21"/>
        <v>b</v>
      </c>
      <c r="T198" s="4" t="e">
        <f>VLOOKUP(B198,#REF!,7,FALSE)</f>
        <v>#REF!</v>
      </c>
    </row>
    <row r="199" spans="2:20" x14ac:dyDescent="0.3">
      <c r="B199" s="13">
        <v>174</v>
      </c>
      <c r="C199" s="13" t="e">
        <f>VLOOKUP($B199,#REF!,C$1,FALSE)</f>
        <v>#REF!</v>
      </c>
      <c r="D199" s="25" t="e">
        <f>VLOOKUP($B199,#REF!,D$1,FALSE)</f>
        <v>#REF!</v>
      </c>
      <c r="E199" s="13" t="e">
        <f>VLOOKUP($B199,#REF!,E$1,FALSE)</f>
        <v>#REF!</v>
      </c>
      <c r="F199" s="25" t="e">
        <f>VLOOKUP($B199,#REF!,F$1,FALSE)</f>
        <v>#REF!</v>
      </c>
      <c r="G199" s="14" t="e">
        <f>IF(VLOOKUP($B199,#REF!,G$1,FALSE)=0,0.0001,VLOOKUP($B199,#REF!,G$1,FALSE))</f>
        <v>#REF!</v>
      </c>
      <c r="H199" s="23">
        <v>0</v>
      </c>
      <c r="I199" s="24">
        <v>999999999</v>
      </c>
      <c r="M199" s="386">
        <v>999999999</v>
      </c>
      <c r="N199" s="385"/>
      <c r="O199" s="389" t="e">
        <f>D200</f>
        <v>#REF!</v>
      </c>
      <c r="P199" s="389" t="e">
        <f>F199</f>
        <v>#REF!</v>
      </c>
      <c r="Q199" s="390" t="e">
        <f>SUM(G199:G200)</f>
        <v>#REF!</v>
      </c>
      <c r="R199" s="387" t="s">
        <v>105</v>
      </c>
      <c r="S199" s="15">
        <f t="shared" si="21"/>
        <v>0</v>
      </c>
      <c r="T199" s="4" t="e">
        <f>VLOOKUP(B199,#REF!,7,FALSE)</f>
        <v>#REF!</v>
      </c>
    </row>
    <row r="200" spans="2:20" x14ac:dyDescent="0.3">
      <c r="B200" s="13">
        <v>175</v>
      </c>
      <c r="C200" s="13" t="e">
        <f>VLOOKUP($B200,#REF!,C$1,FALSE)</f>
        <v>#REF!</v>
      </c>
      <c r="D200" s="25" t="e">
        <f>VLOOKUP($B200,#REF!,D$1,FALSE)</f>
        <v>#REF!</v>
      </c>
      <c r="E200" s="13" t="e">
        <f>VLOOKUP($B200,#REF!,E$1,FALSE)</f>
        <v>#REF!</v>
      </c>
      <c r="F200" s="25" t="e">
        <f>VLOOKUP($B200,#REF!,F$1,FALSE)</f>
        <v>#REF!</v>
      </c>
      <c r="G200" s="14" t="e">
        <f>IF(VLOOKUP($B200,#REF!,G$1,FALSE)=0,0.0001,VLOOKUP($B200,#REF!,G$1,FALSE))</f>
        <v>#REF!</v>
      </c>
      <c r="H200" s="23">
        <v>0</v>
      </c>
      <c r="I200" s="24">
        <v>999999999</v>
      </c>
      <c r="M200" s="386"/>
      <c r="N200" s="385"/>
      <c r="O200" s="389"/>
      <c r="P200" s="389"/>
      <c r="Q200" s="390"/>
      <c r="R200" s="387"/>
      <c r="S200" s="15">
        <f t="shared" si="21"/>
        <v>0</v>
      </c>
      <c r="T200" s="4" t="e">
        <f>VLOOKUP(B200,#REF!,7,FALSE)</f>
        <v>#REF!</v>
      </c>
    </row>
    <row r="201" spans="2:20" x14ac:dyDescent="0.3">
      <c r="B201" s="13">
        <v>176</v>
      </c>
      <c r="C201" s="13" t="e">
        <f>VLOOKUP($B201,#REF!,C$1,FALSE)</f>
        <v>#REF!</v>
      </c>
      <c r="D201" s="25" t="e">
        <f>VLOOKUP($B201,#REF!,D$1,FALSE)</f>
        <v>#REF!</v>
      </c>
      <c r="E201" s="13" t="e">
        <f>VLOOKUP($B201,#REF!,E$1,FALSE)</f>
        <v>#REF!</v>
      </c>
      <c r="F201" s="25" t="e">
        <f>VLOOKUP($B201,#REF!,F$1,FALSE)</f>
        <v>#REF!</v>
      </c>
      <c r="G201" s="14" t="e">
        <f>IF(VLOOKUP($B201,#REF!,G$1,FALSE)=0,0.0001,VLOOKUP($B201,#REF!,G$1,FALSE))</f>
        <v>#REF!</v>
      </c>
      <c r="H201" s="23">
        <v>68.699233000000007</v>
      </c>
      <c r="I201" s="24">
        <v>999999999</v>
      </c>
      <c r="M201" s="386">
        <v>999999999</v>
      </c>
      <c r="N201" s="386"/>
      <c r="O201" s="389" t="e">
        <f>D202</f>
        <v>#REF!</v>
      </c>
      <c r="P201" s="389" t="e">
        <f>F201</f>
        <v>#REF!</v>
      </c>
      <c r="Q201" s="390" t="e">
        <f>SUM(G201:G202)</f>
        <v>#REF!</v>
      </c>
      <c r="R201" s="387" t="s">
        <v>105</v>
      </c>
      <c r="S201" s="15" t="str">
        <f t="shared" si="21"/>
        <v>b</v>
      </c>
      <c r="T201" s="4" t="e">
        <f>VLOOKUP(B201,#REF!,7,FALSE)</f>
        <v>#REF!</v>
      </c>
    </row>
    <row r="202" spans="2:20" x14ac:dyDescent="0.3">
      <c r="B202" s="13">
        <v>177</v>
      </c>
      <c r="C202" s="13" t="e">
        <f>VLOOKUP($B202,#REF!,C$1,FALSE)</f>
        <v>#REF!</v>
      </c>
      <c r="D202" s="25" t="e">
        <f>VLOOKUP($B202,#REF!,D$1,FALSE)</f>
        <v>#REF!</v>
      </c>
      <c r="E202" s="13" t="e">
        <f>VLOOKUP($B202,#REF!,E$1,FALSE)</f>
        <v>#REF!</v>
      </c>
      <c r="F202" s="25" t="e">
        <f>VLOOKUP($B202,#REF!,F$1,FALSE)</f>
        <v>#REF!</v>
      </c>
      <c r="G202" s="14" t="e">
        <f>IF(VLOOKUP($B202,#REF!,G$1,FALSE)=0,0.0001,VLOOKUP($B202,#REF!,G$1,FALSE))</f>
        <v>#REF!</v>
      </c>
      <c r="H202" s="23">
        <v>1055.0554</v>
      </c>
      <c r="I202" s="24">
        <v>999999999</v>
      </c>
      <c r="M202" s="386"/>
      <c r="N202" s="386"/>
      <c r="O202" s="389"/>
      <c r="P202" s="389"/>
      <c r="Q202" s="390"/>
      <c r="R202" s="387"/>
      <c r="S202" s="15" t="str">
        <f t="shared" si="21"/>
        <v>b</v>
      </c>
      <c r="T202" s="4" t="e">
        <f>VLOOKUP(B202,#REF!,7,FALSE)</f>
        <v>#REF!</v>
      </c>
    </row>
    <row r="203" spans="2:20" x14ac:dyDescent="0.3">
      <c r="B203" s="13">
        <v>178</v>
      </c>
      <c r="C203" s="13" t="e">
        <f>VLOOKUP($B203,#REF!,E$1,FALSE)</f>
        <v>#REF!</v>
      </c>
      <c r="D203" s="25" t="e">
        <f>VLOOKUP($B203,#REF!,F$1,FALSE)</f>
        <v>#REF!</v>
      </c>
      <c r="E203" s="13" t="e">
        <f>VLOOKUP($B203,#REF!,C$1,FALSE)</f>
        <v>#REF!</v>
      </c>
      <c r="F203" s="25" t="e">
        <f>VLOOKUP($B203,#REF!,D$1,FALSE)</f>
        <v>#REF!</v>
      </c>
      <c r="G203" s="14" t="e">
        <f>IF(VLOOKUP($B203,#REF!,G$1,FALSE)=0,0.0001,VLOOKUP($B203,#REF!,G$1,FALSE))</f>
        <v>#REF!</v>
      </c>
      <c r="H203" s="23">
        <v>6965.3216000000002</v>
      </c>
      <c r="I203" s="24">
        <v>999999999</v>
      </c>
      <c r="K203" s="24">
        <v>999999999</v>
      </c>
      <c r="L203" s="24"/>
      <c r="M203" s="386">
        <v>999999999</v>
      </c>
      <c r="N203" s="386">
        <v>999999999</v>
      </c>
      <c r="O203" s="389" t="e">
        <f>D203</f>
        <v>#REF!</v>
      </c>
      <c r="P203" s="389" t="e">
        <f>F204</f>
        <v>#REF!</v>
      </c>
      <c r="Q203" s="390" t="e">
        <f>SUM(G203:G204)</f>
        <v>#REF!</v>
      </c>
      <c r="R203" s="387" t="s">
        <v>105</v>
      </c>
      <c r="S203" s="15" t="str">
        <f t="shared" si="21"/>
        <v>b</v>
      </c>
      <c r="T203" s="4" t="e">
        <f>VLOOKUP(B203,#REF!,7,FALSE)</f>
        <v>#REF!</v>
      </c>
    </row>
    <row r="204" spans="2:20" x14ac:dyDescent="0.3">
      <c r="B204" s="13">
        <v>179</v>
      </c>
      <c r="C204" s="13" t="e">
        <f>VLOOKUP($B204,#REF!,E$1,FALSE)</f>
        <v>#REF!</v>
      </c>
      <c r="D204" s="25" t="e">
        <f>VLOOKUP($B204,#REF!,F$1,FALSE)</f>
        <v>#REF!</v>
      </c>
      <c r="E204" s="13" t="e">
        <f>VLOOKUP($B204,#REF!,C$1,FALSE)</f>
        <v>#REF!</v>
      </c>
      <c r="F204" s="25" t="e">
        <f>VLOOKUP($B204,#REF!,D$1,FALSE)</f>
        <v>#REF!</v>
      </c>
      <c r="G204" s="14" t="e">
        <f>IF(VLOOKUP($B204,#REF!,G$1,FALSE)=0,0.0001,VLOOKUP($B204,#REF!,G$1,FALSE))</f>
        <v>#REF!</v>
      </c>
      <c r="H204" s="23">
        <v>6950.7431999999999</v>
      </c>
      <c r="I204" s="24">
        <v>999999999</v>
      </c>
      <c r="K204" s="24">
        <v>999999999</v>
      </c>
      <c r="L204" s="24"/>
      <c r="M204" s="386"/>
      <c r="N204" s="386"/>
      <c r="O204" s="389"/>
      <c r="P204" s="389"/>
      <c r="Q204" s="390"/>
      <c r="R204" s="387"/>
      <c r="S204" s="15" t="str">
        <f t="shared" si="21"/>
        <v>b</v>
      </c>
      <c r="T204" s="4" t="e">
        <f>VLOOKUP(B204,#REF!,7,FALSE)</f>
        <v>#REF!</v>
      </c>
    </row>
    <row r="205" spans="2:20" x14ac:dyDescent="0.3">
      <c r="B205" s="13">
        <v>180</v>
      </c>
      <c r="C205" s="13" t="e">
        <f>VLOOKUP($B205,#REF!,E$1,FALSE)</f>
        <v>#REF!</v>
      </c>
      <c r="D205" s="25" t="e">
        <f>VLOOKUP($B205,#REF!,F$1,FALSE)</f>
        <v>#REF!</v>
      </c>
      <c r="E205" s="13" t="e">
        <f>VLOOKUP($B205,#REF!,C$1,FALSE)</f>
        <v>#REF!</v>
      </c>
      <c r="F205" s="25" t="e">
        <f>VLOOKUP($B205,#REF!,D$1,FALSE)</f>
        <v>#REF!</v>
      </c>
      <c r="G205" s="14" t="e">
        <f>IF(VLOOKUP($B205,#REF!,G$1,FALSE)=0,0.0001,VLOOKUP($B205,#REF!,G$1,FALSE))</f>
        <v>#REF!</v>
      </c>
      <c r="H205" s="23">
        <v>6950.7431999999999</v>
      </c>
      <c r="I205" s="24">
        <v>999999999</v>
      </c>
      <c r="K205" s="24">
        <v>999999999</v>
      </c>
      <c r="L205" s="24"/>
      <c r="M205" s="386">
        <v>999999999</v>
      </c>
      <c r="N205" s="386">
        <v>999999999</v>
      </c>
      <c r="O205" s="389" t="e">
        <f>D205</f>
        <v>#REF!</v>
      </c>
      <c r="P205" s="389" t="e">
        <f>F206</f>
        <v>#REF!</v>
      </c>
      <c r="Q205" s="390" t="e">
        <f>SUM(G205:G206)</f>
        <v>#REF!</v>
      </c>
      <c r="R205" s="387" t="s">
        <v>106</v>
      </c>
      <c r="S205" s="15" t="str">
        <f t="shared" si="21"/>
        <v>b</v>
      </c>
      <c r="T205" s="4" t="e">
        <f>VLOOKUP(B205,#REF!,7,FALSE)</f>
        <v>#REF!</v>
      </c>
    </row>
    <row r="206" spans="2:20" x14ac:dyDescent="0.3">
      <c r="B206" s="13">
        <v>181</v>
      </c>
      <c r="C206" s="13" t="e">
        <f>VLOOKUP($B206,#REF!,E$1,FALSE)</f>
        <v>#REF!</v>
      </c>
      <c r="D206" s="25" t="e">
        <f>VLOOKUP($B206,#REF!,F$1,FALSE)</f>
        <v>#REF!</v>
      </c>
      <c r="E206" s="13" t="e">
        <f>VLOOKUP($B206,#REF!,C$1,FALSE)</f>
        <v>#REF!</v>
      </c>
      <c r="F206" s="25" t="e">
        <f>VLOOKUP($B206,#REF!,D$1,FALSE)</f>
        <v>#REF!</v>
      </c>
      <c r="G206" s="14" t="e">
        <f>IF(VLOOKUP($B206,#REF!,G$1,FALSE)=0,0.0001,VLOOKUP($B206,#REF!,G$1,FALSE))</f>
        <v>#REF!</v>
      </c>
      <c r="H206" s="23">
        <v>6944.4165999999996</v>
      </c>
      <c r="I206" s="24">
        <v>999999999</v>
      </c>
      <c r="K206" s="24">
        <v>999999999</v>
      </c>
      <c r="L206" s="24"/>
      <c r="M206" s="386"/>
      <c r="N206" s="386"/>
      <c r="O206" s="389"/>
      <c r="P206" s="389"/>
      <c r="Q206" s="390"/>
      <c r="R206" s="387"/>
      <c r="S206" s="15" t="str">
        <f t="shared" si="21"/>
        <v>b</v>
      </c>
      <c r="T206" s="4" t="e">
        <f>VLOOKUP(B206,#REF!,7,FALSE)</f>
        <v>#REF!</v>
      </c>
    </row>
    <row r="207" spans="2:20" x14ac:dyDescent="0.3">
      <c r="B207" s="13">
        <v>182</v>
      </c>
      <c r="C207" s="13" t="e">
        <f>VLOOKUP($B207,#REF!,C$1,FALSE)</f>
        <v>#REF!</v>
      </c>
      <c r="D207" s="25" t="e">
        <f>VLOOKUP($B207,#REF!,D$1,FALSE)</f>
        <v>#REF!</v>
      </c>
      <c r="E207" s="13" t="e">
        <f>VLOOKUP($B207,#REF!,E$1,FALSE)</f>
        <v>#REF!</v>
      </c>
      <c r="F207" s="25" t="e">
        <f>VLOOKUP($B207,#REF!,F$1,FALSE)</f>
        <v>#REF!</v>
      </c>
      <c r="G207" s="14" t="e">
        <f>IF(VLOOKUP($B207,#REF!,G$1,FALSE)=0,0.0001,VLOOKUP($B207,#REF!,G$1,FALSE))</f>
        <v>#REF!</v>
      </c>
      <c r="H207" s="23">
        <v>64.776332999999994</v>
      </c>
      <c r="I207" s="24">
        <v>999999999</v>
      </c>
      <c r="M207" s="24">
        <v>999999999</v>
      </c>
      <c r="N207" s="24"/>
      <c r="O207" s="37" t="e">
        <f>D207</f>
        <v>#REF!</v>
      </c>
      <c r="P207" s="37" t="e">
        <f>F207</f>
        <v>#REF!</v>
      </c>
      <c r="Q207" s="14" t="e">
        <f>G207</f>
        <v>#REF!</v>
      </c>
      <c r="R207" s="14" t="s">
        <v>106</v>
      </c>
      <c r="S207" s="15" t="str">
        <f t="shared" si="21"/>
        <v>b</v>
      </c>
      <c r="T207" s="4" t="e">
        <f>VLOOKUP(B207,#REF!,7,FALSE)</f>
        <v>#REF!</v>
      </c>
    </row>
    <row r="208" spans="2:20" x14ac:dyDescent="0.3">
      <c r="B208" s="13">
        <v>183</v>
      </c>
      <c r="C208" s="13" t="e">
        <f>VLOOKUP($B208,#REF!,E$1,FALSE)</f>
        <v>#REF!</v>
      </c>
      <c r="D208" s="25" t="e">
        <f>VLOOKUP($B208,#REF!,F$1,FALSE)</f>
        <v>#REF!</v>
      </c>
      <c r="E208" s="13" t="e">
        <f>VLOOKUP($B208,#REF!,C$1,FALSE)</f>
        <v>#REF!</v>
      </c>
      <c r="F208" s="25" t="e">
        <f>VLOOKUP($B208,#REF!,D$1,FALSE)</f>
        <v>#REF!</v>
      </c>
      <c r="G208" s="14" t="e">
        <f>IF(VLOOKUP($B208,#REF!,G$1,FALSE)=0,0.0001,VLOOKUP($B208,#REF!,G$1,FALSE))</f>
        <v>#REF!</v>
      </c>
      <c r="H208" s="23">
        <v>6944.4165999999996</v>
      </c>
      <c r="I208" s="24">
        <v>999999999</v>
      </c>
      <c r="K208" s="24">
        <v>999999999</v>
      </c>
      <c r="L208" s="24"/>
      <c r="M208" s="388">
        <v>999999999</v>
      </c>
      <c r="N208" s="388">
        <v>999999999</v>
      </c>
      <c r="O208" s="393" t="e">
        <f>D208</f>
        <v>#REF!</v>
      </c>
      <c r="P208" s="393" t="e">
        <f>F209</f>
        <v>#REF!</v>
      </c>
      <c r="Q208" s="390" t="e">
        <f>SUM(G208:G209)</f>
        <v>#REF!</v>
      </c>
      <c r="R208" s="387" t="s">
        <v>106</v>
      </c>
      <c r="S208" s="15" t="str">
        <f t="shared" si="21"/>
        <v>b</v>
      </c>
      <c r="T208" s="4" t="e">
        <f>VLOOKUP(B208,#REF!,7,FALSE)</f>
        <v>#REF!</v>
      </c>
    </row>
    <row r="209" spans="2:20" x14ac:dyDescent="0.3">
      <c r="B209" s="13">
        <v>184</v>
      </c>
      <c r="C209" s="13" t="e">
        <f>VLOOKUP($B209,#REF!,E$1,FALSE)</f>
        <v>#REF!</v>
      </c>
      <c r="D209" s="25" t="e">
        <f>VLOOKUP($B209,#REF!,F$1,FALSE)</f>
        <v>#REF!</v>
      </c>
      <c r="E209" s="13" t="e">
        <f>VLOOKUP($B209,#REF!,C$1,FALSE)</f>
        <v>#REF!</v>
      </c>
      <c r="F209" s="25" t="e">
        <f>VLOOKUP($B209,#REF!,D$1,FALSE)</f>
        <v>#REF!</v>
      </c>
      <c r="G209" s="14" t="e">
        <f>IF(VLOOKUP($B209,#REF!,G$1,FALSE)=0,0.0001,VLOOKUP($B209,#REF!,G$1,FALSE))</f>
        <v>#REF!</v>
      </c>
      <c r="H209" s="23">
        <v>382.57447000000002</v>
      </c>
      <c r="I209" s="24">
        <v>999999999</v>
      </c>
      <c r="K209" s="24">
        <v>999999999</v>
      </c>
      <c r="L209" s="24"/>
      <c r="M209" s="388"/>
      <c r="N209" s="388"/>
      <c r="O209" s="393"/>
      <c r="P209" s="393"/>
      <c r="Q209" s="390"/>
      <c r="R209" s="387"/>
      <c r="S209" s="15" t="str">
        <f t="shared" si="21"/>
        <v>b</v>
      </c>
      <c r="T209" s="4" t="e">
        <f>VLOOKUP(B209,#REF!,7,FALSE)</f>
        <v>#REF!</v>
      </c>
    </row>
    <row r="210" spans="2:20" x14ac:dyDescent="0.3">
      <c r="B210" s="13">
        <v>185</v>
      </c>
      <c r="C210" s="13" t="e">
        <f>VLOOKUP($B210,#REF!,E$1,FALSE)</f>
        <v>#REF!</v>
      </c>
      <c r="D210" s="25" t="e">
        <f>VLOOKUP($B210,#REF!,F$1,FALSE)</f>
        <v>#REF!</v>
      </c>
      <c r="E210" s="13" t="e">
        <f>VLOOKUP($B210,#REF!,C$1,FALSE)</f>
        <v>#REF!</v>
      </c>
      <c r="F210" s="25" t="e">
        <f>VLOOKUP($B210,#REF!,D$1,FALSE)</f>
        <v>#REF!</v>
      </c>
      <c r="G210" s="14" t="e">
        <f>IF(VLOOKUP($B210,#REF!,G$1,FALSE)=0,0.0001,VLOOKUP($B210,#REF!,G$1,FALSE))</f>
        <v>#REF!</v>
      </c>
      <c r="H210" s="23">
        <v>0</v>
      </c>
      <c r="I210" s="24">
        <v>999999999</v>
      </c>
      <c r="K210" s="24">
        <v>999999999</v>
      </c>
      <c r="L210" s="24"/>
      <c r="M210" s="24">
        <v>999999999</v>
      </c>
      <c r="N210" s="24">
        <v>999999999</v>
      </c>
      <c r="O210" s="37" t="e">
        <f>D210</f>
        <v>#REF!</v>
      </c>
      <c r="P210" s="37" t="e">
        <f>F210</f>
        <v>#REF!</v>
      </c>
      <c r="Q210" s="14" t="e">
        <f>G210</f>
        <v>#REF!</v>
      </c>
      <c r="R210" s="14" t="s">
        <v>213</v>
      </c>
      <c r="S210" s="15">
        <f t="shared" si="21"/>
        <v>0</v>
      </c>
      <c r="T210" s="4" t="e">
        <f>VLOOKUP(B210,#REF!,7,FALSE)</f>
        <v>#REF!</v>
      </c>
    </row>
    <row r="211" spans="2:20" x14ac:dyDescent="0.3">
      <c r="O211" s="37"/>
      <c r="P211" s="37"/>
      <c r="Q211" s="14"/>
    </row>
    <row r="212" spans="2:20" x14ac:dyDescent="0.3">
      <c r="B212" s="13">
        <v>189</v>
      </c>
      <c r="C212" s="13" t="e">
        <f>VLOOKUP($B212,#REF!,C$1,FALSE)</f>
        <v>#REF!</v>
      </c>
      <c r="D212" s="25" t="e">
        <f>VLOOKUP($B212,#REF!,D$1,FALSE)</f>
        <v>#REF!</v>
      </c>
      <c r="E212" s="13" t="e">
        <f>VLOOKUP($B212,#REF!,E$1,FALSE)</f>
        <v>#REF!</v>
      </c>
      <c r="F212" s="25" t="e">
        <f>VLOOKUP($B212,#REF!,F$1,FALSE)</f>
        <v>#REF!</v>
      </c>
      <c r="G212" s="14" t="e">
        <f>IF(VLOOKUP($B212,#REF!,G$1,FALSE)=0,0.0001,VLOOKUP($B212,#REF!,G$1,FALSE))</f>
        <v>#REF!</v>
      </c>
      <c r="H212" s="23">
        <v>0</v>
      </c>
      <c r="I212" s="24">
        <v>999999999</v>
      </c>
      <c r="K212" s="24">
        <v>999999999</v>
      </c>
      <c r="L212" s="24"/>
      <c r="M212" s="24">
        <v>999999999</v>
      </c>
      <c r="N212" s="24">
        <v>999999999</v>
      </c>
      <c r="O212" s="37" t="e">
        <f>D212</f>
        <v>#REF!</v>
      </c>
      <c r="P212" s="37" t="e">
        <f t="shared" ref="P212:Q215" si="22">F212</f>
        <v>#REF!</v>
      </c>
      <c r="Q212" s="14" t="e">
        <f t="shared" si="22"/>
        <v>#REF!</v>
      </c>
      <c r="R212" s="14" t="s">
        <v>213</v>
      </c>
      <c r="S212" s="15">
        <f>IF((H212&gt;0),IF((H212-I212)=0,"a",IF(H212/I212&lt;0.5,"b","c")),)</f>
        <v>0</v>
      </c>
      <c r="T212" s="4" t="e">
        <f>VLOOKUP(B212,#REF!,7,FALSE)</f>
        <v>#REF!</v>
      </c>
    </row>
    <row r="213" spans="2:20" x14ac:dyDescent="0.3">
      <c r="B213" s="13">
        <v>187</v>
      </c>
      <c r="C213" s="13" t="e">
        <f>VLOOKUP($B213,#REF!,C$1,FALSE)</f>
        <v>#REF!</v>
      </c>
      <c r="D213" s="25" t="e">
        <f>VLOOKUP($B213,#REF!,D$1,FALSE)</f>
        <v>#REF!</v>
      </c>
      <c r="E213" s="13" t="e">
        <f>VLOOKUP($B213,#REF!,E$1,FALSE)</f>
        <v>#REF!</v>
      </c>
      <c r="F213" s="25" t="e">
        <f>VLOOKUP($B213,#REF!,F$1,FALSE)</f>
        <v>#REF!</v>
      </c>
      <c r="G213" s="14" t="e">
        <f>IF(VLOOKUP($B213,#REF!,G$1,FALSE)=0,0.0001,VLOOKUP($B213,#REF!,G$1,FALSE))</f>
        <v>#REF!</v>
      </c>
      <c r="H213" s="23">
        <v>2051.2599</v>
      </c>
      <c r="I213" s="24">
        <v>999999999</v>
      </c>
      <c r="M213" s="24">
        <v>999999999</v>
      </c>
      <c r="O213" s="37" t="e">
        <f>D213</f>
        <v>#REF!</v>
      </c>
      <c r="P213" s="37" t="e">
        <f t="shared" si="22"/>
        <v>#REF!</v>
      </c>
      <c r="Q213" s="14" t="e">
        <f t="shared" si="22"/>
        <v>#REF!</v>
      </c>
      <c r="R213" s="35" t="s">
        <v>213</v>
      </c>
      <c r="S213" s="15" t="str">
        <f>IF((H213&gt;0),IF((H213-I213)=0,"a",IF(H213/I213&lt;0.5,"b","c")),)</f>
        <v>b</v>
      </c>
      <c r="T213" s="4" t="e">
        <f>VLOOKUP(B213,#REF!,7,FALSE)</f>
        <v>#REF!</v>
      </c>
    </row>
    <row r="214" spans="2:20" x14ac:dyDescent="0.3">
      <c r="B214" s="13">
        <v>188</v>
      </c>
      <c r="C214" s="13" t="e">
        <f>VLOOKUP($B214,#REF!,C$1,FALSE)</f>
        <v>#REF!</v>
      </c>
      <c r="D214" s="25" t="e">
        <f>VLOOKUP($B214,#REF!,D$1,FALSE)</f>
        <v>#REF!</v>
      </c>
      <c r="E214" s="13" t="e">
        <f>VLOOKUP($B214,#REF!,E$1,FALSE)</f>
        <v>#REF!</v>
      </c>
      <c r="F214" s="25" t="e">
        <f>VLOOKUP($B214,#REF!,F$1,FALSE)</f>
        <v>#REF!</v>
      </c>
      <c r="G214" s="14" t="e">
        <f>IF(VLOOKUP($B214,#REF!,G$1,FALSE)=0,0.0001,VLOOKUP($B214,#REF!,G$1,FALSE))</f>
        <v>#REF!</v>
      </c>
      <c r="H214" s="23">
        <v>3691.5162999999998</v>
      </c>
      <c r="I214" s="24">
        <v>999999999</v>
      </c>
      <c r="M214" s="24">
        <v>999999999</v>
      </c>
      <c r="O214" s="37" t="e">
        <f>D214</f>
        <v>#REF!</v>
      </c>
      <c r="P214" s="37" t="e">
        <f t="shared" si="22"/>
        <v>#REF!</v>
      </c>
      <c r="Q214" s="14" t="e">
        <f t="shared" si="22"/>
        <v>#REF!</v>
      </c>
      <c r="R214" s="35" t="s">
        <v>213</v>
      </c>
      <c r="S214" s="15" t="str">
        <f>IF((H214&gt;0),IF((H214-I214)=0,"a",IF(H214/I214&lt;0.5,"b","c")),)</f>
        <v>b</v>
      </c>
      <c r="T214" s="4" t="e">
        <f>VLOOKUP(B214,#REF!,7,FALSE)</f>
        <v>#REF!</v>
      </c>
    </row>
    <row r="215" spans="2:20" x14ac:dyDescent="0.3">
      <c r="B215" s="13">
        <v>186</v>
      </c>
      <c r="C215" s="13" t="e">
        <f>VLOOKUP($B215,#REF!,E$1,FALSE)</f>
        <v>#REF!</v>
      </c>
      <c r="D215" s="25" t="e">
        <f>VLOOKUP($B215,#REF!,F$1,FALSE)</f>
        <v>#REF!</v>
      </c>
      <c r="E215" s="13" t="e">
        <f>VLOOKUP($B215,#REF!,C$1,FALSE)</f>
        <v>#REF!</v>
      </c>
      <c r="F215" s="25" t="e">
        <f>VLOOKUP($B215,#REF!,D$1,FALSE)</f>
        <v>#REF!</v>
      </c>
      <c r="G215" s="14" t="e">
        <f>IF(VLOOKUP($B215,#REF!,G$1,FALSE)=0,0.0001,VLOOKUP($B215,#REF!,G$1,FALSE))</f>
        <v>#REF!</v>
      </c>
      <c r="H215" s="23">
        <v>6519.3225000000002</v>
      </c>
      <c r="I215" s="24">
        <v>999999999</v>
      </c>
      <c r="K215" s="24">
        <v>999999999</v>
      </c>
      <c r="L215" s="24"/>
      <c r="M215" s="24">
        <v>999999999</v>
      </c>
      <c r="N215" s="24">
        <v>999999999</v>
      </c>
      <c r="O215" s="37" t="e">
        <f>D215</f>
        <v>#REF!</v>
      </c>
      <c r="P215" s="37" t="e">
        <f t="shared" si="22"/>
        <v>#REF!</v>
      </c>
      <c r="Q215" s="14" t="e">
        <f t="shared" si="22"/>
        <v>#REF!</v>
      </c>
      <c r="R215" s="14" t="s">
        <v>213</v>
      </c>
      <c r="S215" s="15" t="str">
        <f>IF((H215&gt;0),IF((H215-I215)=0,"a",IF(H215/I215&lt;0.5,"b","c")),)</f>
        <v>b</v>
      </c>
      <c r="T215" s="4" t="e">
        <f>VLOOKUP(B215,#REF!,7,FALSE)</f>
        <v>#REF!</v>
      </c>
    </row>
    <row r="216" spans="2:20" x14ac:dyDescent="0.3">
      <c r="O216" s="37"/>
      <c r="P216" s="37"/>
      <c r="Q216" s="14"/>
    </row>
    <row r="217" spans="2:20" x14ac:dyDescent="0.3">
      <c r="B217" s="13">
        <v>190</v>
      </c>
      <c r="C217" s="13" t="e">
        <f>VLOOKUP($B217,#REF!,C$1,FALSE)</f>
        <v>#REF!</v>
      </c>
      <c r="D217" s="25" t="e">
        <f>VLOOKUP($B217,#REF!,D$1,FALSE)</f>
        <v>#REF!</v>
      </c>
      <c r="E217" s="13" t="e">
        <f>VLOOKUP($B217,#REF!,E$1,FALSE)</f>
        <v>#REF!</v>
      </c>
      <c r="F217" s="25" t="e">
        <f>VLOOKUP($B217,#REF!,F$1,FALSE)</f>
        <v>#REF!</v>
      </c>
      <c r="G217" s="14" t="e">
        <f>IF(VLOOKUP($B217,#REF!,G$1,FALSE)=0,0.0001,VLOOKUP($B217,#REF!,G$1,FALSE))</f>
        <v>#REF!</v>
      </c>
      <c r="H217" s="23">
        <v>0</v>
      </c>
      <c r="I217" s="24">
        <v>999999999</v>
      </c>
      <c r="J217" s="22"/>
      <c r="K217" s="24">
        <v>999999999</v>
      </c>
      <c r="L217" s="24"/>
      <c r="M217" s="24">
        <v>999999999</v>
      </c>
      <c r="N217" s="24">
        <v>999999999</v>
      </c>
      <c r="O217" s="37" t="e">
        <f>D217</f>
        <v>#REF!</v>
      </c>
      <c r="P217" s="37" t="e">
        <f>F217</f>
        <v>#REF!</v>
      </c>
      <c r="Q217" s="14" t="e">
        <f>G217</f>
        <v>#REF!</v>
      </c>
      <c r="R217" s="14" t="s">
        <v>213</v>
      </c>
      <c r="S217" s="15">
        <f t="shared" ref="S217:S232" si="23">IF((H217&gt;0),IF((H217-I217)=0,"a",IF(H217/I217&lt;0.5,"b","c")),)</f>
        <v>0</v>
      </c>
      <c r="T217" s="4" t="e">
        <f>VLOOKUP(B217,#REF!,7,FALSE)</f>
        <v>#REF!</v>
      </c>
    </row>
    <row r="218" spans="2:20" x14ac:dyDescent="0.3">
      <c r="B218" s="13">
        <v>191</v>
      </c>
      <c r="C218" s="13" t="e">
        <f>VLOOKUP($B218,#REF!,C$1,FALSE)</f>
        <v>#REF!</v>
      </c>
      <c r="D218" s="25" t="e">
        <f>VLOOKUP($B218,#REF!,D$1,FALSE)</f>
        <v>#REF!</v>
      </c>
      <c r="E218" s="13" t="e">
        <f>VLOOKUP($B218,#REF!,E$1,FALSE)</f>
        <v>#REF!</v>
      </c>
      <c r="F218" s="25" t="e">
        <f>VLOOKUP($B218,#REF!,F$1,FALSE)</f>
        <v>#REF!</v>
      </c>
      <c r="G218" s="14" t="e">
        <f>IF(VLOOKUP($B218,#REF!,G$1,FALSE)=0,0.0001,VLOOKUP($B218,#REF!,G$1,FALSE))</f>
        <v>#REF!</v>
      </c>
      <c r="H218" s="23">
        <v>163.16426999999999</v>
      </c>
      <c r="I218" s="24">
        <v>999999999</v>
      </c>
      <c r="J218" s="22"/>
      <c r="K218" s="24">
        <v>999999999</v>
      </c>
      <c r="L218" s="24"/>
      <c r="M218" s="388">
        <v>999999999</v>
      </c>
      <c r="N218" s="388">
        <v>999999999</v>
      </c>
      <c r="O218" s="393" t="e">
        <f>D219</f>
        <v>#REF!</v>
      </c>
      <c r="P218" s="393" t="e">
        <f>F218</f>
        <v>#REF!</v>
      </c>
      <c r="Q218" s="390" t="e">
        <f>SUM(G218:G219)</f>
        <v>#REF!</v>
      </c>
      <c r="R218" s="387" t="s">
        <v>214</v>
      </c>
      <c r="S218" s="15" t="str">
        <f t="shared" si="23"/>
        <v>b</v>
      </c>
      <c r="T218" s="4" t="e">
        <f>VLOOKUP(B218,#REF!,7,FALSE)</f>
        <v>#REF!</v>
      </c>
    </row>
    <row r="219" spans="2:20" x14ac:dyDescent="0.3">
      <c r="B219" s="13">
        <v>192</v>
      </c>
      <c r="C219" s="13" t="e">
        <f>VLOOKUP($B219,#REF!,C$1,FALSE)</f>
        <v>#REF!</v>
      </c>
      <c r="D219" s="25" t="e">
        <f>VLOOKUP($B219,#REF!,D$1,FALSE)</f>
        <v>#REF!</v>
      </c>
      <c r="E219" s="13" t="e">
        <f>VLOOKUP($B219,#REF!,E$1,FALSE)</f>
        <v>#REF!</v>
      </c>
      <c r="F219" s="25" t="e">
        <f>VLOOKUP($B219,#REF!,F$1,FALSE)</f>
        <v>#REF!</v>
      </c>
      <c r="G219" s="14" t="e">
        <f>IF(VLOOKUP($B219,#REF!,G$1,FALSE)=0,0.0001,VLOOKUP($B219,#REF!,G$1,FALSE))</f>
        <v>#REF!</v>
      </c>
      <c r="H219" s="23">
        <v>413.53320000000002</v>
      </c>
      <c r="I219" s="24">
        <v>999999999</v>
      </c>
      <c r="J219" s="22"/>
      <c r="K219" s="24">
        <v>999999999</v>
      </c>
      <c r="L219" s="24"/>
      <c r="M219" s="388"/>
      <c r="N219" s="388"/>
      <c r="O219" s="393"/>
      <c r="P219" s="393"/>
      <c r="Q219" s="390"/>
      <c r="R219" s="387"/>
      <c r="S219" s="15" t="str">
        <f t="shared" si="23"/>
        <v>b</v>
      </c>
      <c r="T219" s="4" t="e">
        <f>VLOOKUP(B219,#REF!,7,FALSE)</f>
        <v>#REF!</v>
      </c>
    </row>
    <row r="220" spans="2:20" x14ac:dyDescent="0.3">
      <c r="B220" s="13">
        <v>193</v>
      </c>
      <c r="C220" s="13" t="e">
        <f>VLOOKUP($B220,#REF!,C$1,FALSE)</f>
        <v>#REF!</v>
      </c>
      <c r="D220" s="25" t="e">
        <f>VLOOKUP($B220,#REF!,D$1,FALSE)</f>
        <v>#REF!</v>
      </c>
      <c r="E220" s="13" t="e">
        <f>VLOOKUP($B220,#REF!,E$1,FALSE)</f>
        <v>#REF!</v>
      </c>
      <c r="F220" s="25" t="e">
        <f>VLOOKUP($B220,#REF!,F$1,FALSE)</f>
        <v>#REF!</v>
      </c>
      <c r="G220" s="14" t="e">
        <f>IF(VLOOKUP($B220,#REF!,G$1,FALSE)=0,0.0001,VLOOKUP($B220,#REF!,G$1,FALSE))</f>
        <v>#REF!</v>
      </c>
      <c r="H220" s="23">
        <v>0</v>
      </c>
      <c r="I220" s="24">
        <v>999999999</v>
      </c>
      <c r="J220" s="22"/>
      <c r="K220" s="24">
        <v>999999999</v>
      </c>
      <c r="L220" s="24"/>
      <c r="M220" s="24">
        <v>999999999</v>
      </c>
      <c r="N220" s="24">
        <v>999999999</v>
      </c>
      <c r="O220" s="37" t="e">
        <f>D220</f>
        <v>#REF!</v>
      </c>
      <c r="P220" s="37" t="e">
        <f>F220</f>
        <v>#REF!</v>
      </c>
      <c r="Q220" s="14" t="e">
        <f>G220</f>
        <v>#REF!</v>
      </c>
      <c r="R220" s="14" t="s">
        <v>196</v>
      </c>
      <c r="S220" s="15">
        <f t="shared" si="23"/>
        <v>0</v>
      </c>
      <c r="T220" s="4" t="e">
        <f>VLOOKUP(B220,#REF!,7,FALSE)</f>
        <v>#REF!</v>
      </c>
    </row>
    <row r="221" spans="2:20" x14ac:dyDescent="0.3">
      <c r="B221" s="13">
        <v>194</v>
      </c>
      <c r="C221" s="13" t="e">
        <f>VLOOKUP($B221,#REF!,C$1,FALSE)</f>
        <v>#REF!</v>
      </c>
      <c r="D221" s="25" t="e">
        <f>VLOOKUP($B221,#REF!,D$1,FALSE)</f>
        <v>#REF!</v>
      </c>
      <c r="E221" s="13" t="e">
        <f>VLOOKUP($B221,#REF!,E$1,FALSE)</f>
        <v>#REF!</v>
      </c>
      <c r="F221" s="25" t="e">
        <f>VLOOKUP($B221,#REF!,F$1,FALSE)</f>
        <v>#REF!</v>
      </c>
      <c r="G221" s="14" t="e">
        <f>IF(VLOOKUP($B221,#REF!,G$1,FALSE)=0,0.0001,VLOOKUP($B221,#REF!,G$1,FALSE))</f>
        <v>#REF!</v>
      </c>
      <c r="H221" s="23">
        <v>0</v>
      </c>
      <c r="I221" s="24">
        <v>999999999</v>
      </c>
      <c r="J221" s="22"/>
      <c r="K221" s="24">
        <v>999999999</v>
      </c>
      <c r="L221" s="24"/>
      <c r="M221" s="388">
        <v>999999999</v>
      </c>
      <c r="N221" s="388">
        <v>999999999</v>
      </c>
      <c r="O221" s="389" t="e">
        <f>D224</f>
        <v>#REF!</v>
      </c>
      <c r="P221" s="389" t="e">
        <f>F221</f>
        <v>#REF!</v>
      </c>
      <c r="Q221" s="390" t="e">
        <f>SUM(G221:G224)</f>
        <v>#REF!</v>
      </c>
      <c r="R221" s="387" t="s">
        <v>214</v>
      </c>
      <c r="S221" s="15">
        <f t="shared" si="23"/>
        <v>0</v>
      </c>
      <c r="T221" s="4" t="e">
        <f>VLOOKUP(B221,#REF!,7,FALSE)</f>
        <v>#REF!</v>
      </c>
    </row>
    <row r="222" spans="2:20" x14ac:dyDescent="0.3">
      <c r="B222" s="13">
        <v>195</v>
      </c>
      <c r="C222" s="13" t="e">
        <f>VLOOKUP($B222,#REF!,C$1,FALSE)</f>
        <v>#REF!</v>
      </c>
      <c r="D222" s="25" t="e">
        <f>VLOOKUP($B222,#REF!,D$1,FALSE)</f>
        <v>#REF!</v>
      </c>
      <c r="E222" s="13" t="e">
        <f>VLOOKUP($B222,#REF!,E$1,FALSE)</f>
        <v>#REF!</v>
      </c>
      <c r="F222" s="25" t="e">
        <f>VLOOKUP($B222,#REF!,F$1,FALSE)</f>
        <v>#REF!</v>
      </c>
      <c r="G222" s="14" t="e">
        <f>IF(VLOOKUP($B222,#REF!,G$1,FALSE)=0,0.0001,VLOOKUP($B222,#REF!,G$1,FALSE))</f>
        <v>#REF!</v>
      </c>
      <c r="H222" s="23">
        <v>0</v>
      </c>
      <c r="I222" s="24">
        <v>999999999</v>
      </c>
      <c r="J222" s="22"/>
      <c r="K222" s="24">
        <v>999999999</v>
      </c>
      <c r="L222" s="24"/>
      <c r="M222" s="388"/>
      <c r="N222" s="388"/>
      <c r="O222" s="389"/>
      <c r="P222" s="389"/>
      <c r="Q222" s="390"/>
      <c r="R222" s="387"/>
      <c r="S222" s="15">
        <f t="shared" si="23"/>
        <v>0</v>
      </c>
      <c r="T222" s="4" t="e">
        <f>VLOOKUP(B222,#REF!,7,FALSE)</f>
        <v>#REF!</v>
      </c>
    </row>
    <row r="223" spans="2:20" x14ac:dyDescent="0.3">
      <c r="B223" s="13">
        <v>196</v>
      </c>
      <c r="C223" s="13" t="e">
        <f>VLOOKUP($B223,#REF!,C$1,FALSE)</f>
        <v>#REF!</v>
      </c>
      <c r="D223" s="25" t="e">
        <f>VLOOKUP($B223,#REF!,D$1,FALSE)</f>
        <v>#REF!</v>
      </c>
      <c r="E223" s="13" t="e">
        <f>VLOOKUP($B223,#REF!,E$1,FALSE)</f>
        <v>#REF!</v>
      </c>
      <c r="F223" s="25" t="e">
        <f>VLOOKUP($B223,#REF!,F$1,FALSE)</f>
        <v>#REF!</v>
      </c>
      <c r="G223" s="14" t="e">
        <f>IF(VLOOKUP($B223,#REF!,G$1,FALSE)=0,0.0001,VLOOKUP($B223,#REF!,G$1,FALSE))</f>
        <v>#REF!</v>
      </c>
      <c r="H223" s="23">
        <v>0</v>
      </c>
      <c r="I223" s="24">
        <v>999999999</v>
      </c>
      <c r="J223" s="22"/>
      <c r="K223" s="24">
        <v>999999999</v>
      </c>
      <c r="L223" s="24"/>
      <c r="M223" s="388"/>
      <c r="N223" s="388"/>
      <c r="O223" s="389"/>
      <c r="P223" s="389"/>
      <c r="Q223" s="390"/>
      <c r="R223" s="387"/>
      <c r="S223" s="15">
        <f t="shared" si="23"/>
        <v>0</v>
      </c>
      <c r="T223" s="4" t="e">
        <f>VLOOKUP(B223,#REF!,7,FALSE)</f>
        <v>#REF!</v>
      </c>
    </row>
    <row r="224" spans="2:20" x14ac:dyDescent="0.3">
      <c r="B224" s="13">
        <v>197</v>
      </c>
      <c r="C224" s="13" t="e">
        <f>VLOOKUP($B224,#REF!,C$1,FALSE)</f>
        <v>#REF!</v>
      </c>
      <c r="D224" s="25" t="e">
        <f>VLOOKUP($B224,#REF!,D$1,FALSE)</f>
        <v>#REF!</v>
      </c>
      <c r="E224" s="13" t="e">
        <f>VLOOKUP($B224,#REF!,E$1,FALSE)</f>
        <v>#REF!</v>
      </c>
      <c r="F224" s="25" t="e">
        <f>VLOOKUP($B224,#REF!,F$1,FALSE)</f>
        <v>#REF!</v>
      </c>
      <c r="G224" s="14" t="e">
        <f>IF(VLOOKUP($B224,#REF!,G$1,FALSE)=0,0.0001,VLOOKUP($B224,#REF!,G$1,FALSE))</f>
        <v>#REF!</v>
      </c>
      <c r="H224" s="23">
        <v>0</v>
      </c>
      <c r="I224" s="24">
        <v>999999999</v>
      </c>
      <c r="J224" s="22"/>
      <c r="K224" s="24">
        <v>999999999</v>
      </c>
      <c r="L224" s="24"/>
      <c r="M224" s="388"/>
      <c r="N224" s="388"/>
      <c r="O224" s="389"/>
      <c r="P224" s="389"/>
      <c r="Q224" s="390"/>
      <c r="R224" s="387"/>
      <c r="S224" s="15">
        <f t="shared" si="23"/>
        <v>0</v>
      </c>
      <c r="T224" s="4" t="e">
        <f>VLOOKUP(B224,#REF!,7,FALSE)</f>
        <v>#REF!</v>
      </c>
    </row>
    <row r="225" spans="2:20" x14ac:dyDescent="0.3">
      <c r="B225" s="13">
        <v>198</v>
      </c>
      <c r="C225" s="13" t="e">
        <f>VLOOKUP($B225,#REF!,C$1,FALSE)</f>
        <v>#REF!</v>
      </c>
      <c r="D225" s="25" t="e">
        <f>VLOOKUP($B225,#REF!,D$1,FALSE)</f>
        <v>#REF!</v>
      </c>
      <c r="E225" s="13" t="e">
        <f>VLOOKUP($B225,#REF!,E$1,FALSE)</f>
        <v>#REF!</v>
      </c>
      <c r="F225" s="25" t="e">
        <f>VLOOKUP($B225,#REF!,F$1,FALSE)</f>
        <v>#REF!</v>
      </c>
      <c r="G225" s="14" t="e">
        <f>IF(VLOOKUP($B225,#REF!,G$1,FALSE)=0,0.0001,VLOOKUP($B225,#REF!,G$1,FALSE))</f>
        <v>#REF!</v>
      </c>
      <c r="H225" s="23">
        <v>0</v>
      </c>
      <c r="I225" s="24">
        <v>999999999</v>
      </c>
      <c r="J225" s="22"/>
      <c r="K225" s="24">
        <v>999999999</v>
      </c>
      <c r="L225" s="24"/>
      <c r="M225" s="388">
        <v>999999999</v>
      </c>
      <c r="N225" s="388">
        <v>999999999</v>
      </c>
      <c r="O225" s="389" t="e">
        <f>D228</f>
        <v>#REF!</v>
      </c>
      <c r="P225" s="389" t="e">
        <f>F225</f>
        <v>#REF!</v>
      </c>
      <c r="Q225" s="390" t="e">
        <f>SUM(G225:G228)</f>
        <v>#REF!</v>
      </c>
      <c r="R225" s="387" t="s">
        <v>107</v>
      </c>
      <c r="S225" s="15">
        <f t="shared" si="23"/>
        <v>0</v>
      </c>
      <c r="T225" s="4" t="e">
        <f>VLOOKUP(B225,#REF!,7,FALSE)</f>
        <v>#REF!</v>
      </c>
    </row>
    <row r="226" spans="2:20" x14ac:dyDescent="0.3">
      <c r="B226" s="13">
        <v>199</v>
      </c>
      <c r="C226" s="13" t="e">
        <f>VLOOKUP($B226,#REF!,C$1,FALSE)</f>
        <v>#REF!</v>
      </c>
      <c r="D226" s="25" t="e">
        <f>VLOOKUP($B226,#REF!,D$1,FALSE)</f>
        <v>#REF!</v>
      </c>
      <c r="E226" s="13" t="e">
        <f>VLOOKUP($B226,#REF!,E$1,FALSE)</f>
        <v>#REF!</v>
      </c>
      <c r="F226" s="25" t="e">
        <f>VLOOKUP($B226,#REF!,F$1,FALSE)</f>
        <v>#REF!</v>
      </c>
      <c r="G226" s="14" t="e">
        <f>IF(VLOOKUP($B226,#REF!,G$1,FALSE)=0,0.0001,VLOOKUP($B226,#REF!,G$1,FALSE))</f>
        <v>#REF!</v>
      </c>
      <c r="H226" s="23">
        <v>0</v>
      </c>
      <c r="I226" s="24">
        <v>999999999</v>
      </c>
      <c r="J226" s="22"/>
      <c r="K226" s="24">
        <v>999999999</v>
      </c>
      <c r="L226" s="24"/>
      <c r="M226" s="388"/>
      <c r="N226" s="388"/>
      <c r="O226" s="389"/>
      <c r="P226" s="389"/>
      <c r="Q226" s="390"/>
      <c r="R226" s="387"/>
      <c r="S226" s="15">
        <f t="shared" si="23"/>
        <v>0</v>
      </c>
      <c r="T226" s="4" t="e">
        <f>VLOOKUP(B226,#REF!,7,FALSE)</f>
        <v>#REF!</v>
      </c>
    </row>
    <row r="227" spans="2:20" x14ac:dyDescent="0.3">
      <c r="B227" s="13">
        <v>200</v>
      </c>
      <c r="C227" s="13" t="e">
        <f>VLOOKUP($B227,#REF!,C$1,FALSE)</f>
        <v>#REF!</v>
      </c>
      <c r="D227" s="25" t="e">
        <f>VLOOKUP($B227,#REF!,D$1,FALSE)</f>
        <v>#REF!</v>
      </c>
      <c r="E227" s="13" t="e">
        <f>VLOOKUP($B227,#REF!,E$1,FALSE)</f>
        <v>#REF!</v>
      </c>
      <c r="F227" s="25" t="e">
        <f>VLOOKUP($B227,#REF!,F$1,FALSE)</f>
        <v>#REF!</v>
      </c>
      <c r="G227" s="14" t="e">
        <f>IF(VLOOKUP($B227,#REF!,G$1,FALSE)=0,0.0001,VLOOKUP($B227,#REF!,G$1,FALSE))</f>
        <v>#REF!</v>
      </c>
      <c r="H227" s="23">
        <v>0</v>
      </c>
      <c r="I227" s="24">
        <v>999999999</v>
      </c>
      <c r="J227" s="22"/>
      <c r="K227" s="24">
        <v>999999999</v>
      </c>
      <c r="L227" s="24"/>
      <c r="M227" s="388"/>
      <c r="N227" s="388"/>
      <c r="O227" s="389"/>
      <c r="P227" s="389"/>
      <c r="Q227" s="390"/>
      <c r="R227" s="387"/>
      <c r="S227" s="15">
        <f t="shared" si="23"/>
        <v>0</v>
      </c>
      <c r="T227" s="4" t="e">
        <f>VLOOKUP(B227,#REF!,7,FALSE)</f>
        <v>#REF!</v>
      </c>
    </row>
    <row r="228" spans="2:20" x14ac:dyDescent="0.3">
      <c r="B228" s="13">
        <v>201</v>
      </c>
      <c r="C228" s="13" t="e">
        <f>VLOOKUP($B228,#REF!,C$1,FALSE)</f>
        <v>#REF!</v>
      </c>
      <c r="D228" s="25" t="e">
        <f>VLOOKUP($B228,#REF!,D$1,FALSE)</f>
        <v>#REF!</v>
      </c>
      <c r="E228" s="13" t="e">
        <f>VLOOKUP($B228,#REF!,E$1,FALSE)</f>
        <v>#REF!</v>
      </c>
      <c r="F228" s="25" t="e">
        <f>VLOOKUP($B228,#REF!,F$1,FALSE)</f>
        <v>#REF!</v>
      </c>
      <c r="G228" s="14" t="e">
        <f>IF(VLOOKUP($B228,#REF!,G$1,FALSE)=0,0.0001,VLOOKUP($B228,#REF!,G$1,FALSE))</f>
        <v>#REF!</v>
      </c>
      <c r="H228" s="23">
        <v>0</v>
      </c>
      <c r="I228" s="24">
        <v>999999999</v>
      </c>
      <c r="J228" s="22"/>
      <c r="K228" s="24">
        <v>999999999</v>
      </c>
      <c r="L228" s="24"/>
      <c r="M228" s="388"/>
      <c r="N228" s="388"/>
      <c r="O228" s="389"/>
      <c r="P228" s="389"/>
      <c r="Q228" s="390"/>
      <c r="R228" s="387"/>
      <c r="S228" s="15">
        <f t="shared" si="23"/>
        <v>0</v>
      </c>
      <c r="T228" s="4" t="e">
        <f>VLOOKUP(B228,#REF!,7,FALSE)</f>
        <v>#REF!</v>
      </c>
    </row>
    <row r="229" spans="2:20" x14ac:dyDescent="0.3">
      <c r="B229" s="13">
        <v>202</v>
      </c>
      <c r="C229" s="13" t="e">
        <f>VLOOKUP($B229,#REF!,C$1,FALSE)</f>
        <v>#REF!</v>
      </c>
      <c r="D229" s="25" t="e">
        <f>VLOOKUP($B229,#REF!,D$1,FALSE)</f>
        <v>#REF!</v>
      </c>
      <c r="E229" s="13" t="e">
        <f>VLOOKUP($B229,#REF!,E$1,FALSE)</f>
        <v>#REF!</v>
      </c>
      <c r="F229" s="25" t="e">
        <f>VLOOKUP($B229,#REF!,F$1,FALSE)</f>
        <v>#REF!</v>
      </c>
      <c r="G229" s="14" t="e">
        <f>IF(VLOOKUP($B229,#REF!,G$1,FALSE)=0,0.0001,VLOOKUP($B229,#REF!,G$1,FALSE))</f>
        <v>#REF!</v>
      </c>
      <c r="H229" s="23">
        <v>0</v>
      </c>
      <c r="I229" s="24">
        <v>999999999</v>
      </c>
      <c r="J229" s="22"/>
      <c r="K229" s="24">
        <v>999999999</v>
      </c>
      <c r="L229" s="24"/>
      <c r="M229" s="388">
        <v>999999999</v>
      </c>
      <c r="N229" s="388">
        <v>999999999</v>
      </c>
      <c r="O229" s="393" t="e">
        <f>D232</f>
        <v>#REF!</v>
      </c>
      <c r="P229" s="389" t="e">
        <f>F229</f>
        <v>#REF!</v>
      </c>
      <c r="Q229" s="390" t="e">
        <f>SUM(G229:G232)</f>
        <v>#REF!</v>
      </c>
      <c r="R229" s="387" t="s">
        <v>215</v>
      </c>
      <c r="S229" s="15">
        <f t="shared" si="23"/>
        <v>0</v>
      </c>
      <c r="T229" s="4" t="e">
        <f>VLOOKUP(B229,#REF!,7,FALSE)</f>
        <v>#REF!</v>
      </c>
    </row>
    <row r="230" spans="2:20" x14ac:dyDescent="0.3">
      <c r="B230" s="13">
        <v>203</v>
      </c>
      <c r="C230" s="13" t="e">
        <f>VLOOKUP($B230,#REF!,C$1,FALSE)</f>
        <v>#REF!</v>
      </c>
      <c r="D230" s="25" t="e">
        <f>VLOOKUP($B230,#REF!,D$1,FALSE)</f>
        <v>#REF!</v>
      </c>
      <c r="E230" s="13" t="e">
        <f>VLOOKUP($B230,#REF!,E$1,FALSE)</f>
        <v>#REF!</v>
      </c>
      <c r="F230" s="25" t="e">
        <f>VLOOKUP($B230,#REF!,F$1,FALSE)</f>
        <v>#REF!</v>
      </c>
      <c r="G230" s="14" t="e">
        <f>IF(VLOOKUP($B230,#REF!,G$1,FALSE)=0,0.0001,VLOOKUP($B230,#REF!,G$1,FALSE))</f>
        <v>#REF!</v>
      </c>
      <c r="H230" s="23">
        <v>0</v>
      </c>
      <c r="I230" s="24">
        <v>999999999</v>
      </c>
      <c r="J230" s="22"/>
      <c r="K230" s="24">
        <v>999999999</v>
      </c>
      <c r="L230" s="24"/>
      <c r="M230" s="388"/>
      <c r="N230" s="388"/>
      <c r="O230" s="393"/>
      <c r="P230" s="389"/>
      <c r="Q230" s="390"/>
      <c r="R230" s="387"/>
      <c r="S230" s="15">
        <f t="shared" si="23"/>
        <v>0</v>
      </c>
      <c r="T230" s="4" t="e">
        <f>VLOOKUP(B230,#REF!,7,FALSE)</f>
        <v>#REF!</v>
      </c>
    </row>
    <row r="231" spans="2:20" x14ac:dyDescent="0.3">
      <c r="B231" s="13">
        <v>204</v>
      </c>
      <c r="C231" s="13" t="e">
        <f>VLOOKUP($B231,#REF!,C$1,FALSE)</f>
        <v>#REF!</v>
      </c>
      <c r="D231" s="25" t="e">
        <f>VLOOKUP($B231,#REF!,D$1,FALSE)</f>
        <v>#REF!</v>
      </c>
      <c r="E231" s="13" t="e">
        <f>VLOOKUP($B231,#REF!,E$1,FALSE)</f>
        <v>#REF!</v>
      </c>
      <c r="F231" s="25" t="e">
        <f>VLOOKUP($B231,#REF!,F$1,FALSE)</f>
        <v>#REF!</v>
      </c>
      <c r="G231" s="14" t="e">
        <f>IF(VLOOKUP($B231,#REF!,G$1,FALSE)=0,0.0001,VLOOKUP($B231,#REF!,G$1,FALSE))</f>
        <v>#REF!</v>
      </c>
      <c r="H231" s="23">
        <v>0</v>
      </c>
      <c r="I231" s="24">
        <v>999999999</v>
      </c>
      <c r="J231" s="22"/>
      <c r="K231" s="24">
        <v>999999999</v>
      </c>
      <c r="L231" s="24"/>
      <c r="M231" s="388"/>
      <c r="N231" s="388"/>
      <c r="O231" s="393"/>
      <c r="P231" s="389"/>
      <c r="Q231" s="390"/>
      <c r="R231" s="387"/>
      <c r="S231" s="15">
        <f t="shared" si="23"/>
        <v>0</v>
      </c>
      <c r="T231" s="4" t="e">
        <f>VLOOKUP(B231,#REF!,7,FALSE)</f>
        <v>#REF!</v>
      </c>
    </row>
    <row r="232" spans="2:20" x14ac:dyDescent="0.3">
      <c r="B232" s="13">
        <v>205</v>
      </c>
      <c r="C232" s="13" t="e">
        <f>VLOOKUP($B232,#REF!,C$1,FALSE)</f>
        <v>#REF!</v>
      </c>
      <c r="D232" s="25" t="e">
        <f>VLOOKUP($B232,#REF!,D$1,FALSE)</f>
        <v>#REF!</v>
      </c>
      <c r="E232" s="13" t="e">
        <f>VLOOKUP($B232,#REF!,E$1,FALSE)</f>
        <v>#REF!</v>
      </c>
      <c r="F232" s="25" t="e">
        <f>VLOOKUP($B232,#REF!,F$1,FALSE)</f>
        <v>#REF!</v>
      </c>
      <c r="G232" s="14" t="e">
        <f>IF(VLOOKUP($B232,#REF!,G$1,FALSE)=0,0.0001,VLOOKUP($B232,#REF!,G$1,FALSE))</f>
        <v>#REF!</v>
      </c>
      <c r="H232" s="23">
        <v>0</v>
      </c>
      <c r="I232" s="24">
        <v>999999999</v>
      </c>
      <c r="J232" s="22"/>
      <c r="K232" s="24">
        <v>999999999</v>
      </c>
      <c r="L232" s="24"/>
      <c r="M232" s="388"/>
      <c r="N232" s="388"/>
      <c r="O232" s="393"/>
      <c r="P232" s="389"/>
      <c r="Q232" s="390"/>
      <c r="R232" s="387"/>
      <c r="S232" s="15">
        <f t="shared" si="23"/>
        <v>0</v>
      </c>
      <c r="T232" s="4" t="e">
        <f>VLOOKUP(B232,#REF!,7,FALSE)</f>
        <v>#REF!</v>
      </c>
    </row>
    <row r="233" spans="2:20" x14ac:dyDescent="0.3">
      <c r="K233" s="4"/>
      <c r="L233" s="4"/>
      <c r="N233" s="4"/>
      <c r="O233" s="39"/>
      <c r="P233" s="39"/>
      <c r="Q233" s="14"/>
    </row>
    <row r="234" spans="2:20" x14ac:dyDescent="0.3">
      <c r="B234" s="13">
        <v>206</v>
      </c>
      <c r="C234" s="13" t="e">
        <f>VLOOKUP($B234,#REF!,E$1,FALSE)</f>
        <v>#REF!</v>
      </c>
      <c r="D234" s="25" t="e">
        <f>VLOOKUP($B234,#REF!,F$1,FALSE)</f>
        <v>#REF!</v>
      </c>
      <c r="E234" s="13" t="e">
        <f>VLOOKUP($B234,#REF!,C$1,FALSE)</f>
        <v>#REF!</v>
      </c>
      <c r="F234" s="25" t="e">
        <f>VLOOKUP($B234,#REF!,D$1,FALSE)</f>
        <v>#REF!</v>
      </c>
      <c r="G234" s="14" t="e">
        <f>IF(VLOOKUP($B234,#REF!,G$1,FALSE)=0,0.0001,VLOOKUP($B234,#REF!,G$1,FALSE))</f>
        <v>#REF!</v>
      </c>
      <c r="H234" s="23">
        <v>1473.0314000000001</v>
      </c>
      <c r="I234" s="24">
        <v>999999999</v>
      </c>
      <c r="J234" s="22"/>
      <c r="K234" s="24">
        <v>999999999</v>
      </c>
      <c r="L234" s="24"/>
      <c r="M234" s="24">
        <v>999999999</v>
      </c>
      <c r="N234" s="24">
        <v>999999999</v>
      </c>
      <c r="O234" s="37" t="e">
        <f>D234</f>
        <v>#REF!</v>
      </c>
      <c r="P234" s="37" t="e">
        <f t="shared" ref="P234:Q236" si="24">F234</f>
        <v>#REF!</v>
      </c>
      <c r="Q234" s="14" t="e">
        <f t="shared" si="24"/>
        <v>#REF!</v>
      </c>
      <c r="R234" s="14" t="s">
        <v>196</v>
      </c>
      <c r="S234" s="15" t="str">
        <f t="shared" ref="S234:S247" si="25">IF((H234&gt;0),IF((H234-I234)=0,"a",IF(H234/I234&lt;0.5,"b","c")),)</f>
        <v>b</v>
      </c>
      <c r="T234" s="4" t="e">
        <f>VLOOKUP(B234,#REF!,7,FALSE)</f>
        <v>#REF!</v>
      </c>
    </row>
    <row r="235" spans="2:20" x14ac:dyDescent="0.3">
      <c r="B235" s="13">
        <v>207</v>
      </c>
      <c r="C235" s="13" t="e">
        <f>VLOOKUP($B235,#REF!,C$1,FALSE)</f>
        <v>#REF!</v>
      </c>
      <c r="D235" s="25" t="e">
        <f>VLOOKUP($B235,#REF!,D$1,FALSE)</f>
        <v>#REF!</v>
      </c>
      <c r="E235" s="13" t="e">
        <f>VLOOKUP($B235,#REF!,E$1,FALSE)</f>
        <v>#REF!</v>
      </c>
      <c r="F235" s="25" t="e">
        <f>VLOOKUP($B235,#REF!,F$1,FALSE)</f>
        <v>#REF!</v>
      </c>
      <c r="G235" s="14" t="e">
        <f>IF(VLOOKUP($B235,#REF!,G$1,FALSE)=0,0.0001,VLOOKUP($B235,#REF!,G$1,FALSE))</f>
        <v>#REF!</v>
      </c>
      <c r="H235" s="23">
        <v>843.33950000000004</v>
      </c>
      <c r="I235" s="24">
        <v>999999999</v>
      </c>
      <c r="J235" s="22"/>
      <c r="K235" s="24"/>
      <c r="L235" s="24"/>
      <c r="M235" s="24">
        <v>999999999</v>
      </c>
      <c r="N235" s="24"/>
      <c r="O235" s="37" t="e">
        <f>D235</f>
        <v>#REF!</v>
      </c>
      <c r="P235" s="37" t="e">
        <f t="shared" si="24"/>
        <v>#REF!</v>
      </c>
      <c r="Q235" s="14" t="e">
        <f t="shared" si="24"/>
        <v>#REF!</v>
      </c>
      <c r="R235" s="14" t="s">
        <v>216</v>
      </c>
      <c r="S235" s="15" t="str">
        <f t="shared" si="25"/>
        <v>b</v>
      </c>
      <c r="T235" s="4" t="e">
        <f>VLOOKUP(B235,#REF!,7,FALSE)</f>
        <v>#REF!</v>
      </c>
    </row>
    <row r="236" spans="2:20" x14ac:dyDescent="0.3">
      <c r="B236" s="13">
        <v>208</v>
      </c>
      <c r="C236" s="13" t="e">
        <f>VLOOKUP($B236,#REF!,E$1,FALSE)</f>
        <v>#REF!</v>
      </c>
      <c r="D236" s="25" t="e">
        <f>VLOOKUP($B236,#REF!,F$1,FALSE)</f>
        <v>#REF!</v>
      </c>
      <c r="E236" s="13" t="e">
        <f>VLOOKUP($B236,#REF!,C$1,FALSE)</f>
        <v>#REF!</v>
      </c>
      <c r="F236" s="25" t="e">
        <f>VLOOKUP($B236,#REF!,D$1,FALSE)</f>
        <v>#REF!</v>
      </c>
      <c r="G236" s="14" t="e">
        <f>IF(VLOOKUP($B236,#REF!,G$1,FALSE)=0,0.0001,VLOOKUP($B236,#REF!,G$1,FALSE))</f>
        <v>#REF!</v>
      </c>
      <c r="H236" s="23">
        <v>629.69195000000002</v>
      </c>
      <c r="I236" s="24">
        <v>999999999</v>
      </c>
      <c r="J236" s="22"/>
      <c r="K236" s="24">
        <v>999999999</v>
      </c>
      <c r="L236" s="24"/>
      <c r="M236" s="24">
        <v>999999999</v>
      </c>
      <c r="N236" s="24">
        <v>999999999</v>
      </c>
      <c r="O236" s="37" t="e">
        <f>D236</f>
        <v>#REF!</v>
      </c>
      <c r="P236" s="37" t="e">
        <f t="shared" si="24"/>
        <v>#REF!</v>
      </c>
      <c r="Q236" s="14" t="e">
        <f t="shared" si="24"/>
        <v>#REF!</v>
      </c>
      <c r="R236" s="14" t="s">
        <v>217</v>
      </c>
      <c r="S236" s="15" t="str">
        <f t="shared" si="25"/>
        <v>b</v>
      </c>
      <c r="T236" s="4" t="e">
        <f>VLOOKUP(B236,#REF!,7,FALSE)</f>
        <v>#REF!</v>
      </c>
    </row>
    <row r="237" spans="2:20" x14ac:dyDescent="0.3">
      <c r="B237" s="13">
        <v>209</v>
      </c>
      <c r="C237" s="13" t="e">
        <f>VLOOKUP($B237,#REF!,E$1,FALSE)</f>
        <v>#REF!</v>
      </c>
      <c r="D237" s="25" t="e">
        <f>VLOOKUP($B237,#REF!,F$1,FALSE)</f>
        <v>#REF!</v>
      </c>
      <c r="E237" s="13" t="e">
        <f>VLOOKUP($B237,#REF!,C$1,FALSE)</f>
        <v>#REF!</v>
      </c>
      <c r="F237" s="25" t="e">
        <f>VLOOKUP($B237,#REF!,D$1,FALSE)</f>
        <v>#REF!</v>
      </c>
      <c r="G237" s="14" t="e">
        <f>IF(VLOOKUP($B237,#REF!,G$1,FALSE)=0,0.0001,VLOOKUP($B237,#REF!,G$1,FALSE))</f>
        <v>#REF!</v>
      </c>
      <c r="H237" s="23">
        <v>604.37025000000006</v>
      </c>
      <c r="I237" s="24">
        <v>999999999</v>
      </c>
      <c r="J237" s="22"/>
      <c r="K237" s="24">
        <v>999999999</v>
      </c>
      <c r="L237" s="24"/>
      <c r="M237" s="388">
        <v>999999999</v>
      </c>
      <c r="N237" s="388">
        <v>999999999</v>
      </c>
      <c r="O237" s="389" t="e">
        <f>D237</f>
        <v>#REF!</v>
      </c>
      <c r="P237" s="389" t="e">
        <f>F242</f>
        <v>#REF!</v>
      </c>
      <c r="Q237" s="390" t="e">
        <f>SUM(G237:G242)</f>
        <v>#REF!</v>
      </c>
      <c r="R237" s="387" t="s">
        <v>218</v>
      </c>
      <c r="S237" s="15" t="str">
        <f t="shared" si="25"/>
        <v>b</v>
      </c>
      <c r="T237" s="4" t="e">
        <f>VLOOKUP(B237,#REF!,7,FALSE)</f>
        <v>#REF!</v>
      </c>
    </row>
    <row r="238" spans="2:20" x14ac:dyDescent="0.3">
      <c r="B238" s="13">
        <v>210</v>
      </c>
      <c r="C238" s="13" t="e">
        <f>VLOOKUP($B238,#REF!,E$1,FALSE)</f>
        <v>#REF!</v>
      </c>
      <c r="D238" s="25" t="e">
        <f>VLOOKUP($B238,#REF!,F$1,FALSE)</f>
        <v>#REF!</v>
      </c>
      <c r="E238" s="13" t="e">
        <f>VLOOKUP($B238,#REF!,C$1,FALSE)</f>
        <v>#REF!</v>
      </c>
      <c r="F238" s="25" t="e">
        <f>VLOOKUP($B238,#REF!,D$1,FALSE)</f>
        <v>#REF!</v>
      </c>
      <c r="G238" s="14" t="e">
        <f>IF(VLOOKUP($B238,#REF!,G$1,FALSE)=0,0.0001,VLOOKUP($B238,#REF!,G$1,FALSE))</f>
        <v>#REF!</v>
      </c>
      <c r="H238" s="23">
        <v>568.38331000000005</v>
      </c>
      <c r="I238" s="24">
        <v>999999999</v>
      </c>
      <c r="J238" s="22"/>
      <c r="K238" s="24">
        <v>999999999</v>
      </c>
      <c r="L238" s="24"/>
      <c r="M238" s="388"/>
      <c r="N238" s="388"/>
      <c r="O238" s="389"/>
      <c r="P238" s="389"/>
      <c r="Q238" s="390"/>
      <c r="R238" s="387"/>
      <c r="S238" s="15" t="str">
        <f t="shared" si="25"/>
        <v>b</v>
      </c>
      <c r="T238" s="4" t="e">
        <f>VLOOKUP(B238,#REF!,7,FALSE)</f>
        <v>#REF!</v>
      </c>
    </row>
    <row r="239" spans="2:20" x14ac:dyDescent="0.3">
      <c r="B239" s="13">
        <v>211</v>
      </c>
      <c r="C239" s="13" t="e">
        <f>VLOOKUP($B239,#REF!,E$1,FALSE)</f>
        <v>#REF!</v>
      </c>
      <c r="D239" s="25" t="e">
        <f>VLOOKUP($B239,#REF!,F$1,FALSE)</f>
        <v>#REF!</v>
      </c>
      <c r="E239" s="13" t="e">
        <f>VLOOKUP($B239,#REF!,C$1,FALSE)</f>
        <v>#REF!</v>
      </c>
      <c r="F239" s="25" t="e">
        <f>VLOOKUP($B239,#REF!,D$1,FALSE)</f>
        <v>#REF!</v>
      </c>
      <c r="G239" s="14" t="e">
        <f>IF(VLOOKUP($B239,#REF!,G$1,FALSE)=0,0.0001,VLOOKUP($B239,#REF!,G$1,FALSE))</f>
        <v>#REF!</v>
      </c>
      <c r="H239" s="23">
        <v>554.65867000000003</v>
      </c>
      <c r="I239" s="24">
        <v>999999999</v>
      </c>
      <c r="J239" s="22"/>
      <c r="K239" s="24">
        <v>999999999</v>
      </c>
      <c r="L239" s="24"/>
      <c r="M239" s="388"/>
      <c r="N239" s="388"/>
      <c r="O239" s="389"/>
      <c r="P239" s="389"/>
      <c r="Q239" s="390"/>
      <c r="R239" s="387"/>
      <c r="S239" s="15" t="str">
        <f t="shared" si="25"/>
        <v>b</v>
      </c>
      <c r="T239" s="4" t="e">
        <f>VLOOKUP(B239,#REF!,7,FALSE)</f>
        <v>#REF!</v>
      </c>
    </row>
    <row r="240" spans="2:20" x14ac:dyDescent="0.3">
      <c r="B240" s="13">
        <v>212</v>
      </c>
      <c r="C240" s="13" t="e">
        <f>VLOOKUP($B240,#REF!,E$1,FALSE)</f>
        <v>#REF!</v>
      </c>
      <c r="D240" s="25" t="e">
        <f>VLOOKUP($B240,#REF!,F$1,FALSE)</f>
        <v>#REF!</v>
      </c>
      <c r="E240" s="13" t="e">
        <f>VLOOKUP($B240,#REF!,C$1,FALSE)</f>
        <v>#REF!</v>
      </c>
      <c r="F240" s="25" t="e">
        <f>VLOOKUP($B240,#REF!,D$1,FALSE)</f>
        <v>#REF!</v>
      </c>
      <c r="G240" s="14" t="e">
        <f>IF(VLOOKUP($B240,#REF!,G$1,FALSE)=0,0.0001,VLOOKUP($B240,#REF!,G$1,FALSE))</f>
        <v>#REF!</v>
      </c>
      <c r="H240" s="23">
        <v>518.11429999999996</v>
      </c>
      <c r="I240" s="24">
        <v>999999999</v>
      </c>
      <c r="J240" s="22"/>
      <c r="K240" s="24">
        <v>999999999</v>
      </c>
      <c r="L240" s="24"/>
      <c r="M240" s="388"/>
      <c r="N240" s="388"/>
      <c r="O240" s="389"/>
      <c r="P240" s="389"/>
      <c r="Q240" s="390"/>
      <c r="R240" s="387"/>
      <c r="S240" s="15" t="str">
        <f t="shared" si="25"/>
        <v>b</v>
      </c>
      <c r="T240" s="4" t="e">
        <f>VLOOKUP(B240,#REF!,7,FALSE)</f>
        <v>#REF!</v>
      </c>
    </row>
    <row r="241" spans="2:20" x14ac:dyDescent="0.3">
      <c r="B241" s="13">
        <v>213</v>
      </c>
      <c r="C241" s="13" t="e">
        <f>VLOOKUP($B241,#REF!,E$1,FALSE)</f>
        <v>#REF!</v>
      </c>
      <c r="D241" s="25" t="e">
        <f>VLOOKUP($B241,#REF!,F$1,FALSE)</f>
        <v>#REF!</v>
      </c>
      <c r="E241" s="13" t="e">
        <f>VLOOKUP($B241,#REF!,C$1,FALSE)</f>
        <v>#REF!</v>
      </c>
      <c r="F241" s="25" t="e">
        <f>VLOOKUP($B241,#REF!,D$1,FALSE)</f>
        <v>#REF!</v>
      </c>
      <c r="G241" s="14" t="e">
        <f>IF(VLOOKUP($B241,#REF!,G$1,FALSE)=0,0.0001,VLOOKUP($B241,#REF!,G$1,FALSE))</f>
        <v>#REF!</v>
      </c>
      <c r="H241" s="23">
        <v>300.39263</v>
      </c>
      <c r="I241" s="24">
        <v>999999999</v>
      </c>
      <c r="J241" s="22"/>
      <c r="K241" s="24">
        <v>999999999</v>
      </c>
      <c r="L241" s="24"/>
      <c r="M241" s="388"/>
      <c r="N241" s="388"/>
      <c r="O241" s="389"/>
      <c r="P241" s="389"/>
      <c r="Q241" s="390"/>
      <c r="R241" s="387"/>
      <c r="S241" s="15" t="str">
        <f t="shared" si="25"/>
        <v>b</v>
      </c>
      <c r="T241" s="4" t="e">
        <f>VLOOKUP(B241,#REF!,7,FALSE)</f>
        <v>#REF!</v>
      </c>
    </row>
    <row r="242" spans="2:20" x14ac:dyDescent="0.3">
      <c r="B242" s="13">
        <v>214</v>
      </c>
      <c r="C242" s="13" t="e">
        <f>VLOOKUP($B242,#REF!,E$1,FALSE)</f>
        <v>#REF!</v>
      </c>
      <c r="D242" s="25" t="e">
        <f>VLOOKUP($B242,#REF!,F$1,FALSE)</f>
        <v>#REF!</v>
      </c>
      <c r="E242" s="13" t="e">
        <f>VLOOKUP($B242,#REF!,C$1,FALSE)</f>
        <v>#REF!</v>
      </c>
      <c r="F242" s="25" t="e">
        <f>VLOOKUP($B242,#REF!,D$1,FALSE)</f>
        <v>#REF!</v>
      </c>
      <c r="G242" s="14" t="e">
        <f>IF(VLOOKUP($B242,#REF!,G$1,FALSE)=0,0.0001,VLOOKUP($B242,#REF!,G$1,FALSE))</f>
        <v>#REF!</v>
      </c>
      <c r="H242" s="23">
        <v>65.528833000000006</v>
      </c>
      <c r="I242" s="24">
        <v>999999999</v>
      </c>
      <c r="J242" s="22"/>
      <c r="K242" s="24">
        <v>999999999</v>
      </c>
      <c r="L242" s="24"/>
      <c r="M242" s="388"/>
      <c r="N242" s="388"/>
      <c r="O242" s="389"/>
      <c r="P242" s="389"/>
      <c r="Q242" s="390"/>
      <c r="R242" s="387"/>
      <c r="S242" s="15" t="str">
        <f t="shared" si="25"/>
        <v>b</v>
      </c>
      <c r="T242" s="4" t="e">
        <f>VLOOKUP(B242,#REF!,7,FALSE)</f>
        <v>#REF!</v>
      </c>
    </row>
    <row r="243" spans="2:20" x14ac:dyDescent="0.3">
      <c r="B243" s="13">
        <v>215</v>
      </c>
      <c r="C243" s="13" t="e">
        <f>VLOOKUP($B243,#REF!,E$1,FALSE)</f>
        <v>#REF!</v>
      </c>
      <c r="D243" s="25" t="e">
        <f>VLOOKUP($B243,#REF!,F$1,FALSE)</f>
        <v>#REF!</v>
      </c>
      <c r="E243" s="13" t="e">
        <f>VLOOKUP($B243,#REF!,C$1,FALSE)</f>
        <v>#REF!</v>
      </c>
      <c r="F243" s="25" t="e">
        <f>VLOOKUP($B243,#REF!,D$1,FALSE)</f>
        <v>#REF!</v>
      </c>
      <c r="G243" s="14" t="e">
        <f>IF(VLOOKUP($B243,#REF!,G$1,FALSE)=0,0.0001,VLOOKUP($B243,#REF!,G$1,FALSE))</f>
        <v>#REF!</v>
      </c>
      <c r="H243" s="23">
        <v>57.420166999999999</v>
      </c>
      <c r="I243" s="24">
        <v>999999999</v>
      </c>
      <c r="J243" s="22"/>
      <c r="K243" s="24">
        <v>999999999</v>
      </c>
      <c r="L243" s="24"/>
      <c r="M243" s="24">
        <v>999999999</v>
      </c>
      <c r="N243" s="24">
        <v>999999999</v>
      </c>
      <c r="O243" s="9" t="e">
        <f>D243</f>
        <v>#REF!</v>
      </c>
      <c r="P243" s="9" t="e">
        <f t="shared" ref="P243:Q245" si="26">F243</f>
        <v>#REF!</v>
      </c>
      <c r="Q243" s="14" t="e">
        <f t="shared" si="26"/>
        <v>#REF!</v>
      </c>
      <c r="R243" s="387" t="s">
        <v>219</v>
      </c>
      <c r="S243" s="15" t="str">
        <f t="shared" si="25"/>
        <v>b</v>
      </c>
      <c r="T243" s="4" t="e">
        <f>VLOOKUP(B243,#REF!,7,FALSE)</f>
        <v>#REF!</v>
      </c>
    </row>
    <row r="244" spans="2:20" x14ac:dyDescent="0.3">
      <c r="B244" s="13">
        <v>216</v>
      </c>
      <c r="C244" s="13" t="e">
        <f>VLOOKUP($B244,#REF!,C$1,FALSE)</f>
        <v>#REF!</v>
      </c>
      <c r="D244" s="25" t="e">
        <f>VLOOKUP($B244,#REF!,D$1,FALSE)</f>
        <v>#REF!</v>
      </c>
      <c r="E244" s="13" t="e">
        <f>VLOOKUP($B244,#REF!,E$1,FALSE)</f>
        <v>#REF!</v>
      </c>
      <c r="F244" s="25" t="e">
        <f>VLOOKUP($B244,#REF!,F$1,FALSE)</f>
        <v>#REF!</v>
      </c>
      <c r="G244" s="14" t="e">
        <f>IF(VLOOKUP($B244,#REF!,G$1,FALSE)=0,0.0001,VLOOKUP($B244,#REF!,G$1,FALSE))</f>
        <v>#REF!</v>
      </c>
      <c r="H244" s="23">
        <v>0</v>
      </c>
      <c r="I244" s="24">
        <v>999999999</v>
      </c>
      <c r="J244" s="22"/>
      <c r="K244" s="24">
        <v>999999999</v>
      </c>
      <c r="L244" s="24"/>
      <c r="M244" s="24">
        <v>999999999</v>
      </c>
      <c r="N244" s="24"/>
      <c r="O244" s="9" t="e">
        <f>D244</f>
        <v>#REF!</v>
      </c>
      <c r="P244" s="9" t="e">
        <f t="shared" si="26"/>
        <v>#REF!</v>
      </c>
      <c r="Q244" s="14" t="e">
        <f t="shared" si="26"/>
        <v>#REF!</v>
      </c>
      <c r="R244" s="387"/>
      <c r="S244" s="15">
        <f t="shared" si="25"/>
        <v>0</v>
      </c>
      <c r="T244" s="4" t="e">
        <f>VLOOKUP(B244,#REF!,7,FALSE)</f>
        <v>#REF!</v>
      </c>
    </row>
    <row r="245" spans="2:20" x14ac:dyDescent="0.3">
      <c r="B245" s="13">
        <v>217</v>
      </c>
      <c r="C245" s="13" t="e">
        <f>VLOOKUP($B245,#REF!,C$1,FALSE)</f>
        <v>#REF!</v>
      </c>
      <c r="D245" s="25" t="e">
        <f>VLOOKUP($B245,#REF!,D$1,FALSE)</f>
        <v>#REF!</v>
      </c>
      <c r="E245" s="13" t="e">
        <f>VLOOKUP($B245,#REF!,E$1,FALSE)</f>
        <v>#REF!</v>
      </c>
      <c r="F245" s="25" t="e">
        <f>VLOOKUP($B245,#REF!,F$1,FALSE)</f>
        <v>#REF!</v>
      </c>
      <c r="G245" s="14" t="e">
        <f>IF(VLOOKUP($B245,#REF!,G$1,FALSE)=0,0.0001,VLOOKUP($B245,#REF!,G$1,FALSE))</f>
        <v>#REF!</v>
      </c>
      <c r="H245" s="23">
        <v>0</v>
      </c>
      <c r="I245" s="24">
        <v>999999999</v>
      </c>
      <c r="J245" s="22"/>
      <c r="K245" s="24"/>
      <c r="L245" s="24"/>
      <c r="M245" s="24">
        <v>999999999</v>
      </c>
      <c r="N245" s="24"/>
      <c r="O245" s="9" t="e">
        <f>D245</f>
        <v>#REF!</v>
      </c>
      <c r="P245" s="9" t="e">
        <f t="shared" si="26"/>
        <v>#REF!</v>
      </c>
      <c r="Q245" s="14" t="e">
        <f t="shared" si="26"/>
        <v>#REF!</v>
      </c>
      <c r="R245" s="387"/>
      <c r="S245" s="15">
        <f t="shared" si="25"/>
        <v>0</v>
      </c>
      <c r="T245" s="4" t="e">
        <f>VLOOKUP(B245,#REF!,7,FALSE)</f>
        <v>#REF!</v>
      </c>
    </row>
    <row r="246" spans="2:20" x14ac:dyDescent="0.3">
      <c r="B246" s="13">
        <v>218</v>
      </c>
      <c r="C246" s="13" t="e">
        <f>VLOOKUP($B246,#REF!,E$1,FALSE)</f>
        <v>#REF!</v>
      </c>
      <c r="D246" s="25" t="e">
        <f>VLOOKUP($B246,#REF!,F$1,FALSE)</f>
        <v>#REF!</v>
      </c>
      <c r="E246" s="13" t="e">
        <f>VLOOKUP($B246,#REF!,C$1,FALSE)</f>
        <v>#REF!</v>
      </c>
      <c r="F246" s="25" t="e">
        <f>VLOOKUP($B246,#REF!,D$1,FALSE)</f>
        <v>#REF!</v>
      </c>
      <c r="G246" s="14" t="e">
        <f>IF(VLOOKUP($B246,#REF!,G$1,FALSE)=0,0.0001,VLOOKUP($B246,#REF!,G$1,FALSE))</f>
        <v>#REF!</v>
      </c>
      <c r="H246" s="23">
        <v>57.420166999999999</v>
      </c>
      <c r="I246" s="24">
        <v>999999999</v>
      </c>
      <c r="J246" s="22"/>
      <c r="K246" s="24"/>
      <c r="L246" s="24"/>
      <c r="M246" s="388">
        <v>999999999</v>
      </c>
      <c r="N246" s="394"/>
      <c r="O246" s="389" t="e">
        <f>D246</f>
        <v>#REF!</v>
      </c>
      <c r="P246" s="389" t="e">
        <f>F247</f>
        <v>#REF!</v>
      </c>
      <c r="Q246" s="390" t="e">
        <f>SUM(G246:G247)</f>
        <v>#REF!</v>
      </c>
      <c r="R246" s="387"/>
      <c r="S246" s="15" t="str">
        <f t="shared" si="25"/>
        <v>b</v>
      </c>
      <c r="T246" s="4" t="e">
        <f>VLOOKUP(B246,#REF!,7,FALSE)</f>
        <v>#REF!</v>
      </c>
    </row>
    <row r="247" spans="2:20" x14ac:dyDescent="0.3">
      <c r="B247" s="13">
        <v>219</v>
      </c>
      <c r="C247" s="13" t="e">
        <f>VLOOKUP($B247,#REF!,E$1,FALSE)</f>
        <v>#REF!</v>
      </c>
      <c r="D247" s="25" t="e">
        <f>VLOOKUP($B247,#REF!,F$1,FALSE)</f>
        <v>#REF!</v>
      </c>
      <c r="E247" s="13" t="e">
        <f>VLOOKUP($B247,#REF!,C$1,FALSE)</f>
        <v>#REF!</v>
      </c>
      <c r="F247" s="25" t="e">
        <f>VLOOKUP($B247,#REF!,D$1,FALSE)</f>
        <v>#REF!</v>
      </c>
      <c r="G247" s="14" t="e">
        <f>IF(VLOOKUP($B247,#REF!,G$1,FALSE)=0,0.0001,VLOOKUP($B247,#REF!,G$1,FALSE))</f>
        <v>#REF!</v>
      </c>
      <c r="H247" s="23">
        <v>57.420166999999999</v>
      </c>
      <c r="I247" s="24">
        <v>999999999</v>
      </c>
      <c r="J247" s="22"/>
      <c r="K247" s="24"/>
      <c r="L247" s="24"/>
      <c r="M247" s="388"/>
      <c r="N247" s="394"/>
      <c r="O247" s="389"/>
      <c r="P247" s="389"/>
      <c r="Q247" s="390"/>
      <c r="R247" s="387"/>
      <c r="S247" s="15" t="str">
        <f t="shared" si="25"/>
        <v>b</v>
      </c>
      <c r="T247" s="4" t="e">
        <f>VLOOKUP(B247,#REF!,7,FALSE)</f>
        <v>#REF!</v>
      </c>
    </row>
  </sheetData>
  <mergeCells count="254">
    <mergeCell ref="R187:R188"/>
    <mergeCell ref="Q187:Q188"/>
    <mergeCell ref="P187:P188"/>
    <mergeCell ref="O187:O188"/>
    <mergeCell ref="M187:M188"/>
    <mergeCell ref="N187:N188"/>
    <mergeCell ref="M170:M171"/>
    <mergeCell ref="O170:O171"/>
    <mergeCell ref="P170:P171"/>
    <mergeCell ref="Q170:Q171"/>
    <mergeCell ref="M182:M183"/>
    <mergeCell ref="N182:N183"/>
    <mergeCell ref="R182:R183"/>
    <mergeCell ref="M246:M247"/>
    <mergeCell ref="N246:N247"/>
    <mergeCell ref="O246:O247"/>
    <mergeCell ref="P246:P247"/>
    <mergeCell ref="Q246:Q247"/>
    <mergeCell ref="M195:M196"/>
    <mergeCell ref="N195:N196"/>
    <mergeCell ref="O195:O196"/>
    <mergeCell ref="P195:P196"/>
    <mergeCell ref="Q195:Q196"/>
    <mergeCell ref="M237:M242"/>
    <mergeCell ref="N237:N242"/>
    <mergeCell ref="M203:M204"/>
    <mergeCell ref="N203:N204"/>
    <mergeCell ref="Q203:Q204"/>
    <mergeCell ref="O237:O242"/>
    <mergeCell ref="P237:P242"/>
    <mergeCell ref="R208:R209"/>
    <mergeCell ref="M218:M219"/>
    <mergeCell ref="N218:N219"/>
    <mergeCell ref="R229:R232"/>
    <mergeCell ref="Q229:Q232"/>
    <mergeCell ref="O229:O232"/>
    <mergeCell ref="P229:P232"/>
    <mergeCell ref="M229:M232"/>
    <mergeCell ref="N229:N232"/>
    <mergeCell ref="M225:M228"/>
    <mergeCell ref="N225:N228"/>
    <mergeCell ref="M221:M224"/>
    <mergeCell ref="N221:N224"/>
    <mergeCell ref="M208:M209"/>
    <mergeCell ref="N208:N209"/>
    <mergeCell ref="O208:O209"/>
    <mergeCell ref="O218:O219"/>
    <mergeCell ref="P218:P219"/>
    <mergeCell ref="R203:R204"/>
    <mergeCell ref="O205:O206"/>
    <mergeCell ref="P205:P206"/>
    <mergeCell ref="M205:M206"/>
    <mergeCell ref="N205:N206"/>
    <mergeCell ref="Q205:Q206"/>
    <mergeCell ref="R205:R206"/>
    <mergeCell ref="R189:R191"/>
    <mergeCell ref="O199:O200"/>
    <mergeCell ref="P199:P200"/>
    <mergeCell ref="M199:M200"/>
    <mergeCell ref="N199:N200"/>
    <mergeCell ref="Q199:Q200"/>
    <mergeCell ref="R199:R200"/>
    <mergeCell ref="M201:M202"/>
    <mergeCell ref="N201:N202"/>
    <mergeCell ref="O201:O202"/>
    <mergeCell ref="P201:P202"/>
    <mergeCell ref="Q201:Q202"/>
    <mergeCell ref="R201:R202"/>
    <mergeCell ref="R195:R196"/>
    <mergeCell ref="O203:O204"/>
    <mergeCell ref="M105:M106"/>
    <mergeCell ref="O78:O80"/>
    <mergeCell ref="P78:P80"/>
    <mergeCell ref="O88:O90"/>
    <mergeCell ref="P88:P90"/>
    <mergeCell ref="M81:M83"/>
    <mergeCell ref="N81:N83"/>
    <mergeCell ref="M192:M194"/>
    <mergeCell ref="N192:N194"/>
    <mergeCell ref="O192:O194"/>
    <mergeCell ref="P192:P194"/>
    <mergeCell ref="O189:O191"/>
    <mergeCell ref="P189:P191"/>
    <mergeCell ref="M189:M191"/>
    <mergeCell ref="N189:N191"/>
    <mergeCell ref="O146:O148"/>
    <mergeCell ref="P146:P148"/>
    <mergeCell ref="O150:O151"/>
    <mergeCell ref="P150:P151"/>
    <mergeCell ref="N119:N120"/>
    <mergeCell ref="N113:N114"/>
    <mergeCell ref="N135:N136"/>
    <mergeCell ref="M153:M155"/>
    <mergeCell ref="N153:N155"/>
    <mergeCell ref="M60:M63"/>
    <mergeCell ref="N60:N63"/>
    <mergeCell ref="R60:R63"/>
    <mergeCell ref="R72:R73"/>
    <mergeCell ref="M72:M73"/>
    <mergeCell ref="N72:N73"/>
    <mergeCell ref="Q72:Q73"/>
    <mergeCell ref="O72:O73"/>
    <mergeCell ref="P72:P73"/>
    <mergeCell ref="R243:R247"/>
    <mergeCell ref="R237:R242"/>
    <mergeCell ref="R225:R228"/>
    <mergeCell ref="R221:R224"/>
    <mergeCell ref="R218:R219"/>
    <mergeCell ref="Q60:Q63"/>
    <mergeCell ref="R81:R83"/>
    <mergeCell ref="R105:R106"/>
    <mergeCell ref="R119:R120"/>
    <mergeCell ref="R113:R114"/>
    <mergeCell ref="R157:R160"/>
    <mergeCell ref="R153:R155"/>
    <mergeCell ref="R150:R151"/>
    <mergeCell ref="R146:R148"/>
    <mergeCell ref="Q135:Q136"/>
    <mergeCell ref="R135:R136"/>
    <mergeCell ref="Q192:Q194"/>
    <mergeCell ref="R192:R194"/>
    <mergeCell ref="Q237:Q242"/>
    <mergeCell ref="Q146:Q148"/>
    <mergeCell ref="Q150:Q151"/>
    <mergeCell ref="Q218:Q219"/>
    <mergeCell ref="Q225:Q228"/>
    <mergeCell ref="Q189:Q191"/>
    <mergeCell ref="R41:R45"/>
    <mergeCell ref="R46:R49"/>
    <mergeCell ref="Q25:Q27"/>
    <mergeCell ref="R39:R40"/>
    <mergeCell ref="R88:R90"/>
    <mergeCell ref="R78:R80"/>
    <mergeCell ref="R12:R18"/>
    <mergeCell ref="R19:R23"/>
    <mergeCell ref="R25:R27"/>
    <mergeCell ref="R29:R32"/>
    <mergeCell ref="Q12:Q18"/>
    <mergeCell ref="Q78:Q80"/>
    <mergeCell ref="Q88:Q90"/>
    <mergeCell ref="O12:O18"/>
    <mergeCell ref="P12:P18"/>
    <mergeCell ref="Q19:Q23"/>
    <mergeCell ref="O19:O23"/>
    <mergeCell ref="P19:P23"/>
    <mergeCell ref="M19:M23"/>
    <mergeCell ref="N19:N23"/>
    <mergeCell ref="R33:R36"/>
    <mergeCell ref="O46:O49"/>
    <mergeCell ref="P46:P49"/>
    <mergeCell ref="M37:M38"/>
    <mergeCell ref="N37:N38"/>
    <mergeCell ref="O25:O27"/>
    <mergeCell ref="P25:P27"/>
    <mergeCell ref="Q29:Q32"/>
    <mergeCell ref="O29:O32"/>
    <mergeCell ref="P29:P32"/>
    <mergeCell ref="Q33:Q36"/>
    <mergeCell ref="O33:O36"/>
    <mergeCell ref="P33:P36"/>
    <mergeCell ref="M12:M18"/>
    <mergeCell ref="N12:N18"/>
    <mergeCell ref="R37:R38"/>
    <mergeCell ref="O37:O38"/>
    <mergeCell ref="Q157:Q160"/>
    <mergeCell ref="O157:O160"/>
    <mergeCell ref="P157:P160"/>
    <mergeCell ref="Q166:Q167"/>
    <mergeCell ref="O225:O228"/>
    <mergeCell ref="P225:P228"/>
    <mergeCell ref="Q221:Q224"/>
    <mergeCell ref="O221:O224"/>
    <mergeCell ref="P221:P224"/>
    <mergeCell ref="P203:P204"/>
    <mergeCell ref="P208:P209"/>
    <mergeCell ref="Q208:Q209"/>
    <mergeCell ref="O166:O167"/>
    <mergeCell ref="P166:P167"/>
    <mergeCell ref="O182:O183"/>
    <mergeCell ref="P182:P183"/>
    <mergeCell ref="Q182:Q183"/>
    <mergeCell ref="Q153:Q155"/>
    <mergeCell ref="O153:O155"/>
    <mergeCell ref="P153:P155"/>
    <mergeCell ref="Q119:Q120"/>
    <mergeCell ref="O119:O120"/>
    <mergeCell ref="P119:P120"/>
    <mergeCell ref="Q113:Q114"/>
    <mergeCell ref="O113:O114"/>
    <mergeCell ref="P113:P114"/>
    <mergeCell ref="O135:O136"/>
    <mergeCell ref="P135:P136"/>
    <mergeCell ref="Q105:Q106"/>
    <mergeCell ref="Q50:Q54"/>
    <mergeCell ref="R50:R54"/>
    <mergeCell ref="Q101:Q102"/>
    <mergeCell ref="O101:O102"/>
    <mergeCell ref="P101:P102"/>
    <mergeCell ref="O103:O104"/>
    <mergeCell ref="P103:P104"/>
    <mergeCell ref="Q103:Q104"/>
    <mergeCell ref="O81:O83"/>
    <mergeCell ref="P81:P83"/>
    <mergeCell ref="P60:P63"/>
    <mergeCell ref="O60:O63"/>
    <mergeCell ref="O105:O106"/>
    <mergeCell ref="P105:P106"/>
    <mergeCell ref="P37:P38"/>
    <mergeCell ref="Q37:Q38"/>
    <mergeCell ref="O50:O54"/>
    <mergeCell ref="P50:P54"/>
    <mergeCell ref="Q41:Q45"/>
    <mergeCell ref="O41:O45"/>
    <mergeCell ref="P41:P45"/>
    <mergeCell ref="Q46:Q49"/>
    <mergeCell ref="M41:M45"/>
    <mergeCell ref="N41:N45"/>
    <mergeCell ref="M46:M49"/>
    <mergeCell ref="N46:N49"/>
    <mergeCell ref="M50:M54"/>
    <mergeCell ref="N50:N54"/>
    <mergeCell ref="M25:M27"/>
    <mergeCell ref="N25:N27"/>
    <mergeCell ref="M29:M32"/>
    <mergeCell ref="N29:N32"/>
    <mergeCell ref="M33:M36"/>
    <mergeCell ref="N33:N36"/>
    <mergeCell ref="M157:M160"/>
    <mergeCell ref="M119:M120"/>
    <mergeCell ref="M146:M148"/>
    <mergeCell ref="M150:M151"/>
    <mergeCell ref="M88:M90"/>
    <mergeCell ref="M101:M102"/>
    <mergeCell ref="M103:M104"/>
    <mergeCell ref="M78:M80"/>
    <mergeCell ref="M113:M114"/>
    <mergeCell ref="M135:M136"/>
    <mergeCell ref="N146:N148"/>
    <mergeCell ref="N150:N151"/>
    <mergeCell ref="N157:N160"/>
    <mergeCell ref="N78:N80"/>
    <mergeCell ref="N88:N90"/>
    <mergeCell ref="N101:N102"/>
    <mergeCell ref="N103:N104"/>
    <mergeCell ref="N105:N106"/>
    <mergeCell ref="N166:N167"/>
    <mergeCell ref="M166:M167"/>
    <mergeCell ref="R166:R167"/>
    <mergeCell ref="M173:M177"/>
    <mergeCell ref="N173:N177"/>
    <mergeCell ref="O173:O177"/>
    <mergeCell ref="P173:P177"/>
    <mergeCell ref="Q173:Q177"/>
    <mergeCell ref="R173:R177"/>
  </mergeCells>
  <phoneticPr fontId="14" type="noConversion"/>
  <conditionalFormatting sqref="S8:S56 S58 S60:S68 S70:S84 S86 S88:S92 S94:S95 S97:S98 S100:S110 S112:S117 S119:S122 S124:S129 S131:S136 S138:S144 S146:S148 S150:S162 S164:S185 S187:S210 S212:S215 S217:S232 S234:S247">
    <cfRule type="cellIs" dxfId="3" priority="1" operator="equal">
      <formula>"b"</formula>
    </cfRule>
    <cfRule type="cellIs" dxfId="2" priority="2" operator="equal">
      <formula>"c"</formula>
    </cfRule>
    <cfRule type="cellIs" dxfId="1" priority="3" operator="equal">
      <formula>"a"</formula>
    </cfRule>
    <cfRule type="cellIs" dxfId="0" priority="4" operator="equal">
      <formula>"a"</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dimension ref="A2:B9"/>
  <sheetViews>
    <sheetView showGridLines="0" workbookViewId="0">
      <selection activeCell="A13" sqref="A13"/>
    </sheetView>
  </sheetViews>
  <sheetFormatPr defaultRowHeight="14.4" x14ac:dyDescent="0.3"/>
  <cols>
    <col min="1" max="1" width="30.5546875" bestFit="1" customWidth="1"/>
    <col min="2" max="2" width="20.44140625" bestFit="1" customWidth="1"/>
    <col min="3" max="3" width="15.44140625" customWidth="1"/>
    <col min="4" max="4" width="17.6640625" customWidth="1"/>
  </cols>
  <sheetData>
    <row r="2" spans="1:2" ht="28.95" customHeight="1" x14ac:dyDescent="0.3">
      <c r="A2" s="298" t="s">
        <v>515</v>
      </c>
      <c r="B2" s="298" t="s">
        <v>520</v>
      </c>
    </row>
    <row r="3" spans="1:2" x14ac:dyDescent="0.3">
      <c r="A3" s="299" t="s">
        <v>480</v>
      </c>
      <c r="B3" s="300">
        <v>1407651.32</v>
      </c>
    </row>
    <row r="4" spans="1:2" x14ac:dyDescent="0.3">
      <c r="A4" s="299" t="s">
        <v>481</v>
      </c>
      <c r="B4" s="300">
        <v>2593618.9432240198</v>
      </c>
    </row>
    <row r="5" spans="1:2" x14ac:dyDescent="0.3">
      <c r="A5" s="299" t="s">
        <v>482</v>
      </c>
      <c r="B5" s="300">
        <v>9414319.4572510142</v>
      </c>
    </row>
    <row r="6" spans="1:2" x14ac:dyDescent="0.3">
      <c r="A6" s="299" t="s">
        <v>483</v>
      </c>
      <c r="B6" s="301">
        <v>703517.82408490498</v>
      </c>
    </row>
    <row r="7" spans="1:2" x14ac:dyDescent="0.3">
      <c r="A7" s="299" t="s">
        <v>484</v>
      </c>
      <c r="B7" s="301">
        <v>10541794.222536657</v>
      </c>
    </row>
    <row r="8" spans="1:2" x14ac:dyDescent="0.3">
      <c r="A8" s="302" t="s">
        <v>244</v>
      </c>
      <c r="B8" s="303">
        <f>SUM(B3:B7)</f>
        <v>24660901.767096594</v>
      </c>
    </row>
    <row r="9" spans="1:2" x14ac:dyDescent="0.3">
      <c r="A9" s="64" t="s">
        <v>521</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
  <dimension ref="A1:I15"/>
  <sheetViews>
    <sheetView showGridLines="0" zoomScaleNormal="100" workbookViewId="0">
      <selection activeCell="E16" sqref="E16"/>
    </sheetView>
  </sheetViews>
  <sheetFormatPr defaultColWidth="9.21875" defaultRowHeight="13.8" x14ac:dyDescent="0.3"/>
  <cols>
    <col min="1" max="1" width="31" style="146" bestFit="1" customWidth="1"/>
    <col min="2" max="2" width="18" style="146" customWidth="1"/>
    <col min="3" max="3" width="12.6640625" style="146" customWidth="1"/>
    <col min="4" max="4" width="9.6640625" style="146" bestFit="1" customWidth="1"/>
    <col min="5" max="5" width="10.44140625" style="146" bestFit="1" customWidth="1"/>
    <col min="6" max="6" width="10.77734375" style="146" bestFit="1" customWidth="1"/>
    <col min="7" max="8" width="10.21875" style="146" hidden="1" customWidth="1"/>
    <col min="9" max="16384" width="9.21875" style="146"/>
  </cols>
  <sheetData>
    <row r="1" spans="1:9" ht="18" customHeight="1" x14ac:dyDescent="0.3">
      <c r="A1" s="372" t="s">
        <v>505</v>
      </c>
      <c r="B1" s="372"/>
      <c r="C1" s="372"/>
      <c r="D1" s="372"/>
      <c r="E1" s="372"/>
      <c r="F1" s="372"/>
      <c r="G1" s="372"/>
      <c r="H1" s="372"/>
    </row>
    <row r="2" spans="1:9" ht="28.8" x14ac:dyDescent="0.3">
      <c r="A2" s="316" t="s">
        <v>503</v>
      </c>
      <c r="B2" s="316" t="s">
        <v>23</v>
      </c>
      <c r="C2" s="316" t="s">
        <v>225</v>
      </c>
      <c r="D2" s="316">
        <v>2023</v>
      </c>
      <c r="E2" s="316">
        <v>2024</v>
      </c>
      <c r="F2" s="316">
        <v>2025</v>
      </c>
      <c r="G2" s="316"/>
      <c r="H2" s="316"/>
    </row>
    <row r="3" spans="1:9" ht="14.4" x14ac:dyDescent="0.3">
      <c r="A3" s="304" t="s">
        <v>28</v>
      </c>
      <c r="B3" s="304" t="s">
        <v>21</v>
      </c>
      <c r="C3" s="305">
        <v>20000</v>
      </c>
      <c r="D3" s="305">
        <v>15000</v>
      </c>
      <c r="E3" s="306">
        <v>14178</v>
      </c>
      <c r="F3" s="306">
        <f>E3</f>
        <v>14178</v>
      </c>
      <c r="G3" s="307"/>
      <c r="H3" s="307"/>
      <c r="I3" s="62"/>
    </row>
    <row r="4" spans="1:9" ht="14.4" x14ac:dyDescent="0.3">
      <c r="A4" s="308" t="s">
        <v>26</v>
      </c>
      <c r="B4" s="308" t="s">
        <v>243</v>
      </c>
      <c r="C4" s="309">
        <v>20000</v>
      </c>
      <c r="D4" s="309">
        <v>20000</v>
      </c>
      <c r="E4" s="306">
        <v>20000</v>
      </c>
      <c r="F4" s="306">
        <f t="shared" ref="F4:F12" si="0">E4</f>
        <v>20000</v>
      </c>
      <c r="G4" s="310"/>
      <c r="H4" s="310"/>
    </row>
    <row r="5" spans="1:9" ht="14.4" x14ac:dyDescent="0.3">
      <c r="A5" s="304" t="s">
        <v>512</v>
      </c>
      <c r="B5" s="304" t="s">
        <v>20</v>
      </c>
      <c r="C5" s="305">
        <v>12000</v>
      </c>
      <c r="D5" s="305">
        <v>7322</v>
      </c>
      <c r="E5" s="306">
        <v>13000</v>
      </c>
      <c r="F5" s="306">
        <f t="shared" si="0"/>
        <v>13000</v>
      </c>
      <c r="G5" s="307"/>
      <c r="H5" s="307"/>
    </row>
    <row r="6" spans="1:9" ht="14.4" x14ac:dyDescent="0.3">
      <c r="A6" s="308" t="s">
        <v>473</v>
      </c>
      <c r="B6" s="308" t="s">
        <v>224</v>
      </c>
      <c r="C6" s="309">
        <v>1250</v>
      </c>
      <c r="D6" s="309">
        <v>1250</v>
      </c>
      <c r="E6" s="306">
        <v>335</v>
      </c>
      <c r="F6" s="306">
        <f t="shared" si="0"/>
        <v>335</v>
      </c>
      <c r="G6" s="310"/>
      <c r="H6" s="310"/>
    </row>
    <row r="7" spans="1:9" ht="14.4" x14ac:dyDescent="0.3">
      <c r="A7" s="304" t="s">
        <v>27</v>
      </c>
      <c r="B7" s="304" t="s">
        <v>239</v>
      </c>
      <c r="C7" s="305">
        <v>5000</v>
      </c>
      <c r="D7" s="305">
        <v>0</v>
      </c>
      <c r="E7" s="306">
        <v>0</v>
      </c>
      <c r="F7" s="306">
        <f t="shared" si="0"/>
        <v>0</v>
      </c>
      <c r="G7" s="307"/>
      <c r="H7" s="307"/>
    </row>
    <row r="8" spans="1:9" ht="14.4" x14ac:dyDescent="0.3">
      <c r="A8" s="308" t="s">
        <v>29</v>
      </c>
      <c r="B8" s="308" t="s">
        <v>240</v>
      </c>
      <c r="C8" s="309">
        <v>2200</v>
      </c>
      <c r="D8" s="309">
        <v>0</v>
      </c>
      <c r="E8" s="306">
        <v>0</v>
      </c>
      <c r="F8" s="306">
        <f t="shared" si="0"/>
        <v>0</v>
      </c>
      <c r="G8" s="310"/>
      <c r="H8" s="310"/>
    </row>
    <row r="9" spans="1:9" ht="14.4" x14ac:dyDescent="0.3">
      <c r="A9" s="304" t="s">
        <v>24</v>
      </c>
      <c r="B9" s="304" t="s">
        <v>25</v>
      </c>
      <c r="C9" s="305">
        <v>25160</v>
      </c>
      <c r="D9" s="305">
        <v>11650</v>
      </c>
      <c r="E9" s="306">
        <v>14855</v>
      </c>
      <c r="F9" s="306">
        <f t="shared" si="0"/>
        <v>14855</v>
      </c>
      <c r="G9" s="307"/>
      <c r="H9" s="307"/>
    </row>
    <row r="10" spans="1:9" ht="14.4" x14ac:dyDescent="0.3">
      <c r="A10" s="308" t="s">
        <v>274</v>
      </c>
      <c r="B10" s="308" t="s">
        <v>242</v>
      </c>
      <c r="C10" s="309">
        <v>0</v>
      </c>
      <c r="D10" s="309">
        <v>7000</v>
      </c>
      <c r="E10" s="306">
        <v>6000</v>
      </c>
      <c r="F10" s="306">
        <f t="shared" si="0"/>
        <v>6000</v>
      </c>
      <c r="G10" s="310"/>
      <c r="H10" s="310"/>
    </row>
    <row r="11" spans="1:9" ht="14.4" x14ac:dyDescent="0.3">
      <c r="A11" s="304" t="s">
        <v>276</v>
      </c>
      <c r="B11" s="304" t="s">
        <v>241</v>
      </c>
      <c r="C11" s="305">
        <v>0</v>
      </c>
      <c r="D11" s="305">
        <v>8400</v>
      </c>
      <c r="E11" s="306">
        <v>200</v>
      </c>
      <c r="F11" s="306">
        <f t="shared" si="0"/>
        <v>200</v>
      </c>
      <c r="G11" s="307"/>
      <c r="H11" s="307"/>
    </row>
    <row r="12" spans="1:9" ht="14.4" x14ac:dyDescent="0.3">
      <c r="A12" s="308" t="s">
        <v>275</v>
      </c>
      <c r="B12" s="308" t="s">
        <v>25</v>
      </c>
      <c r="C12" s="309">
        <v>0</v>
      </c>
      <c r="D12" s="309">
        <v>8000</v>
      </c>
      <c r="E12" s="306">
        <v>200</v>
      </c>
      <c r="F12" s="306">
        <f t="shared" si="0"/>
        <v>200</v>
      </c>
      <c r="G12" s="310"/>
      <c r="H12" s="310"/>
    </row>
    <row r="13" spans="1:9" ht="14.4" x14ac:dyDescent="0.3">
      <c r="A13" s="311" t="s">
        <v>244</v>
      </c>
      <c r="B13" s="312"/>
      <c r="C13" s="313">
        <f>SUM(C3:C12)</f>
        <v>85610</v>
      </c>
      <c r="D13" s="313">
        <f>SUM(D3:D12)</f>
        <v>78622</v>
      </c>
      <c r="E13" s="313">
        <f>SUM(E3:E12)</f>
        <v>68768</v>
      </c>
      <c r="F13" s="313">
        <f t="shared" ref="F13:H13" si="1">SUM(F3:F12)</f>
        <v>68768</v>
      </c>
      <c r="G13" s="314">
        <f t="shared" si="1"/>
        <v>0</v>
      </c>
      <c r="H13" s="314">
        <f t="shared" si="1"/>
        <v>0</v>
      </c>
    </row>
    <row r="14" spans="1:9" x14ac:dyDescent="0.3">
      <c r="E14" s="41"/>
      <c r="F14" s="41"/>
      <c r="G14" s="41"/>
      <c r="H14" s="41"/>
    </row>
    <row r="15" spans="1:9" x14ac:dyDescent="0.3">
      <c r="E15" s="41"/>
      <c r="F15" s="41"/>
      <c r="G15" s="41"/>
      <c r="H15" s="41"/>
    </row>
  </sheetData>
  <sortState ref="A10:H12">
    <sortCondition ref="A10:A12"/>
  </sortState>
  <mergeCells count="1">
    <mergeCell ref="A1:H1"/>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
  <dimension ref="A1:GH20"/>
  <sheetViews>
    <sheetView showGridLines="0" zoomScaleNormal="100" workbookViewId="0">
      <selection activeCell="F24" sqref="F24"/>
    </sheetView>
  </sheetViews>
  <sheetFormatPr defaultColWidth="9.21875" defaultRowHeight="14.4" x14ac:dyDescent="0.3"/>
  <cols>
    <col min="1" max="1" width="28.77734375" style="51" bestFit="1" customWidth="1"/>
    <col min="2" max="2" width="15" style="59" customWidth="1"/>
    <col min="3" max="3" width="16" style="51" customWidth="1"/>
    <col min="4" max="4" width="10.44140625" style="51" customWidth="1"/>
    <col min="5" max="5" width="10.44140625" style="51" bestFit="1" customWidth="1"/>
    <col min="6" max="6" width="10.44140625" style="51" customWidth="1"/>
    <col min="7" max="8" width="10.44140625" style="51" hidden="1" customWidth="1"/>
    <col min="9" max="16384" width="9.21875" style="51"/>
  </cols>
  <sheetData>
    <row r="1" spans="1:190" x14ac:dyDescent="0.3">
      <c r="A1" s="373" t="s">
        <v>506</v>
      </c>
      <c r="B1" s="374"/>
      <c r="C1" s="374"/>
      <c r="D1" s="374"/>
      <c r="E1" s="374"/>
      <c r="F1" s="374"/>
      <c r="G1" s="374"/>
      <c r="H1" s="374"/>
    </row>
    <row r="2" spans="1:190" s="52" customFormat="1" ht="28.8" x14ac:dyDescent="0.3">
      <c r="A2" s="315" t="s">
        <v>504</v>
      </c>
      <c r="B2" s="315" t="s">
        <v>31</v>
      </c>
      <c r="C2" s="315" t="s">
        <v>225</v>
      </c>
      <c r="D2" s="315">
        <v>2023</v>
      </c>
      <c r="E2" s="315">
        <v>2024</v>
      </c>
      <c r="F2" s="315">
        <v>2025</v>
      </c>
      <c r="G2" s="315"/>
      <c r="H2" s="315"/>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row>
    <row r="3" spans="1:190" s="55" customFormat="1" x14ac:dyDescent="0.3">
      <c r="A3" s="53" t="s">
        <v>226</v>
      </c>
      <c r="B3" s="54" t="s">
        <v>33</v>
      </c>
      <c r="C3" s="136">
        <v>864.5</v>
      </c>
      <c r="D3" s="61">
        <v>622</v>
      </c>
      <c r="E3" s="60">
        <v>607</v>
      </c>
      <c r="F3" s="60">
        <f>E3</f>
        <v>607</v>
      </c>
      <c r="G3" s="61"/>
      <c r="H3" s="6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row>
    <row r="4" spans="1:190" s="56" customFormat="1" x14ac:dyDescent="0.3">
      <c r="A4" s="53" t="s">
        <v>227</v>
      </c>
      <c r="B4" s="54" t="s">
        <v>33</v>
      </c>
      <c r="C4" s="136">
        <v>1825.9</v>
      </c>
      <c r="D4" s="61">
        <v>1364</v>
      </c>
      <c r="E4" s="60">
        <v>1678</v>
      </c>
      <c r="F4" s="60">
        <f t="shared" ref="F4:F18" si="0">E4</f>
        <v>1678</v>
      </c>
      <c r="G4" s="61"/>
      <c r="H4" s="6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row>
    <row r="5" spans="1:190" s="55" customFormat="1" x14ac:dyDescent="0.3">
      <c r="A5" s="53" t="s">
        <v>228</v>
      </c>
      <c r="B5" s="54" t="s">
        <v>33</v>
      </c>
      <c r="C5" s="136">
        <v>3040.95</v>
      </c>
      <c r="D5" s="61">
        <v>2920</v>
      </c>
      <c r="E5" s="60">
        <v>2737</v>
      </c>
      <c r="F5" s="60">
        <f t="shared" si="0"/>
        <v>2737</v>
      </c>
      <c r="G5" s="61"/>
      <c r="H5" s="6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row>
    <row r="6" spans="1:190" s="56" customFormat="1" x14ac:dyDescent="0.3">
      <c r="A6" s="53" t="s">
        <v>229</v>
      </c>
      <c r="B6" s="54" t="s">
        <v>33</v>
      </c>
      <c r="C6" s="136">
        <v>1187.5</v>
      </c>
      <c r="D6" s="61">
        <v>1250</v>
      </c>
      <c r="E6" s="60">
        <v>335</v>
      </c>
      <c r="F6" s="60">
        <f t="shared" si="0"/>
        <v>335</v>
      </c>
      <c r="G6" s="61"/>
      <c r="H6" s="6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row>
    <row r="7" spans="1:190" s="55" customFormat="1" x14ac:dyDescent="0.3">
      <c r="A7" s="53" t="s">
        <v>230</v>
      </c>
      <c r="B7" s="54" t="s">
        <v>34</v>
      </c>
      <c r="C7" s="136">
        <v>21185</v>
      </c>
      <c r="D7" s="61">
        <v>17531</v>
      </c>
      <c r="E7" s="60">
        <v>17793</v>
      </c>
      <c r="F7" s="60">
        <f t="shared" si="0"/>
        <v>17793</v>
      </c>
      <c r="G7" s="61"/>
      <c r="H7" s="6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row>
    <row r="8" spans="1:190" s="56" customFormat="1" x14ac:dyDescent="0.3">
      <c r="A8" s="53" t="s">
        <v>231</v>
      </c>
      <c r="B8" s="54" t="s">
        <v>34</v>
      </c>
      <c r="C8" s="136">
        <v>11271.75</v>
      </c>
      <c r="D8" s="61">
        <v>8470</v>
      </c>
      <c r="E8" s="60">
        <v>8406</v>
      </c>
      <c r="F8" s="60">
        <f t="shared" si="0"/>
        <v>8406</v>
      </c>
      <c r="G8" s="61"/>
      <c r="H8" s="6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row>
    <row r="9" spans="1:190" s="55" customFormat="1" x14ac:dyDescent="0.3">
      <c r="A9" s="53" t="s">
        <v>232</v>
      </c>
      <c r="B9" s="54" t="s">
        <v>34</v>
      </c>
      <c r="C9" s="136">
        <v>3249</v>
      </c>
      <c r="D9" s="61">
        <v>1524</v>
      </c>
      <c r="E9" s="60">
        <v>1714</v>
      </c>
      <c r="F9" s="60">
        <f t="shared" si="0"/>
        <v>1714</v>
      </c>
      <c r="G9" s="61"/>
      <c r="H9" s="6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row>
    <row r="10" spans="1:190" s="56" customFormat="1" x14ac:dyDescent="0.3">
      <c r="A10" s="53" t="s">
        <v>233</v>
      </c>
      <c r="B10" s="54" t="s">
        <v>34</v>
      </c>
      <c r="C10" s="136">
        <v>498.75</v>
      </c>
      <c r="D10" s="61">
        <v>314</v>
      </c>
      <c r="E10" s="60">
        <v>323</v>
      </c>
      <c r="F10" s="60">
        <f t="shared" si="0"/>
        <v>323</v>
      </c>
      <c r="G10" s="61"/>
      <c r="H10" s="6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row>
    <row r="11" spans="1:190" s="55" customFormat="1" x14ac:dyDescent="0.3">
      <c r="A11" s="53" t="s">
        <v>234</v>
      </c>
      <c r="B11" s="54" t="s">
        <v>34</v>
      </c>
      <c r="C11" s="136">
        <v>3321.2</v>
      </c>
      <c r="D11" s="61">
        <v>2315</v>
      </c>
      <c r="E11" s="60">
        <v>2128</v>
      </c>
      <c r="F11" s="60">
        <f t="shared" si="0"/>
        <v>2128</v>
      </c>
      <c r="G11" s="61"/>
      <c r="H11" s="6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row>
    <row r="12" spans="1:190" s="56" customFormat="1" x14ac:dyDescent="0.3">
      <c r="A12" s="53" t="s">
        <v>235</v>
      </c>
      <c r="B12" s="54" t="s">
        <v>32</v>
      </c>
      <c r="C12" s="136">
        <v>14292.75</v>
      </c>
      <c r="D12" s="61">
        <v>1312</v>
      </c>
      <c r="E12" s="60">
        <v>1237</v>
      </c>
      <c r="F12" s="60">
        <f t="shared" si="0"/>
        <v>1237</v>
      </c>
      <c r="G12" s="61"/>
      <c r="H12" s="6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row>
    <row r="13" spans="1:190" s="55" customFormat="1" x14ac:dyDescent="0.3">
      <c r="A13" s="53" t="s">
        <v>236</v>
      </c>
      <c r="B13" s="54" t="s">
        <v>32</v>
      </c>
      <c r="C13" s="136">
        <v>3971</v>
      </c>
      <c r="D13" s="61">
        <v>2985</v>
      </c>
      <c r="E13" s="60">
        <v>2972</v>
      </c>
      <c r="F13" s="60">
        <f t="shared" si="0"/>
        <v>2972</v>
      </c>
      <c r="G13" s="61"/>
      <c r="H13" s="6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row>
    <row r="14" spans="1:190" s="56" customFormat="1" x14ac:dyDescent="0.3">
      <c r="A14" s="53" t="s">
        <v>237</v>
      </c>
      <c r="B14" s="54" t="s">
        <v>32</v>
      </c>
      <c r="C14" s="136">
        <v>9941.75</v>
      </c>
      <c r="D14" s="61">
        <v>7903</v>
      </c>
      <c r="E14" s="60">
        <v>7969</v>
      </c>
      <c r="F14" s="60">
        <f t="shared" si="0"/>
        <v>7969</v>
      </c>
      <c r="G14" s="61"/>
      <c r="H14" s="6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row>
    <row r="15" spans="1:190" s="55" customFormat="1" x14ac:dyDescent="0.3">
      <c r="A15" s="53" t="s">
        <v>238</v>
      </c>
      <c r="B15" s="54" t="s">
        <v>32</v>
      </c>
      <c r="C15" s="136">
        <v>3809.5</v>
      </c>
      <c r="D15" s="61">
        <v>3684</v>
      </c>
      <c r="E15" s="60">
        <v>3281</v>
      </c>
      <c r="F15" s="60">
        <f t="shared" si="0"/>
        <v>3281</v>
      </c>
      <c r="G15" s="61"/>
      <c r="H15" s="6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1"/>
      <c r="GG15" s="51"/>
      <c r="GH15" s="51"/>
    </row>
    <row r="16" spans="1:190" s="56" customFormat="1" x14ac:dyDescent="0.3">
      <c r="A16" s="53" t="s">
        <v>279</v>
      </c>
      <c r="B16" s="54"/>
      <c r="C16" s="136">
        <v>0</v>
      </c>
      <c r="D16" s="61">
        <v>0</v>
      </c>
      <c r="E16" s="60">
        <v>0</v>
      </c>
      <c r="F16" s="60">
        <f t="shared" si="0"/>
        <v>0</v>
      </c>
      <c r="G16" s="61"/>
      <c r="H16" s="6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row>
    <row r="17" spans="1:190" s="55" customFormat="1" x14ac:dyDescent="0.3">
      <c r="A17" s="53" t="s">
        <v>278</v>
      </c>
      <c r="B17" s="54"/>
      <c r="C17" s="136">
        <v>0</v>
      </c>
      <c r="D17" s="61">
        <v>7800</v>
      </c>
      <c r="E17" s="60">
        <v>7011</v>
      </c>
      <c r="F17" s="60">
        <f t="shared" si="0"/>
        <v>7011</v>
      </c>
      <c r="G17" s="61"/>
      <c r="H17" s="6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row>
    <row r="18" spans="1:190" s="56" customFormat="1" x14ac:dyDescent="0.3">
      <c r="A18" s="53" t="s">
        <v>277</v>
      </c>
      <c r="B18" s="54"/>
      <c r="C18" s="136">
        <v>0</v>
      </c>
      <c r="D18" s="61">
        <v>200</v>
      </c>
      <c r="E18" s="60">
        <v>200</v>
      </c>
      <c r="F18" s="60">
        <f t="shared" si="0"/>
        <v>200</v>
      </c>
      <c r="G18" s="61"/>
      <c r="H18" s="6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c r="DQ18" s="51"/>
      <c r="DR18" s="51"/>
      <c r="DS18" s="51"/>
      <c r="DT18" s="51"/>
      <c r="DU18" s="51"/>
      <c r="DV18" s="51"/>
      <c r="DW18" s="51"/>
      <c r="DX18" s="51"/>
      <c r="DY18" s="51"/>
      <c r="DZ18" s="51"/>
      <c r="EA18" s="51"/>
      <c r="EB18" s="51"/>
      <c r="EC18" s="51"/>
      <c r="ED18" s="51"/>
      <c r="EE18" s="51"/>
      <c r="EF18" s="51"/>
      <c r="EG18" s="51"/>
      <c r="EH18" s="51"/>
      <c r="EI18" s="51"/>
      <c r="EJ18" s="51"/>
      <c r="EK18" s="51"/>
      <c r="EL18" s="51"/>
      <c r="EM18" s="51"/>
      <c r="EN18" s="51"/>
      <c r="EO18" s="51"/>
      <c r="EP18" s="51"/>
      <c r="EQ18" s="51"/>
      <c r="ER18" s="51"/>
      <c r="ES18" s="51"/>
      <c r="ET18" s="51"/>
      <c r="EU18" s="51"/>
      <c r="EV18" s="51"/>
      <c r="EW18" s="51"/>
      <c r="EX18" s="51"/>
      <c r="EY18" s="51"/>
      <c r="EZ18" s="51"/>
      <c r="FA18" s="51"/>
      <c r="FB18" s="51"/>
      <c r="FC18" s="51"/>
      <c r="FD18" s="51"/>
      <c r="FE18" s="51"/>
      <c r="FF18" s="51"/>
      <c r="FG18" s="51"/>
      <c r="FH18" s="51"/>
      <c r="FI18" s="51"/>
      <c r="FJ18" s="51"/>
      <c r="FK18" s="51"/>
      <c r="FL18" s="51"/>
      <c r="FM18" s="51"/>
      <c r="FN18" s="51"/>
      <c r="FO18" s="51"/>
      <c r="FP18" s="51"/>
      <c r="FQ18" s="51"/>
      <c r="FR18" s="51"/>
      <c r="FS18" s="51"/>
      <c r="FT18" s="51"/>
      <c r="FU18" s="51"/>
      <c r="FV18" s="51"/>
      <c r="FW18" s="51"/>
      <c r="FX18" s="51"/>
      <c r="FY18" s="51"/>
      <c r="FZ18" s="51"/>
      <c r="GA18" s="51"/>
      <c r="GB18" s="51"/>
      <c r="GC18" s="51"/>
      <c r="GD18" s="51"/>
      <c r="GE18" s="51"/>
      <c r="GF18" s="51"/>
      <c r="GG18" s="51"/>
      <c r="GH18" s="51"/>
    </row>
    <row r="19" spans="1:190" s="55" customFormat="1" x14ac:dyDescent="0.3">
      <c r="A19" s="57" t="s">
        <v>244</v>
      </c>
      <c r="B19" s="58"/>
      <c r="C19" s="137">
        <f t="shared" ref="C19:H19" si="1">SUM(C3:C18)</f>
        <v>78459.549999999988</v>
      </c>
      <c r="D19" s="137">
        <f t="shared" si="1"/>
        <v>60194</v>
      </c>
      <c r="E19" s="137">
        <f>SUM(E3:E18)</f>
        <v>58391</v>
      </c>
      <c r="F19" s="137">
        <f t="shared" si="1"/>
        <v>58391</v>
      </c>
      <c r="G19" s="137">
        <f t="shared" si="1"/>
        <v>0</v>
      </c>
      <c r="H19" s="137">
        <f t="shared" si="1"/>
        <v>0</v>
      </c>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c r="DB19" s="51"/>
      <c r="DC19" s="51"/>
      <c r="DD19" s="51"/>
      <c r="DE19" s="51"/>
      <c r="DF19" s="51"/>
      <c r="DG19" s="51"/>
      <c r="DH19" s="51"/>
      <c r="DI19" s="51"/>
      <c r="DJ19" s="51"/>
      <c r="DK19" s="51"/>
      <c r="DL19" s="51"/>
      <c r="DM19" s="51"/>
      <c r="DN19" s="51"/>
      <c r="DO19" s="51"/>
      <c r="DP19" s="51"/>
      <c r="DQ19" s="51"/>
      <c r="DR19" s="51"/>
      <c r="DS19" s="51"/>
      <c r="DT19" s="51"/>
      <c r="DU19" s="51"/>
      <c r="DV19" s="51"/>
      <c r="DW19" s="51"/>
      <c r="DX19" s="51"/>
      <c r="DY19" s="51"/>
      <c r="DZ19" s="51"/>
      <c r="EA19" s="51"/>
      <c r="EB19" s="51"/>
      <c r="EC19" s="51"/>
      <c r="ED19" s="51"/>
      <c r="EE19" s="51"/>
      <c r="EF19" s="51"/>
      <c r="EG19" s="51"/>
      <c r="EH19" s="51"/>
      <c r="EI19" s="51"/>
      <c r="EJ19" s="51"/>
      <c r="EK19" s="51"/>
      <c r="EL19" s="51"/>
      <c r="EM19" s="51"/>
      <c r="EN19" s="51"/>
      <c r="EO19" s="51"/>
      <c r="EP19" s="51"/>
      <c r="EQ19" s="51"/>
      <c r="ER19" s="51"/>
      <c r="ES19" s="51"/>
      <c r="ET19" s="51"/>
      <c r="EU19" s="51"/>
      <c r="EV19" s="51"/>
      <c r="EW19" s="51"/>
      <c r="EX19" s="51"/>
      <c r="EY19" s="51"/>
      <c r="EZ19" s="51"/>
      <c r="FA19" s="51"/>
      <c r="FB19" s="51"/>
      <c r="FC19" s="51"/>
      <c r="FD19" s="51"/>
      <c r="FE19" s="51"/>
      <c r="FF19" s="51"/>
      <c r="FG19" s="51"/>
      <c r="FH19" s="51"/>
      <c r="FI19" s="51"/>
      <c r="FJ19" s="51"/>
      <c r="FK19" s="51"/>
      <c r="FL19" s="51"/>
      <c r="FM19" s="51"/>
      <c r="FN19" s="51"/>
      <c r="FO19" s="51"/>
      <c r="FP19" s="51"/>
      <c r="FQ19" s="51"/>
      <c r="FR19" s="51"/>
      <c r="FS19" s="51"/>
      <c r="FT19" s="51"/>
      <c r="FU19" s="51"/>
      <c r="FV19" s="51"/>
      <c r="FW19" s="51"/>
      <c r="FX19" s="51"/>
      <c r="FY19" s="51"/>
      <c r="FZ19" s="51"/>
      <c r="GA19" s="51"/>
      <c r="GB19" s="51"/>
      <c r="GC19" s="51"/>
      <c r="GD19" s="51"/>
      <c r="GE19" s="51"/>
      <c r="GF19" s="51"/>
      <c r="GG19" s="51"/>
      <c r="GH19" s="51"/>
    </row>
    <row r="20" spans="1:190" s="55" customFormat="1" x14ac:dyDescent="0.3">
      <c r="A20" s="51"/>
      <c r="B20" s="59"/>
      <c r="C20" s="138"/>
      <c r="D20" s="138"/>
      <c r="E20" s="138"/>
      <c r="F20" s="138"/>
      <c r="G20" s="138"/>
      <c r="H20" s="138"/>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row>
  </sheetData>
  <sortState ref="A3:H19">
    <sortCondition ref="A16:A19"/>
  </sortState>
  <mergeCells count="1">
    <mergeCell ref="A1:H1"/>
  </mergeCells>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tabColor theme="6" tint="0.79998168889431442"/>
  </sheetPr>
  <dimension ref="A1:U75"/>
  <sheetViews>
    <sheetView showGridLines="0" zoomScaleNormal="100" workbookViewId="0">
      <selection activeCell="H25" sqref="H25"/>
    </sheetView>
  </sheetViews>
  <sheetFormatPr defaultColWidth="9.21875" defaultRowHeight="13.8" x14ac:dyDescent="0.3"/>
  <cols>
    <col min="1" max="1" width="30" style="146" bestFit="1" customWidth="1"/>
    <col min="2" max="2" width="7.77734375" style="146" bestFit="1" customWidth="1"/>
    <col min="3" max="3" width="8.77734375" style="146" bestFit="1" customWidth="1"/>
    <col min="4" max="6" width="7.77734375" style="146" customWidth="1"/>
    <col min="7" max="7" width="8.77734375" style="146" customWidth="1"/>
    <col min="8" max="8" width="30" style="146" bestFit="1" customWidth="1"/>
    <col min="9" max="9" width="11.33203125" style="146" customWidth="1"/>
    <col min="10" max="10" width="11.5546875" style="146" bestFit="1" customWidth="1"/>
    <col min="11" max="11" width="10.77734375" style="146" customWidth="1"/>
    <col min="12" max="13" width="9.77734375" style="146" bestFit="1" customWidth="1"/>
    <col min="14" max="14" width="8.77734375" style="146" customWidth="1"/>
    <col min="15" max="15" width="30.77734375" style="146" bestFit="1" customWidth="1"/>
    <col min="16" max="16" width="13.88671875" style="146" bestFit="1" customWidth="1"/>
    <col min="17" max="17" width="16.109375" style="146" bestFit="1" customWidth="1"/>
    <col min="18" max="18" width="13.88671875" style="146" bestFit="1" customWidth="1"/>
    <col min="19" max="20" width="12.77734375" style="146" bestFit="1" customWidth="1"/>
    <col min="21" max="16384" width="9.21875" style="146"/>
  </cols>
  <sheetData>
    <row r="1" spans="1:20" ht="17.399999999999999" x14ac:dyDescent="0.3">
      <c r="A1" s="176" t="s">
        <v>455</v>
      </c>
      <c r="B1" s="176">
        <f>Premissas!D5</f>
        <v>2023</v>
      </c>
      <c r="C1" s="176">
        <f>Premissas!E5</f>
        <v>2024</v>
      </c>
      <c r="D1" s="176">
        <f>Premissas!F5</f>
        <v>2025</v>
      </c>
      <c r="E1" s="176"/>
      <c r="F1" s="176"/>
      <c r="H1" s="176" t="s">
        <v>456</v>
      </c>
      <c r="I1" s="176">
        <f>B16</f>
        <v>2023</v>
      </c>
      <c r="J1" s="176">
        <f>C16</f>
        <v>2024</v>
      </c>
      <c r="K1" s="176">
        <f>D16</f>
        <v>2025</v>
      </c>
      <c r="L1" s="176">
        <f>E16</f>
        <v>0</v>
      </c>
      <c r="M1" s="176">
        <f>F16</f>
        <v>0</v>
      </c>
      <c r="O1" s="176" t="s">
        <v>36</v>
      </c>
      <c r="P1" s="176">
        <f>I1</f>
        <v>2023</v>
      </c>
      <c r="Q1" s="176">
        <f>J1</f>
        <v>2024</v>
      </c>
      <c r="R1" s="176">
        <f>K1</f>
        <v>2025</v>
      </c>
      <c r="S1" s="176">
        <f>L1</f>
        <v>0</v>
      </c>
      <c r="T1" s="176">
        <f>M1</f>
        <v>0</v>
      </c>
    </row>
    <row r="2" spans="1:20" ht="14.4" x14ac:dyDescent="0.3">
      <c r="A2" s="177" t="str">
        <f>Oferta!A3</f>
        <v>PR-CARAGUATATUBA</v>
      </c>
      <c r="B2" s="178">
        <f>Oferta!D3</f>
        <v>15000</v>
      </c>
      <c r="C2" s="179">
        <f>Oferta!E3</f>
        <v>14178</v>
      </c>
      <c r="D2" s="178">
        <f>Oferta!F3</f>
        <v>14178</v>
      </c>
      <c r="E2" s="178">
        <f>Oferta!G3</f>
        <v>0</v>
      </c>
      <c r="F2" s="178">
        <f>Oferta!H3</f>
        <v>0</v>
      </c>
      <c r="G2" s="180"/>
      <c r="H2" s="177" t="str">
        <f t="shared" ref="H2:H11" si="0">A2</f>
        <v>PR-CARAGUATATUBA</v>
      </c>
      <c r="I2" s="181">
        <f>'Oferta x Demanda'!B2*Premissas!D$20</f>
        <v>5475000</v>
      </c>
      <c r="J2" s="179">
        <f>'Oferta x Demanda'!C2*Premissas!E$20</f>
        <v>3473610</v>
      </c>
      <c r="K2" s="181">
        <f>'Oferta x Demanda'!D2*Premissas!F$20</f>
        <v>5174970</v>
      </c>
      <c r="L2" s="181">
        <f>'Oferta x Demanda'!E2*Premissas!E$20</f>
        <v>0</v>
      </c>
      <c r="M2" s="181">
        <f>'Oferta x Demanda'!F2*Premissas!F$20</f>
        <v>0</v>
      </c>
      <c r="O2" s="177" t="str">
        <f>H2</f>
        <v>PR-CARAGUATATUBA</v>
      </c>
      <c r="P2" s="181">
        <f>I2*Premissas!$B$19</f>
        <v>204229430.02500001</v>
      </c>
      <c r="Q2" s="179">
        <f>J2*Premissas!$B$19</f>
        <v>129573221.99619001</v>
      </c>
      <c r="R2" s="181">
        <f>K2*Premissas!$B$19</f>
        <v>193037657.25963002</v>
      </c>
      <c r="S2" s="181">
        <f>L2*Premissas!$B$19</f>
        <v>0</v>
      </c>
      <c r="T2" s="181">
        <f>M2*Premissas!$B$19</f>
        <v>0</v>
      </c>
    </row>
    <row r="3" spans="1:20" ht="14.4" x14ac:dyDescent="0.3">
      <c r="A3" s="177" t="str">
        <f>Oferta!A4</f>
        <v>PR-GNLBGB</v>
      </c>
      <c r="B3" s="178">
        <f>Oferta!D4</f>
        <v>20000</v>
      </c>
      <c r="C3" s="179">
        <f>Oferta!E4</f>
        <v>20000</v>
      </c>
      <c r="D3" s="178">
        <f>Oferta!F4</f>
        <v>20000</v>
      </c>
      <c r="E3" s="178">
        <f>Oferta!G4</f>
        <v>0</v>
      </c>
      <c r="F3" s="178">
        <f>Oferta!H4</f>
        <v>0</v>
      </c>
      <c r="G3" s="180"/>
      <c r="H3" s="177" t="str">
        <f t="shared" si="0"/>
        <v>PR-GNLBGB</v>
      </c>
      <c r="I3" s="181">
        <f>'Oferta x Demanda'!B3*Premissas!D$20</f>
        <v>7300000</v>
      </c>
      <c r="J3" s="179">
        <f>'Oferta x Demanda'!C3*Premissas!E$20</f>
        <v>4900000</v>
      </c>
      <c r="K3" s="181">
        <f>'Oferta x Demanda'!D3*Premissas!F$20</f>
        <v>7300000</v>
      </c>
      <c r="L3" s="181">
        <f>'Oferta x Demanda'!E3*Premissas!E$20</f>
        <v>0</v>
      </c>
      <c r="M3" s="181">
        <f>'Oferta x Demanda'!F3*Premissas!F$20</f>
        <v>0</v>
      </c>
      <c r="O3" s="177" t="str">
        <f t="shared" ref="O3:O11" si="1">H3</f>
        <v>PR-GNLBGB</v>
      </c>
      <c r="P3" s="181">
        <f>I3*Premissas!$B$19</f>
        <v>272305906.69999999</v>
      </c>
      <c r="Q3" s="179">
        <f>J3*Premissas!$B$19</f>
        <v>182780677.10000002</v>
      </c>
      <c r="R3" s="181">
        <f>K3*Premissas!$B$19</f>
        <v>272305906.69999999</v>
      </c>
      <c r="S3" s="181">
        <f>L3*Premissas!$B$19</f>
        <v>0</v>
      </c>
      <c r="T3" s="181">
        <f>M3*Premissas!$B$19</f>
        <v>0</v>
      </c>
    </row>
    <row r="4" spans="1:20" ht="14.4" x14ac:dyDescent="0.3">
      <c r="A4" s="177" t="str">
        <f>Oferta!A5</f>
        <v>PR-ITABORAÍ</v>
      </c>
      <c r="B4" s="178">
        <f>Oferta!D5</f>
        <v>7322</v>
      </c>
      <c r="C4" s="179">
        <f>Oferta!E5</f>
        <v>13000</v>
      </c>
      <c r="D4" s="178">
        <f>Oferta!F5</f>
        <v>13000</v>
      </c>
      <c r="E4" s="178">
        <f>Oferta!G5</f>
        <v>0</v>
      </c>
      <c r="F4" s="178">
        <f>Oferta!H5</f>
        <v>0</v>
      </c>
      <c r="G4" s="180"/>
      <c r="H4" s="177" t="str">
        <f t="shared" si="0"/>
        <v>PR-ITABORAÍ</v>
      </c>
      <c r="I4" s="181">
        <f>'Oferta x Demanda'!B4*Premissas!D$20</f>
        <v>2672530</v>
      </c>
      <c r="J4" s="179">
        <f>'Oferta x Demanda'!C4*Premissas!E$20</f>
        <v>3185000</v>
      </c>
      <c r="K4" s="181">
        <f>'Oferta x Demanda'!D4*Premissas!F$20</f>
        <v>4745000</v>
      </c>
      <c r="L4" s="181">
        <f>'Oferta x Demanda'!E4*Premissas!E$20</f>
        <v>0</v>
      </c>
      <c r="M4" s="181">
        <f>'Oferta x Demanda'!F4*Premissas!F$20</f>
        <v>0</v>
      </c>
      <c r="O4" s="177" t="str">
        <f t="shared" si="1"/>
        <v>PR-ITABORAÍ</v>
      </c>
      <c r="P4" s="181">
        <f>I4*Premissas!$B$19</f>
        <v>99691192.442870006</v>
      </c>
      <c r="Q4" s="179">
        <f>J4*Premissas!$B$19</f>
        <v>118807440.11500001</v>
      </c>
      <c r="R4" s="181">
        <f>K4*Premissas!$B$19</f>
        <v>176998839.35500002</v>
      </c>
      <c r="S4" s="181">
        <f>L4*Premissas!$B$19</f>
        <v>0</v>
      </c>
      <c r="T4" s="181">
        <f>M4*Premissas!$B$19</f>
        <v>0</v>
      </c>
    </row>
    <row r="5" spans="1:20" ht="14.4" x14ac:dyDescent="0.3">
      <c r="A5" s="177" t="str">
        <f>Oferta!A6</f>
        <v>PR-GASPAJ (INTERCONEXÃO)</v>
      </c>
      <c r="B5" s="178">
        <f>Oferta!D6</f>
        <v>1250</v>
      </c>
      <c r="C5" s="179">
        <f>Oferta!E6</f>
        <v>335</v>
      </c>
      <c r="D5" s="178">
        <f>Oferta!F6</f>
        <v>335</v>
      </c>
      <c r="E5" s="178">
        <f>Oferta!G6</f>
        <v>0</v>
      </c>
      <c r="F5" s="178">
        <f>Oferta!H6</f>
        <v>0</v>
      </c>
      <c r="G5" s="180"/>
      <c r="H5" s="177" t="str">
        <f t="shared" si="0"/>
        <v>PR-GASPAJ (INTERCONEXÃO)</v>
      </c>
      <c r="I5" s="181">
        <f>'Oferta x Demanda'!B5*Premissas!D$20</f>
        <v>456250</v>
      </c>
      <c r="J5" s="179">
        <f>'Oferta x Demanda'!C5*Premissas!E$20</f>
        <v>82075</v>
      </c>
      <c r="K5" s="181">
        <f>'Oferta x Demanda'!D5*Premissas!F$20</f>
        <v>122275</v>
      </c>
      <c r="L5" s="181">
        <f>'Oferta x Demanda'!E5*Premissas!E$20</f>
        <v>0</v>
      </c>
      <c r="M5" s="181">
        <f>'Oferta x Demanda'!F5*Premissas!F$20</f>
        <v>0</v>
      </c>
      <c r="O5" s="177" t="str">
        <f t="shared" si="1"/>
        <v>PR-GASPAJ (INTERCONEXÃO)</v>
      </c>
      <c r="P5" s="181">
        <f>I5*Premissas!$B$19</f>
        <v>17019119.168749999</v>
      </c>
      <c r="Q5" s="179">
        <f>J5*Premissas!$B$19</f>
        <v>3061576.3414250002</v>
      </c>
      <c r="R5" s="181">
        <f>K5*Premissas!$B$19</f>
        <v>4561123.937225</v>
      </c>
      <c r="S5" s="181">
        <f>L5*Premissas!$B$19</f>
        <v>0</v>
      </c>
      <c r="T5" s="181">
        <f>M5*Premissas!$B$19</f>
        <v>0</v>
      </c>
    </row>
    <row r="6" spans="1:20" ht="14.4" x14ac:dyDescent="0.3">
      <c r="A6" s="177" t="str">
        <f>Oferta!A7</f>
        <v>PR-REDUC</v>
      </c>
      <c r="B6" s="178">
        <f>Oferta!D7</f>
        <v>0</v>
      </c>
      <c r="C6" s="179">
        <f>Oferta!E7</f>
        <v>0</v>
      </c>
      <c r="D6" s="178">
        <f>Oferta!F7</f>
        <v>0</v>
      </c>
      <c r="E6" s="178">
        <f>Oferta!G7</f>
        <v>0</v>
      </c>
      <c r="F6" s="178">
        <f>Oferta!H7</f>
        <v>0</v>
      </c>
      <c r="G6" s="180"/>
      <c r="H6" s="177" t="str">
        <f t="shared" si="0"/>
        <v>PR-REDUC</v>
      </c>
      <c r="I6" s="181">
        <f>'Oferta x Demanda'!B6*Premissas!D$20</f>
        <v>0</v>
      </c>
      <c r="J6" s="179">
        <f>'Oferta x Demanda'!C6*Premissas!E$20</f>
        <v>0</v>
      </c>
      <c r="K6" s="181">
        <f>'Oferta x Demanda'!D6*Premissas!F$20</f>
        <v>0</v>
      </c>
      <c r="L6" s="181">
        <f>'Oferta x Demanda'!E6*Premissas!E$20</f>
        <v>0</v>
      </c>
      <c r="M6" s="181">
        <f>'Oferta x Demanda'!F6*Premissas!F$20</f>
        <v>0</v>
      </c>
      <c r="O6" s="177" t="str">
        <f t="shared" si="1"/>
        <v>PR-REDUC</v>
      </c>
      <c r="P6" s="181">
        <f>I6*Premissas!$B$19</f>
        <v>0</v>
      </c>
      <c r="Q6" s="179">
        <f>J6*Premissas!$B$19</f>
        <v>0</v>
      </c>
      <c r="R6" s="181">
        <f>K6*Premissas!$B$19</f>
        <v>0</v>
      </c>
      <c r="S6" s="181">
        <f>L6*Premissas!$B$19</f>
        <v>0</v>
      </c>
      <c r="T6" s="181">
        <f>M6*Premissas!$B$19</f>
        <v>0</v>
      </c>
    </row>
    <row r="7" spans="1:20" ht="14.4" x14ac:dyDescent="0.3">
      <c r="A7" s="177" t="str">
        <f>Oferta!A8</f>
        <v>PR-RPBC</v>
      </c>
      <c r="B7" s="178">
        <f>Oferta!D8</f>
        <v>0</v>
      </c>
      <c r="C7" s="179">
        <f>Oferta!E8</f>
        <v>0</v>
      </c>
      <c r="D7" s="178">
        <f>Oferta!F8</f>
        <v>0</v>
      </c>
      <c r="E7" s="178">
        <f>Oferta!G8</f>
        <v>0</v>
      </c>
      <c r="F7" s="178">
        <f>Oferta!H8</f>
        <v>0</v>
      </c>
      <c r="G7" s="180"/>
      <c r="H7" s="177" t="str">
        <f t="shared" si="0"/>
        <v>PR-RPBC</v>
      </c>
      <c r="I7" s="181">
        <f>'Oferta x Demanda'!B7*Premissas!D$20</f>
        <v>0</v>
      </c>
      <c r="J7" s="179">
        <f>'Oferta x Demanda'!C7*Premissas!E$20</f>
        <v>0</v>
      </c>
      <c r="K7" s="181">
        <f>'Oferta x Demanda'!D7*Premissas!F$20</f>
        <v>0</v>
      </c>
      <c r="L7" s="181">
        <f>'Oferta x Demanda'!E7*Premissas!E$20</f>
        <v>0</v>
      </c>
      <c r="M7" s="181">
        <f>'Oferta x Demanda'!F7*Premissas!F$20</f>
        <v>0</v>
      </c>
      <c r="O7" s="177" t="str">
        <f t="shared" si="1"/>
        <v>PR-RPBC</v>
      </c>
      <c r="P7" s="181">
        <f>I7*Premissas!$B$19</f>
        <v>0</v>
      </c>
      <c r="Q7" s="179">
        <f>J7*Premissas!$B$19</f>
        <v>0</v>
      </c>
      <c r="R7" s="181">
        <f>K7*Premissas!$B$19</f>
        <v>0</v>
      </c>
      <c r="S7" s="181">
        <f>L7*Premissas!$B$19</f>
        <v>0</v>
      </c>
      <c r="T7" s="181">
        <f>M7*Premissas!$B$19</f>
        <v>0</v>
      </c>
    </row>
    <row r="8" spans="1:20" ht="14.4" x14ac:dyDescent="0.3">
      <c r="A8" s="177" t="str">
        <f>Oferta!A9</f>
        <v>PR-TECAB</v>
      </c>
      <c r="B8" s="178">
        <f>Oferta!D9</f>
        <v>11650</v>
      </c>
      <c r="C8" s="179">
        <f>Oferta!E9</f>
        <v>14855</v>
      </c>
      <c r="D8" s="178">
        <f>Oferta!F9</f>
        <v>14855</v>
      </c>
      <c r="E8" s="178">
        <f>Oferta!G9</f>
        <v>0</v>
      </c>
      <c r="F8" s="178">
        <f>Oferta!H9</f>
        <v>0</v>
      </c>
      <c r="G8" s="180"/>
      <c r="H8" s="177" t="str">
        <f t="shared" si="0"/>
        <v>PR-TECAB</v>
      </c>
      <c r="I8" s="181">
        <f>'Oferta x Demanda'!B8*Premissas!D$20</f>
        <v>4252250</v>
      </c>
      <c r="J8" s="179">
        <f>'Oferta x Demanda'!C8*Premissas!E$20</f>
        <v>3639475</v>
      </c>
      <c r="K8" s="181">
        <f>'Oferta x Demanda'!D8*Premissas!F$20</f>
        <v>5422075</v>
      </c>
      <c r="L8" s="181">
        <f>'Oferta x Demanda'!E8*Premissas!E$20</f>
        <v>0</v>
      </c>
      <c r="M8" s="181">
        <f>'Oferta x Demanda'!F8*Premissas!F$20</f>
        <v>0</v>
      </c>
      <c r="O8" s="177" t="str">
        <f t="shared" si="1"/>
        <v>PR-TECAB</v>
      </c>
      <c r="P8" s="181">
        <f>I8*Premissas!$B$19</f>
        <v>158618190.65275002</v>
      </c>
      <c r="Q8" s="179">
        <f>J8*Premissas!$B$19</f>
        <v>135760347.91602501</v>
      </c>
      <c r="R8" s="181">
        <f>K8*Premissas!$B$19</f>
        <v>202255212.20142502</v>
      </c>
      <c r="S8" s="181">
        <f>L8*Premissas!$B$19</f>
        <v>0</v>
      </c>
      <c r="T8" s="181">
        <f>M8*Premissas!$B$19</f>
        <v>0</v>
      </c>
    </row>
    <row r="9" spans="1:20" ht="14.4" x14ac:dyDescent="0.3">
      <c r="A9" s="177" t="str">
        <f>Oferta!A10</f>
        <v>PR-GUARAREMA (INTERCONEXÃO)</v>
      </c>
      <c r="B9" s="178">
        <f>Oferta!D10</f>
        <v>7000</v>
      </c>
      <c r="C9" s="179">
        <f>Oferta!E10</f>
        <v>6000</v>
      </c>
      <c r="D9" s="178">
        <f>Oferta!F10</f>
        <v>6000</v>
      </c>
      <c r="E9" s="178">
        <f>Oferta!G10</f>
        <v>0</v>
      </c>
      <c r="F9" s="178">
        <f>Oferta!H10</f>
        <v>0</v>
      </c>
      <c r="G9" s="180"/>
      <c r="H9" s="177" t="str">
        <f t="shared" si="0"/>
        <v>PR-GUARAREMA (INTERCONEXÃO)</v>
      </c>
      <c r="I9" s="181">
        <f>'Oferta x Demanda'!B9*Premissas!D$20</f>
        <v>2555000</v>
      </c>
      <c r="J9" s="179">
        <f>'Oferta x Demanda'!C9*Premissas!E$20</f>
        <v>1470000</v>
      </c>
      <c r="K9" s="181">
        <f>'Oferta x Demanda'!D9*Premissas!F$20</f>
        <v>2190000</v>
      </c>
      <c r="L9" s="181">
        <f>'Oferta x Demanda'!E9*Premissas!E$20</f>
        <v>0</v>
      </c>
      <c r="M9" s="181">
        <f>'Oferta x Demanda'!F9*Premissas!F$20</f>
        <v>0</v>
      </c>
      <c r="O9" s="177" t="str">
        <f t="shared" si="1"/>
        <v>PR-GUARAREMA (INTERCONEXÃO)</v>
      </c>
      <c r="P9" s="181">
        <f>I9*Premissas!$B$19</f>
        <v>95307067.344999999</v>
      </c>
      <c r="Q9" s="179">
        <f>J9*Premissas!$B$19</f>
        <v>54834203.130000003</v>
      </c>
      <c r="R9" s="181">
        <f>K9*Premissas!$B$19</f>
        <v>81691772.010000005</v>
      </c>
      <c r="S9" s="181">
        <f>L9*Premissas!$B$19</f>
        <v>0</v>
      </c>
      <c r="T9" s="181">
        <f>M9*Premissas!$B$19</f>
        <v>0</v>
      </c>
    </row>
    <row r="10" spans="1:20" ht="14.4" x14ac:dyDescent="0.3">
      <c r="A10" s="177" t="str">
        <f>Oferta!A11</f>
        <v>PR-REPLAN (INTERCONEXÃO)</v>
      </c>
      <c r="B10" s="178">
        <f>Oferta!D11</f>
        <v>8400</v>
      </c>
      <c r="C10" s="179">
        <f>Oferta!E11</f>
        <v>200</v>
      </c>
      <c r="D10" s="178">
        <f>Oferta!F11</f>
        <v>200</v>
      </c>
      <c r="E10" s="178">
        <f>Oferta!G11</f>
        <v>0</v>
      </c>
      <c r="F10" s="178">
        <f>Oferta!H11</f>
        <v>0</v>
      </c>
      <c r="G10" s="180"/>
      <c r="H10" s="177" t="str">
        <f t="shared" si="0"/>
        <v>PR-REPLAN (INTERCONEXÃO)</v>
      </c>
      <c r="I10" s="181">
        <f>'Oferta x Demanda'!B10*Premissas!D$20</f>
        <v>3066000</v>
      </c>
      <c r="J10" s="179">
        <f>'Oferta x Demanda'!C10*Premissas!E$20</f>
        <v>49000</v>
      </c>
      <c r="K10" s="181">
        <f>'Oferta x Demanda'!D10*Premissas!F$20</f>
        <v>73000</v>
      </c>
      <c r="L10" s="181">
        <f>'Oferta x Demanda'!E10*Premissas!E$20</f>
        <v>0</v>
      </c>
      <c r="M10" s="181">
        <f>'Oferta x Demanda'!F10*Premissas!F$20</f>
        <v>0</v>
      </c>
      <c r="O10" s="177" t="str">
        <f t="shared" si="1"/>
        <v>PR-REPLAN (INTERCONEXÃO)</v>
      </c>
      <c r="P10" s="181">
        <f>I10*Premissas!$B$19</f>
        <v>114368480.81400001</v>
      </c>
      <c r="Q10" s="179">
        <f>J10*Premissas!$B$19</f>
        <v>1827806.7710000002</v>
      </c>
      <c r="R10" s="181">
        <f>K10*Premissas!$B$19</f>
        <v>2723059.0670000003</v>
      </c>
      <c r="S10" s="181">
        <f>L10*Premissas!$B$19</f>
        <v>0</v>
      </c>
      <c r="T10" s="181">
        <f>M10*Premissas!$B$19</f>
        <v>0</v>
      </c>
    </row>
    <row r="11" spans="1:20" ht="14.4" x14ac:dyDescent="0.3">
      <c r="A11" s="177" t="str">
        <f>Oferta!A12</f>
        <v>PR-TECAB (INTERCONEXÃO)</v>
      </c>
      <c r="B11" s="178">
        <f>Oferta!D12</f>
        <v>8000</v>
      </c>
      <c r="C11" s="179">
        <f>Oferta!E12</f>
        <v>200</v>
      </c>
      <c r="D11" s="178">
        <f>Oferta!F12</f>
        <v>200</v>
      </c>
      <c r="E11" s="178">
        <f>Oferta!G12</f>
        <v>0</v>
      </c>
      <c r="F11" s="178">
        <f>Oferta!H12</f>
        <v>0</v>
      </c>
      <c r="G11" s="180"/>
      <c r="H11" s="177" t="str">
        <f t="shared" si="0"/>
        <v>PR-TECAB (INTERCONEXÃO)</v>
      </c>
      <c r="I11" s="181">
        <f>'Oferta x Demanda'!B11*Premissas!D$20</f>
        <v>2920000</v>
      </c>
      <c r="J11" s="179">
        <f>'Oferta x Demanda'!C11*Premissas!E$20</f>
        <v>49000</v>
      </c>
      <c r="K11" s="181">
        <f>'Oferta x Demanda'!D11*Premissas!F$20</f>
        <v>73000</v>
      </c>
      <c r="L11" s="181">
        <f>'Oferta x Demanda'!E11*Premissas!E$20</f>
        <v>0</v>
      </c>
      <c r="M11" s="181">
        <f>'Oferta x Demanda'!F11*Premissas!F$20</f>
        <v>0</v>
      </c>
      <c r="O11" s="177" t="str">
        <f t="shared" si="1"/>
        <v>PR-TECAB (INTERCONEXÃO)</v>
      </c>
      <c r="P11" s="181">
        <f>I11*Premissas!$B$19</f>
        <v>108922362.68000001</v>
      </c>
      <c r="Q11" s="179">
        <f>J11*Premissas!$B$19</f>
        <v>1827806.7710000002</v>
      </c>
      <c r="R11" s="181">
        <f>K11*Premissas!$B$19</f>
        <v>2723059.0670000003</v>
      </c>
      <c r="S11" s="181">
        <f>L11*Premissas!$B$19</f>
        <v>0</v>
      </c>
      <c r="T11" s="181">
        <f>M11*Premissas!$B$19</f>
        <v>0</v>
      </c>
    </row>
    <row r="12" spans="1:20" x14ac:dyDescent="0.3">
      <c r="B12" s="41">
        <f>SUM(B2:B11)</f>
        <v>78622</v>
      </c>
      <c r="C12" s="41">
        <f>SUM(C2:C11)</f>
        <v>68768</v>
      </c>
      <c r="D12" s="41">
        <f t="shared" ref="D12:F12" si="2">SUM(D2:D11)</f>
        <v>68768</v>
      </c>
      <c r="E12" s="41">
        <f t="shared" si="2"/>
        <v>0</v>
      </c>
      <c r="F12" s="41">
        <f t="shared" si="2"/>
        <v>0</v>
      </c>
      <c r="G12" s="41"/>
      <c r="H12" s="41"/>
      <c r="I12" s="41">
        <f>SUM(I2:I11)</f>
        <v>28697030</v>
      </c>
      <c r="J12" s="41">
        <f>SUM(J2:J11)</f>
        <v>16848160</v>
      </c>
      <c r="K12" s="41">
        <f>SUM(K2:K11)</f>
        <v>25100320</v>
      </c>
      <c r="L12" s="41">
        <f>SUM(L2:L11)</f>
        <v>0</v>
      </c>
      <c r="M12" s="41">
        <f>SUM(M2:M11)</f>
        <v>0</v>
      </c>
      <c r="N12" s="41"/>
      <c r="O12" s="41"/>
      <c r="P12" s="41">
        <f>SUM(P2:P11)</f>
        <v>1070461749.8283701</v>
      </c>
      <c r="Q12" s="41">
        <f>SUM(Q2:Q11)</f>
        <v>628473080.14064014</v>
      </c>
      <c r="R12" s="41">
        <f>SUM(R2:R11)</f>
        <v>936296629.59728003</v>
      </c>
      <c r="S12" s="41">
        <f>SUM(S2:S11)</f>
        <v>0</v>
      </c>
      <c r="T12" s="41">
        <f>SUM(T2:T11)</f>
        <v>0</v>
      </c>
    </row>
    <row r="13" spans="1:20" x14ac:dyDescent="0.3">
      <c r="B13" s="41">
        <f>Oferta!D13</f>
        <v>78622</v>
      </c>
      <c r="C13" s="41">
        <f>Oferta!E13</f>
        <v>68768</v>
      </c>
      <c r="D13" s="41">
        <f>Oferta!F13</f>
        <v>68768</v>
      </c>
      <c r="E13" s="41">
        <f>Oferta!G13</f>
        <v>0</v>
      </c>
      <c r="F13" s="41">
        <f>Oferta!H13</f>
        <v>0</v>
      </c>
      <c r="I13" s="41">
        <f>B13*Premissas!D20</f>
        <v>28697030</v>
      </c>
      <c r="J13" s="41">
        <f>C13*Premissas!E20</f>
        <v>16848160</v>
      </c>
      <c r="K13" s="41">
        <f>D13*Premissas!F20</f>
        <v>25100320</v>
      </c>
      <c r="L13" s="41">
        <f>E13*Premissas!E20</f>
        <v>0</v>
      </c>
      <c r="M13" s="41">
        <f>F13*Premissas!F20</f>
        <v>0</v>
      </c>
      <c r="N13" s="41"/>
      <c r="O13" s="41"/>
      <c r="P13" s="41">
        <f>I13*Premissas!$B$19</f>
        <v>1070461749.8283701</v>
      </c>
      <c r="Q13" s="41">
        <f>J13*Premissas!$B$19</f>
        <v>628473080.14064002</v>
      </c>
      <c r="R13" s="41">
        <f>K13*Premissas!$B$19</f>
        <v>936296629.59728003</v>
      </c>
      <c r="S13" s="41">
        <f>L13*Premissas!$B$19</f>
        <v>0</v>
      </c>
      <c r="T13" s="41">
        <f>M13*Premissas!$B$19</f>
        <v>0</v>
      </c>
    </row>
    <row r="14" spans="1:20" x14ac:dyDescent="0.3">
      <c r="B14" s="41">
        <f>B12-B13</f>
        <v>0</v>
      </c>
      <c r="C14" s="41">
        <f>C12-C13</f>
        <v>0</v>
      </c>
      <c r="D14" s="41">
        <f>D12-D13</f>
        <v>0</v>
      </c>
      <c r="E14" s="41">
        <f>E12-E13</f>
        <v>0</v>
      </c>
      <c r="F14" s="41">
        <f>F12-F13</f>
        <v>0</v>
      </c>
      <c r="G14" s="41"/>
      <c r="H14" s="41"/>
      <c r="I14" s="41">
        <f>I12-I13</f>
        <v>0</v>
      </c>
      <c r="J14" s="41">
        <f>J12-J13</f>
        <v>0</v>
      </c>
      <c r="K14" s="41">
        <f>K12-K13</f>
        <v>0</v>
      </c>
      <c r="L14" s="41">
        <f>L12-L13</f>
        <v>0</v>
      </c>
      <c r="M14" s="41">
        <f>M12-M13</f>
        <v>0</v>
      </c>
      <c r="N14" s="41"/>
      <c r="O14" s="41"/>
      <c r="P14" s="41">
        <f>P12-P13</f>
        <v>0</v>
      </c>
      <c r="Q14" s="41">
        <f>Q12-Q13</f>
        <v>0</v>
      </c>
      <c r="R14" s="41">
        <f>R12-R13</f>
        <v>0</v>
      </c>
      <c r="S14" s="41">
        <f>S12-S13</f>
        <v>0</v>
      </c>
      <c r="T14" s="41">
        <f>T12-T13</f>
        <v>0</v>
      </c>
    </row>
    <row r="16" spans="1:20" ht="17.399999999999999" x14ac:dyDescent="0.3">
      <c r="A16" s="176" t="s">
        <v>35</v>
      </c>
      <c r="B16" s="176">
        <f>B1</f>
        <v>2023</v>
      </c>
      <c r="C16" s="176">
        <f>C1</f>
        <v>2024</v>
      </c>
      <c r="D16" s="176">
        <f>D1</f>
        <v>2025</v>
      </c>
      <c r="E16" s="176">
        <f>E1</f>
        <v>0</v>
      </c>
      <c r="F16" s="176">
        <f>F1</f>
        <v>0</v>
      </c>
      <c r="H16" s="176" t="s">
        <v>457</v>
      </c>
      <c r="I16" s="176">
        <f>B16</f>
        <v>2023</v>
      </c>
      <c r="J16" s="176">
        <f>C16</f>
        <v>2024</v>
      </c>
      <c r="K16" s="176">
        <f>D16</f>
        <v>2025</v>
      </c>
      <c r="L16" s="176">
        <f>E16</f>
        <v>0</v>
      </c>
      <c r="M16" s="176">
        <f>F16</f>
        <v>0</v>
      </c>
      <c r="O16" s="176" t="s">
        <v>37</v>
      </c>
      <c r="P16" s="176">
        <f>P1</f>
        <v>2023</v>
      </c>
      <c r="Q16" s="176">
        <f>Q1</f>
        <v>2024</v>
      </c>
      <c r="R16" s="176">
        <f>R1</f>
        <v>2025</v>
      </c>
      <c r="S16" s="176">
        <f>S1</f>
        <v>0</v>
      </c>
      <c r="T16" s="176">
        <f>T1</f>
        <v>0</v>
      </c>
    </row>
    <row r="17" spans="1:20" ht="14.4" x14ac:dyDescent="0.3">
      <c r="A17" s="177" t="str">
        <f>Demanda!A3</f>
        <v>NTS MG 1</v>
      </c>
      <c r="B17" s="182">
        <f>Demanda!D3</f>
        <v>622</v>
      </c>
      <c r="C17" s="179">
        <f>Demanda!E3</f>
        <v>607</v>
      </c>
      <c r="D17" s="182">
        <f>Demanda!F3</f>
        <v>607</v>
      </c>
      <c r="E17" s="182">
        <f>Demanda!G3</f>
        <v>0</v>
      </c>
      <c r="F17" s="182">
        <f>Demanda!H3</f>
        <v>0</v>
      </c>
      <c r="H17" s="177" t="str">
        <f>Demanda!A3</f>
        <v>NTS MG 1</v>
      </c>
      <c r="I17" s="182">
        <f>B17*Premissas!D$20</f>
        <v>227030</v>
      </c>
      <c r="J17" s="179">
        <f>C17*Premissas!E$20</f>
        <v>148715</v>
      </c>
      <c r="K17" s="182">
        <f>D17*Premissas!F$20</f>
        <v>221555</v>
      </c>
      <c r="L17" s="182">
        <f>E17*Premissas!E$20</f>
        <v>0</v>
      </c>
      <c r="M17" s="182">
        <f>F17*Premissas!F$20</f>
        <v>0</v>
      </c>
      <c r="O17" s="177" t="str">
        <f>H17</f>
        <v>NTS MG 1</v>
      </c>
      <c r="P17" s="183">
        <f>I17*Premissas!$B$19</f>
        <v>8468713.6983700003</v>
      </c>
      <c r="Q17" s="184">
        <f>J17*Premissas!$B$19</f>
        <v>5547393.5499849999</v>
      </c>
      <c r="R17" s="183">
        <f>K17*Premissas!$B$19</f>
        <v>8264484.2683450002</v>
      </c>
      <c r="S17" s="183">
        <f>L17*Premissas!$B$19</f>
        <v>0</v>
      </c>
      <c r="T17" s="183">
        <f>M17*Premissas!$B$19</f>
        <v>0</v>
      </c>
    </row>
    <row r="18" spans="1:20" ht="14.4" x14ac:dyDescent="0.3">
      <c r="A18" s="177" t="str">
        <f>Demanda!A4</f>
        <v>NTS MG 2</v>
      </c>
      <c r="B18" s="182">
        <f>Demanda!D4</f>
        <v>1364</v>
      </c>
      <c r="C18" s="179">
        <f>Demanda!E4</f>
        <v>1678</v>
      </c>
      <c r="D18" s="182">
        <f>Demanda!F4</f>
        <v>1678</v>
      </c>
      <c r="E18" s="182">
        <f>Demanda!G4</f>
        <v>0</v>
      </c>
      <c r="F18" s="182">
        <f>Demanda!H4</f>
        <v>0</v>
      </c>
      <c r="H18" s="177" t="str">
        <f>Demanda!A4</f>
        <v>NTS MG 2</v>
      </c>
      <c r="I18" s="182">
        <f>B18*Premissas!D$20</f>
        <v>497860</v>
      </c>
      <c r="J18" s="179">
        <f>C18*Premissas!E$20</f>
        <v>411110</v>
      </c>
      <c r="K18" s="182">
        <f>D18*Premissas!F$20</f>
        <v>612470</v>
      </c>
      <c r="L18" s="182">
        <f>E18*Premissas!E$20</f>
        <v>0</v>
      </c>
      <c r="M18" s="182">
        <f>F18*Premissas!F$20</f>
        <v>0</v>
      </c>
      <c r="O18" s="177" t="str">
        <f t="shared" ref="O18:O32" si="3">H18</f>
        <v>NTS MG 2</v>
      </c>
      <c r="P18" s="183">
        <f>I18*Premissas!$B$19</f>
        <v>18571262.836940002</v>
      </c>
      <c r="Q18" s="184">
        <f>J18*Premissas!$B$19</f>
        <v>15335298.80869</v>
      </c>
      <c r="R18" s="183">
        <f>K18*Premissas!$B$19</f>
        <v>22846465.572130002</v>
      </c>
      <c r="S18" s="183">
        <f>L18*Premissas!$B$19</f>
        <v>0</v>
      </c>
      <c r="T18" s="183">
        <f>M18*Premissas!$B$19</f>
        <v>0</v>
      </c>
    </row>
    <row r="19" spans="1:20" ht="14.4" x14ac:dyDescent="0.3">
      <c r="A19" s="177" t="str">
        <f>Demanda!A5</f>
        <v>NTS MG 3</v>
      </c>
      <c r="B19" s="182">
        <f>Demanda!D5</f>
        <v>2920</v>
      </c>
      <c r="C19" s="179">
        <f>Demanda!E5</f>
        <v>2737</v>
      </c>
      <c r="D19" s="182">
        <f>Demanda!F5</f>
        <v>2737</v>
      </c>
      <c r="E19" s="182">
        <f>Demanda!G5</f>
        <v>0</v>
      </c>
      <c r="F19" s="182">
        <f>Demanda!H5</f>
        <v>0</v>
      </c>
      <c r="H19" s="177" t="str">
        <f>Demanda!A5</f>
        <v>NTS MG 3</v>
      </c>
      <c r="I19" s="182">
        <f>B19*Premissas!D$20</f>
        <v>1065800</v>
      </c>
      <c r="J19" s="179">
        <f>C19*Premissas!E$20</f>
        <v>670565</v>
      </c>
      <c r="K19" s="182">
        <f>D19*Premissas!F$20</f>
        <v>999005</v>
      </c>
      <c r="L19" s="182">
        <f>E19*Premissas!E$20</f>
        <v>0</v>
      </c>
      <c r="M19" s="182">
        <f>F19*Premissas!F$20</f>
        <v>0</v>
      </c>
      <c r="O19" s="177" t="str">
        <f t="shared" si="3"/>
        <v>NTS MG 3</v>
      </c>
      <c r="P19" s="183">
        <f>I19*Premissas!$B$19</f>
        <v>39756662.378200002</v>
      </c>
      <c r="Q19" s="184">
        <f>J19*Premissas!$B$19</f>
        <v>25013535.661135003</v>
      </c>
      <c r="R19" s="183">
        <f>K19*Premissas!$B$19</f>
        <v>37265063.331895001</v>
      </c>
      <c r="S19" s="183">
        <f>L19*Premissas!$B$19</f>
        <v>0</v>
      </c>
      <c r="T19" s="183">
        <f>M19*Premissas!$B$19</f>
        <v>0</v>
      </c>
    </row>
    <row r="20" spans="1:20" ht="14.4" x14ac:dyDescent="0.3">
      <c r="A20" s="177" t="str">
        <f>Demanda!A6</f>
        <v>NTS MG 4</v>
      </c>
      <c r="B20" s="182">
        <f>Demanda!D6</f>
        <v>1250</v>
      </c>
      <c r="C20" s="179">
        <f>Demanda!E6</f>
        <v>335</v>
      </c>
      <c r="D20" s="182">
        <f>Demanda!F6</f>
        <v>335</v>
      </c>
      <c r="E20" s="182">
        <f>Demanda!G6</f>
        <v>0</v>
      </c>
      <c r="F20" s="182">
        <f>Demanda!H6</f>
        <v>0</v>
      </c>
      <c r="H20" s="177" t="str">
        <f>Demanda!A6</f>
        <v>NTS MG 4</v>
      </c>
      <c r="I20" s="182">
        <f>B20*Premissas!D$20</f>
        <v>456250</v>
      </c>
      <c r="J20" s="179">
        <f>C20*Premissas!E$20</f>
        <v>82075</v>
      </c>
      <c r="K20" s="182">
        <f>D20*Premissas!F$20</f>
        <v>122275</v>
      </c>
      <c r="L20" s="182">
        <f>E20*Premissas!E$20</f>
        <v>0</v>
      </c>
      <c r="M20" s="182">
        <f>F20*Premissas!F$20</f>
        <v>0</v>
      </c>
      <c r="O20" s="177" t="str">
        <f t="shared" si="3"/>
        <v>NTS MG 4</v>
      </c>
      <c r="P20" s="183">
        <f>I20*Premissas!$B$19</f>
        <v>17019119.168749999</v>
      </c>
      <c r="Q20" s="184">
        <f>J20*Premissas!$B$19</f>
        <v>3061576.3414250002</v>
      </c>
      <c r="R20" s="183">
        <f>K20*Premissas!$B$19</f>
        <v>4561123.937225</v>
      </c>
      <c r="S20" s="183">
        <f>L20*Premissas!$B$19</f>
        <v>0</v>
      </c>
      <c r="T20" s="183">
        <f>M20*Premissas!$B$19</f>
        <v>0</v>
      </c>
    </row>
    <row r="21" spans="1:20" ht="14.4" x14ac:dyDescent="0.3">
      <c r="A21" s="177" t="str">
        <f>Demanda!A7</f>
        <v>NTS RJ 1</v>
      </c>
      <c r="B21" s="182">
        <f>Demanda!D7</f>
        <v>17531</v>
      </c>
      <c r="C21" s="179">
        <f>Demanda!E7</f>
        <v>17793</v>
      </c>
      <c r="D21" s="182">
        <f>Demanda!F7</f>
        <v>17793</v>
      </c>
      <c r="E21" s="182">
        <f>Demanda!G7</f>
        <v>0</v>
      </c>
      <c r="F21" s="182">
        <f>Demanda!H7</f>
        <v>0</v>
      </c>
      <c r="H21" s="177" t="str">
        <f>Demanda!A7</f>
        <v>NTS RJ 1</v>
      </c>
      <c r="I21" s="182">
        <f>B21*Premissas!D$20</f>
        <v>6398815</v>
      </c>
      <c r="J21" s="179">
        <f>C21*Premissas!E$20</f>
        <v>4359285</v>
      </c>
      <c r="K21" s="182">
        <f>D21*Premissas!F$20</f>
        <v>6494445</v>
      </c>
      <c r="L21" s="182">
        <f>E21*Premissas!E$20</f>
        <v>0</v>
      </c>
      <c r="M21" s="182">
        <f>F21*Premissas!F$20</f>
        <v>0</v>
      </c>
      <c r="O21" s="177" t="str">
        <f t="shared" si="3"/>
        <v>NTS RJ 1</v>
      </c>
      <c r="P21" s="183">
        <f>I21*Premissas!$B$19</f>
        <v>238689742.51788503</v>
      </c>
      <c r="Q21" s="184">
        <f>J21*Premissas!$B$19</f>
        <v>162610829.38201502</v>
      </c>
      <c r="R21" s="183">
        <f>K21*Premissas!$B$19</f>
        <v>242256949.89565501</v>
      </c>
      <c r="S21" s="183">
        <f>L21*Premissas!$B$19</f>
        <v>0</v>
      </c>
      <c r="T21" s="183">
        <f>M21*Premissas!$B$19</f>
        <v>0</v>
      </c>
    </row>
    <row r="22" spans="1:20" ht="14.4" x14ac:dyDescent="0.3">
      <c r="A22" s="177" t="str">
        <f>Demanda!A8</f>
        <v>NTS RJ 2</v>
      </c>
      <c r="B22" s="182">
        <f>Demanda!D8</f>
        <v>8470</v>
      </c>
      <c r="C22" s="179">
        <f>Demanda!E8</f>
        <v>8406</v>
      </c>
      <c r="D22" s="182">
        <f>Demanda!F8</f>
        <v>8406</v>
      </c>
      <c r="E22" s="182">
        <f>Demanda!G8</f>
        <v>0</v>
      </c>
      <c r="F22" s="182">
        <f>Demanda!H8</f>
        <v>0</v>
      </c>
      <c r="H22" s="177" t="str">
        <f>Demanda!A8</f>
        <v>NTS RJ 2</v>
      </c>
      <c r="I22" s="182">
        <f>B22*Premissas!D$20</f>
        <v>3091550</v>
      </c>
      <c r="J22" s="179">
        <f>C22*Premissas!E$20</f>
        <v>2059470</v>
      </c>
      <c r="K22" s="182">
        <f>D22*Premissas!F$20</f>
        <v>3068190</v>
      </c>
      <c r="L22" s="182">
        <f>E22*Premissas!E$20</f>
        <v>0</v>
      </c>
      <c r="M22" s="182">
        <f>F22*Premissas!F$20</f>
        <v>0</v>
      </c>
      <c r="O22" s="177" t="str">
        <f t="shared" si="3"/>
        <v>NTS RJ 2</v>
      </c>
      <c r="P22" s="183">
        <f>I22*Premissas!$B$19</f>
        <v>115321551.48745</v>
      </c>
      <c r="Q22" s="184">
        <f>J22*Premissas!$B$19</f>
        <v>76822718.585130006</v>
      </c>
      <c r="R22" s="183">
        <f>K22*Premissas!$B$19</f>
        <v>114450172.58601001</v>
      </c>
      <c r="S22" s="183">
        <f>L22*Premissas!$B$19</f>
        <v>0</v>
      </c>
      <c r="T22" s="183">
        <f>M22*Premissas!$B$19</f>
        <v>0</v>
      </c>
    </row>
    <row r="23" spans="1:20" ht="14.4" x14ac:dyDescent="0.3">
      <c r="A23" s="177" t="str">
        <f>Demanda!A9</f>
        <v>NTS RJ 3</v>
      </c>
      <c r="B23" s="182">
        <f>Demanda!D9</f>
        <v>1524</v>
      </c>
      <c r="C23" s="179">
        <f>Demanda!E9</f>
        <v>1714</v>
      </c>
      <c r="D23" s="182">
        <f>Demanda!F9</f>
        <v>1714</v>
      </c>
      <c r="E23" s="182">
        <f>Demanda!G9</f>
        <v>0</v>
      </c>
      <c r="F23" s="182">
        <f>Demanda!H9</f>
        <v>0</v>
      </c>
      <c r="H23" s="177" t="str">
        <f>Demanda!A9</f>
        <v>NTS RJ 3</v>
      </c>
      <c r="I23" s="182">
        <f>B23*Premissas!D$20</f>
        <v>556260</v>
      </c>
      <c r="J23" s="179">
        <f>C23*Premissas!E$20</f>
        <v>419930</v>
      </c>
      <c r="K23" s="182">
        <f>D23*Premissas!F$20</f>
        <v>625610</v>
      </c>
      <c r="L23" s="182">
        <f>E23*Premissas!E$20</f>
        <v>0</v>
      </c>
      <c r="M23" s="182">
        <f>F23*Premissas!F$20</f>
        <v>0</v>
      </c>
      <c r="O23" s="177" t="str">
        <f t="shared" si="3"/>
        <v>NTS RJ 3</v>
      </c>
      <c r="P23" s="183">
        <f>I23*Premissas!$B$19</f>
        <v>20749710.090540003</v>
      </c>
      <c r="Q23" s="184">
        <f>J23*Premissas!$B$19</f>
        <v>15664304.02747</v>
      </c>
      <c r="R23" s="183">
        <f>K23*Premissas!$B$19</f>
        <v>23336616.204190001</v>
      </c>
      <c r="S23" s="183">
        <f>L23*Premissas!$B$19</f>
        <v>0</v>
      </c>
      <c r="T23" s="183">
        <f>M23*Premissas!$B$19</f>
        <v>0</v>
      </c>
    </row>
    <row r="24" spans="1:20" ht="14.4" x14ac:dyDescent="0.3">
      <c r="A24" s="177" t="str">
        <f>Demanda!A10</f>
        <v>NTS RJ 4</v>
      </c>
      <c r="B24" s="182">
        <f>Demanda!D10</f>
        <v>314</v>
      </c>
      <c r="C24" s="179">
        <f>Demanda!E10</f>
        <v>323</v>
      </c>
      <c r="D24" s="182">
        <f>Demanda!F10</f>
        <v>323</v>
      </c>
      <c r="E24" s="182">
        <f>Demanda!G10</f>
        <v>0</v>
      </c>
      <c r="F24" s="182">
        <f>Demanda!H10</f>
        <v>0</v>
      </c>
      <c r="H24" s="177" t="str">
        <f>Demanda!A10</f>
        <v>NTS RJ 4</v>
      </c>
      <c r="I24" s="182">
        <f>B24*Premissas!D$20</f>
        <v>114610</v>
      </c>
      <c r="J24" s="179">
        <f>C24*Premissas!E$20</f>
        <v>79135</v>
      </c>
      <c r="K24" s="182">
        <f>D24*Premissas!F$20</f>
        <v>117895</v>
      </c>
      <c r="L24" s="182">
        <f>E24*Premissas!E$20</f>
        <v>0</v>
      </c>
      <c r="M24" s="182">
        <f>F24*Premissas!F$20</f>
        <v>0</v>
      </c>
      <c r="O24" s="177" t="str">
        <f t="shared" si="3"/>
        <v>NTS RJ 4</v>
      </c>
      <c r="P24" s="183">
        <f>I24*Premissas!$B$19</f>
        <v>4275202.7351900004</v>
      </c>
      <c r="Q24" s="184">
        <f>J24*Premissas!$B$19</f>
        <v>2951907.9351650001</v>
      </c>
      <c r="R24" s="183">
        <f>K24*Premissas!$B$19</f>
        <v>4397740.3932050001</v>
      </c>
      <c r="S24" s="183">
        <f>L24*Premissas!$B$19</f>
        <v>0</v>
      </c>
      <c r="T24" s="183">
        <f>M24*Premissas!$B$19</f>
        <v>0</v>
      </c>
    </row>
    <row r="25" spans="1:20" ht="14.4" x14ac:dyDescent="0.3">
      <c r="A25" s="177" t="str">
        <f>Demanda!A11</f>
        <v>NTS RJ 5</v>
      </c>
      <c r="B25" s="182">
        <f>Demanda!D11</f>
        <v>2315</v>
      </c>
      <c r="C25" s="179">
        <f>Demanda!E11</f>
        <v>2128</v>
      </c>
      <c r="D25" s="182">
        <f>Demanda!F11</f>
        <v>2128</v>
      </c>
      <c r="E25" s="182">
        <f>Demanda!G11</f>
        <v>0</v>
      </c>
      <c r="F25" s="182">
        <f>Demanda!H11</f>
        <v>0</v>
      </c>
      <c r="H25" s="177" t="str">
        <f>Demanda!A11</f>
        <v>NTS RJ 5</v>
      </c>
      <c r="I25" s="182">
        <f>B25*Premissas!D$20</f>
        <v>844975</v>
      </c>
      <c r="J25" s="179">
        <f>C25*Premissas!E$20</f>
        <v>521360</v>
      </c>
      <c r="K25" s="182">
        <f>D25*Premissas!F$20</f>
        <v>776720</v>
      </c>
      <c r="L25" s="182">
        <f>E25*Premissas!E$20</f>
        <v>0</v>
      </c>
      <c r="M25" s="182">
        <f>F25*Premissas!F$20</f>
        <v>0</v>
      </c>
      <c r="O25" s="177" t="str">
        <f t="shared" si="3"/>
        <v>NTS RJ 5</v>
      </c>
      <c r="P25" s="183">
        <f>I25*Premissas!$B$19</f>
        <v>31519408.700525001</v>
      </c>
      <c r="Q25" s="184">
        <f>J25*Premissas!$B$19</f>
        <v>19447864.043440003</v>
      </c>
      <c r="R25" s="183">
        <f>K25*Premissas!$B$19</f>
        <v>28973348.472880002</v>
      </c>
      <c r="S25" s="183">
        <f>L25*Premissas!$B$19</f>
        <v>0</v>
      </c>
      <c r="T25" s="183">
        <f>M25*Premissas!$B$19</f>
        <v>0</v>
      </c>
    </row>
    <row r="26" spans="1:20" ht="14.4" x14ac:dyDescent="0.3">
      <c r="A26" s="177" t="str">
        <f>Demanda!A12</f>
        <v>NTS SP 1</v>
      </c>
      <c r="B26" s="182">
        <f>Demanda!D12</f>
        <v>1312</v>
      </c>
      <c r="C26" s="179">
        <f>Demanda!E12</f>
        <v>1237</v>
      </c>
      <c r="D26" s="182">
        <f>Demanda!F12</f>
        <v>1237</v>
      </c>
      <c r="E26" s="182">
        <f>Demanda!G12</f>
        <v>0</v>
      </c>
      <c r="F26" s="182">
        <f>Demanda!H12</f>
        <v>0</v>
      </c>
      <c r="H26" s="177" t="str">
        <f>Demanda!A12</f>
        <v>NTS SP 1</v>
      </c>
      <c r="I26" s="182">
        <f>B26*Premissas!D$20</f>
        <v>478880</v>
      </c>
      <c r="J26" s="179">
        <f>C26*Premissas!E$20</f>
        <v>303065</v>
      </c>
      <c r="K26" s="182">
        <f>D26*Premissas!F$20</f>
        <v>451505</v>
      </c>
      <c r="L26" s="182">
        <f>E26*Premissas!E$20</f>
        <v>0</v>
      </c>
      <c r="M26" s="182">
        <f>F26*Premissas!F$20</f>
        <v>0</v>
      </c>
      <c r="O26" s="177" t="str">
        <f t="shared" si="3"/>
        <v>NTS SP 1</v>
      </c>
      <c r="P26" s="183">
        <f>I26*Premissas!$B$19</f>
        <v>17863267.479520001</v>
      </c>
      <c r="Q26" s="184">
        <f>J26*Premissas!$B$19</f>
        <v>11304984.878635</v>
      </c>
      <c r="R26" s="183">
        <f>K26*Premissas!$B$19</f>
        <v>16842120.329395</v>
      </c>
      <c r="S26" s="183">
        <f>L26*Premissas!$B$19</f>
        <v>0</v>
      </c>
      <c r="T26" s="183">
        <f>M26*Premissas!$B$19</f>
        <v>0</v>
      </c>
    </row>
    <row r="27" spans="1:20" ht="14.4" x14ac:dyDescent="0.3">
      <c r="A27" s="177" t="str">
        <f>Demanda!A13</f>
        <v>NTS SP 2</v>
      </c>
      <c r="B27" s="182">
        <f>Demanda!D13</f>
        <v>2985</v>
      </c>
      <c r="C27" s="179">
        <f>Demanda!E13</f>
        <v>2972</v>
      </c>
      <c r="D27" s="182">
        <f>Demanda!F13</f>
        <v>2972</v>
      </c>
      <c r="E27" s="182">
        <f>Demanda!G13</f>
        <v>0</v>
      </c>
      <c r="F27" s="182">
        <f>Demanda!H13</f>
        <v>0</v>
      </c>
      <c r="H27" s="177" t="str">
        <f>Demanda!A13</f>
        <v>NTS SP 2</v>
      </c>
      <c r="I27" s="182">
        <f>B27*Premissas!D$20</f>
        <v>1089525</v>
      </c>
      <c r="J27" s="179">
        <f>C27*Premissas!E$20</f>
        <v>728140</v>
      </c>
      <c r="K27" s="182">
        <f>D27*Premissas!F$20</f>
        <v>1084780</v>
      </c>
      <c r="L27" s="182">
        <f>E27*Premissas!E$20</f>
        <v>0</v>
      </c>
      <c r="M27" s="182">
        <f>F27*Premissas!F$20</f>
        <v>0</v>
      </c>
      <c r="O27" s="177" t="str">
        <f t="shared" si="3"/>
        <v>NTS SP 2</v>
      </c>
      <c r="P27" s="183">
        <f>I27*Premissas!$B$19</f>
        <v>40641656.574975006</v>
      </c>
      <c r="Q27" s="184">
        <f>J27*Premissas!$B$19</f>
        <v>27161208.617060002</v>
      </c>
      <c r="R27" s="183">
        <f>K27*Premissas!$B$19</f>
        <v>40464657.735619999</v>
      </c>
      <c r="S27" s="183">
        <f>L27*Premissas!$B$19</f>
        <v>0</v>
      </c>
      <c r="T27" s="183">
        <f>M27*Premissas!$B$19</f>
        <v>0</v>
      </c>
    </row>
    <row r="28" spans="1:20" ht="14.4" x14ac:dyDescent="0.3">
      <c r="A28" s="177" t="str">
        <f>Demanda!A14</f>
        <v>NTS SP 3</v>
      </c>
      <c r="B28" s="182">
        <f>Demanda!D14</f>
        <v>7903</v>
      </c>
      <c r="C28" s="179">
        <f>Demanda!E14</f>
        <v>7969</v>
      </c>
      <c r="D28" s="182">
        <f>Demanda!F14</f>
        <v>7969</v>
      </c>
      <c r="E28" s="182">
        <f>Demanda!G14</f>
        <v>0</v>
      </c>
      <c r="F28" s="182">
        <f>Demanda!H14</f>
        <v>0</v>
      </c>
      <c r="H28" s="177" t="str">
        <f>Demanda!A14</f>
        <v>NTS SP 3</v>
      </c>
      <c r="I28" s="182">
        <f>B28*Premissas!D$20</f>
        <v>2884595</v>
      </c>
      <c r="J28" s="179">
        <f>C28*Premissas!E$20</f>
        <v>1952405</v>
      </c>
      <c r="K28" s="182">
        <f>D28*Premissas!F$20</f>
        <v>2908685</v>
      </c>
      <c r="L28" s="182">
        <f>E28*Premissas!E$20</f>
        <v>0</v>
      </c>
      <c r="M28" s="182">
        <f>F28*Premissas!F$20</f>
        <v>0</v>
      </c>
      <c r="O28" s="177" t="str">
        <f t="shared" si="3"/>
        <v>NTS SP 3</v>
      </c>
      <c r="P28" s="183">
        <f>I28*Premissas!$B$19</f>
        <v>107601679.03250501</v>
      </c>
      <c r="Q28" s="184">
        <f>J28*Premissas!$B$19</f>
        <v>72828960.790495008</v>
      </c>
      <c r="R28" s="183">
        <f>K28*Premissas!$B$19</f>
        <v>108500288.524615</v>
      </c>
      <c r="S28" s="183">
        <f>L28*Premissas!$B$19</f>
        <v>0</v>
      </c>
      <c r="T28" s="183">
        <f>M28*Premissas!$B$19</f>
        <v>0</v>
      </c>
    </row>
    <row r="29" spans="1:20" ht="14.4" x14ac:dyDescent="0.3">
      <c r="A29" s="177" t="str">
        <f>Demanda!A15</f>
        <v>NTS SP 4</v>
      </c>
      <c r="B29" s="182">
        <f>Demanda!D15</f>
        <v>3684</v>
      </c>
      <c r="C29" s="179">
        <f>Demanda!E15</f>
        <v>3281</v>
      </c>
      <c r="D29" s="182">
        <f>Demanda!F15</f>
        <v>3281</v>
      </c>
      <c r="E29" s="182">
        <f>Demanda!G15</f>
        <v>0</v>
      </c>
      <c r="F29" s="182">
        <f>Demanda!H15</f>
        <v>0</v>
      </c>
      <c r="H29" s="177" t="str">
        <f>Demanda!A15</f>
        <v>NTS SP 4</v>
      </c>
      <c r="I29" s="182">
        <f>B29*Premissas!D$20</f>
        <v>1344660</v>
      </c>
      <c r="J29" s="179">
        <f>C29*Premissas!E$20</f>
        <v>803845</v>
      </c>
      <c r="K29" s="182">
        <f>D29*Premissas!F$20</f>
        <v>1197565</v>
      </c>
      <c r="L29" s="182">
        <f>E29*Premissas!E$20</f>
        <v>0</v>
      </c>
      <c r="M29" s="182">
        <f>F29*Premissas!F$20</f>
        <v>0</v>
      </c>
      <c r="O29" s="177" t="str">
        <f t="shared" si="3"/>
        <v>NTS SP 4</v>
      </c>
      <c r="P29" s="183">
        <f>I29*Premissas!$B$19</f>
        <v>50158748.014140002</v>
      </c>
      <c r="Q29" s="184">
        <f>J29*Premissas!$B$19</f>
        <v>29985170.078255001</v>
      </c>
      <c r="R29" s="183">
        <f>K29*Premissas!$B$19</f>
        <v>44671783.994135</v>
      </c>
      <c r="S29" s="183">
        <f>L29*Premissas!$B$19</f>
        <v>0</v>
      </c>
      <c r="T29" s="183">
        <f>M29*Premissas!$B$19</f>
        <v>0</v>
      </c>
    </row>
    <row r="30" spans="1:20" ht="14.4" x14ac:dyDescent="0.3">
      <c r="A30" s="177" t="str">
        <f>Demanda!A16</f>
        <v>PE-GUARAREMA (INTERCONEXÃO)</v>
      </c>
      <c r="B30" s="182">
        <f>Demanda!D16</f>
        <v>0</v>
      </c>
      <c r="C30" s="179">
        <f>Demanda!E16</f>
        <v>0</v>
      </c>
      <c r="D30" s="182">
        <f>Demanda!F16</f>
        <v>0</v>
      </c>
      <c r="E30" s="182">
        <f>Demanda!G16</f>
        <v>0</v>
      </c>
      <c r="F30" s="182">
        <f>Demanda!H16</f>
        <v>0</v>
      </c>
      <c r="H30" s="177" t="str">
        <f>Demanda!A16</f>
        <v>PE-GUARAREMA (INTERCONEXÃO)</v>
      </c>
      <c r="I30" s="182">
        <f>B30*Premissas!D$20</f>
        <v>0</v>
      </c>
      <c r="J30" s="179">
        <f>C30*Premissas!E$20</f>
        <v>0</v>
      </c>
      <c r="K30" s="182">
        <f>D30*Premissas!F$20</f>
        <v>0</v>
      </c>
      <c r="L30" s="182">
        <f>E30*Premissas!E$20</f>
        <v>0</v>
      </c>
      <c r="M30" s="182">
        <f>F30*Premissas!F$20</f>
        <v>0</v>
      </c>
      <c r="O30" s="177" t="str">
        <f t="shared" si="3"/>
        <v>PE-GUARAREMA (INTERCONEXÃO)</v>
      </c>
      <c r="P30" s="183">
        <f>I30*Premissas!$B$19</f>
        <v>0</v>
      </c>
      <c r="Q30" s="184">
        <f>J30*Premissas!$B$19</f>
        <v>0</v>
      </c>
      <c r="R30" s="183">
        <f>K30*Premissas!$B$19</f>
        <v>0</v>
      </c>
      <c r="S30" s="183">
        <f>L30*Premissas!$B$19</f>
        <v>0</v>
      </c>
      <c r="T30" s="183">
        <f>M30*Premissas!$B$19</f>
        <v>0</v>
      </c>
    </row>
    <row r="31" spans="1:20" ht="14.4" x14ac:dyDescent="0.3">
      <c r="A31" s="177" t="str">
        <f>Demanda!A17</f>
        <v>PE-REPLAN (INTERCONEXÃO)</v>
      </c>
      <c r="B31" s="182">
        <f>Demanda!D17</f>
        <v>7800</v>
      </c>
      <c r="C31" s="179">
        <f>Demanda!E17</f>
        <v>7011</v>
      </c>
      <c r="D31" s="182">
        <f>Demanda!F17</f>
        <v>7011</v>
      </c>
      <c r="E31" s="182">
        <f>Demanda!G17</f>
        <v>0</v>
      </c>
      <c r="F31" s="182">
        <f>Demanda!H17</f>
        <v>0</v>
      </c>
      <c r="H31" s="177" t="str">
        <f>Demanda!A17</f>
        <v>PE-REPLAN (INTERCONEXÃO)</v>
      </c>
      <c r="I31" s="182">
        <f>B31*Premissas!D$20</f>
        <v>2847000</v>
      </c>
      <c r="J31" s="179">
        <f>C31*Premissas!E$20</f>
        <v>1717695</v>
      </c>
      <c r="K31" s="182">
        <f>D31*Premissas!F$20</f>
        <v>2559015</v>
      </c>
      <c r="L31" s="182">
        <f>E31*Premissas!E$20</f>
        <v>0</v>
      </c>
      <c r="M31" s="182">
        <f>F31*Premissas!F$20</f>
        <v>0</v>
      </c>
      <c r="O31" s="177" t="str">
        <f t="shared" si="3"/>
        <v>PE-REPLAN (INTERCONEXÃO)</v>
      </c>
      <c r="P31" s="183">
        <f>I31*Premissas!$B$19</f>
        <v>106199303.61300001</v>
      </c>
      <c r="Q31" s="184">
        <f>J31*Premissas!$B$19</f>
        <v>64073766.357405007</v>
      </c>
      <c r="R31" s="183">
        <f>K31*Premissas!$B$19</f>
        <v>95456835.593685001</v>
      </c>
      <c r="S31" s="183">
        <f>L31*Premissas!$B$19</f>
        <v>0</v>
      </c>
      <c r="T31" s="183">
        <f>M31*Premissas!$B$19</f>
        <v>0</v>
      </c>
    </row>
    <row r="32" spans="1:20" ht="14.4" x14ac:dyDescent="0.3">
      <c r="A32" s="177" t="str">
        <f>Demanda!A18</f>
        <v>PE-TECAB (INTERCONEXÃO)</v>
      </c>
      <c r="B32" s="182">
        <f>Demanda!D18</f>
        <v>200</v>
      </c>
      <c r="C32" s="179">
        <f>Demanda!E18</f>
        <v>200</v>
      </c>
      <c r="D32" s="182">
        <f>Demanda!F18</f>
        <v>200</v>
      </c>
      <c r="E32" s="182">
        <f>Demanda!G18</f>
        <v>0</v>
      </c>
      <c r="F32" s="182">
        <f>Demanda!H18</f>
        <v>0</v>
      </c>
      <c r="H32" s="177" t="str">
        <f>Demanda!A18</f>
        <v>PE-TECAB (INTERCONEXÃO)</v>
      </c>
      <c r="I32" s="182">
        <f>B32*Premissas!D$20</f>
        <v>73000</v>
      </c>
      <c r="J32" s="179">
        <f>C32*Premissas!E$20</f>
        <v>49000</v>
      </c>
      <c r="K32" s="182">
        <f>D32*Premissas!F$20</f>
        <v>73000</v>
      </c>
      <c r="L32" s="182">
        <f>E32*Premissas!E$20</f>
        <v>0</v>
      </c>
      <c r="M32" s="182">
        <f>F32*Premissas!F$20</f>
        <v>0</v>
      </c>
      <c r="O32" s="177" t="str">
        <f t="shared" si="3"/>
        <v>PE-TECAB (INTERCONEXÃO)</v>
      </c>
      <c r="P32" s="183">
        <f>I32*Premissas!$B$19</f>
        <v>2723059.0670000003</v>
      </c>
      <c r="Q32" s="184">
        <f>J32*Premissas!$B$19</f>
        <v>1827806.7710000002</v>
      </c>
      <c r="R32" s="183">
        <f>K32*Premissas!$B$19</f>
        <v>2723059.0670000003</v>
      </c>
      <c r="S32" s="183">
        <f>L32*Premissas!$B$19</f>
        <v>0</v>
      </c>
      <c r="T32" s="183">
        <f>M32*Premissas!$B$19</f>
        <v>0</v>
      </c>
    </row>
    <row r="33" spans="1:21" x14ac:dyDescent="0.3">
      <c r="B33" s="42">
        <f>SUM(B17:B32)</f>
        <v>60194</v>
      </c>
      <c r="C33" s="42">
        <f>SUM(C17:C32)</f>
        <v>58391</v>
      </c>
      <c r="D33" s="42">
        <f t="shared" ref="D33:F33" si="4">SUM(D17:D32)</f>
        <v>58391</v>
      </c>
      <c r="E33" s="42">
        <f t="shared" si="4"/>
        <v>0</v>
      </c>
      <c r="F33" s="42">
        <f t="shared" si="4"/>
        <v>0</v>
      </c>
      <c r="G33" s="42"/>
      <c r="H33" s="42"/>
      <c r="I33" s="42">
        <f>SUM(I17:I32)</f>
        <v>21970810</v>
      </c>
      <c r="J33" s="42">
        <f>SUM(J17:J32)</f>
        <v>14305795</v>
      </c>
      <c r="K33" s="42">
        <f>SUM(K17:K32)</f>
        <v>21312715</v>
      </c>
      <c r="L33" s="42">
        <f>SUM(L17:L32)</f>
        <v>0</v>
      </c>
      <c r="M33" s="42">
        <f>SUM(M17:M32)</f>
        <v>0</v>
      </c>
      <c r="N33" s="42"/>
      <c r="O33" s="42"/>
      <c r="P33" s="87">
        <f>SUM(P17:P32)</f>
        <v>819559087.39499009</v>
      </c>
      <c r="Q33" s="87">
        <f>SUM(Q17:Q32)</f>
        <v>533637325.82730496</v>
      </c>
      <c r="R33" s="87">
        <f>SUM(R17:R32)</f>
        <v>795010709.90598512</v>
      </c>
      <c r="S33" s="87">
        <f>SUM(S17:S32)</f>
        <v>0</v>
      </c>
      <c r="T33" s="87">
        <f>SUM(T17:T32)</f>
        <v>0</v>
      </c>
    </row>
    <row r="34" spans="1:21" x14ac:dyDescent="0.3">
      <c r="B34" s="42">
        <f>Demanda!D19</f>
        <v>60194</v>
      </c>
      <c r="C34" s="42">
        <f>Demanda!E19</f>
        <v>58391</v>
      </c>
      <c r="D34" s="42">
        <f>Demanda!F19</f>
        <v>58391</v>
      </c>
      <c r="E34" s="42">
        <f>Demanda!G19</f>
        <v>0</v>
      </c>
      <c r="F34" s="42">
        <f>Demanda!H19</f>
        <v>0</v>
      </c>
      <c r="G34" s="42"/>
      <c r="H34" s="42"/>
      <c r="I34" s="42">
        <f>B34*Premissas!D20</f>
        <v>21970810</v>
      </c>
      <c r="J34" s="42">
        <f>C34*Premissas!E20</f>
        <v>14305795</v>
      </c>
      <c r="K34" s="42">
        <f>D34*Premissas!F20</f>
        <v>21312715</v>
      </c>
      <c r="L34" s="42">
        <f>E34*Premissas!E20</f>
        <v>0</v>
      </c>
      <c r="M34" s="42">
        <f>F34*Premissas!F20</f>
        <v>0</v>
      </c>
      <c r="N34" s="42"/>
      <c r="O34" s="42"/>
      <c r="P34" s="87">
        <f>I34*Premissas!$B$19</f>
        <v>819559087.39499009</v>
      </c>
      <c r="Q34" s="87">
        <f>J34*Premissas!$B$19</f>
        <v>533637325.82730502</v>
      </c>
      <c r="R34" s="87">
        <f>K34*Premissas!$B$19</f>
        <v>795010709.905985</v>
      </c>
      <c r="S34" s="87">
        <f>L34*Premissas!$B$19</f>
        <v>0</v>
      </c>
      <c r="T34" s="87">
        <f>M34*Premissas!$B$19</f>
        <v>0</v>
      </c>
    </row>
    <row r="35" spans="1:21" x14ac:dyDescent="0.3">
      <c r="B35" s="41">
        <f>B33-B34</f>
        <v>0</v>
      </c>
      <c r="C35" s="41">
        <f>C33-C34</f>
        <v>0</v>
      </c>
      <c r="D35" s="41">
        <f>D33-D34</f>
        <v>0</v>
      </c>
      <c r="E35" s="41">
        <f>E33-E34</f>
        <v>0</v>
      </c>
      <c r="F35" s="41">
        <f>F33-F34</f>
        <v>0</v>
      </c>
      <c r="G35" s="41"/>
      <c r="H35" s="41"/>
      <c r="I35" s="41">
        <f>I33-I34</f>
        <v>0</v>
      </c>
      <c r="J35" s="41">
        <f>J33-J34</f>
        <v>0</v>
      </c>
      <c r="K35" s="41">
        <f>K33-K34</f>
        <v>0</v>
      </c>
      <c r="L35" s="41">
        <f>L33-L34</f>
        <v>0</v>
      </c>
      <c r="M35" s="41">
        <f>M33-M34</f>
        <v>0</v>
      </c>
      <c r="N35" s="41"/>
      <c r="O35" s="41"/>
      <c r="P35" s="87">
        <f>P33-P34</f>
        <v>0</v>
      </c>
      <c r="Q35" s="87">
        <f>Q33-Q34</f>
        <v>0</v>
      </c>
      <c r="R35" s="87">
        <f>R33-R34</f>
        <v>0</v>
      </c>
      <c r="S35" s="87">
        <f>S33-S34</f>
        <v>0</v>
      </c>
      <c r="T35" s="87">
        <f>T33-T34</f>
        <v>0</v>
      </c>
    </row>
    <row r="36" spans="1:21" x14ac:dyDescent="0.3">
      <c r="A36" s="185"/>
      <c r="S36" s="180"/>
      <c r="T36" s="180"/>
    </row>
    <row r="37" spans="1:21" x14ac:dyDescent="0.3">
      <c r="A37" s="142"/>
      <c r="S37" s="180"/>
      <c r="T37" s="180"/>
    </row>
    <row r="39" spans="1:21" x14ac:dyDescent="0.3">
      <c r="H39" s="180"/>
    </row>
    <row r="40" spans="1:21" x14ac:dyDescent="0.3">
      <c r="G40" s="180"/>
      <c r="H40" s="180"/>
      <c r="T40" s="186"/>
    </row>
    <row r="41" spans="1:21" x14ac:dyDescent="0.3">
      <c r="G41" s="180"/>
      <c r="H41" s="180"/>
      <c r="T41" s="186"/>
      <c r="U41" s="187"/>
    </row>
    <row r="42" spans="1:21" x14ac:dyDescent="0.3">
      <c r="G42" s="180"/>
      <c r="H42" s="180"/>
      <c r="U42" s="187"/>
    </row>
    <row r="43" spans="1:21" x14ac:dyDescent="0.3">
      <c r="G43" s="180"/>
      <c r="H43" s="180"/>
    </row>
    <row r="44" spans="1:21" x14ac:dyDescent="0.3">
      <c r="G44" s="180"/>
      <c r="H44" s="180"/>
    </row>
    <row r="45" spans="1:21" x14ac:dyDescent="0.3">
      <c r="G45" s="180"/>
    </row>
    <row r="46" spans="1:21" x14ac:dyDescent="0.3">
      <c r="G46" s="180"/>
    </row>
    <row r="47" spans="1:21" x14ac:dyDescent="0.3">
      <c r="G47" s="180"/>
      <c r="H47" s="180"/>
    </row>
    <row r="48" spans="1:21" x14ac:dyDescent="0.3">
      <c r="G48" s="180"/>
      <c r="H48" s="180"/>
    </row>
    <row r="49" spans="1:15" x14ac:dyDescent="0.3">
      <c r="G49" s="180"/>
      <c r="H49" s="180"/>
    </row>
    <row r="50" spans="1:15" x14ac:dyDescent="0.3">
      <c r="G50" s="180"/>
      <c r="H50" s="180"/>
    </row>
    <row r="51" spans="1:15" x14ac:dyDescent="0.3">
      <c r="G51" s="180"/>
      <c r="H51" s="180"/>
      <c r="O51" s="188"/>
    </row>
    <row r="52" spans="1:15" x14ac:dyDescent="0.3">
      <c r="G52" s="180"/>
      <c r="H52" s="180"/>
    </row>
    <row r="53" spans="1:15" x14ac:dyDescent="0.3">
      <c r="G53" s="180"/>
      <c r="H53" s="180"/>
    </row>
    <row r="54" spans="1:15" x14ac:dyDescent="0.3">
      <c r="G54" s="180"/>
      <c r="H54" s="180"/>
    </row>
    <row r="55" spans="1:15" x14ac:dyDescent="0.3">
      <c r="G55" s="180"/>
      <c r="H55" s="180"/>
    </row>
    <row r="56" spans="1:15" x14ac:dyDescent="0.3">
      <c r="G56" s="180"/>
      <c r="H56" s="180"/>
    </row>
    <row r="57" spans="1:15" x14ac:dyDescent="0.3">
      <c r="G57" s="180"/>
      <c r="H57" s="180"/>
    </row>
    <row r="58" spans="1:15" x14ac:dyDescent="0.3">
      <c r="G58" s="180"/>
      <c r="H58" s="180"/>
    </row>
    <row r="59" spans="1:15" x14ac:dyDescent="0.3">
      <c r="G59" s="180"/>
    </row>
    <row r="61" spans="1:15" x14ac:dyDescent="0.3">
      <c r="A61" s="142"/>
      <c r="B61" s="142"/>
      <c r="C61" s="142"/>
      <c r="D61" s="142"/>
      <c r="E61" s="142"/>
      <c r="F61" s="142"/>
      <c r="H61" s="186"/>
      <c r="I61" s="187"/>
    </row>
    <row r="62" spans="1:15" x14ac:dyDescent="0.3">
      <c r="H62" s="186"/>
      <c r="I62" s="187"/>
    </row>
    <row r="72" spans="2:14" x14ac:dyDescent="0.3">
      <c r="K72" s="188"/>
      <c r="L72" s="188"/>
      <c r="M72" s="188"/>
    </row>
    <row r="73" spans="2:14" x14ac:dyDescent="0.3">
      <c r="N73" s="188"/>
    </row>
    <row r="74" spans="2:14" x14ac:dyDescent="0.3">
      <c r="B74" s="42"/>
    </row>
    <row r="75" spans="2:14" x14ac:dyDescent="0.3">
      <c r="B75" s="42"/>
    </row>
  </sheetData>
  <sortState ref="H2:M14">
    <sortCondition ref="H2:H14"/>
  </sortState>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6"/>
  <dimension ref="C1:AF85"/>
  <sheetViews>
    <sheetView showGridLines="0" topLeftCell="A9" zoomScale="90" zoomScaleNormal="90" workbookViewId="0">
      <selection activeCell="E5" sqref="E5"/>
    </sheetView>
  </sheetViews>
  <sheetFormatPr defaultColWidth="9.21875" defaultRowHeight="14.4" x14ac:dyDescent="0.3"/>
  <cols>
    <col min="1" max="1" width="9.21875" style="142"/>
    <col min="2" max="2" width="3.77734375" style="142" customWidth="1"/>
    <col min="3" max="3" width="20.77734375" style="142" bestFit="1" customWidth="1"/>
    <col min="4" max="4" width="27.77734375" style="142" bestFit="1" customWidth="1"/>
    <col min="5" max="5" width="9.77734375" style="205" bestFit="1" customWidth="1"/>
    <col min="6" max="9" width="14.77734375" style="207" customWidth="1"/>
    <col min="10" max="10" width="13.44140625" customWidth="1"/>
    <col min="11" max="11" width="14.21875" customWidth="1"/>
    <col min="12" max="17" width="14.77734375" style="207" customWidth="1"/>
    <col min="18" max="18" width="15.21875" style="142" customWidth="1"/>
    <col min="19" max="19" width="27.77734375" style="205" bestFit="1" customWidth="1"/>
    <col min="20" max="22" width="12.44140625" style="142" customWidth="1"/>
    <col min="23" max="23" width="16.77734375" style="142" customWidth="1"/>
    <col min="24" max="27" width="12.44140625" style="142" customWidth="1"/>
    <col min="28" max="28" width="15" style="142" customWidth="1"/>
    <col min="29" max="29" width="15.6640625" style="142" customWidth="1"/>
    <col min="30" max="30" width="12.44140625" style="142" customWidth="1"/>
    <col min="31" max="31" width="13.77734375" style="142" customWidth="1"/>
    <col min="32" max="16384" width="9.21875" style="142"/>
  </cols>
  <sheetData>
    <row r="1" spans="3:32" s="192" customFormat="1" ht="65.099999999999994" customHeight="1" x14ac:dyDescent="0.3">
      <c r="C1" s="189" t="s">
        <v>38</v>
      </c>
      <c r="D1" s="190" t="s">
        <v>39</v>
      </c>
      <c r="E1" s="190" t="s">
        <v>40</v>
      </c>
      <c r="F1" s="191" t="s">
        <v>261</v>
      </c>
      <c r="G1" s="191" t="s">
        <v>26</v>
      </c>
      <c r="H1" s="191" t="s">
        <v>512</v>
      </c>
      <c r="I1" s="191" t="s">
        <v>274</v>
      </c>
      <c r="J1" s="191" t="s">
        <v>253</v>
      </c>
      <c r="K1" s="191" t="s">
        <v>27</v>
      </c>
      <c r="L1" s="191" t="s">
        <v>276</v>
      </c>
      <c r="M1" s="191" t="s">
        <v>29</v>
      </c>
      <c r="N1" s="191" t="s">
        <v>24</v>
      </c>
      <c r="O1" s="191" t="s">
        <v>275</v>
      </c>
      <c r="S1" s="190" t="s">
        <v>40</v>
      </c>
      <c r="T1" s="191" t="str">
        <f>F1</f>
        <v>PR-CARAGUA-TATUBA</v>
      </c>
      <c r="U1" s="191" t="str">
        <f t="shared" ref="U1:W1" si="0">G1</f>
        <v>PR-GNLBGB</v>
      </c>
      <c r="V1" s="191" t="str">
        <f t="shared" si="0"/>
        <v>PR-ITABORAÍ</v>
      </c>
      <c r="W1" s="191" t="str">
        <f t="shared" si="0"/>
        <v>PR-GUARAREMA (INTERCONEXÃO)</v>
      </c>
      <c r="X1" s="191" t="str">
        <f t="shared" ref="X1:AC1" si="1">J1</f>
        <v>PR-GASPAJ</v>
      </c>
      <c r="Y1" s="191" t="str">
        <f t="shared" si="1"/>
        <v>PR-REDUC</v>
      </c>
      <c r="Z1" s="191" t="str">
        <f t="shared" si="1"/>
        <v>PR-REPLAN (INTERCONEXÃO)</v>
      </c>
      <c r="AA1" s="191" t="str">
        <f t="shared" si="1"/>
        <v>PR-RPBC</v>
      </c>
      <c r="AB1" s="191" t="str">
        <f t="shared" si="1"/>
        <v>PR-TECAB</v>
      </c>
      <c r="AC1" s="191" t="str">
        <f t="shared" si="1"/>
        <v>PR-TECAB (INTERCONEXÃO)</v>
      </c>
    </row>
    <row r="2" spans="3:32" x14ac:dyDescent="0.3">
      <c r="C2" s="375" t="s">
        <v>58</v>
      </c>
      <c r="D2" s="193" t="s">
        <v>59</v>
      </c>
      <c r="E2" s="194" t="s">
        <v>226</v>
      </c>
      <c r="F2" s="195">
        <v>442.80099999999999</v>
      </c>
      <c r="G2" s="195">
        <v>247.636</v>
      </c>
      <c r="H2" s="195">
        <v>297.05799999999999</v>
      </c>
      <c r="I2" s="196">
        <v>408.62099999999998</v>
      </c>
      <c r="J2" s="196">
        <f t="shared" ref="J2:J17" si="2">L2</f>
        <v>545.95600000000002</v>
      </c>
      <c r="K2" s="195">
        <v>129.63399999999999</v>
      </c>
      <c r="L2" s="196">
        <v>545.95600000000002</v>
      </c>
      <c r="M2" s="195">
        <v>514.78399999999999</v>
      </c>
      <c r="N2" s="195">
        <v>427.93400000000003</v>
      </c>
      <c r="O2" s="196">
        <v>427.93400000000003</v>
      </c>
      <c r="S2" s="197">
        <v>1</v>
      </c>
      <c r="T2" s="197">
        <v>2</v>
      </c>
      <c r="U2" s="197">
        <v>3</v>
      </c>
      <c r="V2" s="197">
        <v>4</v>
      </c>
      <c r="W2" s="197">
        <v>5</v>
      </c>
      <c r="X2" s="197">
        <v>6</v>
      </c>
      <c r="Y2" s="197">
        <v>7</v>
      </c>
      <c r="Z2" s="197">
        <v>8</v>
      </c>
      <c r="AA2" s="197">
        <v>9</v>
      </c>
      <c r="AB2" s="197">
        <v>10</v>
      </c>
      <c r="AC2" s="197">
        <v>11</v>
      </c>
    </row>
    <row r="3" spans="3:32" x14ac:dyDescent="0.3">
      <c r="C3" s="375"/>
      <c r="D3" s="198" t="s">
        <v>60</v>
      </c>
      <c r="E3" s="199" t="s">
        <v>226</v>
      </c>
      <c r="F3" s="200">
        <v>451.399</v>
      </c>
      <c r="G3" s="200">
        <v>256.23399999999998</v>
      </c>
      <c r="H3" s="200">
        <v>305.65599999999995</v>
      </c>
      <c r="I3" s="201">
        <v>417.21899999999999</v>
      </c>
      <c r="J3" s="201">
        <f t="shared" si="2"/>
        <v>554.55399999999997</v>
      </c>
      <c r="K3" s="200">
        <v>138.232</v>
      </c>
      <c r="L3" s="201">
        <v>554.55399999999997</v>
      </c>
      <c r="M3" s="200">
        <v>523.38199999999995</v>
      </c>
      <c r="N3" s="200">
        <v>436.53199999999998</v>
      </c>
      <c r="O3" s="201">
        <v>436.53199999999998</v>
      </c>
      <c r="S3" s="202" t="s">
        <v>226</v>
      </c>
      <c r="T3" s="203">
        <f t="shared" ref="T3:T15" ca="1" si="3">AVERAGEIF($E$2:$Q$54,$S3,F$2:F$54)</f>
        <v>447.1</v>
      </c>
      <c r="U3" s="203">
        <f t="shared" ref="U3:U15" ca="1" si="4">AVERAGEIF($E$2:$O$45,$S3,G$2:G$45)</f>
        <v>251.935</v>
      </c>
      <c r="V3" s="203">
        <f t="shared" ref="V3:V15" ca="1" si="5">AVERAGEIF($E$2:$O$45,$S3,H$2:H$45)</f>
        <v>301.35699999999997</v>
      </c>
      <c r="W3" s="203">
        <f t="shared" ref="W3:W15" ca="1" si="6">AVERAGEIF($E$2:$O$45,$S3,I$2:I$45)</f>
        <v>412.91999999999996</v>
      </c>
      <c r="X3" s="203">
        <f t="shared" ref="X3:X15" ca="1" si="7">AVERAGEIF($E$2:$O$45,$S3,J$2:J$45)</f>
        <v>550.255</v>
      </c>
      <c r="Y3" s="203">
        <f t="shared" ref="Y3:Y15" ca="1" si="8">AVERAGEIF($E$2:$O$45,$S3,K$2:K$45)</f>
        <v>133.93299999999999</v>
      </c>
      <c r="Z3" s="203">
        <f t="shared" ref="Z3:Z15" ca="1" si="9">AVERAGEIF($E$2:$O$45,$S3,L$2:L$45)</f>
        <v>550.255</v>
      </c>
      <c r="AA3" s="203">
        <f t="shared" ref="AA3:AA15" ca="1" si="10">AVERAGEIF($E$2:$O$45,$S3,M$2:M$45)</f>
        <v>519.08299999999997</v>
      </c>
      <c r="AB3" s="203">
        <f t="shared" ref="AB3:AB15" ca="1" si="11">AVERAGEIF($E$2:$O$45,$S3,N$2:N$45)</f>
        <v>432.233</v>
      </c>
      <c r="AC3" s="203">
        <f t="shared" ref="AC3:AC15" ca="1" si="12">AVERAGEIF($E$2:$O$45,$S3,O$2:O$45)</f>
        <v>432.233</v>
      </c>
      <c r="AF3" s="204"/>
    </row>
    <row r="4" spans="3:32" x14ac:dyDescent="0.3">
      <c r="C4" s="375"/>
      <c r="D4" s="193" t="s">
        <v>61</v>
      </c>
      <c r="E4" s="194" t="s">
        <v>227</v>
      </c>
      <c r="F4" s="195">
        <v>507.58100000000002</v>
      </c>
      <c r="G4" s="195">
        <v>312.416</v>
      </c>
      <c r="H4" s="195">
        <v>361.83799999999997</v>
      </c>
      <c r="I4" s="196">
        <v>473.40100000000001</v>
      </c>
      <c r="J4" s="196">
        <f t="shared" si="2"/>
        <v>610.73599999999999</v>
      </c>
      <c r="K4" s="195">
        <v>194.41399999999999</v>
      </c>
      <c r="L4" s="196">
        <v>610.73599999999999</v>
      </c>
      <c r="M4" s="195">
        <v>579.56399999999996</v>
      </c>
      <c r="N4" s="195">
        <v>492.714</v>
      </c>
      <c r="O4" s="196">
        <v>492.714</v>
      </c>
      <c r="S4" s="202" t="s">
        <v>227</v>
      </c>
      <c r="T4" s="203">
        <f t="shared" ca="1" si="3"/>
        <v>544.26400000000001</v>
      </c>
      <c r="U4" s="203">
        <f t="shared" ca="1" si="4"/>
        <v>349.09899999999999</v>
      </c>
      <c r="V4" s="203">
        <f t="shared" ca="1" si="5"/>
        <v>398.52100000000002</v>
      </c>
      <c r="W4" s="203">
        <f t="shared" ca="1" si="6"/>
        <v>510.08400000000006</v>
      </c>
      <c r="X4" s="203">
        <f t="shared" ca="1" si="7"/>
        <v>647.41899999999998</v>
      </c>
      <c r="Y4" s="203">
        <f t="shared" ca="1" si="8"/>
        <v>231.09699999999998</v>
      </c>
      <c r="Z4" s="203">
        <f t="shared" ca="1" si="9"/>
        <v>647.41899999999998</v>
      </c>
      <c r="AA4" s="203">
        <f t="shared" ca="1" si="10"/>
        <v>616.24699999999996</v>
      </c>
      <c r="AB4" s="203">
        <f t="shared" ca="1" si="11"/>
        <v>529.39700000000005</v>
      </c>
      <c r="AC4" s="203">
        <f t="shared" ca="1" si="12"/>
        <v>529.39700000000005</v>
      </c>
      <c r="AF4" s="204"/>
    </row>
    <row r="5" spans="3:32" x14ac:dyDescent="0.3">
      <c r="C5" s="375"/>
      <c r="D5" s="198" t="s">
        <v>62</v>
      </c>
      <c r="E5" s="199" t="s">
        <v>227</v>
      </c>
      <c r="F5" s="200">
        <v>580.947</v>
      </c>
      <c r="G5" s="200">
        <v>385.78199999999998</v>
      </c>
      <c r="H5" s="200">
        <v>435.20400000000006</v>
      </c>
      <c r="I5" s="201">
        <v>546.76700000000005</v>
      </c>
      <c r="J5" s="201">
        <f t="shared" si="2"/>
        <v>684.10199999999998</v>
      </c>
      <c r="K5" s="200">
        <v>267.77999999999997</v>
      </c>
      <c r="L5" s="201">
        <v>684.10199999999998</v>
      </c>
      <c r="M5" s="200">
        <v>652.92999999999995</v>
      </c>
      <c r="N5" s="200">
        <v>566.08000000000004</v>
      </c>
      <c r="O5" s="201">
        <v>566.08000000000004</v>
      </c>
      <c r="S5" s="202" t="s">
        <v>228</v>
      </c>
      <c r="T5" s="203">
        <f t="shared" ca="1" si="3"/>
        <v>661.42919999999992</v>
      </c>
      <c r="U5" s="203">
        <f t="shared" ca="1" si="4"/>
        <v>466.26419999999996</v>
      </c>
      <c r="V5" s="203">
        <f t="shared" ca="1" si="5"/>
        <v>515.68619999999999</v>
      </c>
      <c r="W5" s="203">
        <f t="shared" ca="1" si="6"/>
        <v>627.24920000000009</v>
      </c>
      <c r="X5" s="203">
        <f t="shared" ca="1" si="7"/>
        <v>764.58420000000001</v>
      </c>
      <c r="Y5" s="203">
        <f t="shared" ca="1" si="8"/>
        <v>348.26220000000001</v>
      </c>
      <c r="Z5" s="203">
        <f t="shared" ca="1" si="9"/>
        <v>764.58420000000001</v>
      </c>
      <c r="AA5" s="203">
        <f t="shared" ca="1" si="10"/>
        <v>733.4122000000001</v>
      </c>
      <c r="AB5" s="203">
        <f t="shared" ca="1" si="11"/>
        <v>646.56219999999996</v>
      </c>
      <c r="AC5" s="203">
        <f t="shared" ca="1" si="12"/>
        <v>646.56219999999996</v>
      </c>
      <c r="AF5" s="204"/>
    </row>
    <row r="6" spans="3:32" x14ac:dyDescent="0.3">
      <c r="C6" s="375"/>
      <c r="D6" s="193" t="s">
        <v>63</v>
      </c>
      <c r="E6" s="194" t="s">
        <v>228</v>
      </c>
      <c r="F6" s="195">
        <v>631.10199999999998</v>
      </c>
      <c r="G6" s="195">
        <v>435.93700000000001</v>
      </c>
      <c r="H6" s="195">
        <v>485.35900000000004</v>
      </c>
      <c r="I6" s="196">
        <v>596.92200000000003</v>
      </c>
      <c r="J6" s="196">
        <f t="shared" si="2"/>
        <v>734.25699999999995</v>
      </c>
      <c r="K6" s="195">
        <v>317.935</v>
      </c>
      <c r="L6" s="196">
        <v>734.25699999999995</v>
      </c>
      <c r="M6" s="195">
        <v>703.08500000000004</v>
      </c>
      <c r="N6" s="195">
        <v>616.23500000000001</v>
      </c>
      <c r="O6" s="196">
        <v>616.23500000000001</v>
      </c>
      <c r="S6" s="202" t="s">
        <v>229</v>
      </c>
      <c r="T6" s="203">
        <f t="shared" ca="1" si="3"/>
        <v>394.62900000000002</v>
      </c>
      <c r="U6" s="203">
        <f t="shared" ca="1" si="4"/>
        <v>596.17999999999995</v>
      </c>
      <c r="V6" s="203">
        <f t="shared" ca="1" si="5"/>
        <v>645.60199999999998</v>
      </c>
      <c r="W6" s="203">
        <f t="shared" ca="1" si="6"/>
        <v>360.44900000000001</v>
      </c>
      <c r="X6" s="203">
        <f t="shared" ca="1" si="7"/>
        <v>93.766000000000005</v>
      </c>
      <c r="Y6" s="203">
        <f t="shared" ca="1" si="8"/>
        <v>598.4799999999999</v>
      </c>
      <c r="Z6" s="203">
        <f t="shared" ca="1" si="9"/>
        <v>93.766000000000005</v>
      </c>
      <c r="AA6" s="203">
        <f t="shared" ca="1" si="10"/>
        <v>466.61200000000002</v>
      </c>
      <c r="AB6" s="203">
        <f t="shared" ca="1" si="11"/>
        <v>776.47799999999995</v>
      </c>
      <c r="AC6" s="203">
        <f t="shared" ca="1" si="12"/>
        <v>776.47799999999995</v>
      </c>
      <c r="AF6" s="204"/>
    </row>
    <row r="7" spans="3:32" x14ac:dyDescent="0.3">
      <c r="C7" s="375"/>
      <c r="D7" s="198" t="s">
        <v>64</v>
      </c>
      <c r="E7" s="199" t="s">
        <v>228</v>
      </c>
      <c r="F7" s="200">
        <v>669.01099999999997</v>
      </c>
      <c r="G7" s="200">
        <v>473.846</v>
      </c>
      <c r="H7" s="200">
        <v>523.26800000000003</v>
      </c>
      <c r="I7" s="201">
        <v>634.83100000000002</v>
      </c>
      <c r="J7" s="201">
        <f t="shared" si="2"/>
        <v>772.16600000000005</v>
      </c>
      <c r="K7" s="200">
        <v>355.84399999999999</v>
      </c>
      <c r="L7" s="201">
        <v>772.16600000000005</v>
      </c>
      <c r="M7" s="200">
        <v>740.99400000000003</v>
      </c>
      <c r="N7" s="200">
        <v>654.14400000000001</v>
      </c>
      <c r="O7" s="201">
        <v>654.14400000000001</v>
      </c>
      <c r="S7" s="202" t="s">
        <v>230</v>
      </c>
      <c r="T7" s="203">
        <f t="shared" ca="1" si="3"/>
        <v>460.82099999999997</v>
      </c>
      <c r="U7" s="203">
        <f t="shared" ca="1" si="4"/>
        <v>64.091333333333338</v>
      </c>
      <c r="V7" s="203">
        <f t="shared" ca="1" si="5"/>
        <v>75.091333333333338</v>
      </c>
      <c r="W7" s="203">
        <f t="shared" ca="1" si="6"/>
        <v>423.95966666666664</v>
      </c>
      <c r="X7" s="203">
        <f t="shared" ca="1" si="7"/>
        <v>563.976</v>
      </c>
      <c r="Y7" s="203">
        <f t="shared" ca="1" si="8"/>
        <v>64.091333333333338</v>
      </c>
      <c r="Z7" s="203">
        <f t="shared" ca="1" si="9"/>
        <v>563.976</v>
      </c>
      <c r="AA7" s="203">
        <f t="shared" ca="1" si="10"/>
        <v>530.12266666666665</v>
      </c>
      <c r="AB7" s="203">
        <f t="shared" ca="1" si="11"/>
        <v>120.26933333333334</v>
      </c>
      <c r="AC7" s="203">
        <f t="shared" ca="1" si="12"/>
        <v>120.26933333333334</v>
      </c>
      <c r="AF7" s="204"/>
    </row>
    <row r="8" spans="3:32" x14ac:dyDescent="0.3">
      <c r="C8" s="375"/>
      <c r="D8" s="193" t="s">
        <v>65</v>
      </c>
      <c r="E8" s="194" t="s">
        <v>228</v>
      </c>
      <c r="F8" s="195">
        <v>669.01099999999997</v>
      </c>
      <c r="G8" s="195">
        <v>473.846</v>
      </c>
      <c r="H8" s="195">
        <v>523.26800000000003</v>
      </c>
      <c r="I8" s="196">
        <v>634.83100000000002</v>
      </c>
      <c r="J8" s="196">
        <f t="shared" si="2"/>
        <v>772.16600000000005</v>
      </c>
      <c r="K8" s="195">
        <v>355.84399999999999</v>
      </c>
      <c r="L8" s="196">
        <v>772.16600000000005</v>
      </c>
      <c r="M8" s="195">
        <v>740.99400000000003</v>
      </c>
      <c r="N8" s="195">
        <v>654.14400000000001</v>
      </c>
      <c r="O8" s="196">
        <v>654.14400000000001</v>
      </c>
      <c r="S8" s="202" t="s">
        <v>231</v>
      </c>
      <c r="T8" s="203">
        <f t="shared" ca="1" si="3"/>
        <v>352.80099999999999</v>
      </c>
      <c r="U8" s="203">
        <f t="shared" ca="1" si="4"/>
        <v>46.097999999999992</v>
      </c>
      <c r="V8" s="203">
        <f t="shared" ca="1" si="5"/>
        <v>95.519999999999982</v>
      </c>
      <c r="W8" s="203">
        <f t="shared" ca="1" si="6"/>
        <v>318.62100000000004</v>
      </c>
      <c r="X8" s="203">
        <f t="shared" ca="1" si="7"/>
        <v>456.31599999999997</v>
      </c>
      <c r="Y8" s="203">
        <f t="shared" ca="1" si="8"/>
        <v>45.943333333333328</v>
      </c>
      <c r="Z8" s="203">
        <f t="shared" ca="1" si="9"/>
        <v>456.31599999999997</v>
      </c>
      <c r="AA8" s="203">
        <f t="shared" ca="1" si="10"/>
        <v>424.06400000000002</v>
      </c>
      <c r="AB8" s="203">
        <f t="shared" ca="1" si="11"/>
        <v>226.39599999999999</v>
      </c>
      <c r="AC8" s="203">
        <f t="shared" ca="1" si="12"/>
        <v>226.39599999999999</v>
      </c>
      <c r="AF8" s="204"/>
    </row>
    <row r="9" spans="3:32" x14ac:dyDescent="0.3">
      <c r="C9" s="375"/>
      <c r="D9" s="198" t="s">
        <v>66</v>
      </c>
      <c r="E9" s="199" t="s">
        <v>228</v>
      </c>
      <c r="F9" s="200">
        <v>669.01099999999997</v>
      </c>
      <c r="G9" s="200">
        <v>473.846</v>
      </c>
      <c r="H9" s="200">
        <v>523.26800000000003</v>
      </c>
      <c r="I9" s="201">
        <v>634.83100000000002</v>
      </c>
      <c r="J9" s="201">
        <f t="shared" si="2"/>
        <v>772.16600000000005</v>
      </c>
      <c r="K9" s="200">
        <v>355.84399999999999</v>
      </c>
      <c r="L9" s="201">
        <v>772.16600000000005</v>
      </c>
      <c r="M9" s="200">
        <v>740.99400000000003</v>
      </c>
      <c r="N9" s="200">
        <v>654.14400000000001</v>
      </c>
      <c r="O9" s="201">
        <v>654.14400000000001</v>
      </c>
      <c r="S9" s="202" t="s">
        <v>232</v>
      </c>
      <c r="T9" s="203">
        <f t="shared" ca="1" si="3"/>
        <v>307.62360000000001</v>
      </c>
      <c r="U9" s="203">
        <f t="shared" ca="1" si="4"/>
        <v>92.737400000000008</v>
      </c>
      <c r="V9" s="203">
        <f t="shared" ca="1" si="5"/>
        <v>142.15940000000001</v>
      </c>
      <c r="W9" s="203">
        <f t="shared" ca="1" si="6"/>
        <v>273.44359999999995</v>
      </c>
      <c r="X9" s="203">
        <f t="shared" ca="1" si="7"/>
        <v>448.94899999999996</v>
      </c>
      <c r="Y9" s="203">
        <f t="shared" ca="1" si="8"/>
        <v>89.951799999999992</v>
      </c>
      <c r="Z9" s="203">
        <f t="shared" ca="1" si="9"/>
        <v>448.94899999999996</v>
      </c>
      <c r="AA9" s="203">
        <f t="shared" ca="1" si="10"/>
        <v>379.60659999999996</v>
      </c>
      <c r="AB9" s="203">
        <f t="shared" ca="1" si="11"/>
        <v>273.03540000000004</v>
      </c>
      <c r="AC9" s="203">
        <f t="shared" ca="1" si="12"/>
        <v>273.03540000000004</v>
      </c>
      <c r="AF9" s="204"/>
    </row>
    <row r="10" spans="3:32" x14ac:dyDescent="0.3">
      <c r="C10" s="375"/>
      <c r="D10" s="193" t="s">
        <v>67</v>
      </c>
      <c r="E10" s="194" t="s">
        <v>228</v>
      </c>
      <c r="F10" s="195">
        <v>669.01099999999997</v>
      </c>
      <c r="G10" s="195">
        <v>473.846</v>
      </c>
      <c r="H10" s="195">
        <v>523.26800000000003</v>
      </c>
      <c r="I10" s="196">
        <v>634.83100000000002</v>
      </c>
      <c r="J10" s="196">
        <f t="shared" si="2"/>
        <v>772.16600000000005</v>
      </c>
      <c r="K10" s="195">
        <v>355.84399999999999</v>
      </c>
      <c r="L10" s="196">
        <v>772.16600000000005</v>
      </c>
      <c r="M10" s="195">
        <v>740.99400000000003</v>
      </c>
      <c r="N10" s="195">
        <v>654.14400000000001</v>
      </c>
      <c r="O10" s="196">
        <v>654.14400000000001</v>
      </c>
      <c r="S10" s="202" t="s">
        <v>233</v>
      </c>
      <c r="T10" s="203">
        <f t="shared" ca="1" si="3"/>
        <v>244.471</v>
      </c>
      <c r="U10" s="203">
        <f t="shared" ca="1" si="4"/>
        <v>154.518</v>
      </c>
      <c r="V10" s="203">
        <f t="shared" ca="1" si="5"/>
        <v>203.93999999999997</v>
      </c>
      <c r="W10" s="203">
        <f t="shared" ca="1" si="6"/>
        <v>210.56099999999998</v>
      </c>
      <c r="X10" s="203">
        <f t="shared" ca="1" si="7"/>
        <v>347.89600000000002</v>
      </c>
      <c r="Y10" s="203">
        <f t="shared" ca="1" si="8"/>
        <v>156.81800000000001</v>
      </c>
      <c r="Z10" s="203">
        <f t="shared" ca="1" si="9"/>
        <v>347.89600000000002</v>
      </c>
      <c r="AA10" s="203">
        <f t="shared" ca="1" si="10"/>
        <v>316.72399999999999</v>
      </c>
      <c r="AB10" s="203">
        <f t="shared" ca="1" si="11"/>
        <v>334.81599999999997</v>
      </c>
      <c r="AC10" s="203">
        <f t="shared" ca="1" si="12"/>
        <v>334.81599999999997</v>
      </c>
      <c r="AF10" s="204"/>
    </row>
    <row r="11" spans="3:32" x14ac:dyDescent="0.3">
      <c r="C11" s="375"/>
      <c r="D11" s="198" t="s">
        <v>68</v>
      </c>
      <c r="E11" s="199" t="s">
        <v>229</v>
      </c>
      <c r="F11" s="200">
        <v>394.62900000000002</v>
      </c>
      <c r="G11" s="200">
        <v>596.17999999999995</v>
      </c>
      <c r="H11" s="200">
        <v>645.60199999999998</v>
      </c>
      <c r="I11" s="201">
        <v>360.44900000000001</v>
      </c>
      <c r="J11" s="201">
        <f t="shared" si="2"/>
        <v>93.766000000000005</v>
      </c>
      <c r="K11" s="200">
        <v>598.4799999999999</v>
      </c>
      <c r="L11" s="201">
        <v>93.766000000000005</v>
      </c>
      <c r="M11" s="200">
        <v>466.61200000000002</v>
      </c>
      <c r="N11" s="200">
        <v>776.47799999999995</v>
      </c>
      <c r="O11" s="201">
        <v>776.47799999999995</v>
      </c>
      <c r="S11" s="202" t="s">
        <v>234</v>
      </c>
      <c r="T11" s="203">
        <f t="shared" ca="1" si="3"/>
        <v>395.91849999999999</v>
      </c>
      <c r="U11" s="203">
        <f t="shared" ca="1" si="4"/>
        <v>36.580500000000001</v>
      </c>
      <c r="V11" s="203">
        <f t="shared" ca="1" si="5"/>
        <v>87.152500000000003</v>
      </c>
      <c r="W11" s="277">
        <f t="shared" ca="1" si="6"/>
        <v>357.71899999999999</v>
      </c>
      <c r="X11" s="203">
        <f t="shared" ca="1" si="7"/>
        <v>499.07349999999997</v>
      </c>
      <c r="Y11" s="203">
        <f t="shared" ca="1" si="8"/>
        <v>34.080500000000001</v>
      </c>
      <c r="Z11" s="203">
        <f t="shared" ca="1" si="9"/>
        <v>499.07349999999997</v>
      </c>
      <c r="AA11" s="203">
        <f t="shared" ca="1" si="10"/>
        <v>463.87950000000001</v>
      </c>
      <c r="AB11" s="203">
        <f t="shared" ca="1" si="11"/>
        <v>218.02850000000001</v>
      </c>
      <c r="AC11" s="203">
        <f t="shared" ca="1" si="12"/>
        <v>218.02850000000001</v>
      </c>
      <c r="AF11" s="204"/>
    </row>
    <row r="12" spans="3:32" x14ac:dyDescent="0.3">
      <c r="C12" s="376" t="s">
        <v>69</v>
      </c>
      <c r="D12" s="193" t="s">
        <v>70</v>
      </c>
      <c r="E12" s="194" t="s">
        <v>230</v>
      </c>
      <c r="F12" s="195">
        <v>391.67099999999999</v>
      </c>
      <c r="G12" s="195">
        <v>7.5880000000000001</v>
      </c>
      <c r="H12" s="195">
        <v>57.009999999999991</v>
      </c>
      <c r="I12" s="196">
        <v>357.49099999999999</v>
      </c>
      <c r="J12" s="196">
        <f t="shared" si="2"/>
        <v>494.82600000000002</v>
      </c>
      <c r="K12" s="195">
        <v>9.8879999999999999</v>
      </c>
      <c r="L12" s="196">
        <v>494.82600000000002</v>
      </c>
      <c r="M12" s="195">
        <v>463.654</v>
      </c>
      <c r="N12" s="195">
        <v>187.886</v>
      </c>
      <c r="O12" s="196">
        <v>187.886</v>
      </c>
      <c r="S12" s="202" t="s">
        <v>235</v>
      </c>
      <c r="T12" s="203">
        <f ca="1">AVERAGEIF($E$2:$Q$54,$S12,F$2:F$54)</f>
        <v>162.84283333333335</v>
      </c>
      <c r="U12" s="203">
        <f t="shared" ca="1" si="4"/>
        <v>343.1248333333333</v>
      </c>
      <c r="V12" s="203">
        <f t="shared" ca="1" si="5"/>
        <v>329.05316666666664</v>
      </c>
      <c r="W12" s="203">
        <f t="shared" ca="1" si="6"/>
        <v>128.66283333333334</v>
      </c>
      <c r="X12" s="203">
        <f t="shared" ca="1" si="7"/>
        <v>222.24283333333335</v>
      </c>
      <c r="Y12" s="203">
        <f t="shared" ca="1" si="8"/>
        <v>278.44916666666666</v>
      </c>
      <c r="Z12" s="203">
        <f t="shared" ca="1" si="9"/>
        <v>222.24283333333335</v>
      </c>
      <c r="AA12" s="203">
        <f t="shared" ca="1" si="10"/>
        <v>234.82583333333335</v>
      </c>
      <c r="AB12" s="203">
        <f t="shared" ca="1" si="11"/>
        <v>459.92916666666662</v>
      </c>
      <c r="AC12" s="203">
        <f t="shared" ca="1" si="12"/>
        <v>459.92916666666662</v>
      </c>
      <c r="AF12" s="204"/>
    </row>
    <row r="13" spans="3:32" x14ac:dyDescent="0.3">
      <c r="C13" s="377"/>
      <c r="D13" s="198" t="s">
        <v>71</v>
      </c>
      <c r="E13" s="199" t="s">
        <v>230</v>
      </c>
      <c r="F13" s="200">
        <v>401.55900000000003</v>
      </c>
      <c r="G13" s="200">
        <v>2.2999999999999998</v>
      </c>
      <c r="H13" s="200">
        <v>51.722000000000008</v>
      </c>
      <c r="I13" s="201">
        <v>359.33499999999998</v>
      </c>
      <c r="J13" s="201">
        <f t="shared" si="2"/>
        <v>504.714</v>
      </c>
      <c r="K13" s="200">
        <v>0</v>
      </c>
      <c r="L13" s="201">
        <v>504.714</v>
      </c>
      <c r="M13" s="200">
        <v>465.49799999999999</v>
      </c>
      <c r="N13" s="200">
        <v>182.59800000000001</v>
      </c>
      <c r="O13" s="201">
        <v>182.59800000000001</v>
      </c>
      <c r="S13" s="202" t="s">
        <v>236</v>
      </c>
      <c r="T13" s="203">
        <f t="shared" ca="1" si="3"/>
        <v>77.567999999999998</v>
      </c>
      <c r="U13" s="203">
        <f t="shared" ca="1" si="4"/>
        <v>319.46766666666667</v>
      </c>
      <c r="V13" s="203">
        <f t="shared" ca="1" si="5"/>
        <v>367.80966666666671</v>
      </c>
      <c r="W13" s="203">
        <f t="shared" ca="1" si="6"/>
        <v>45.611333333333334</v>
      </c>
      <c r="X13" s="203">
        <f t="shared" ca="1" si="7"/>
        <v>221.07166666666669</v>
      </c>
      <c r="Y13" s="203">
        <f t="shared" ca="1" si="8"/>
        <v>321.76766666666668</v>
      </c>
      <c r="Z13" s="203">
        <f t="shared" ca="1" si="9"/>
        <v>221.07166666666669</v>
      </c>
      <c r="AA13" s="203">
        <f t="shared" ca="1" si="10"/>
        <v>151.77433333333332</v>
      </c>
      <c r="AB13" s="203">
        <f t="shared" ca="1" si="11"/>
        <v>498.68566666666669</v>
      </c>
      <c r="AC13" s="203">
        <f t="shared" ca="1" si="12"/>
        <v>498.68566666666669</v>
      </c>
      <c r="AF13" s="204"/>
    </row>
    <row r="14" spans="3:32" x14ac:dyDescent="0.3">
      <c r="C14" s="377"/>
      <c r="D14" s="193" t="s">
        <v>72</v>
      </c>
      <c r="E14" s="194" t="s">
        <v>230</v>
      </c>
      <c r="F14" s="195">
        <v>401.55900000000003</v>
      </c>
      <c r="G14" s="195">
        <v>2.2999999999999998</v>
      </c>
      <c r="H14" s="195">
        <v>51.722000000000008</v>
      </c>
      <c r="I14" s="196">
        <v>359.33499999999998</v>
      </c>
      <c r="J14" s="196">
        <f t="shared" si="2"/>
        <v>504.714</v>
      </c>
      <c r="K14" s="195">
        <v>0</v>
      </c>
      <c r="L14" s="196">
        <v>504.714</v>
      </c>
      <c r="M14" s="195">
        <v>465.49799999999999</v>
      </c>
      <c r="N14" s="195">
        <v>182.59800000000001</v>
      </c>
      <c r="O14" s="196">
        <v>182.59800000000001</v>
      </c>
      <c r="S14" s="202" t="s">
        <v>237</v>
      </c>
      <c r="T14" s="203">
        <f t="shared" ca="1" si="3"/>
        <v>176.60120000000001</v>
      </c>
      <c r="U14" s="203">
        <f t="shared" ca="1" si="4"/>
        <v>435.43320000000006</v>
      </c>
      <c r="V14" s="203">
        <f t="shared" ca="1" si="5"/>
        <v>483.80799999999999</v>
      </c>
      <c r="W14" s="203">
        <f t="shared" ca="1" si="6"/>
        <v>70.354199999999992</v>
      </c>
      <c r="X14" s="203">
        <f t="shared" ca="1" si="7"/>
        <v>337.03720000000004</v>
      </c>
      <c r="Y14" s="203">
        <f t="shared" ca="1" si="8"/>
        <v>437.73320000000001</v>
      </c>
      <c r="Z14" s="203">
        <f t="shared" ca="1" si="9"/>
        <v>337.03720000000004</v>
      </c>
      <c r="AA14" s="203">
        <f t="shared" ca="1" si="10"/>
        <v>46.044000000000004</v>
      </c>
      <c r="AB14" s="203">
        <f t="shared" ca="1" si="11"/>
        <v>614.68399999999997</v>
      </c>
      <c r="AC14" s="203">
        <f t="shared" ca="1" si="12"/>
        <v>614.68399999999997</v>
      </c>
      <c r="AF14" s="204"/>
    </row>
    <row r="15" spans="3:32" x14ac:dyDescent="0.3">
      <c r="C15" s="377"/>
      <c r="D15" s="198" t="s">
        <v>73</v>
      </c>
      <c r="E15" s="199" t="s">
        <v>230</v>
      </c>
      <c r="F15" s="200">
        <v>437.68099999999998</v>
      </c>
      <c r="G15" s="200">
        <v>38.421999999999997</v>
      </c>
      <c r="H15" s="200">
        <v>11</v>
      </c>
      <c r="I15" s="201">
        <v>403.50099999999998</v>
      </c>
      <c r="J15" s="201">
        <f t="shared" si="2"/>
        <v>540.83600000000001</v>
      </c>
      <c r="K15" s="200">
        <v>40.721999999999994</v>
      </c>
      <c r="L15" s="201">
        <v>540.83600000000001</v>
      </c>
      <c r="M15" s="200">
        <v>509.66399999999999</v>
      </c>
      <c r="N15" s="200">
        <v>141.876</v>
      </c>
      <c r="O15" s="201">
        <v>141.876</v>
      </c>
      <c r="S15" s="202" t="s">
        <v>238</v>
      </c>
      <c r="T15" s="203">
        <f t="shared" ca="1" si="3"/>
        <v>211.58399999999997</v>
      </c>
      <c r="U15" s="203">
        <f t="shared" ca="1" si="4"/>
        <v>470.416</v>
      </c>
      <c r="V15" s="203">
        <f t="shared" ca="1" si="5"/>
        <v>519.83799999999997</v>
      </c>
      <c r="W15" s="203">
        <f t="shared" ca="1" si="6"/>
        <v>105.337</v>
      </c>
      <c r="X15" s="203">
        <f t="shared" ca="1" si="7"/>
        <v>372.02</v>
      </c>
      <c r="Y15" s="203">
        <f t="shared" ca="1" si="8"/>
        <v>472.71600000000007</v>
      </c>
      <c r="Z15" s="203">
        <f t="shared" ca="1" si="9"/>
        <v>372.02</v>
      </c>
      <c r="AA15" s="203">
        <f t="shared" ca="1" si="10"/>
        <v>0.82600000000000007</v>
      </c>
      <c r="AB15" s="203">
        <f t="shared" ca="1" si="11"/>
        <v>650.71399999999994</v>
      </c>
      <c r="AC15" s="203">
        <f t="shared" ca="1" si="12"/>
        <v>650.71399999999994</v>
      </c>
      <c r="AF15" s="204"/>
    </row>
    <row r="16" spans="3:32" x14ac:dyDescent="0.3">
      <c r="C16" s="377"/>
      <c r="D16" s="193" t="s">
        <v>74</v>
      </c>
      <c r="E16" s="194" t="s">
        <v>230</v>
      </c>
      <c r="F16" s="195">
        <v>566.22799999999995</v>
      </c>
      <c r="G16" s="195">
        <v>166.96899999999999</v>
      </c>
      <c r="H16" s="195">
        <v>139.547</v>
      </c>
      <c r="I16" s="196">
        <v>532.048</v>
      </c>
      <c r="J16" s="196">
        <f t="shared" si="2"/>
        <v>669.38300000000004</v>
      </c>
      <c r="K16" s="195">
        <v>166.96899999999999</v>
      </c>
      <c r="L16" s="196">
        <v>669.38300000000004</v>
      </c>
      <c r="M16" s="195">
        <v>638.21100000000001</v>
      </c>
      <c r="N16" s="195">
        <v>13.329000000000001</v>
      </c>
      <c r="O16" s="196">
        <v>13.329000000000001</v>
      </c>
      <c r="S16" s="202" t="str">
        <f>D46</f>
        <v>PE-GUARAREMA (INTERCONEXÃO)</v>
      </c>
      <c r="T16" s="203">
        <f t="shared" ref="T16:AC18" si="13">F46</f>
        <v>106.247</v>
      </c>
      <c r="U16" s="203">
        <f t="shared" si="13"/>
        <v>365.07900000000001</v>
      </c>
      <c r="V16" s="203">
        <f t="shared" si="13"/>
        <v>414.50099999999998</v>
      </c>
      <c r="W16" s="203">
        <f t="shared" si="13"/>
        <v>0</v>
      </c>
      <c r="X16" s="203">
        <f t="shared" si="13"/>
        <v>266.68299999999999</v>
      </c>
      <c r="Y16" s="203">
        <f t="shared" si="13"/>
        <v>367.37900000000002</v>
      </c>
      <c r="Z16" s="203">
        <f t="shared" si="13"/>
        <v>266.68299999999999</v>
      </c>
      <c r="AA16" s="203">
        <f t="shared" si="13"/>
        <v>106.163</v>
      </c>
      <c r="AB16" s="203">
        <f t="shared" si="13"/>
        <v>545.37699999999995</v>
      </c>
      <c r="AC16" s="203">
        <f t="shared" si="13"/>
        <v>545.37699999999995</v>
      </c>
      <c r="AF16" s="204"/>
    </row>
    <row r="17" spans="3:32" x14ac:dyDescent="0.3">
      <c r="C17" s="377"/>
      <c r="D17" s="198" t="s">
        <v>75</v>
      </c>
      <c r="E17" s="199" t="s">
        <v>230</v>
      </c>
      <c r="F17" s="200">
        <v>566.22799999999995</v>
      </c>
      <c r="G17" s="200">
        <v>166.96899999999999</v>
      </c>
      <c r="H17" s="200">
        <v>139.547</v>
      </c>
      <c r="I17" s="201">
        <v>532.048</v>
      </c>
      <c r="J17" s="201">
        <f t="shared" si="2"/>
        <v>669.38300000000004</v>
      </c>
      <c r="K17" s="200">
        <v>166.96899999999999</v>
      </c>
      <c r="L17" s="201">
        <v>669.38300000000004</v>
      </c>
      <c r="M17" s="200">
        <v>638.21100000000001</v>
      </c>
      <c r="N17" s="200">
        <v>13.329000000000001</v>
      </c>
      <c r="O17" s="201">
        <v>13.329000000000001</v>
      </c>
      <c r="S17" s="202" t="str">
        <f>D47</f>
        <v>PE-REPLAN (INTERCONEXÃO)</v>
      </c>
      <c r="T17" s="203">
        <f t="shared" si="13"/>
        <v>300.863</v>
      </c>
      <c r="U17" s="203">
        <f t="shared" si="13"/>
        <v>502.41399999999999</v>
      </c>
      <c r="V17" s="203">
        <f t="shared" si="13"/>
        <v>551.83600000000001</v>
      </c>
      <c r="W17" s="203">
        <f t="shared" si="13"/>
        <v>266.68299999999999</v>
      </c>
      <c r="X17" s="203">
        <f t="shared" si="13"/>
        <v>0</v>
      </c>
      <c r="Y17" s="203">
        <f t="shared" si="13"/>
        <v>504.714</v>
      </c>
      <c r="Z17" s="203">
        <f t="shared" si="13"/>
        <v>0</v>
      </c>
      <c r="AA17" s="203">
        <f t="shared" si="13"/>
        <v>372.846</v>
      </c>
      <c r="AB17" s="203">
        <f t="shared" si="13"/>
        <v>682.71199999999999</v>
      </c>
      <c r="AC17" s="203">
        <f t="shared" si="13"/>
        <v>682.71199999999999</v>
      </c>
      <c r="AF17" s="204"/>
    </row>
    <row r="18" spans="3:32" x14ac:dyDescent="0.3">
      <c r="C18" s="377"/>
      <c r="D18" s="198" t="s">
        <v>76</v>
      </c>
      <c r="E18" s="199" t="s">
        <v>231</v>
      </c>
      <c r="F18" s="200">
        <v>352.08100000000002</v>
      </c>
      <c r="G18" s="200">
        <v>46.097999999999999</v>
      </c>
      <c r="H18" s="200">
        <v>95.519999999999982</v>
      </c>
      <c r="I18" s="201">
        <v>317.90100000000001</v>
      </c>
      <c r="J18" s="201">
        <f t="shared" ref="J18:J34" si="14">L18</f>
        <v>456.31599999999997</v>
      </c>
      <c r="K18" s="200">
        <v>41.033999999999999</v>
      </c>
      <c r="L18" s="201">
        <v>456.31599999999997</v>
      </c>
      <c r="M18" s="200">
        <v>424.06400000000002</v>
      </c>
      <c r="N18" s="200">
        <v>226.39599999999999</v>
      </c>
      <c r="O18" s="201">
        <v>226.39599999999999</v>
      </c>
      <c r="S18" s="202" t="str">
        <f>D48</f>
        <v>PE-TECAB (INTERCONEXÃO)</v>
      </c>
      <c r="T18" s="203">
        <f t="shared" si="13"/>
        <v>579.55700000000002</v>
      </c>
      <c r="U18" s="203">
        <f t="shared" si="13"/>
        <v>180.298</v>
      </c>
      <c r="V18" s="203">
        <f t="shared" si="13"/>
        <v>152.876</v>
      </c>
      <c r="W18" s="203">
        <f t="shared" si="13"/>
        <v>545.37699999999995</v>
      </c>
      <c r="X18" s="203">
        <f t="shared" si="13"/>
        <v>682.71199999999999</v>
      </c>
      <c r="Y18" s="203">
        <f t="shared" si="13"/>
        <v>180.298</v>
      </c>
      <c r="Z18" s="203">
        <f t="shared" si="13"/>
        <v>682.71199999999999</v>
      </c>
      <c r="AA18" s="203">
        <f t="shared" si="13"/>
        <v>651.54</v>
      </c>
      <c r="AB18" s="203">
        <f t="shared" si="13"/>
        <v>0</v>
      </c>
      <c r="AC18" s="203">
        <f t="shared" si="13"/>
        <v>0</v>
      </c>
      <c r="AF18" s="204"/>
    </row>
    <row r="19" spans="3:32" x14ac:dyDescent="0.3">
      <c r="C19" s="377"/>
      <c r="D19" s="193" t="s">
        <v>77</v>
      </c>
      <c r="E19" s="194" t="s">
        <v>231</v>
      </c>
      <c r="F19" s="195">
        <v>353.161</v>
      </c>
      <c r="G19" s="195">
        <v>46.097999999999999</v>
      </c>
      <c r="H19" s="195">
        <v>95.519999999999982</v>
      </c>
      <c r="I19" s="196">
        <v>318.98099999999999</v>
      </c>
      <c r="J19" s="196">
        <f t="shared" si="14"/>
        <v>456.31599999999997</v>
      </c>
      <c r="K19" s="195">
        <v>48.397999999999996</v>
      </c>
      <c r="L19" s="196">
        <v>456.31599999999997</v>
      </c>
      <c r="M19" s="195">
        <v>424.06400000000002</v>
      </c>
      <c r="N19" s="195">
        <v>226.39599999999999</v>
      </c>
      <c r="O19" s="196">
        <v>226.39599999999999</v>
      </c>
    </row>
    <row r="20" spans="3:32" x14ac:dyDescent="0.3">
      <c r="C20" s="377"/>
      <c r="D20" s="198" t="s">
        <v>78</v>
      </c>
      <c r="E20" s="199" t="s">
        <v>231</v>
      </c>
      <c r="F20" s="200">
        <v>353.161</v>
      </c>
      <c r="G20" s="200">
        <v>46.097999999999999</v>
      </c>
      <c r="H20" s="200">
        <v>95.519999999999982</v>
      </c>
      <c r="I20" s="201">
        <v>318.98099999999999</v>
      </c>
      <c r="J20" s="201">
        <f t="shared" si="14"/>
        <v>456.31599999999997</v>
      </c>
      <c r="K20" s="200">
        <v>48.397999999999996</v>
      </c>
      <c r="L20" s="201">
        <v>456.31599999999997</v>
      </c>
      <c r="M20" s="200">
        <v>424.06400000000002</v>
      </c>
      <c r="N20" s="200">
        <v>226.39599999999999</v>
      </c>
      <c r="O20" s="201">
        <v>226.39599999999999</v>
      </c>
      <c r="S20" s="142"/>
    </row>
    <row r="21" spans="3:32" x14ac:dyDescent="0.3">
      <c r="C21" s="377"/>
      <c r="D21" s="193" t="s">
        <v>79</v>
      </c>
      <c r="E21" s="194" t="s">
        <v>232</v>
      </c>
      <c r="F21" s="195">
        <v>278.76900000000001</v>
      </c>
      <c r="G21" s="195">
        <v>119.41</v>
      </c>
      <c r="H21" s="195">
        <v>168.83200000000002</v>
      </c>
      <c r="I21" s="196">
        <v>244.58899999999994</v>
      </c>
      <c r="J21" s="196">
        <f t="shared" si="14"/>
        <v>381.92399999999998</v>
      </c>
      <c r="K21" s="195">
        <v>117.11</v>
      </c>
      <c r="L21" s="196">
        <v>381.92399999999998</v>
      </c>
      <c r="M21" s="195">
        <v>350.75200000000001</v>
      </c>
      <c r="N21" s="195">
        <v>299.70800000000003</v>
      </c>
      <c r="O21" s="196">
        <v>299.70800000000003</v>
      </c>
      <c r="S21" s="142"/>
    </row>
    <row r="22" spans="3:32" x14ac:dyDescent="0.3">
      <c r="C22" s="377"/>
      <c r="D22" s="198" t="s">
        <v>80</v>
      </c>
      <c r="E22" s="199" t="s">
        <v>232</v>
      </c>
      <c r="F22" s="200">
        <v>291.45699999999999</v>
      </c>
      <c r="G22" s="200">
        <v>106.72199999999999</v>
      </c>
      <c r="H22" s="200">
        <v>156.14399999999998</v>
      </c>
      <c r="I22" s="201">
        <v>257.27699999999993</v>
      </c>
      <c r="J22" s="201">
        <f t="shared" si="14"/>
        <v>394.61200000000002</v>
      </c>
      <c r="K22" s="200">
        <v>104.422</v>
      </c>
      <c r="L22" s="201">
        <v>394.61200000000002</v>
      </c>
      <c r="M22" s="200">
        <v>363.44</v>
      </c>
      <c r="N22" s="200">
        <v>287.02</v>
      </c>
      <c r="O22" s="201">
        <v>287.02</v>
      </c>
      <c r="S22" s="142"/>
    </row>
    <row r="23" spans="3:32" x14ac:dyDescent="0.3">
      <c r="C23" s="377"/>
      <c r="D23" s="193" t="s">
        <v>83</v>
      </c>
      <c r="E23" s="194" t="s">
        <v>232</v>
      </c>
      <c r="F23" s="195">
        <v>304.05500000000001</v>
      </c>
      <c r="G23" s="195">
        <v>105.03400000000001</v>
      </c>
      <c r="H23" s="195">
        <v>154.45599999999999</v>
      </c>
      <c r="I23" s="196">
        <v>269.875</v>
      </c>
      <c r="J23" s="196">
        <f t="shared" si="14"/>
        <v>515.25199999999995</v>
      </c>
      <c r="K23" s="195">
        <v>105.03400000000001</v>
      </c>
      <c r="L23" s="196">
        <v>515.25199999999995</v>
      </c>
      <c r="M23" s="195">
        <v>376.03800000000001</v>
      </c>
      <c r="N23" s="195">
        <v>285.33199999999999</v>
      </c>
      <c r="O23" s="196">
        <v>285.33199999999999</v>
      </c>
      <c r="S23" s="142"/>
    </row>
    <row r="24" spans="3:32" x14ac:dyDescent="0.3">
      <c r="C24" s="377"/>
      <c r="D24" s="198" t="s">
        <v>82</v>
      </c>
      <c r="E24" s="199" t="s">
        <v>232</v>
      </c>
      <c r="F24" s="200">
        <v>322.28199999999998</v>
      </c>
      <c r="G24" s="200">
        <v>75.897000000000006</v>
      </c>
      <c r="H24" s="200">
        <v>125.31899999999999</v>
      </c>
      <c r="I24" s="201">
        <v>288.10199999999998</v>
      </c>
      <c r="J24" s="201">
        <f t="shared" si="14"/>
        <v>486.11500000000001</v>
      </c>
      <c r="K24" s="200">
        <v>71.233000000000004</v>
      </c>
      <c r="L24" s="201">
        <v>486.11500000000001</v>
      </c>
      <c r="M24" s="200">
        <v>394.26499999999999</v>
      </c>
      <c r="N24" s="200">
        <v>256.19499999999999</v>
      </c>
      <c r="O24" s="201">
        <v>256.19499999999999</v>
      </c>
      <c r="S24" s="142"/>
    </row>
    <row r="25" spans="3:32" x14ac:dyDescent="0.3">
      <c r="C25" s="377"/>
      <c r="D25" s="193" t="s">
        <v>81</v>
      </c>
      <c r="E25" s="194" t="s">
        <v>232</v>
      </c>
      <c r="F25" s="195">
        <v>341.55500000000001</v>
      </c>
      <c r="G25" s="195">
        <v>56.624000000000002</v>
      </c>
      <c r="H25" s="195">
        <v>106.04599999999999</v>
      </c>
      <c r="I25" s="196">
        <v>307.375</v>
      </c>
      <c r="J25" s="196">
        <f t="shared" si="14"/>
        <v>466.84199999999998</v>
      </c>
      <c r="K25" s="195">
        <v>51.96</v>
      </c>
      <c r="L25" s="196">
        <v>466.84199999999998</v>
      </c>
      <c r="M25" s="195">
        <v>413.53800000000001</v>
      </c>
      <c r="N25" s="195">
        <v>236.922</v>
      </c>
      <c r="O25" s="196">
        <v>236.922</v>
      </c>
      <c r="S25" s="142"/>
    </row>
    <row r="26" spans="3:32" x14ac:dyDescent="0.3">
      <c r="C26" s="377"/>
      <c r="D26" s="198" t="s">
        <v>84</v>
      </c>
      <c r="E26" s="199" t="s">
        <v>233</v>
      </c>
      <c r="F26" s="200">
        <v>244.471</v>
      </c>
      <c r="G26" s="200">
        <v>154.518</v>
      </c>
      <c r="H26" s="200">
        <v>203.93999999999997</v>
      </c>
      <c r="I26" s="201">
        <v>210.56099999999998</v>
      </c>
      <c r="J26" s="201">
        <f t="shared" si="14"/>
        <v>347.89600000000002</v>
      </c>
      <c r="K26" s="200">
        <v>156.81800000000001</v>
      </c>
      <c r="L26" s="201">
        <v>347.89600000000002</v>
      </c>
      <c r="M26" s="200">
        <v>316.72399999999999</v>
      </c>
      <c r="N26" s="200">
        <v>334.81599999999997</v>
      </c>
      <c r="O26" s="201">
        <v>334.81599999999997</v>
      </c>
      <c r="S26" s="142"/>
    </row>
    <row r="27" spans="3:32" x14ac:dyDescent="0.3">
      <c r="C27" s="377"/>
      <c r="D27" s="193" t="s">
        <v>85</v>
      </c>
      <c r="E27" s="194" t="s">
        <v>234</v>
      </c>
      <c r="F27" s="195">
        <v>390.27800000000002</v>
      </c>
      <c r="G27" s="195">
        <v>70.861000000000004</v>
      </c>
      <c r="H27" s="195">
        <v>122.583</v>
      </c>
      <c r="I27" s="196">
        <v>356.09800000000001</v>
      </c>
      <c r="J27" s="196">
        <f t="shared" si="14"/>
        <v>493.43299999999999</v>
      </c>
      <c r="K27" s="195">
        <v>68.161000000000001</v>
      </c>
      <c r="L27" s="196">
        <v>493.43299999999999</v>
      </c>
      <c r="M27" s="195">
        <v>462.26100000000002</v>
      </c>
      <c r="N27" s="195">
        <v>253.459</v>
      </c>
      <c r="O27" s="196">
        <v>253.459</v>
      </c>
      <c r="S27" s="142"/>
    </row>
    <row r="28" spans="3:32" x14ac:dyDescent="0.3">
      <c r="C28" s="378"/>
      <c r="D28" s="198" t="s">
        <v>86</v>
      </c>
      <c r="E28" s="199" t="s">
        <v>234</v>
      </c>
      <c r="F28" s="200">
        <v>401.55900000000003</v>
      </c>
      <c r="G28" s="200">
        <v>2.2999999999999998</v>
      </c>
      <c r="H28" s="200">
        <v>51.722000000000008</v>
      </c>
      <c r="I28" s="201">
        <v>359.34</v>
      </c>
      <c r="J28" s="201">
        <f t="shared" si="14"/>
        <v>504.714</v>
      </c>
      <c r="K28" s="200">
        <v>0</v>
      </c>
      <c r="L28" s="201">
        <v>504.714</v>
      </c>
      <c r="M28" s="200">
        <v>465.49799999999999</v>
      </c>
      <c r="N28" s="200">
        <v>182.59800000000001</v>
      </c>
      <c r="O28" s="201">
        <v>182.59800000000001</v>
      </c>
      <c r="S28" s="142"/>
    </row>
    <row r="29" spans="3:32" x14ac:dyDescent="0.3">
      <c r="C29" s="376" t="s">
        <v>87</v>
      </c>
      <c r="D29" s="193" t="s">
        <v>89</v>
      </c>
      <c r="E29" s="194" t="s">
        <v>235</v>
      </c>
      <c r="F29" s="195">
        <v>111.196</v>
      </c>
      <c r="G29" s="195">
        <v>312.74700000000001</v>
      </c>
      <c r="H29" s="195">
        <v>362.16899999999998</v>
      </c>
      <c r="I29" s="196">
        <v>77.016000000000005</v>
      </c>
      <c r="J29" s="196">
        <f t="shared" si="14"/>
        <v>189.667</v>
      </c>
      <c r="K29" s="195">
        <v>315.04700000000003</v>
      </c>
      <c r="L29" s="196">
        <v>189.667</v>
      </c>
      <c r="M29" s="195">
        <v>183.179</v>
      </c>
      <c r="N29" s="195">
        <v>493.04500000000002</v>
      </c>
      <c r="O29" s="196">
        <v>493.04500000000002</v>
      </c>
      <c r="S29" s="142"/>
    </row>
    <row r="30" spans="3:32" x14ac:dyDescent="0.3">
      <c r="C30" s="377"/>
      <c r="D30" s="198" t="s">
        <v>90</v>
      </c>
      <c r="E30" s="199" t="s">
        <v>235</v>
      </c>
      <c r="F30" s="200">
        <v>128.608</v>
      </c>
      <c r="G30" s="200">
        <v>330.15899999999999</v>
      </c>
      <c r="H30" s="200">
        <v>318.99300000000005</v>
      </c>
      <c r="I30" s="201">
        <v>94.427999999999997</v>
      </c>
      <c r="J30" s="201">
        <f t="shared" si="14"/>
        <v>231.76300000000001</v>
      </c>
      <c r="K30" s="200">
        <v>264.90699999999998</v>
      </c>
      <c r="L30" s="201">
        <v>231.76300000000001</v>
      </c>
      <c r="M30" s="200">
        <v>200.59100000000001</v>
      </c>
      <c r="N30" s="200">
        <v>449.86900000000003</v>
      </c>
      <c r="O30" s="201">
        <v>449.86900000000003</v>
      </c>
      <c r="S30" s="142"/>
    </row>
    <row r="31" spans="3:32" x14ac:dyDescent="0.3">
      <c r="C31" s="377"/>
      <c r="D31" s="193" t="s">
        <v>91</v>
      </c>
      <c r="E31" s="194" t="s">
        <v>235</v>
      </c>
      <c r="F31" s="195">
        <v>162.661</v>
      </c>
      <c r="G31" s="195">
        <v>236.59800000000001</v>
      </c>
      <c r="H31" s="195">
        <v>286.02</v>
      </c>
      <c r="I31" s="196">
        <v>128.48100000000005</v>
      </c>
      <c r="J31" s="196">
        <f t="shared" si="14"/>
        <v>265.81599999999997</v>
      </c>
      <c r="K31" s="195">
        <v>238.89800000000002</v>
      </c>
      <c r="L31" s="196">
        <v>265.81599999999997</v>
      </c>
      <c r="M31" s="195">
        <v>234.64400000000001</v>
      </c>
      <c r="N31" s="195">
        <v>416.89600000000002</v>
      </c>
      <c r="O31" s="196">
        <v>416.89600000000002</v>
      </c>
      <c r="S31" s="142"/>
    </row>
    <row r="32" spans="3:32" x14ac:dyDescent="0.3">
      <c r="C32" s="377"/>
      <c r="D32" s="198" t="s">
        <v>92</v>
      </c>
      <c r="E32" s="199" t="s">
        <v>235</v>
      </c>
      <c r="F32" s="200">
        <v>166.572</v>
      </c>
      <c r="G32" s="200">
        <v>368.12299999999999</v>
      </c>
      <c r="H32" s="200">
        <v>281.029</v>
      </c>
      <c r="I32" s="201">
        <v>132.392</v>
      </c>
      <c r="J32" s="201">
        <f t="shared" si="14"/>
        <v>269.72699999999998</v>
      </c>
      <c r="K32" s="200">
        <v>226.94300000000001</v>
      </c>
      <c r="L32" s="201">
        <v>269.72699999999998</v>
      </c>
      <c r="M32" s="200">
        <v>238.55500000000001</v>
      </c>
      <c r="N32" s="200">
        <v>411.90499999999997</v>
      </c>
      <c r="O32" s="201">
        <v>411.90499999999997</v>
      </c>
      <c r="S32" s="142"/>
    </row>
    <row r="33" spans="3:22" x14ac:dyDescent="0.3">
      <c r="C33" s="377"/>
      <c r="D33" s="193" t="s">
        <v>93</v>
      </c>
      <c r="E33" s="194" t="s">
        <v>235</v>
      </c>
      <c r="F33" s="195">
        <v>190.24299999999999</v>
      </c>
      <c r="G33" s="195">
        <v>391.79399999999998</v>
      </c>
      <c r="H33" s="195">
        <v>257.35799999999995</v>
      </c>
      <c r="I33" s="196">
        <v>156.06299999999999</v>
      </c>
      <c r="J33" s="196">
        <f t="shared" si="14"/>
        <v>293.39800000000002</v>
      </c>
      <c r="K33" s="195">
        <v>203.27199999999999</v>
      </c>
      <c r="L33" s="196">
        <v>293.39800000000002</v>
      </c>
      <c r="M33" s="195">
        <v>262.226</v>
      </c>
      <c r="N33" s="195">
        <v>388.23399999999998</v>
      </c>
      <c r="O33" s="196">
        <v>388.23399999999998</v>
      </c>
      <c r="S33" s="142"/>
    </row>
    <row r="34" spans="3:22" x14ac:dyDescent="0.3">
      <c r="C34" s="377"/>
      <c r="D34" s="198" t="s">
        <v>88</v>
      </c>
      <c r="E34" s="199" t="s">
        <v>235</v>
      </c>
      <c r="F34" s="200">
        <v>217.77699999999999</v>
      </c>
      <c r="G34" s="200">
        <v>419.32799999999997</v>
      </c>
      <c r="H34" s="200">
        <v>468.75</v>
      </c>
      <c r="I34" s="201">
        <v>183.59700000000001</v>
      </c>
      <c r="J34" s="201">
        <f t="shared" si="14"/>
        <v>83.085999999999999</v>
      </c>
      <c r="K34" s="200">
        <v>421.62799999999999</v>
      </c>
      <c r="L34" s="201">
        <v>83.085999999999999</v>
      </c>
      <c r="M34" s="200">
        <v>289.76</v>
      </c>
      <c r="N34" s="200">
        <v>599.62599999999998</v>
      </c>
      <c r="O34" s="201">
        <v>599.62599999999998</v>
      </c>
      <c r="S34" s="142"/>
    </row>
    <row r="35" spans="3:22" x14ac:dyDescent="0.3">
      <c r="C35" s="377"/>
      <c r="D35" s="198" t="s">
        <v>95</v>
      </c>
      <c r="E35" s="199" t="s">
        <v>236</v>
      </c>
      <c r="F35" s="200">
        <v>66.924999999999997</v>
      </c>
      <c r="G35" s="200">
        <v>328.99900000000002</v>
      </c>
      <c r="H35" s="200">
        <v>377.34100000000001</v>
      </c>
      <c r="I35" s="201">
        <v>36.08</v>
      </c>
      <c r="J35" s="201">
        <f t="shared" ref="J35:J45" si="15">L35</f>
        <v>230.60300000000001</v>
      </c>
      <c r="K35" s="200">
        <v>331.29900000000004</v>
      </c>
      <c r="L35" s="201">
        <v>230.60300000000001</v>
      </c>
      <c r="M35" s="200">
        <v>142.24299999999999</v>
      </c>
      <c r="N35" s="200">
        <v>508.21699999999998</v>
      </c>
      <c r="O35" s="201">
        <v>508.21699999999998</v>
      </c>
      <c r="S35" s="142"/>
    </row>
    <row r="36" spans="3:22" x14ac:dyDescent="0.3">
      <c r="C36" s="377"/>
      <c r="D36" s="193" t="s">
        <v>96</v>
      </c>
      <c r="E36" s="194" t="s">
        <v>236</v>
      </c>
      <c r="F36" s="195">
        <v>66.924999999999997</v>
      </c>
      <c r="G36" s="195">
        <v>328.99900000000002</v>
      </c>
      <c r="H36" s="195">
        <v>377.34100000000001</v>
      </c>
      <c r="I36" s="196">
        <v>36.08</v>
      </c>
      <c r="J36" s="196">
        <f t="shared" si="15"/>
        <v>230.60300000000001</v>
      </c>
      <c r="K36" s="195">
        <v>331.29900000000004</v>
      </c>
      <c r="L36" s="196">
        <v>230.60300000000001</v>
      </c>
      <c r="M36" s="195">
        <v>142.24299999999999</v>
      </c>
      <c r="N36" s="195">
        <v>508.21699999999998</v>
      </c>
      <c r="O36" s="196">
        <v>508.21699999999998</v>
      </c>
      <c r="S36" s="142"/>
    </row>
    <row r="37" spans="3:22" x14ac:dyDescent="0.3">
      <c r="C37" s="377"/>
      <c r="D37" s="198" t="s">
        <v>94</v>
      </c>
      <c r="E37" s="199" t="s">
        <v>236</v>
      </c>
      <c r="F37" s="200">
        <v>98.853999999999999</v>
      </c>
      <c r="G37" s="200">
        <v>300.40499999999997</v>
      </c>
      <c r="H37" s="200">
        <v>348.74699999999996</v>
      </c>
      <c r="I37" s="201">
        <v>64.674000000000007</v>
      </c>
      <c r="J37" s="201">
        <f t="shared" si="15"/>
        <v>202.00899999999999</v>
      </c>
      <c r="K37" s="200">
        <v>302.70499999999998</v>
      </c>
      <c r="L37" s="201">
        <v>202.00899999999999</v>
      </c>
      <c r="M37" s="200">
        <v>170.83699999999999</v>
      </c>
      <c r="N37" s="200">
        <v>479.62299999999999</v>
      </c>
      <c r="O37" s="201">
        <v>479.62299999999999</v>
      </c>
      <c r="S37" s="142"/>
    </row>
    <row r="38" spans="3:22" x14ac:dyDescent="0.3">
      <c r="C38" s="377"/>
      <c r="D38" s="198" t="s">
        <v>97</v>
      </c>
      <c r="E38" s="199" t="s">
        <v>237</v>
      </c>
      <c r="F38" s="200">
        <v>141.17599999999999</v>
      </c>
      <c r="G38" s="200">
        <v>400.00799999999998</v>
      </c>
      <c r="H38" s="200">
        <v>448.35</v>
      </c>
      <c r="I38" s="201">
        <v>34.929000000000002</v>
      </c>
      <c r="J38" s="201">
        <f t="shared" si="15"/>
        <v>301.61200000000002</v>
      </c>
      <c r="K38" s="200">
        <v>402.30799999999999</v>
      </c>
      <c r="L38" s="201">
        <v>301.61200000000002</v>
      </c>
      <c r="M38" s="200">
        <v>70.236000000000004</v>
      </c>
      <c r="N38" s="200">
        <v>579.226</v>
      </c>
      <c r="O38" s="201">
        <v>579.226</v>
      </c>
      <c r="S38" s="142"/>
    </row>
    <row r="39" spans="3:22" x14ac:dyDescent="0.3">
      <c r="C39" s="377"/>
      <c r="D39" s="193" t="s">
        <v>98</v>
      </c>
      <c r="E39" s="194" t="s">
        <v>237</v>
      </c>
      <c r="F39" s="195">
        <v>170.52600000000001</v>
      </c>
      <c r="G39" s="195">
        <v>429.358</v>
      </c>
      <c r="H39" s="195">
        <v>476.702</v>
      </c>
      <c r="I39" s="196">
        <v>64.278999999999996</v>
      </c>
      <c r="J39" s="196">
        <f t="shared" si="15"/>
        <v>330.96199999999999</v>
      </c>
      <c r="K39" s="195">
        <v>431.65800000000002</v>
      </c>
      <c r="L39" s="196">
        <v>330.96199999999999</v>
      </c>
      <c r="M39" s="195">
        <v>60.747999999999998</v>
      </c>
      <c r="N39" s="195">
        <v>607.57799999999997</v>
      </c>
      <c r="O39" s="196">
        <v>607.57799999999997</v>
      </c>
      <c r="S39" s="142"/>
    </row>
    <row r="40" spans="3:22" x14ac:dyDescent="0.3">
      <c r="C40" s="377"/>
      <c r="D40" s="198" t="s">
        <v>99</v>
      </c>
      <c r="E40" s="199" t="s">
        <v>237</v>
      </c>
      <c r="F40" s="200">
        <v>170.52600000000001</v>
      </c>
      <c r="G40" s="200">
        <v>429.358</v>
      </c>
      <c r="H40" s="200">
        <v>476.702</v>
      </c>
      <c r="I40" s="201">
        <v>64.278999999999996</v>
      </c>
      <c r="J40" s="201">
        <f t="shared" si="15"/>
        <v>330.96199999999999</v>
      </c>
      <c r="K40" s="200">
        <v>431.65800000000002</v>
      </c>
      <c r="L40" s="201">
        <v>330.96199999999999</v>
      </c>
      <c r="M40" s="200">
        <v>60.747999999999998</v>
      </c>
      <c r="N40" s="200">
        <v>607.57799999999997</v>
      </c>
      <c r="O40" s="201">
        <v>607.57799999999997</v>
      </c>
      <c r="S40" s="142"/>
    </row>
    <row r="41" spans="3:22" x14ac:dyDescent="0.3">
      <c r="C41" s="377"/>
      <c r="D41" s="193" t="s">
        <v>100</v>
      </c>
      <c r="E41" s="194" t="s">
        <v>237</v>
      </c>
      <c r="F41" s="195">
        <v>194.40700000000001</v>
      </c>
      <c r="G41" s="195">
        <v>453.23899999999998</v>
      </c>
      <c r="H41" s="195">
        <v>502.66100000000006</v>
      </c>
      <c r="I41" s="196">
        <v>88.16</v>
      </c>
      <c r="J41" s="196">
        <f t="shared" si="15"/>
        <v>354.84300000000002</v>
      </c>
      <c r="K41" s="195">
        <v>455.53899999999999</v>
      </c>
      <c r="L41" s="196">
        <v>354.84300000000002</v>
      </c>
      <c r="M41" s="195">
        <v>18.003</v>
      </c>
      <c r="N41" s="195">
        <v>633.53700000000003</v>
      </c>
      <c r="O41" s="196">
        <v>633.53700000000003</v>
      </c>
      <c r="S41" s="142"/>
    </row>
    <row r="42" spans="3:22" x14ac:dyDescent="0.3">
      <c r="C42" s="377"/>
      <c r="D42" s="198" t="s">
        <v>101</v>
      </c>
      <c r="E42" s="199" t="s">
        <v>237</v>
      </c>
      <c r="F42" s="200">
        <v>206.37100000000001</v>
      </c>
      <c r="G42" s="200">
        <v>465.20299999999997</v>
      </c>
      <c r="H42" s="200">
        <v>514.625</v>
      </c>
      <c r="I42" s="201">
        <v>100.124</v>
      </c>
      <c r="J42" s="201">
        <f t="shared" si="15"/>
        <v>366.80700000000002</v>
      </c>
      <c r="K42" s="200">
        <v>467.50299999999999</v>
      </c>
      <c r="L42" s="201">
        <v>366.80700000000002</v>
      </c>
      <c r="M42" s="200">
        <v>20.484999999999999</v>
      </c>
      <c r="N42" s="200">
        <v>645.50099999999998</v>
      </c>
      <c r="O42" s="201">
        <v>645.50099999999998</v>
      </c>
      <c r="R42" s="205"/>
      <c r="T42" s="205"/>
      <c r="U42" s="205"/>
      <c r="V42" s="205"/>
    </row>
    <row r="43" spans="3:22" s="205" customFormat="1" x14ac:dyDescent="0.3">
      <c r="C43" s="377"/>
      <c r="D43" s="193" t="s">
        <v>103</v>
      </c>
      <c r="E43" s="194" t="s">
        <v>238</v>
      </c>
      <c r="F43" s="195">
        <v>209.93199999999999</v>
      </c>
      <c r="G43" s="195">
        <v>468.76400000000001</v>
      </c>
      <c r="H43" s="195">
        <v>518.18600000000004</v>
      </c>
      <c r="I43" s="196">
        <v>103.685</v>
      </c>
      <c r="J43" s="196">
        <f t="shared" si="15"/>
        <v>370.36799999999999</v>
      </c>
      <c r="K43" s="195">
        <v>471.06400000000002</v>
      </c>
      <c r="L43" s="196">
        <v>370.36799999999999</v>
      </c>
      <c r="M43" s="195">
        <v>2.4780000000000002</v>
      </c>
      <c r="N43" s="195">
        <v>649.06200000000001</v>
      </c>
      <c r="O43" s="196">
        <v>649.06200000000001</v>
      </c>
      <c r="R43" s="142"/>
      <c r="S43" s="142"/>
      <c r="T43" s="142"/>
      <c r="U43" s="142"/>
      <c r="V43" s="142"/>
    </row>
    <row r="44" spans="3:22" x14ac:dyDescent="0.3">
      <c r="C44" s="377"/>
      <c r="D44" s="198" t="s">
        <v>102</v>
      </c>
      <c r="E44" s="199" t="s">
        <v>238</v>
      </c>
      <c r="F44" s="200">
        <v>212.41</v>
      </c>
      <c r="G44" s="200">
        <v>471.24200000000002</v>
      </c>
      <c r="H44" s="200">
        <v>520.66399999999999</v>
      </c>
      <c r="I44" s="201">
        <v>106.163</v>
      </c>
      <c r="J44" s="201">
        <f t="shared" si="15"/>
        <v>372.846</v>
      </c>
      <c r="K44" s="200">
        <v>473.54200000000003</v>
      </c>
      <c r="L44" s="201">
        <v>372.846</v>
      </c>
      <c r="M44" s="200">
        <v>0</v>
      </c>
      <c r="N44" s="200">
        <v>651.54</v>
      </c>
      <c r="O44" s="201">
        <v>651.54</v>
      </c>
      <c r="S44" s="142"/>
    </row>
    <row r="45" spans="3:22" x14ac:dyDescent="0.3">
      <c r="C45" s="378"/>
      <c r="D45" s="193" t="s">
        <v>104</v>
      </c>
      <c r="E45" s="194" t="s">
        <v>238</v>
      </c>
      <c r="F45" s="195">
        <v>212.41</v>
      </c>
      <c r="G45" s="195">
        <v>471.24200000000002</v>
      </c>
      <c r="H45" s="195">
        <v>520.66399999999999</v>
      </c>
      <c r="I45" s="196">
        <v>106.163</v>
      </c>
      <c r="J45" s="196">
        <f t="shared" si="15"/>
        <v>372.846</v>
      </c>
      <c r="K45" s="195">
        <v>473.54200000000003</v>
      </c>
      <c r="L45" s="196">
        <v>372.846</v>
      </c>
      <c r="M45" s="195">
        <v>0</v>
      </c>
      <c r="N45" s="195">
        <v>651.54</v>
      </c>
      <c r="O45" s="196">
        <v>651.54</v>
      </c>
      <c r="S45" s="142"/>
    </row>
    <row r="46" spans="3:22" x14ac:dyDescent="0.3">
      <c r="C46"/>
      <c r="D46" s="198" t="s">
        <v>279</v>
      </c>
      <c r="E46" s="199"/>
      <c r="F46" s="200">
        <v>106.247</v>
      </c>
      <c r="G46" s="200">
        <v>365.07900000000001</v>
      </c>
      <c r="H46" s="200">
        <v>414.50099999999998</v>
      </c>
      <c r="I46" s="200">
        <v>0</v>
      </c>
      <c r="J46" s="200">
        <v>266.68299999999999</v>
      </c>
      <c r="K46" s="200">
        <v>367.37900000000002</v>
      </c>
      <c r="L46" s="200">
        <v>266.68299999999999</v>
      </c>
      <c r="M46" s="200">
        <v>106.163</v>
      </c>
      <c r="N46" s="200">
        <v>545.37699999999995</v>
      </c>
      <c r="O46" s="200">
        <v>545.37699999999995</v>
      </c>
      <c r="S46" s="142"/>
    </row>
    <row r="47" spans="3:22" x14ac:dyDescent="0.3">
      <c r="C47"/>
      <c r="D47" s="193" t="s">
        <v>278</v>
      </c>
      <c r="E47" s="194"/>
      <c r="F47" s="195">
        <v>300.863</v>
      </c>
      <c r="G47" s="195">
        <v>502.41399999999999</v>
      </c>
      <c r="H47" s="195">
        <v>551.83600000000001</v>
      </c>
      <c r="I47" s="195">
        <v>266.68299999999999</v>
      </c>
      <c r="J47" s="195">
        <v>0</v>
      </c>
      <c r="K47" s="195">
        <v>504.714</v>
      </c>
      <c r="L47" s="195">
        <v>0</v>
      </c>
      <c r="M47" s="195">
        <v>372.846</v>
      </c>
      <c r="N47" s="195">
        <v>682.71199999999999</v>
      </c>
      <c r="O47" s="195">
        <v>682.71199999999999</v>
      </c>
      <c r="S47" s="142"/>
    </row>
    <row r="48" spans="3:22" x14ac:dyDescent="0.3">
      <c r="C48"/>
      <c r="D48" s="198" t="s">
        <v>277</v>
      </c>
      <c r="E48" s="199"/>
      <c r="F48" s="200">
        <v>579.55700000000002</v>
      </c>
      <c r="G48" s="200">
        <v>180.298</v>
      </c>
      <c r="H48" s="200">
        <v>152.876</v>
      </c>
      <c r="I48" s="201">
        <v>545.37699999999995</v>
      </c>
      <c r="J48" s="201">
        <v>682.71199999999999</v>
      </c>
      <c r="K48" s="200">
        <v>180.298</v>
      </c>
      <c r="L48" s="201">
        <v>682.71199999999999</v>
      </c>
      <c r="M48" s="200">
        <v>651.54</v>
      </c>
      <c r="N48" s="200">
        <v>0</v>
      </c>
      <c r="O48" s="201">
        <v>0</v>
      </c>
      <c r="S48" s="142"/>
    </row>
    <row r="49" spans="3:22" x14ac:dyDescent="0.3">
      <c r="C49" s="206"/>
      <c r="S49" s="142"/>
    </row>
    <row r="50" spans="3:22" x14ac:dyDescent="0.3">
      <c r="C50" s="206"/>
      <c r="S50" s="142"/>
    </row>
    <row r="51" spans="3:22" x14ac:dyDescent="0.3">
      <c r="C51" s="206"/>
      <c r="S51" s="142"/>
    </row>
    <row r="52" spans="3:22" x14ac:dyDescent="0.3">
      <c r="C52" s="206"/>
      <c r="S52" s="142"/>
    </row>
    <row r="53" spans="3:22" x14ac:dyDescent="0.3">
      <c r="C53" s="206"/>
      <c r="S53" s="208"/>
      <c r="T53" s="204"/>
      <c r="U53" s="204"/>
      <c r="V53" s="204"/>
    </row>
    <row r="54" spans="3:22" x14ac:dyDescent="0.3">
      <c r="C54" s="206"/>
      <c r="S54" s="208"/>
      <c r="T54" s="204"/>
      <c r="U54" s="204"/>
      <c r="V54" s="204"/>
    </row>
    <row r="55" spans="3:22" x14ac:dyDescent="0.3">
      <c r="S55" s="208"/>
      <c r="T55" s="204"/>
      <c r="U55" s="204"/>
      <c r="V55" s="204"/>
    </row>
    <row r="56" spans="3:22" x14ac:dyDescent="0.3">
      <c r="S56" s="208"/>
      <c r="T56" s="204"/>
      <c r="U56" s="204"/>
      <c r="V56" s="204"/>
    </row>
    <row r="57" spans="3:22" x14ac:dyDescent="0.3">
      <c r="S57" s="208"/>
      <c r="T57" s="204"/>
      <c r="U57" s="204"/>
      <c r="V57" s="204"/>
    </row>
    <row r="58" spans="3:22" x14ac:dyDescent="0.3">
      <c r="S58" s="208"/>
      <c r="T58" s="204"/>
      <c r="U58" s="204"/>
      <c r="V58" s="204"/>
    </row>
    <row r="59" spans="3:22" x14ac:dyDescent="0.3">
      <c r="S59" s="208"/>
      <c r="T59" s="204"/>
      <c r="U59" s="204"/>
      <c r="V59" s="204"/>
    </row>
    <row r="60" spans="3:22" x14ac:dyDescent="0.3">
      <c r="S60" s="208"/>
      <c r="T60" s="204"/>
      <c r="U60" s="204"/>
      <c r="V60" s="204"/>
    </row>
    <row r="61" spans="3:22" x14ac:dyDescent="0.3">
      <c r="S61" s="208"/>
      <c r="T61" s="204"/>
      <c r="U61" s="204"/>
      <c r="V61" s="204"/>
    </row>
    <row r="62" spans="3:22" x14ac:dyDescent="0.3">
      <c r="S62" s="208"/>
      <c r="T62" s="204"/>
      <c r="U62" s="204"/>
      <c r="V62" s="204"/>
    </row>
    <row r="63" spans="3:22" x14ac:dyDescent="0.3">
      <c r="S63" s="208"/>
      <c r="T63" s="204"/>
      <c r="U63" s="204"/>
      <c r="V63" s="204"/>
    </row>
    <row r="64" spans="3:22" x14ac:dyDescent="0.3">
      <c r="S64" s="208"/>
      <c r="T64" s="204"/>
      <c r="U64" s="204"/>
      <c r="V64" s="204"/>
    </row>
    <row r="65" spans="19:22" x14ac:dyDescent="0.3">
      <c r="S65" s="208"/>
      <c r="T65" s="204"/>
      <c r="U65" s="204"/>
      <c r="V65" s="204"/>
    </row>
    <row r="66" spans="19:22" x14ac:dyDescent="0.3">
      <c r="S66" s="208"/>
      <c r="T66" s="204"/>
      <c r="U66" s="204"/>
      <c r="V66" s="204"/>
    </row>
    <row r="67" spans="19:22" x14ac:dyDescent="0.3">
      <c r="S67" s="208"/>
      <c r="T67" s="204"/>
      <c r="U67" s="204"/>
      <c r="V67" s="204"/>
    </row>
    <row r="68" spans="19:22" x14ac:dyDescent="0.3">
      <c r="S68" s="208"/>
      <c r="T68" s="204"/>
      <c r="U68" s="204"/>
      <c r="V68" s="204"/>
    </row>
    <row r="69" spans="19:22" x14ac:dyDescent="0.3">
      <c r="S69" s="208"/>
      <c r="T69" s="204"/>
      <c r="U69" s="204"/>
      <c r="V69" s="204"/>
    </row>
    <row r="70" spans="19:22" x14ac:dyDescent="0.3">
      <c r="S70" s="208"/>
      <c r="T70" s="204"/>
      <c r="U70" s="204"/>
      <c r="V70" s="204"/>
    </row>
    <row r="71" spans="19:22" x14ac:dyDescent="0.3">
      <c r="S71" s="208"/>
      <c r="T71" s="204"/>
      <c r="U71" s="204"/>
      <c r="V71" s="204"/>
    </row>
    <row r="72" spans="19:22" x14ac:dyDescent="0.3">
      <c r="S72" s="208"/>
      <c r="T72" s="204"/>
      <c r="U72" s="204"/>
      <c r="V72" s="204"/>
    </row>
    <row r="73" spans="19:22" x14ac:dyDescent="0.3">
      <c r="S73" s="208"/>
      <c r="T73" s="204"/>
      <c r="U73" s="204"/>
      <c r="V73" s="204"/>
    </row>
    <row r="74" spans="19:22" x14ac:dyDescent="0.3">
      <c r="S74" s="208"/>
      <c r="T74" s="204"/>
      <c r="U74" s="204"/>
      <c r="V74" s="204"/>
    </row>
    <row r="75" spans="19:22" x14ac:dyDescent="0.3">
      <c r="S75" s="208"/>
      <c r="T75" s="204"/>
      <c r="U75" s="204"/>
      <c r="V75" s="204"/>
    </row>
    <row r="76" spans="19:22" x14ac:dyDescent="0.3">
      <c r="S76" s="208"/>
      <c r="T76" s="204"/>
      <c r="U76" s="204"/>
      <c r="V76" s="204"/>
    </row>
    <row r="77" spans="19:22" x14ac:dyDescent="0.3">
      <c r="S77" s="208"/>
      <c r="T77" s="204"/>
      <c r="U77" s="204"/>
      <c r="V77" s="204"/>
    </row>
    <row r="78" spans="19:22" x14ac:dyDescent="0.3">
      <c r="S78" s="208"/>
      <c r="T78" s="204"/>
      <c r="U78" s="204"/>
      <c r="V78" s="204"/>
    </row>
    <row r="79" spans="19:22" x14ac:dyDescent="0.3">
      <c r="S79" s="208"/>
      <c r="T79" s="204"/>
      <c r="U79" s="204"/>
      <c r="V79" s="204"/>
    </row>
    <row r="80" spans="19:22" x14ac:dyDescent="0.3">
      <c r="S80" s="208"/>
      <c r="T80" s="204"/>
      <c r="U80" s="204"/>
      <c r="V80" s="204"/>
    </row>
    <row r="81" spans="19:22" x14ac:dyDescent="0.3">
      <c r="S81" s="208"/>
      <c r="T81" s="204"/>
      <c r="U81" s="204"/>
      <c r="V81" s="204"/>
    </row>
    <row r="82" spans="19:22" x14ac:dyDescent="0.3">
      <c r="S82" s="208"/>
      <c r="T82" s="204"/>
      <c r="U82" s="204"/>
      <c r="V82" s="204"/>
    </row>
    <row r="83" spans="19:22" x14ac:dyDescent="0.3">
      <c r="S83" s="208"/>
      <c r="T83" s="204"/>
      <c r="U83" s="204"/>
      <c r="V83" s="204"/>
    </row>
    <row r="84" spans="19:22" x14ac:dyDescent="0.3">
      <c r="S84" s="208"/>
      <c r="T84" s="204"/>
      <c r="U84" s="204"/>
      <c r="V84" s="204"/>
    </row>
    <row r="85" spans="19:22" x14ac:dyDescent="0.3">
      <c r="S85" s="208"/>
      <c r="T85" s="204"/>
      <c r="U85" s="204"/>
      <c r="V85" s="204"/>
    </row>
  </sheetData>
  <sortState ref="D48:Q50">
    <sortCondition ref="D48:D50"/>
  </sortState>
  <mergeCells count="3">
    <mergeCell ref="C2:C11"/>
    <mergeCell ref="C12:C28"/>
    <mergeCell ref="C29:C45"/>
  </mergeCells>
  <phoneticPr fontId="14" type="noConversion"/>
  <pageMargins left="0.511811024" right="0.511811024" top="0.78740157499999996" bottom="0.78740157499999996" header="0.31496062000000002" footer="0.31496062000000002"/>
  <pageSetup paperSize="9"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7"/>
  <dimension ref="A1:AB121"/>
  <sheetViews>
    <sheetView workbookViewId="0">
      <selection activeCell="A42" sqref="A42"/>
    </sheetView>
  </sheetViews>
  <sheetFormatPr defaultColWidth="10.77734375" defaultRowHeight="14.4" x14ac:dyDescent="0.3"/>
  <cols>
    <col min="1" max="1" width="11.77734375" bestFit="1" customWidth="1"/>
    <col min="18" max="18" width="17.21875" style="84" bestFit="1" customWidth="1"/>
    <col min="19" max="19" width="13.44140625" style="84" bestFit="1" customWidth="1"/>
    <col min="20" max="20" width="14.77734375" style="84" bestFit="1" customWidth="1"/>
    <col min="21" max="21" width="8.21875" style="84" bestFit="1" customWidth="1"/>
    <col min="22" max="22" width="10" style="84" bestFit="1" customWidth="1"/>
    <col min="23" max="23" width="8.77734375" style="84" bestFit="1" customWidth="1"/>
    <col min="24" max="24" width="14.21875" style="84" bestFit="1" customWidth="1"/>
    <col min="25" max="25" width="7.77734375" style="84" bestFit="1" customWidth="1"/>
    <col min="26" max="26" width="13.44140625" style="84" bestFit="1" customWidth="1"/>
    <col min="27" max="27" width="6.21875" bestFit="1" customWidth="1"/>
    <col min="28" max="28" width="6.77734375" bestFit="1" customWidth="1"/>
  </cols>
  <sheetData>
    <row r="1" spans="1:28" x14ac:dyDescent="0.3">
      <c r="A1" s="379" t="s">
        <v>269</v>
      </c>
      <c r="B1" s="379"/>
      <c r="C1" s="379"/>
      <c r="D1" s="379"/>
      <c r="E1" s="379"/>
      <c r="F1" s="379"/>
      <c r="G1" s="379"/>
      <c r="H1" s="379"/>
      <c r="I1" s="379"/>
      <c r="J1" s="379"/>
      <c r="K1" s="379"/>
      <c r="L1" s="72"/>
      <c r="M1" s="72"/>
      <c r="N1" s="72"/>
      <c r="O1" s="72"/>
    </row>
    <row r="2" spans="1:28" ht="35.1" customHeight="1" x14ac:dyDescent="0.3">
      <c r="A2" s="73"/>
      <c r="B2" s="5" t="s">
        <v>251</v>
      </c>
      <c r="C2" s="74" t="s">
        <v>254</v>
      </c>
      <c r="D2" s="5" t="s">
        <v>253</v>
      </c>
      <c r="E2" s="74" t="s">
        <v>26</v>
      </c>
      <c r="F2" s="5" t="s">
        <v>255</v>
      </c>
      <c r="G2" s="74" t="s">
        <v>27</v>
      </c>
      <c r="H2" s="5" t="s">
        <v>252</v>
      </c>
      <c r="I2" s="75" t="s">
        <v>29</v>
      </c>
      <c r="J2" s="1" t="s">
        <v>270</v>
      </c>
      <c r="K2" s="76" t="s">
        <v>271</v>
      </c>
      <c r="L2" s="77" t="s">
        <v>257</v>
      </c>
      <c r="M2" s="77" t="s">
        <v>256</v>
      </c>
      <c r="N2" s="77" t="s">
        <v>258</v>
      </c>
      <c r="O2" s="5" t="s">
        <v>259</v>
      </c>
      <c r="R2" s="85" t="s">
        <v>223</v>
      </c>
      <c r="S2" s="85" t="s">
        <v>221</v>
      </c>
      <c r="T2" s="85" t="s">
        <v>222</v>
      </c>
      <c r="U2" s="85" t="s">
        <v>24</v>
      </c>
      <c r="V2" s="85" t="s">
        <v>26</v>
      </c>
      <c r="W2" s="85" t="s">
        <v>27</v>
      </c>
      <c r="X2" s="85" t="s">
        <v>28</v>
      </c>
      <c r="Y2" s="85" t="s">
        <v>29</v>
      </c>
      <c r="Z2" s="85" t="s">
        <v>30</v>
      </c>
      <c r="AA2" s="85" t="s">
        <v>257</v>
      </c>
      <c r="AB2" s="85" t="s">
        <v>258</v>
      </c>
    </row>
    <row r="3" spans="1:28" x14ac:dyDescent="0.3">
      <c r="A3" s="1" t="s">
        <v>61</v>
      </c>
      <c r="B3" s="78">
        <v>492.714</v>
      </c>
      <c r="C3" s="78">
        <v>507.58100000000002</v>
      </c>
      <c r="D3" s="78">
        <v>610.73599999999999</v>
      </c>
      <c r="E3" s="78">
        <v>312.416</v>
      </c>
      <c r="F3" s="78">
        <v>473.40100000000001</v>
      </c>
      <c r="G3" s="78">
        <v>194.41399999999999</v>
      </c>
      <c r="H3" s="78">
        <v>610.73599999999999</v>
      </c>
      <c r="I3" s="78">
        <v>579.56399999999996</v>
      </c>
      <c r="J3" s="78">
        <v>312.416</v>
      </c>
      <c r="K3" s="78">
        <v>312.416</v>
      </c>
      <c r="L3" s="79">
        <v>311.61799999999999</v>
      </c>
      <c r="M3" s="79">
        <v>350.83799999999997</v>
      </c>
      <c r="N3" s="79">
        <v>417.416</v>
      </c>
      <c r="O3" s="78">
        <v>492.714</v>
      </c>
      <c r="R3" s="86">
        <f>VLOOKUP($A3,'Matriz Distâncias NTS'!$D$2:$O$42,3,0)-F3</f>
        <v>34.180000000000007</v>
      </c>
      <c r="S3" s="86">
        <f>VLOOKUP($A3,'Matriz Distâncias NTS'!$D$2:$O$42,4,0)-O3</f>
        <v>-180.298</v>
      </c>
      <c r="T3" s="86">
        <f>VLOOKUP($A3,'Matriz Distâncias NTS'!$D$2:$O$42,5,0)-H3</f>
        <v>-248.89800000000002</v>
      </c>
      <c r="U3" s="86">
        <f>VLOOKUP($A3,'Matriz Distâncias NTS'!$D$2:$O$42,6,0)-O3</f>
        <v>-19.312999999999988</v>
      </c>
      <c r="V3" s="86">
        <f>VLOOKUP($A3,'Matriz Distâncias NTS'!$D$2:$O$42,7,0)-E3</f>
        <v>298.32</v>
      </c>
      <c r="W3" s="86">
        <f>VLOOKUP($A3,'Matriz Distâncias NTS'!$D$2:$O$42,8,0)-G3</f>
        <v>0</v>
      </c>
      <c r="X3" s="86">
        <f>VLOOKUP($A3,'Matriz Distâncias NTS'!$D$2:$O$42,9,0)-C3</f>
        <v>103.15499999999997</v>
      </c>
      <c r="Y3" s="86">
        <f>VLOOKUP($A3,'Matriz Distâncias NTS'!$D$2:$O$42,10,0)-I3</f>
        <v>0</v>
      </c>
      <c r="Z3" s="86">
        <f>VLOOKUP($A3,'Matriz Distâncias NTS'!$D$2:$O$42,11,0)-M3</f>
        <v>141.87600000000003</v>
      </c>
      <c r="AA3" s="86">
        <f>VLOOKUP($A3,'Matriz Distâncias NTS'!$D$2:$O$42,12,0)-L3</f>
        <v>181.096</v>
      </c>
      <c r="AB3" s="86" t="e">
        <f>VLOOKUP($A3,'Matriz Distâncias NTS'!$D$2:$O$42,13,0)-N3</f>
        <v>#REF!</v>
      </c>
    </row>
    <row r="4" spans="1:28" x14ac:dyDescent="0.3">
      <c r="A4" s="1" t="s">
        <v>64</v>
      </c>
      <c r="B4" s="78">
        <v>654.14400000000001</v>
      </c>
      <c r="C4" s="78">
        <v>669.01099999999997</v>
      </c>
      <c r="D4" s="78">
        <v>772.16600000000005</v>
      </c>
      <c r="E4" s="78">
        <v>473.846</v>
      </c>
      <c r="F4" s="78">
        <v>634.83100000000002</v>
      </c>
      <c r="G4" s="78">
        <v>355.84399999999999</v>
      </c>
      <c r="H4" s="78">
        <v>772.16600000000005</v>
      </c>
      <c r="I4" s="78">
        <v>740.99400000000003</v>
      </c>
      <c r="J4" s="78">
        <v>473.846</v>
      </c>
      <c r="K4" s="78">
        <v>473.846</v>
      </c>
      <c r="L4" s="79">
        <v>473.04800000000006</v>
      </c>
      <c r="M4" s="79">
        <v>512.26800000000003</v>
      </c>
      <c r="N4" s="79">
        <v>578.846</v>
      </c>
      <c r="O4" s="78">
        <v>654.14400000000001</v>
      </c>
      <c r="R4" s="86">
        <f>VLOOKUP($A4,'Matriz Distâncias NTS'!$D$2:$O$42,3,0)-F4</f>
        <v>34.17999999999995</v>
      </c>
      <c r="S4" s="86">
        <f>VLOOKUP($A4,'Matriz Distâncias NTS'!$D$2:$O$42,4,0)-O4</f>
        <v>-180.298</v>
      </c>
      <c r="T4" s="86">
        <f>VLOOKUP($A4,'Matriz Distâncias NTS'!$D$2:$O$42,5,0)-H4</f>
        <v>-248.89800000000002</v>
      </c>
      <c r="U4" s="86">
        <f>VLOOKUP($A4,'Matriz Distâncias NTS'!$D$2:$O$42,6,0)-O4</f>
        <v>-19.312999999999988</v>
      </c>
      <c r="V4" s="86">
        <f>VLOOKUP($A4,'Matriz Distâncias NTS'!$D$2:$O$42,7,0)-E4</f>
        <v>298.32000000000005</v>
      </c>
      <c r="W4" s="86">
        <f>VLOOKUP($A4,'Matriz Distâncias NTS'!$D$2:$O$42,8,0)-G4</f>
        <v>0</v>
      </c>
      <c r="X4" s="86">
        <f>VLOOKUP($A4,'Matriz Distâncias NTS'!$D$2:$O$42,9,0)-C4</f>
        <v>103.15500000000009</v>
      </c>
      <c r="Y4" s="86">
        <f>VLOOKUP($A4,'Matriz Distâncias NTS'!$D$2:$O$42,10,0)-I4</f>
        <v>0</v>
      </c>
      <c r="Z4" s="86">
        <f>VLOOKUP($A4,'Matriz Distâncias NTS'!$D$2:$O$42,11,0)-M4</f>
        <v>141.87599999999998</v>
      </c>
      <c r="AA4" s="86">
        <f>VLOOKUP($A4,'Matriz Distâncias NTS'!$D$2:$O$42,12,0)-L4</f>
        <v>181.09599999999995</v>
      </c>
      <c r="AB4" s="86" t="e">
        <f>VLOOKUP($A4,'Matriz Distâncias NTS'!$D$2:$O$42,13,0)-N4</f>
        <v>#REF!</v>
      </c>
    </row>
    <row r="5" spans="1:28" x14ac:dyDescent="0.3">
      <c r="A5" s="80" t="s">
        <v>79</v>
      </c>
      <c r="B5" s="78">
        <v>299.70800000000003</v>
      </c>
      <c r="C5" s="78">
        <v>278.76900000000001</v>
      </c>
      <c r="D5" s="78">
        <v>381.92399999999998</v>
      </c>
      <c r="E5" s="78">
        <v>119.41</v>
      </c>
      <c r="F5" s="78">
        <v>244.589</v>
      </c>
      <c r="G5" s="78">
        <v>117.11</v>
      </c>
      <c r="H5" s="78">
        <v>381.92399999999998</v>
      </c>
      <c r="I5" s="78">
        <v>350.75200000000001</v>
      </c>
      <c r="J5" s="78">
        <v>119.41</v>
      </c>
      <c r="K5" s="78">
        <v>119.41</v>
      </c>
      <c r="L5" s="79">
        <v>118.61200000000004</v>
      </c>
      <c r="M5" s="79">
        <v>157.83200000000002</v>
      </c>
      <c r="N5" s="79">
        <v>224.41</v>
      </c>
      <c r="O5" s="78">
        <v>299.70800000000003</v>
      </c>
      <c r="R5" s="86">
        <f>VLOOKUP($A5,'Matriz Distâncias NTS'!$D$2:$O$42,3,0)-F5</f>
        <v>34.180000000000007</v>
      </c>
      <c r="S5" s="86">
        <f>VLOOKUP($A5,'Matriz Distâncias NTS'!$D$2:$O$42,4,0)-O5</f>
        <v>-180.29800000000003</v>
      </c>
      <c r="T5" s="86">
        <f>VLOOKUP($A5,'Matriz Distâncias NTS'!$D$2:$O$42,5,0)-H5</f>
        <v>-213.09199999999996</v>
      </c>
      <c r="U5" s="86">
        <f>VLOOKUP($A5,'Matriz Distâncias NTS'!$D$2:$O$42,6,0)-O5</f>
        <v>-55.119000000000085</v>
      </c>
      <c r="V5" s="86">
        <f>VLOOKUP($A5,'Matriz Distâncias NTS'!$D$2:$O$42,7,0)-E5</f>
        <v>262.51400000000001</v>
      </c>
      <c r="W5" s="86">
        <f>VLOOKUP($A5,'Matriz Distâncias NTS'!$D$2:$O$42,8,0)-G5</f>
        <v>0</v>
      </c>
      <c r="X5" s="86">
        <f>VLOOKUP($A5,'Matriz Distâncias NTS'!$D$2:$O$42,9,0)-C5</f>
        <v>103.15499999999997</v>
      </c>
      <c r="Y5" s="86">
        <f>VLOOKUP($A5,'Matriz Distâncias NTS'!$D$2:$O$42,10,0)-I5</f>
        <v>0</v>
      </c>
      <c r="Z5" s="86">
        <f>VLOOKUP($A5,'Matriz Distâncias NTS'!$D$2:$O$42,11,0)-M5</f>
        <v>141.876</v>
      </c>
      <c r="AA5" s="86">
        <f>VLOOKUP($A5,'Matriz Distâncias NTS'!$D$2:$O$42,12,0)-L5</f>
        <v>181.096</v>
      </c>
      <c r="AB5" s="86" t="e">
        <f>VLOOKUP($A5,'Matriz Distâncias NTS'!$D$2:$O$42,13,0)-N5</f>
        <v>#REF!</v>
      </c>
    </row>
    <row r="6" spans="1:28" x14ac:dyDescent="0.3">
      <c r="A6" s="80" t="s">
        <v>88</v>
      </c>
      <c r="B6" s="78">
        <v>599.62599999999998</v>
      </c>
      <c r="C6" s="78">
        <v>217.77699999999999</v>
      </c>
      <c r="D6" s="78">
        <v>83.085999999999999</v>
      </c>
      <c r="E6" s="78">
        <v>419.32799999999997</v>
      </c>
      <c r="F6" s="78">
        <v>183.59700000000001</v>
      </c>
      <c r="G6" s="78">
        <v>421.62799999999999</v>
      </c>
      <c r="H6" s="78">
        <v>83.085999999999999</v>
      </c>
      <c r="I6" s="78">
        <v>289.76</v>
      </c>
      <c r="J6" s="78">
        <v>419.32799999999997</v>
      </c>
      <c r="K6" s="78">
        <v>419.32799999999997</v>
      </c>
      <c r="L6" s="79">
        <v>425.89400000000001</v>
      </c>
      <c r="M6" s="79">
        <v>457.75</v>
      </c>
      <c r="N6" s="79">
        <v>524.32799999999997</v>
      </c>
      <c r="O6" s="78">
        <v>599.62599999999998</v>
      </c>
      <c r="R6" s="86">
        <f>VLOOKUP($A6,'Matriz Distâncias NTS'!$D$2:$O$42,3,0)-F6</f>
        <v>34.179999999999978</v>
      </c>
      <c r="S6" s="86">
        <f>VLOOKUP($A6,'Matriz Distâncias NTS'!$D$2:$O$42,4,0)-O6</f>
        <v>-180.298</v>
      </c>
      <c r="T6" s="86">
        <f>VLOOKUP($A6,'Matriz Distâncias NTS'!$D$2:$O$42,5,0)-H6</f>
        <v>385.66399999999999</v>
      </c>
      <c r="U6" s="86">
        <f>VLOOKUP($A6,'Matriz Distâncias NTS'!$D$2:$O$42,6,0)-O6</f>
        <v>-416.029</v>
      </c>
      <c r="V6" s="86">
        <f>VLOOKUP($A6,'Matriz Distâncias NTS'!$D$2:$O$42,7,0)-E6</f>
        <v>-336.24199999999996</v>
      </c>
      <c r="W6" s="86">
        <f>VLOOKUP($A6,'Matriz Distâncias NTS'!$D$2:$O$42,8,0)-G6</f>
        <v>0</v>
      </c>
      <c r="X6" s="86">
        <f>VLOOKUP($A6,'Matriz Distâncias NTS'!$D$2:$O$42,9,0)-C6</f>
        <v>-134.69099999999997</v>
      </c>
      <c r="Y6" s="86">
        <f>VLOOKUP($A6,'Matriz Distâncias NTS'!$D$2:$O$42,10,0)-I6</f>
        <v>0</v>
      </c>
      <c r="Z6" s="86">
        <f>VLOOKUP($A6,'Matriz Distâncias NTS'!$D$2:$O$42,11,0)-M6</f>
        <v>141.87599999999998</v>
      </c>
      <c r="AA6" s="86">
        <f>VLOOKUP($A6,'Matriz Distâncias NTS'!$D$2:$O$42,12,0)-L6</f>
        <v>173.73199999999997</v>
      </c>
      <c r="AB6" s="86" t="e">
        <f>VLOOKUP($A6,'Matriz Distâncias NTS'!$D$2:$O$42,13,0)-N6</f>
        <v>#REF!</v>
      </c>
    </row>
    <row r="7" spans="1:28" x14ac:dyDescent="0.3">
      <c r="A7" s="80" t="s">
        <v>63</v>
      </c>
      <c r="B7" s="78">
        <v>616.23500000000001</v>
      </c>
      <c r="C7" s="78">
        <v>631.10199999999998</v>
      </c>
      <c r="D7" s="78">
        <v>734.25699999999995</v>
      </c>
      <c r="E7" s="78">
        <v>435.93700000000001</v>
      </c>
      <c r="F7" s="78">
        <v>596.92200000000003</v>
      </c>
      <c r="G7" s="78">
        <v>317.935</v>
      </c>
      <c r="H7" s="78">
        <v>734.25699999999995</v>
      </c>
      <c r="I7" s="78">
        <v>703.08500000000004</v>
      </c>
      <c r="J7" s="78">
        <v>435.93700000000001</v>
      </c>
      <c r="K7" s="78">
        <v>435.93700000000001</v>
      </c>
      <c r="L7" s="79">
        <v>322.20100000000002</v>
      </c>
      <c r="M7" s="79">
        <v>474.35900000000004</v>
      </c>
      <c r="N7" s="79">
        <v>540.93700000000001</v>
      </c>
      <c r="O7" s="78">
        <v>616.23500000000001</v>
      </c>
      <c r="R7" s="86">
        <f>VLOOKUP($A7,'Matriz Distâncias NTS'!$D$2:$O$42,3,0)-F7</f>
        <v>34.17999999999995</v>
      </c>
      <c r="S7" s="86">
        <f>VLOOKUP($A7,'Matriz Distâncias NTS'!$D$2:$O$42,4,0)-O7</f>
        <v>-180.298</v>
      </c>
      <c r="T7" s="86">
        <f>VLOOKUP($A7,'Matriz Distâncias NTS'!$D$2:$O$42,5,0)-H7</f>
        <v>-248.89799999999991</v>
      </c>
      <c r="U7" s="86">
        <f>VLOOKUP($A7,'Matriz Distâncias NTS'!$D$2:$O$42,6,0)-O7</f>
        <v>-19.312999999999988</v>
      </c>
      <c r="V7" s="86">
        <f>VLOOKUP($A7,'Matriz Distâncias NTS'!$D$2:$O$42,7,0)-E7</f>
        <v>298.31999999999994</v>
      </c>
      <c r="W7" s="86">
        <f>VLOOKUP($A7,'Matriz Distâncias NTS'!$D$2:$O$42,8,0)-G7</f>
        <v>0</v>
      </c>
      <c r="X7" s="86">
        <f>VLOOKUP($A7,'Matriz Distâncias NTS'!$D$2:$O$42,9,0)-C7</f>
        <v>103.15499999999997</v>
      </c>
      <c r="Y7" s="86">
        <f>VLOOKUP($A7,'Matriz Distâncias NTS'!$D$2:$O$42,10,0)-I7</f>
        <v>0</v>
      </c>
      <c r="Z7" s="86">
        <f>VLOOKUP($A7,'Matriz Distâncias NTS'!$D$2:$O$42,11,0)-M7</f>
        <v>141.87599999999998</v>
      </c>
      <c r="AA7" s="86">
        <f>VLOOKUP($A7,'Matriz Distâncias NTS'!$D$2:$O$42,12,0)-L7</f>
        <v>294.03399999999999</v>
      </c>
      <c r="AB7" s="86" t="e">
        <f>VLOOKUP($A7,'Matriz Distâncias NTS'!$D$2:$O$42,13,0)-N7</f>
        <v>#REF!</v>
      </c>
    </row>
    <row r="8" spans="1:28" x14ac:dyDescent="0.3">
      <c r="A8" s="80" t="s">
        <v>89</v>
      </c>
      <c r="B8" s="78">
        <v>493.04500000000002</v>
      </c>
      <c r="C8" s="78">
        <v>111.196</v>
      </c>
      <c r="D8" s="78">
        <v>189.667</v>
      </c>
      <c r="E8" s="78">
        <v>312.74700000000001</v>
      </c>
      <c r="F8" s="78">
        <v>77.016000000000005</v>
      </c>
      <c r="G8" s="78">
        <v>315.04700000000003</v>
      </c>
      <c r="H8" s="78">
        <v>189.667</v>
      </c>
      <c r="I8" s="78">
        <v>183.179</v>
      </c>
      <c r="J8" s="78">
        <v>312.74700000000001</v>
      </c>
      <c r="K8" s="78">
        <v>312.74700000000001</v>
      </c>
      <c r="L8" s="79">
        <v>319.31300000000005</v>
      </c>
      <c r="M8" s="79">
        <v>351.16899999999998</v>
      </c>
      <c r="N8" s="79">
        <v>417.74700000000001</v>
      </c>
      <c r="O8" s="78">
        <v>493.04500000000002</v>
      </c>
      <c r="R8" s="86">
        <f>VLOOKUP($A8,'Matriz Distâncias NTS'!$D$2:$O$42,3,0)-F8</f>
        <v>34.179999999999993</v>
      </c>
      <c r="S8" s="86">
        <f>VLOOKUP($A8,'Matriz Distâncias NTS'!$D$2:$O$42,4,0)-O8</f>
        <v>-180.298</v>
      </c>
      <c r="T8" s="86">
        <f>VLOOKUP($A8,'Matriz Distâncias NTS'!$D$2:$O$42,5,0)-H8</f>
        <v>172.50199999999998</v>
      </c>
      <c r="U8" s="86">
        <f>VLOOKUP($A8,'Matriz Distâncias NTS'!$D$2:$O$42,6,0)-O8</f>
        <v>-416.029</v>
      </c>
      <c r="V8" s="86">
        <f>VLOOKUP($A8,'Matriz Distâncias NTS'!$D$2:$O$42,7,0)-E8</f>
        <v>-123.08000000000001</v>
      </c>
      <c r="W8" s="86">
        <f>VLOOKUP($A8,'Matriz Distâncias NTS'!$D$2:$O$42,8,0)-G8</f>
        <v>0</v>
      </c>
      <c r="X8" s="86">
        <f>VLOOKUP($A8,'Matriz Distâncias NTS'!$D$2:$O$42,9,0)-C8</f>
        <v>78.471000000000004</v>
      </c>
      <c r="Y8" s="86">
        <f>VLOOKUP($A8,'Matriz Distâncias NTS'!$D$2:$O$42,10,0)-I8</f>
        <v>0</v>
      </c>
      <c r="Z8" s="86">
        <f>VLOOKUP($A8,'Matriz Distâncias NTS'!$D$2:$O$42,11,0)-M8</f>
        <v>141.87600000000003</v>
      </c>
      <c r="AA8" s="86">
        <f>VLOOKUP($A8,'Matriz Distâncias NTS'!$D$2:$O$42,12,0)-L8</f>
        <v>173.73199999999997</v>
      </c>
      <c r="AB8" s="86" t="e">
        <f>VLOOKUP($A8,'Matriz Distâncias NTS'!$D$2:$O$42,13,0)-N8</f>
        <v>#REF!</v>
      </c>
    </row>
    <row r="9" spans="1:28" x14ac:dyDescent="0.3">
      <c r="A9" s="1" t="s">
        <v>98</v>
      </c>
      <c r="B9" s="78">
        <v>607.57799999999997</v>
      </c>
      <c r="C9" s="78">
        <v>170.52600000000001</v>
      </c>
      <c r="D9" s="78">
        <v>330.96199999999999</v>
      </c>
      <c r="E9" s="78">
        <v>429.358</v>
      </c>
      <c r="F9" s="78">
        <v>64.278999999999996</v>
      </c>
      <c r="G9" s="78">
        <v>431.65800000000002</v>
      </c>
      <c r="H9" s="78">
        <v>330.96199999999999</v>
      </c>
      <c r="I9" s="78">
        <v>60.747999999999998</v>
      </c>
      <c r="J9" s="78">
        <v>429.358</v>
      </c>
      <c r="K9" s="78">
        <v>429.358</v>
      </c>
      <c r="L9" s="79">
        <v>435.92400000000004</v>
      </c>
      <c r="M9" s="79">
        <v>465.702</v>
      </c>
      <c r="N9" s="79">
        <v>534.35799999999995</v>
      </c>
      <c r="O9" s="78">
        <v>607.57799999999997</v>
      </c>
      <c r="R9" s="86">
        <f>VLOOKUP($A9,'Matriz Distâncias NTS'!$D$2:$O$42,3,0)-F9</f>
        <v>106.24700000000001</v>
      </c>
      <c r="S9" s="86">
        <f>VLOOKUP($A9,'Matriz Distâncias NTS'!$D$2:$O$42,4,0)-O9</f>
        <v>-178.21999999999997</v>
      </c>
      <c r="T9" s="86">
        <f>VLOOKUP($A9,'Matriz Distâncias NTS'!$D$2:$O$42,5,0)-H9</f>
        <v>145.74</v>
      </c>
      <c r="U9" s="86">
        <f>VLOOKUP($A9,'Matriz Distâncias NTS'!$D$2:$O$42,6,0)-O9</f>
        <v>-543.29899999999998</v>
      </c>
      <c r="V9" s="86">
        <f>VLOOKUP($A9,'Matriz Distâncias NTS'!$D$2:$O$42,7,0)-E9</f>
        <v>-98.396000000000015</v>
      </c>
      <c r="W9" s="86">
        <f>VLOOKUP($A9,'Matriz Distâncias NTS'!$D$2:$O$42,8,0)-G9</f>
        <v>0</v>
      </c>
      <c r="X9" s="86">
        <f>VLOOKUP($A9,'Matriz Distâncias NTS'!$D$2:$O$42,9,0)-C9</f>
        <v>160.43599999999998</v>
      </c>
      <c r="Y9" s="86">
        <f>VLOOKUP($A9,'Matriz Distâncias NTS'!$D$2:$O$42,10,0)-I9</f>
        <v>0</v>
      </c>
      <c r="Z9" s="86">
        <f>VLOOKUP($A9,'Matriz Distâncias NTS'!$D$2:$O$42,11,0)-M9</f>
        <v>141.87599999999998</v>
      </c>
      <c r="AA9" s="86">
        <f>VLOOKUP($A9,'Matriz Distâncias NTS'!$D$2:$O$42,12,0)-L9</f>
        <v>171.65399999999994</v>
      </c>
      <c r="AB9" s="86" t="e">
        <f>VLOOKUP($A9,'Matriz Distâncias NTS'!$D$2:$O$42,13,0)-N9</f>
        <v>#REF!</v>
      </c>
    </row>
    <row r="10" spans="1:28" x14ac:dyDescent="0.3">
      <c r="A10" s="1" t="s">
        <v>80</v>
      </c>
      <c r="B10" s="78">
        <v>287.02</v>
      </c>
      <c r="C10" s="78">
        <v>291.45699999999999</v>
      </c>
      <c r="D10" s="78">
        <v>394.61200000000002</v>
      </c>
      <c r="E10" s="78">
        <v>106.72199999999999</v>
      </c>
      <c r="F10" s="78">
        <v>257.27699999999999</v>
      </c>
      <c r="G10" s="78">
        <v>104.422</v>
      </c>
      <c r="H10" s="78">
        <v>394.61200000000002</v>
      </c>
      <c r="I10" s="78">
        <v>363.44</v>
      </c>
      <c r="J10" s="78">
        <v>106.72199999999999</v>
      </c>
      <c r="K10" s="78">
        <v>106.72199999999999</v>
      </c>
      <c r="L10" s="79">
        <v>108.68799999999999</v>
      </c>
      <c r="M10" s="79">
        <v>145.14399999999998</v>
      </c>
      <c r="N10" s="79">
        <v>211.72199999999998</v>
      </c>
      <c r="O10" s="78">
        <v>287.02</v>
      </c>
      <c r="R10" s="86">
        <f>VLOOKUP($A10,'Matriz Distâncias NTS'!$D$2:$O$42,3,0)-F10</f>
        <v>34.180000000000007</v>
      </c>
      <c r="S10" s="86">
        <f>VLOOKUP($A10,'Matriz Distâncias NTS'!$D$2:$O$42,4,0)-O10</f>
        <v>-180.298</v>
      </c>
      <c r="T10" s="86">
        <f>VLOOKUP($A10,'Matriz Distâncias NTS'!$D$2:$O$42,5,0)-H10</f>
        <v>-238.46800000000005</v>
      </c>
      <c r="U10" s="86">
        <f>VLOOKUP($A10,'Matriz Distâncias NTS'!$D$2:$O$42,6,0)-O10</f>
        <v>-29.743000000000052</v>
      </c>
      <c r="V10" s="86">
        <f>VLOOKUP($A10,'Matriz Distâncias NTS'!$D$2:$O$42,7,0)-E10</f>
        <v>287.89000000000004</v>
      </c>
      <c r="W10" s="86">
        <f>VLOOKUP($A10,'Matriz Distâncias NTS'!$D$2:$O$42,8,0)-G10</f>
        <v>0</v>
      </c>
      <c r="X10" s="86">
        <f>VLOOKUP($A10,'Matriz Distâncias NTS'!$D$2:$O$42,9,0)-C10</f>
        <v>103.15500000000003</v>
      </c>
      <c r="Y10" s="86">
        <f>VLOOKUP($A10,'Matriz Distâncias NTS'!$D$2:$O$42,10,0)-I10</f>
        <v>0</v>
      </c>
      <c r="Z10" s="86">
        <f>VLOOKUP($A10,'Matriz Distâncias NTS'!$D$2:$O$42,11,0)-M10</f>
        <v>141.876</v>
      </c>
      <c r="AA10" s="86">
        <f>VLOOKUP($A10,'Matriz Distâncias NTS'!$D$2:$O$42,12,0)-L10</f>
        <v>178.33199999999999</v>
      </c>
      <c r="AB10" s="86" t="e">
        <f>VLOOKUP($A10,'Matriz Distâncias NTS'!$D$2:$O$42,13,0)-N10</f>
        <v>#REF!</v>
      </c>
    </row>
    <row r="11" spans="1:28" x14ac:dyDescent="0.3">
      <c r="A11" s="80" t="s">
        <v>93</v>
      </c>
      <c r="B11" s="78">
        <v>388.23399999999998</v>
      </c>
      <c r="C11" s="78">
        <v>190.24299999999999</v>
      </c>
      <c r="D11" s="78">
        <v>293.39800000000002</v>
      </c>
      <c r="E11" s="78">
        <v>391.79399999999998</v>
      </c>
      <c r="F11" s="78">
        <v>156.06299999999999</v>
      </c>
      <c r="G11" s="78">
        <v>203.27199999999999</v>
      </c>
      <c r="H11" s="78">
        <v>293.39800000000002</v>
      </c>
      <c r="I11" s="78">
        <v>262.226</v>
      </c>
      <c r="J11" s="78">
        <v>391.79399999999998</v>
      </c>
      <c r="K11" s="78">
        <v>391.79399999999998</v>
      </c>
      <c r="L11" s="79">
        <v>207.53800000000001</v>
      </c>
      <c r="M11" s="79">
        <v>246.35799999999998</v>
      </c>
      <c r="N11" s="79">
        <v>496.79399999999998</v>
      </c>
      <c r="O11" s="78">
        <v>388.23399999999998</v>
      </c>
      <c r="R11" s="86">
        <f>VLOOKUP($A11,'Matriz Distâncias NTS'!$D$2:$O$42,3,0)-F11</f>
        <v>34.180000000000007</v>
      </c>
      <c r="S11" s="86">
        <f>VLOOKUP($A11,'Matriz Distâncias NTS'!$D$2:$O$42,4,0)-O11</f>
        <v>3.5600000000000023</v>
      </c>
      <c r="T11" s="86">
        <f>VLOOKUP($A11,'Matriz Distâncias NTS'!$D$2:$O$42,5,0)-H11</f>
        <v>-36.040000000000077</v>
      </c>
      <c r="U11" s="86">
        <f>VLOOKUP($A11,'Matriz Distâncias NTS'!$D$2:$O$42,6,0)-O11</f>
        <v>-232.17099999999999</v>
      </c>
      <c r="V11" s="86">
        <f>VLOOKUP($A11,'Matriz Distâncias NTS'!$D$2:$O$42,7,0)-E11</f>
        <v>-98.395999999999958</v>
      </c>
      <c r="W11" s="86">
        <f>VLOOKUP($A11,'Matriz Distâncias NTS'!$D$2:$O$42,8,0)-G11</f>
        <v>0</v>
      </c>
      <c r="X11" s="86">
        <f>VLOOKUP($A11,'Matriz Distâncias NTS'!$D$2:$O$42,9,0)-C11</f>
        <v>103.15500000000003</v>
      </c>
      <c r="Y11" s="86">
        <f>VLOOKUP($A11,'Matriz Distâncias NTS'!$D$2:$O$42,10,0)-I11</f>
        <v>0</v>
      </c>
      <c r="Z11" s="86">
        <f>VLOOKUP($A11,'Matriz Distâncias NTS'!$D$2:$O$42,11,0)-M11</f>
        <v>141.876</v>
      </c>
      <c r="AA11" s="86">
        <f>VLOOKUP($A11,'Matriz Distâncias NTS'!$D$2:$O$42,12,0)-L11</f>
        <v>180.69599999999997</v>
      </c>
      <c r="AB11" s="86" t="e">
        <f>VLOOKUP($A11,'Matriz Distâncias NTS'!$D$2:$O$42,13,0)-N11</f>
        <v>#REF!</v>
      </c>
    </row>
    <row r="12" spans="1:28" x14ac:dyDescent="0.3">
      <c r="A12" s="80" t="s">
        <v>102</v>
      </c>
      <c r="B12" s="78">
        <v>651.54</v>
      </c>
      <c r="C12" s="78">
        <v>212.41</v>
      </c>
      <c r="D12" s="78">
        <v>372.846</v>
      </c>
      <c r="E12" s="78">
        <v>471.24200000000002</v>
      </c>
      <c r="F12" s="78">
        <v>106.163</v>
      </c>
      <c r="G12" s="78">
        <v>473.54200000000003</v>
      </c>
      <c r="H12" s="78">
        <v>372.846</v>
      </c>
      <c r="I12" s="78">
        <v>0</v>
      </c>
      <c r="J12" s="78">
        <v>471.24200000000002</v>
      </c>
      <c r="K12" s="78">
        <v>471.24200000000002</v>
      </c>
      <c r="L12" s="79">
        <v>477.80800000000005</v>
      </c>
      <c r="M12" s="79">
        <v>509.66399999999999</v>
      </c>
      <c r="N12" s="79">
        <v>576.24199999999996</v>
      </c>
      <c r="O12" s="78">
        <v>651.54</v>
      </c>
      <c r="R12" s="86" t="e">
        <f>VLOOKUP($A12,'Matriz Distâncias NTS'!$D$2:$O$42,3,0)-F12</f>
        <v>#N/A</v>
      </c>
      <c r="S12" s="86" t="e">
        <f>VLOOKUP($A12,'Matriz Distâncias NTS'!$D$2:$O$42,4,0)-O12</f>
        <v>#N/A</v>
      </c>
      <c r="T12" s="86" t="e">
        <f>VLOOKUP($A12,'Matriz Distâncias NTS'!$D$2:$O$42,5,0)-H12</f>
        <v>#N/A</v>
      </c>
      <c r="U12" s="86" t="e">
        <f>VLOOKUP($A12,'Matriz Distâncias NTS'!$D$2:$O$42,6,0)-O12</f>
        <v>#N/A</v>
      </c>
      <c r="V12" s="86" t="e">
        <f>VLOOKUP($A12,'Matriz Distâncias NTS'!$D$2:$O$42,7,0)-E12</f>
        <v>#N/A</v>
      </c>
      <c r="W12" s="86" t="e">
        <f>VLOOKUP($A12,'Matriz Distâncias NTS'!$D$2:$O$42,8,0)-G12</f>
        <v>#N/A</v>
      </c>
      <c r="X12" s="86" t="e">
        <f>VLOOKUP($A12,'Matriz Distâncias NTS'!$D$2:$O$42,9,0)-C12</f>
        <v>#N/A</v>
      </c>
      <c r="Y12" s="86" t="e">
        <f>VLOOKUP($A12,'Matriz Distâncias NTS'!$D$2:$O$42,10,0)-I12</f>
        <v>#N/A</v>
      </c>
      <c r="Z12" s="86" t="e">
        <f>VLOOKUP($A12,'Matriz Distâncias NTS'!$D$2:$O$42,11,0)-M12</f>
        <v>#N/A</v>
      </c>
      <c r="AA12" s="86" t="e">
        <f>VLOOKUP($A12,'Matriz Distâncias NTS'!$D$2:$O$42,12,0)-L12</f>
        <v>#N/A</v>
      </c>
      <c r="AB12" s="86" t="e">
        <f>VLOOKUP($A12,'Matriz Distâncias NTS'!$D$2:$O$42,13,0)-N12</f>
        <v>#N/A</v>
      </c>
    </row>
    <row r="13" spans="1:28" x14ac:dyDescent="0.3">
      <c r="A13" s="80" t="s">
        <v>70</v>
      </c>
      <c r="B13" s="78">
        <v>187.886</v>
      </c>
      <c r="C13" s="78">
        <v>391.67099999999999</v>
      </c>
      <c r="D13" s="78">
        <v>494.82600000000002</v>
      </c>
      <c r="E13" s="78">
        <v>7.5880000000000001</v>
      </c>
      <c r="F13" s="78">
        <v>357.49099999999999</v>
      </c>
      <c r="G13" s="78">
        <v>9.8879999999999999</v>
      </c>
      <c r="H13" s="78">
        <v>494.82600000000002</v>
      </c>
      <c r="I13" s="78">
        <v>463.654</v>
      </c>
      <c r="J13" s="78">
        <v>7.5880000000000001</v>
      </c>
      <c r="K13" s="78">
        <v>7.5880000000000001</v>
      </c>
      <c r="L13" s="79">
        <v>83.809999999999988</v>
      </c>
      <c r="M13" s="79">
        <v>46.009999999999991</v>
      </c>
      <c r="N13" s="79">
        <v>112.58799999999999</v>
      </c>
      <c r="O13" s="78">
        <v>187.886</v>
      </c>
      <c r="R13" s="86">
        <f>VLOOKUP($A13,'Matriz Distâncias NTS'!$D$2:$O$42,3,0)-F13</f>
        <v>34.180000000000007</v>
      </c>
      <c r="S13" s="86">
        <f>VLOOKUP($A13,'Matriz Distâncias NTS'!$D$2:$O$42,4,0)-O13</f>
        <v>-180.298</v>
      </c>
      <c r="T13" s="86">
        <f>VLOOKUP($A13,'Matriz Distâncias NTS'!$D$2:$O$42,5,0)-H13</f>
        <v>-437.81600000000003</v>
      </c>
      <c r="U13" s="86">
        <f>VLOOKUP($A13,'Matriz Distâncias NTS'!$D$2:$O$42,6,0)-O13</f>
        <v>169.60499999999999</v>
      </c>
      <c r="V13" s="86">
        <f>VLOOKUP($A13,'Matriz Distâncias NTS'!$D$2:$O$42,7,0)-E13</f>
        <v>487.238</v>
      </c>
      <c r="W13" s="86">
        <f>VLOOKUP($A13,'Matriz Distâncias NTS'!$D$2:$O$42,8,0)-G13</f>
        <v>0</v>
      </c>
      <c r="X13" s="86">
        <f>VLOOKUP($A13,'Matriz Distâncias NTS'!$D$2:$O$42,9,0)-C13</f>
        <v>103.15500000000003</v>
      </c>
      <c r="Y13" s="86">
        <f>VLOOKUP($A13,'Matriz Distâncias NTS'!$D$2:$O$42,10,0)-I13</f>
        <v>0</v>
      </c>
      <c r="Z13" s="86">
        <f>VLOOKUP($A13,'Matriz Distâncias NTS'!$D$2:$O$42,11,0)-M13</f>
        <v>141.876</v>
      </c>
      <c r="AA13" s="86">
        <f>VLOOKUP($A13,'Matriz Distâncias NTS'!$D$2:$O$42,12,0)-L13</f>
        <v>104.07600000000001</v>
      </c>
      <c r="AB13" s="86" t="e">
        <f>VLOOKUP($A13,'Matriz Distâncias NTS'!$D$2:$O$42,13,0)-N13</f>
        <v>#REF!</v>
      </c>
    </row>
    <row r="14" spans="1:28" x14ac:dyDescent="0.3">
      <c r="A14" s="1" t="s">
        <v>73</v>
      </c>
      <c r="B14" s="81">
        <v>141.876</v>
      </c>
      <c r="C14" s="81">
        <v>437.68099999999998</v>
      </c>
      <c r="D14" s="81">
        <v>540.83600000000001</v>
      </c>
      <c r="E14" s="81">
        <v>38.421999999999997</v>
      </c>
      <c r="F14" s="81">
        <v>403.50099999999998</v>
      </c>
      <c r="G14" s="81">
        <v>40.721999999999994</v>
      </c>
      <c r="H14" s="81">
        <v>540.83600000000001</v>
      </c>
      <c r="I14" s="81">
        <v>509.66399999999999</v>
      </c>
      <c r="J14" s="81">
        <v>38.421999999999997</v>
      </c>
      <c r="K14" s="81">
        <v>38.421999999999997</v>
      </c>
      <c r="L14" s="79">
        <v>129.82</v>
      </c>
      <c r="M14" s="79">
        <v>0</v>
      </c>
      <c r="N14" s="79">
        <v>143.422</v>
      </c>
      <c r="O14" s="81">
        <v>141.876</v>
      </c>
      <c r="R14" s="86">
        <f>VLOOKUP($A14,'Matriz Distâncias NTS'!$D$2:$O$42,3,0)-F14</f>
        <v>34.180000000000007</v>
      </c>
      <c r="S14" s="86">
        <f>VLOOKUP($A14,'Matriz Distâncias NTS'!$D$2:$O$42,4,0)-O14</f>
        <v>-103.45400000000001</v>
      </c>
      <c r="T14" s="86">
        <f>VLOOKUP($A14,'Matriz Distâncias NTS'!$D$2:$O$42,5,0)-H14</f>
        <v>-529.83600000000001</v>
      </c>
      <c r="U14" s="86">
        <f>VLOOKUP($A14,'Matriz Distâncias NTS'!$D$2:$O$42,6,0)-O14</f>
        <v>261.625</v>
      </c>
      <c r="V14" s="86">
        <f>VLOOKUP($A14,'Matriz Distâncias NTS'!$D$2:$O$42,7,0)-E14</f>
        <v>502.41399999999999</v>
      </c>
      <c r="W14" s="86">
        <f>VLOOKUP($A14,'Matriz Distâncias NTS'!$D$2:$O$42,8,0)-G14</f>
        <v>0</v>
      </c>
      <c r="X14" s="86">
        <f>VLOOKUP($A14,'Matriz Distâncias NTS'!$D$2:$O$42,9,0)-C14</f>
        <v>103.15500000000003</v>
      </c>
      <c r="Y14" s="86">
        <f>VLOOKUP($A14,'Matriz Distâncias NTS'!$D$2:$O$42,10,0)-I14</f>
        <v>0</v>
      </c>
      <c r="Z14" s="86">
        <f>VLOOKUP($A14,'Matriz Distâncias NTS'!$D$2:$O$42,11,0)-M14</f>
        <v>141.876</v>
      </c>
      <c r="AA14" s="86">
        <f>VLOOKUP($A14,'Matriz Distâncias NTS'!$D$2:$O$42,12,0)-L14</f>
        <v>12.056000000000012</v>
      </c>
      <c r="AB14" s="86" t="e">
        <f>VLOOKUP($A14,'Matriz Distâncias NTS'!$D$2:$O$42,13,0)-N14</f>
        <v>#REF!</v>
      </c>
    </row>
    <row r="15" spans="1:28" x14ac:dyDescent="0.3">
      <c r="A15" s="1" t="s">
        <v>272</v>
      </c>
      <c r="B15" s="78">
        <v>545.37699999999995</v>
      </c>
      <c r="C15" s="78">
        <v>106.247</v>
      </c>
      <c r="D15" s="78">
        <v>266.68299999999999</v>
      </c>
      <c r="E15" s="78">
        <v>365.07900000000001</v>
      </c>
      <c r="F15" s="78">
        <v>0</v>
      </c>
      <c r="G15" s="78">
        <v>367.37900000000002</v>
      </c>
      <c r="H15" s="78">
        <v>266.68299999999999</v>
      </c>
      <c r="I15" s="78">
        <v>106.163</v>
      </c>
      <c r="J15" s="78">
        <v>365.07900000000001</v>
      </c>
      <c r="K15" s="78">
        <v>365.07900000000001</v>
      </c>
      <c r="L15" s="79">
        <v>371.64500000000004</v>
      </c>
      <c r="M15" s="79">
        <v>403.50099999999998</v>
      </c>
      <c r="N15" s="79">
        <v>470.07900000000001</v>
      </c>
      <c r="O15" s="78">
        <v>545.37699999999995</v>
      </c>
      <c r="R15" s="86" t="e">
        <f>VLOOKUP($A15,'Matriz Distâncias NTS'!$D$2:$O$42,3,0)-F15</f>
        <v>#N/A</v>
      </c>
      <c r="S15" s="86" t="e">
        <f>VLOOKUP($A15,'Matriz Distâncias NTS'!$D$2:$O$42,4,0)-O15</f>
        <v>#N/A</v>
      </c>
      <c r="T15" s="86" t="e">
        <f>VLOOKUP($A15,'Matriz Distâncias NTS'!$D$2:$O$42,5,0)-H15</f>
        <v>#N/A</v>
      </c>
      <c r="U15" s="86" t="e">
        <f>VLOOKUP($A15,'Matriz Distâncias NTS'!$D$2:$O$42,6,0)-O15</f>
        <v>#N/A</v>
      </c>
      <c r="V15" s="86" t="e">
        <f>VLOOKUP($A15,'Matriz Distâncias NTS'!$D$2:$O$42,7,0)-E15</f>
        <v>#N/A</v>
      </c>
      <c r="W15" s="86" t="e">
        <f>VLOOKUP($A15,'Matriz Distâncias NTS'!$D$2:$O$42,8,0)-G15</f>
        <v>#N/A</v>
      </c>
      <c r="X15" s="86" t="e">
        <f>VLOOKUP($A15,'Matriz Distâncias NTS'!$D$2:$O$42,9,0)-C15</f>
        <v>#N/A</v>
      </c>
      <c r="Y15" s="86" t="e">
        <f>VLOOKUP($A15,'Matriz Distâncias NTS'!$D$2:$O$42,10,0)-I15</f>
        <v>#N/A</v>
      </c>
      <c r="Z15" s="86" t="e">
        <f>VLOOKUP($A15,'Matriz Distâncias NTS'!$D$2:$O$42,11,0)-M15</f>
        <v>#N/A</v>
      </c>
      <c r="AA15" s="86" t="e">
        <f>VLOOKUP($A15,'Matriz Distâncias NTS'!$D$2:$O$42,12,0)-L15</f>
        <v>#N/A</v>
      </c>
      <c r="AB15" s="86" t="e">
        <f>VLOOKUP($A15,'Matriz Distâncias NTS'!$D$2:$O$42,13,0)-N15</f>
        <v>#N/A</v>
      </c>
    </row>
    <row r="16" spans="1:28" x14ac:dyDescent="0.3">
      <c r="A16" s="1" t="s">
        <v>91</v>
      </c>
      <c r="B16" s="78">
        <v>416.89600000000002</v>
      </c>
      <c r="C16" s="78">
        <v>162.661</v>
      </c>
      <c r="D16" s="78">
        <v>265.81599999999997</v>
      </c>
      <c r="E16" s="78">
        <v>236.59800000000001</v>
      </c>
      <c r="F16" s="78">
        <v>128.48099999999999</v>
      </c>
      <c r="G16" s="78">
        <v>238.89800000000002</v>
      </c>
      <c r="H16" s="78">
        <v>265.81599999999997</v>
      </c>
      <c r="I16" s="78">
        <v>234.64400000000001</v>
      </c>
      <c r="J16" s="78">
        <v>236.59800000000001</v>
      </c>
      <c r="K16" s="78">
        <v>236.59800000000001</v>
      </c>
      <c r="L16" s="79">
        <v>243.16400000000004</v>
      </c>
      <c r="M16" s="79">
        <v>275.02</v>
      </c>
      <c r="N16" s="79">
        <v>341.59800000000001</v>
      </c>
      <c r="O16" s="78">
        <v>416.89600000000002</v>
      </c>
      <c r="R16" s="86">
        <f>VLOOKUP($A16,'Matriz Distâncias NTS'!$D$2:$O$42,3,0)-F16</f>
        <v>34.180000000000007</v>
      </c>
      <c r="S16" s="86">
        <f>VLOOKUP($A16,'Matriz Distâncias NTS'!$D$2:$O$42,4,0)-O16</f>
        <v>-180.298</v>
      </c>
      <c r="T16" s="86">
        <f>VLOOKUP($A16,'Matriz Distâncias NTS'!$D$2:$O$42,5,0)-H16</f>
        <v>20.204000000000008</v>
      </c>
      <c r="U16" s="86">
        <f>VLOOKUP($A16,'Matriz Distâncias NTS'!$D$2:$O$42,6,0)-O16</f>
        <v>-288.41499999999996</v>
      </c>
      <c r="V16" s="86">
        <f>VLOOKUP($A16,'Matriz Distâncias NTS'!$D$2:$O$42,7,0)-E16</f>
        <v>29.217999999999961</v>
      </c>
      <c r="W16" s="86">
        <f>VLOOKUP($A16,'Matriz Distâncias NTS'!$D$2:$O$42,8,0)-G16</f>
        <v>0</v>
      </c>
      <c r="X16" s="86">
        <f>VLOOKUP($A16,'Matriz Distâncias NTS'!$D$2:$O$42,9,0)-C16</f>
        <v>103.15499999999997</v>
      </c>
      <c r="Y16" s="86">
        <f>VLOOKUP($A16,'Matriz Distâncias NTS'!$D$2:$O$42,10,0)-I16</f>
        <v>0</v>
      </c>
      <c r="Z16" s="86">
        <f>VLOOKUP($A16,'Matriz Distâncias NTS'!$D$2:$O$42,11,0)-M16</f>
        <v>141.87600000000003</v>
      </c>
      <c r="AA16" s="86">
        <f>VLOOKUP($A16,'Matriz Distâncias NTS'!$D$2:$O$42,12,0)-L16</f>
        <v>173.73199999999997</v>
      </c>
      <c r="AB16" s="86" t="e">
        <f>VLOOKUP($A16,'Matriz Distâncias NTS'!$D$2:$O$42,13,0)-N16</f>
        <v>#REF!</v>
      </c>
    </row>
    <row r="17" spans="1:28" x14ac:dyDescent="0.3">
      <c r="A17" s="80" t="s">
        <v>68</v>
      </c>
      <c r="B17" s="78">
        <v>776.47799999999995</v>
      </c>
      <c r="C17" s="78">
        <v>394.62900000000002</v>
      </c>
      <c r="D17" s="78">
        <v>93.766000000000005</v>
      </c>
      <c r="E17" s="78">
        <v>596.17999999999995</v>
      </c>
      <c r="F17" s="81">
        <v>360.44900000000001</v>
      </c>
      <c r="G17" s="78">
        <v>598.4799999999999</v>
      </c>
      <c r="H17" s="78">
        <v>93.766000000000005</v>
      </c>
      <c r="I17" s="78">
        <v>466.61200000000002</v>
      </c>
      <c r="J17" s="78">
        <v>596.17999999999995</v>
      </c>
      <c r="K17" s="78">
        <v>596.17999999999995</v>
      </c>
      <c r="L17" s="79">
        <v>602.74599999999987</v>
      </c>
      <c r="M17" s="79">
        <v>634.60199999999998</v>
      </c>
      <c r="N17" s="79">
        <v>701.18</v>
      </c>
      <c r="O17" s="78">
        <v>776.47799999999995</v>
      </c>
      <c r="R17" s="86">
        <f>VLOOKUP($A17,'Matriz Distâncias NTS'!$D$2:$O$42,3,0)-F17</f>
        <v>34.180000000000007</v>
      </c>
      <c r="S17" s="86">
        <f>VLOOKUP($A17,'Matriz Distâncias NTS'!$D$2:$O$42,4,0)-O17</f>
        <v>-180.298</v>
      </c>
      <c r="T17" s="86">
        <f>VLOOKUP($A17,'Matriz Distâncias NTS'!$D$2:$O$42,5,0)-H17</f>
        <v>551.83600000000001</v>
      </c>
      <c r="U17" s="86">
        <f>VLOOKUP($A17,'Matriz Distâncias NTS'!$D$2:$O$42,6,0)-O17</f>
        <v>-416.02899999999994</v>
      </c>
      <c r="V17" s="86">
        <f>VLOOKUP($A17,'Matriz Distâncias NTS'!$D$2:$O$42,7,0)-E17</f>
        <v>-502.41399999999993</v>
      </c>
      <c r="W17" s="86">
        <f>VLOOKUP($A17,'Matriz Distâncias NTS'!$D$2:$O$42,8,0)-G17</f>
        <v>0</v>
      </c>
      <c r="X17" s="86">
        <f>VLOOKUP($A17,'Matriz Distâncias NTS'!$D$2:$O$42,9,0)-C17</f>
        <v>-300.863</v>
      </c>
      <c r="Y17" s="86">
        <f>VLOOKUP($A17,'Matriz Distâncias NTS'!$D$2:$O$42,10,0)-I17</f>
        <v>0</v>
      </c>
      <c r="Z17" s="86">
        <f>VLOOKUP($A17,'Matriz Distâncias NTS'!$D$2:$O$42,11,0)-M17</f>
        <v>141.87599999999998</v>
      </c>
      <c r="AA17" s="86">
        <f>VLOOKUP($A17,'Matriz Distâncias NTS'!$D$2:$O$42,12,0)-L17</f>
        <v>173.73200000000008</v>
      </c>
      <c r="AB17" s="86" t="e">
        <f>VLOOKUP($A17,'Matriz Distâncias NTS'!$D$2:$O$42,13,0)-N17</f>
        <v>#REF!</v>
      </c>
    </row>
    <row r="18" spans="1:28" x14ac:dyDescent="0.3">
      <c r="A18" s="82" t="s">
        <v>76</v>
      </c>
      <c r="B18" s="83">
        <v>226.39599999999999</v>
      </c>
      <c r="C18" s="83">
        <v>352.08100000000002</v>
      </c>
      <c r="D18" s="83">
        <v>456.31599999999997</v>
      </c>
      <c r="E18" s="83">
        <v>46.097999999999999</v>
      </c>
      <c r="F18" s="83">
        <v>317.90100000000001</v>
      </c>
      <c r="G18" s="83">
        <v>41.033999999999999</v>
      </c>
      <c r="H18" s="83">
        <v>456.31599999999997</v>
      </c>
      <c r="I18" s="83">
        <v>424.06400000000002</v>
      </c>
      <c r="J18" s="83">
        <v>46.097999999999999</v>
      </c>
      <c r="K18" s="83">
        <v>46.097999999999999</v>
      </c>
      <c r="L18" s="79">
        <v>45.3</v>
      </c>
      <c r="M18" s="79">
        <v>84.519999999999982</v>
      </c>
      <c r="N18" s="79">
        <v>151.09800000000001</v>
      </c>
      <c r="O18" s="83">
        <v>226.39599999999999</v>
      </c>
      <c r="R18" s="86">
        <f>VLOOKUP($A18,'Matriz Distâncias NTS'!$D$2:$O$42,3,0)-F18</f>
        <v>34.180000000000007</v>
      </c>
      <c r="S18" s="86">
        <f>VLOOKUP($A18,'Matriz Distâncias NTS'!$D$2:$O$42,4,0)-O18</f>
        <v>-180.298</v>
      </c>
      <c r="T18" s="86">
        <f>VLOOKUP($A18,'Matriz Distâncias NTS'!$D$2:$O$42,5,0)-H18</f>
        <v>-360.79599999999999</v>
      </c>
      <c r="U18" s="86">
        <f>VLOOKUP($A18,'Matriz Distâncias NTS'!$D$2:$O$42,6,0)-O18</f>
        <v>91.505000000000024</v>
      </c>
      <c r="V18" s="86">
        <f>VLOOKUP($A18,'Matriz Distâncias NTS'!$D$2:$O$42,7,0)-E18</f>
        <v>410.21799999999996</v>
      </c>
      <c r="W18" s="86">
        <f>VLOOKUP($A18,'Matriz Distâncias NTS'!$D$2:$O$42,8,0)-G18</f>
        <v>0</v>
      </c>
      <c r="X18" s="86">
        <f>VLOOKUP($A18,'Matriz Distâncias NTS'!$D$2:$O$42,9,0)-C18</f>
        <v>104.23499999999996</v>
      </c>
      <c r="Y18" s="86">
        <f>VLOOKUP($A18,'Matriz Distâncias NTS'!$D$2:$O$42,10,0)-I18</f>
        <v>0</v>
      </c>
      <c r="Z18" s="86">
        <f>VLOOKUP($A18,'Matriz Distâncias NTS'!$D$2:$O$42,11,0)-M18</f>
        <v>141.876</v>
      </c>
      <c r="AA18" s="86">
        <f>VLOOKUP($A18,'Matriz Distâncias NTS'!$D$2:$O$42,12,0)-L18</f>
        <v>181.096</v>
      </c>
      <c r="AB18" s="86" t="e">
        <f>VLOOKUP($A18,'Matriz Distâncias NTS'!$D$2:$O$42,13,0)-N18</f>
        <v>#REF!</v>
      </c>
    </row>
    <row r="19" spans="1:28" x14ac:dyDescent="0.3">
      <c r="A19" s="80" t="s">
        <v>77</v>
      </c>
      <c r="B19" s="78">
        <v>226.39599999999999</v>
      </c>
      <c r="C19" s="78">
        <v>353.161</v>
      </c>
      <c r="D19" s="78">
        <v>456.31599999999997</v>
      </c>
      <c r="E19" s="78">
        <v>46.097999999999999</v>
      </c>
      <c r="F19" s="78">
        <v>318.98099999999999</v>
      </c>
      <c r="G19" s="78">
        <v>48.397999999999996</v>
      </c>
      <c r="H19" s="78">
        <v>456.31599999999997</v>
      </c>
      <c r="I19" s="78">
        <v>424.06400000000002</v>
      </c>
      <c r="J19" s="78">
        <v>46.097999999999999</v>
      </c>
      <c r="K19" s="78">
        <v>46.097999999999999</v>
      </c>
      <c r="L19" s="79">
        <v>45.3</v>
      </c>
      <c r="M19" s="79">
        <v>84.519999999999982</v>
      </c>
      <c r="N19" s="79">
        <v>151.09800000000001</v>
      </c>
      <c r="O19" s="78">
        <v>226.39599999999999</v>
      </c>
      <c r="R19" s="86">
        <f>VLOOKUP($A19,'Matriz Distâncias NTS'!$D$2:$O$42,3,0)-F19</f>
        <v>34.180000000000007</v>
      </c>
      <c r="S19" s="86">
        <f>VLOOKUP($A19,'Matriz Distâncias NTS'!$D$2:$O$42,4,0)-O19</f>
        <v>-180.298</v>
      </c>
      <c r="T19" s="86">
        <f>VLOOKUP($A19,'Matriz Distâncias NTS'!$D$2:$O$42,5,0)-H19</f>
        <v>-360.79599999999999</v>
      </c>
      <c r="U19" s="86">
        <f>VLOOKUP($A19,'Matriz Distâncias NTS'!$D$2:$O$42,6,0)-O19</f>
        <v>92.585000000000008</v>
      </c>
      <c r="V19" s="86">
        <f>VLOOKUP($A19,'Matriz Distâncias NTS'!$D$2:$O$42,7,0)-E19</f>
        <v>410.21799999999996</v>
      </c>
      <c r="W19" s="86">
        <f>VLOOKUP($A19,'Matriz Distâncias NTS'!$D$2:$O$42,8,0)-G19</f>
        <v>0</v>
      </c>
      <c r="X19" s="86">
        <f>VLOOKUP($A19,'Matriz Distâncias NTS'!$D$2:$O$42,9,0)-C19</f>
        <v>103.15499999999997</v>
      </c>
      <c r="Y19" s="86">
        <f>VLOOKUP($A19,'Matriz Distâncias NTS'!$D$2:$O$42,10,0)-I19</f>
        <v>0</v>
      </c>
      <c r="Z19" s="86">
        <f>VLOOKUP($A19,'Matriz Distâncias NTS'!$D$2:$O$42,11,0)-M19</f>
        <v>141.876</v>
      </c>
      <c r="AA19" s="86">
        <f>VLOOKUP($A19,'Matriz Distâncias NTS'!$D$2:$O$42,12,0)-L19</f>
        <v>181.096</v>
      </c>
      <c r="AB19" s="86" t="e">
        <f>VLOOKUP($A19,'Matriz Distâncias NTS'!$D$2:$O$42,13,0)-N19</f>
        <v>#REF!</v>
      </c>
    </row>
    <row r="20" spans="1:28" x14ac:dyDescent="0.3">
      <c r="A20" s="82" t="s">
        <v>60</v>
      </c>
      <c r="B20" s="78">
        <v>436.53199999999998</v>
      </c>
      <c r="C20" s="78">
        <v>451.399</v>
      </c>
      <c r="D20" s="78">
        <v>554.55399999999997</v>
      </c>
      <c r="E20" s="78">
        <v>256.23399999999998</v>
      </c>
      <c r="F20" s="78">
        <v>417.21899999999999</v>
      </c>
      <c r="G20" s="78">
        <v>138.232</v>
      </c>
      <c r="H20" s="78">
        <v>554.55399999999997</v>
      </c>
      <c r="I20" s="78">
        <v>523.38199999999995</v>
      </c>
      <c r="J20" s="78">
        <v>256.23399999999998</v>
      </c>
      <c r="K20" s="78">
        <v>256.23399999999998</v>
      </c>
      <c r="L20" s="79">
        <v>142.49799999999999</v>
      </c>
      <c r="M20" s="79">
        <v>294.65599999999995</v>
      </c>
      <c r="N20" s="79">
        <v>361.23399999999998</v>
      </c>
      <c r="O20" s="78">
        <v>436.53199999999998</v>
      </c>
      <c r="R20" s="86">
        <f>VLOOKUP($A20,'Matriz Distâncias NTS'!$D$2:$O$42,3,0)-F20</f>
        <v>34.180000000000007</v>
      </c>
      <c r="S20" s="86">
        <f>VLOOKUP($A20,'Matriz Distâncias NTS'!$D$2:$O$42,4,0)-O20</f>
        <v>-180.298</v>
      </c>
      <c r="T20" s="86">
        <f>VLOOKUP($A20,'Matriz Distâncias NTS'!$D$2:$O$42,5,0)-H20</f>
        <v>-248.89800000000002</v>
      </c>
      <c r="U20" s="86">
        <f>VLOOKUP($A20,'Matriz Distâncias NTS'!$D$2:$O$42,6,0)-O20</f>
        <v>-19.312999999999988</v>
      </c>
      <c r="V20" s="86">
        <f>VLOOKUP($A20,'Matriz Distâncias NTS'!$D$2:$O$42,7,0)-E20</f>
        <v>298.32</v>
      </c>
      <c r="W20" s="86">
        <f>VLOOKUP($A20,'Matriz Distâncias NTS'!$D$2:$O$42,8,0)-G20</f>
        <v>0</v>
      </c>
      <c r="X20" s="86">
        <f>VLOOKUP($A20,'Matriz Distâncias NTS'!$D$2:$O$42,9,0)-C20</f>
        <v>103.15499999999997</v>
      </c>
      <c r="Y20" s="86">
        <f>VLOOKUP($A20,'Matriz Distâncias NTS'!$D$2:$O$42,10,0)-I20</f>
        <v>0</v>
      </c>
      <c r="Z20" s="86">
        <f>VLOOKUP($A20,'Matriz Distâncias NTS'!$D$2:$O$42,11,0)-M20</f>
        <v>141.87600000000003</v>
      </c>
      <c r="AA20" s="86">
        <f>VLOOKUP($A20,'Matriz Distâncias NTS'!$D$2:$O$42,12,0)-L20</f>
        <v>294.03399999999999</v>
      </c>
      <c r="AB20" s="86" t="e">
        <f>VLOOKUP($A20,'Matriz Distâncias NTS'!$D$2:$O$42,13,0)-N20</f>
        <v>#REF!</v>
      </c>
    </row>
    <row r="21" spans="1:28" x14ac:dyDescent="0.3">
      <c r="A21" s="1" t="s">
        <v>92</v>
      </c>
      <c r="B21" s="78">
        <v>411.90499999999997</v>
      </c>
      <c r="C21" s="78">
        <v>166.572</v>
      </c>
      <c r="D21" s="78">
        <v>269.72699999999998</v>
      </c>
      <c r="E21" s="78">
        <v>368.12299999999999</v>
      </c>
      <c r="F21" s="78">
        <v>132.392</v>
      </c>
      <c r="G21" s="78">
        <v>226.94300000000001</v>
      </c>
      <c r="H21" s="78">
        <v>269.72699999999998</v>
      </c>
      <c r="I21" s="78">
        <v>238.55500000000001</v>
      </c>
      <c r="J21" s="78">
        <v>368.12299999999999</v>
      </c>
      <c r="K21" s="78">
        <v>368.12299999999999</v>
      </c>
      <c r="L21" s="79">
        <v>231.209</v>
      </c>
      <c r="M21" s="79">
        <v>270.029</v>
      </c>
      <c r="N21" s="79">
        <v>473.12299999999999</v>
      </c>
      <c r="O21" s="78">
        <v>411.90499999999997</v>
      </c>
      <c r="R21" s="86">
        <f>VLOOKUP($A21,'Matriz Distâncias NTS'!$D$2:$O$42,3,0)-F21</f>
        <v>34.180000000000007</v>
      </c>
      <c r="S21" s="86">
        <f>VLOOKUP($A21,'Matriz Distâncias NTS'!$D$2:$O$42,4,0)-O21</f>
        <v>-43.781999999999982</v>
      </c>
      <c r="T21" s="86">
        <f>VLOOKUP($A21,'Matriz Distâncias NTS'!$D$2:$O$42,5,0)-H21</f>
        <v>11.302000000000021</v>
      </c>
      <c r="U21" s="86">
        <f>VLOOKUP($A21,'Matriz Distâncias NTS'!$D$2:$O$42,6,0)-O21</f>
        <v>-279.51299999999998</v>
      </c>
      <c r="V21" s="86">
        <f>VLOOKUP($A21,'Matriz Distâncias NTS'!$D$2:$O$42,7,0)-E21</f>
        <v>-98.396000000000015</v>
      </c>
      <c r="W21" s="86">
        <f>VLOOKUP($A21,'Matriz Distâncias NTS'!$D$2:$O$42,8,0)-G21</f>
        <v>0</v>
      </c>
      <c r="X21" s="86">
        <f>VLOOKUP($A21,'Matriz Distâncias NTS'!$D$2:$O$42,9,0)-C21</f>
        <v>103.15499999999997</v>
      </c>
      <c r="Y21" s="86">
        <f>VLOOKUP($A21,'Matriz Distâncias NTS'!$D$2:$O$42,10,0)-I21</f>
        <v>0</v>
      </c>
      <c r="Z21" s="86">
        <f>VLOOKUP($A21,'Matriz Distâncias NTS'!$D$2:$O$42,11,0)-M21</f>
        <v>141.87599999999998</v>
      </c>
      <c r="AA21" s="86">
        <f>VLOOKUP($A21,'Matriz Distâncias NTS'!$D$2:$O$42,12,0)-L21</f>
        <v>180.69599999999997</v>
      </c>
      <c r="AB21" s="86" t="e">
        <f>VLOOKUP($A21,'Matriz Distâncias NTS'!$D$2:$O$42,13,0)-N21</f>
        <v>#REF!</v>
      </c>
    </row>
    <row r="22" spans="1:28" x14ac:dyDescent="0.3">
      <c r="A22" s="80" t="s">
        <v>81</v>
      </c>
      <c r="B22" s="78">
        <v>236.922</v>
      </c>
      <c r="C22" s="78">
        <v>341.55500000000001</v>
      </c>
      <c r="D22" s="78">
        <v>466.84199999999998</v>
      </c>
      <c r="E22" s="78">
        <v>56.624000000000002</v>
      </c>
      <c r="F22" s="78">
        <v>307.375</v>
      </c>
      <c r="G22" s="78">
        <v>51.96</v>
      </c>
      <c r="H22" s="78">
        <v>466.84199999999998</v>
      </c>
      <c r="I22" s="78">
        <v>413.53800000000001</v>
      </c>
      <c r="J22" s="78">
        <v>56.624000000000002</v>
      </c>
      <c r="K22" s="78">
        <v>56.624000000000002</v>
      </c>
      <c r="L22" s="79">
        <v>56.225999999999999</v>
      </c>
      <c r="M22" s="79">
        <v>95.045999999999992</v>
      </c>
      <c r="N22" s="79">
        <v>161.624</v>
      </c>
      <c r="O22" s="78">
        <v>236.922</v>
      </c>
      <c r="R22" s="86">
        <f>VLOOKUP($A22,'Matriz Distâncias NTS'!$D$2:$O$42,3,0)-F22</f>
        <v>34.180000000000007</v>
      </c>
      <c r="S22" s="86">
        <f>VLOOKUP($A22,'Matriz Distâncias NTS'!$D$2:$O$42,4,0)-O22</f>
        <v>-180.298</v>
      </c>
      <c r="T22" s="86">
        <f>VLOOKUP($A22,'Matriz Distâncias NTS'!$D$2:$O$42,5,0)-H22</f>
        <v>-360.79599999999999</v>
      </c>
      <c r="U22" s="86">
        <f>VLOOKUP($A22,'Matriz Distâncias NTS'!$D$2:$O$42,6,0)-O22</f>
        <v>70.453000000000003</v>
      </c>
      <c r="V22" s="86">
        <f>VLOOKUP($A22,'Matriz Distâncias NTS'!$D$2:$O$42,7,0)-E22</f>
        <v>410.21799999999996</v>
      </c>
      <c r="W22" s="86">
        <f>VLOOKUP($A22,'Matriz Distâncias NTS'!$D$2:$O$42,8,0)-G22</f>
        <v>0</v>
      </c>
      <c r="X22" s="86">
        <f>VLOOKUP($A22,'Matriz Distâncias NTS'!$D$2:$O$42,9,0)-C22</f>
        <v>125.28699999999998</v>
      </c>
      <c r="Y22" s="86">
        <f>VLOOKUP($A22,'Matriz Distâncias NTS'!$D$2:$O$42,10,0)-I22</f>
        <v>0</v>
      </c>
      <c r="Z22" s="86">
        <f>VLOOKUP($A22,'Matriz Distâncias NTS'!$D$2:$O$42,11,0)-M22</f>
        <v>141.876</v>
      </c>
      <c r="AA22" s="86">
        <f>VLOOKUP($A22,'Matriz Distâncias NTS'!$D$2:$O$42,12,0)-L22</f>
        <v>180.696</v>
      </c>
      <c r="AB22" s="86" t="e">
        <f>VLOOKUP($A22,'Matriz Distâncias NTS'!$D$2:$O$42,13,0)-N22</f>
        <v>#REF!</v>
      </c>
    </row>
    <row r="23" spans="1:28" x14ac:dyDescent="0.3">
      <c r="A23" s="1" t="s">
        <v>90</v>
      </c>
      <c r="B23" s="78">
        <v>449.86900000000003</v>
      </c>
      <c r="C23" s="78">
        <v>128.608</v>
      </c>
      <c r="D23" s="78">
        <v>231.76300000000001</v>
      </c>
      <c r="E23" s="78">
        <v>330.15899999999999</v>
      </c>
      <c r="F23" s="78">
        <v>94.427999999999997</v>
      </c>
      <c r="G23" s="78">
        <v>264.90699999999998</v>
      </c>
      <c r="H23" s="78">
        <v>231.76300000000001</v>
      </c>
      <c r="I23" s="78">
        <v>200.59100000000001</v>
      </c>
      <c r="J23" s="78">
        <v>330.15899999999999</v>
      </c>
      <c r="K23" s="78">
        <v>330.15899999999999</v>
      </c>
      <c r="L23" s="79">
        <v>269.173</v>
      </c>
      <c r="M23" s="79">
        <v>307.99300000000005</v>
      </c>
      <c r="N23" s="79">
        <v>435.15899999999999</v>
      </c>
      <c r="O23" s="78">
        <v>449.86900000000003</v>
      </c>
      <c r="R23" s="86">
        <f>VLOOKUP($A23,'Matriz Distâncias NTS'!$D$2:$O$42,3,0)-F23</f>
        <v>34.180000000000007</v>
      </c>
      <c r="S23" s="86">
        <f>VLOOKUP($A23,'Matriz Distâncias NTS'!$D$2:$O$42,4,0)-O23</f>
        <v>-119.71000000000004</v>
      </c>
      <c r="T23" s="86">
        <f>VLOOKUP($A23,'Matriz Distâncias NTS'!$D$2:$O$42,5,0)-H23</f>
        <v>87.230000000000047</v>
      </c>
      <c r="U23" s="86">
        <f>VLOOKUP($A23,'Matriz Distâncias NTS'!$D$2:$O$42,6,0)-O23</f>
        <v>-355.44100000000003</v>
      </c>
      <c r="V23" s="86">
        <f>VLOOKUP($A23,'Matriz Distâncias NTS'!$D$2:$O$42,7,0)-E23</f>
        <v>-98.395999999999987</v>
      </c>
      <c r="W23" s="86">
        <f>VLOOKUP($A23,'Matriz Distâncias NTS'!$D$2:$O$42,8,0)-G23</f>
        <v>0</v>
      </c>
      <c r="X23" s="86">
        <f>VLOOKUP($A23,'Matriz Distâncias NTS'!$D$2:$O$42,9,0)-C23</f>
        <v>103.155</v>
      </c>
      <c r="Y23" s="86">
        <f>VLOOKUP($A23,'Matriz Distâncias NTS'!$D$2:$O$42,10,0)-I23</f>
        <v>0</v>
      </c>
      <c r="Z23" s="86">
        <f>VLOOKUP($A23,'Matriz Distâncias NTS'!$D$2:$O$42,11,0)-M23</f>
        <v>141.87599999999998</v>
      </c>
      <c r="AA23" s="86">
        <f>VLOOKUP($A23,'Matriz Distâncias NTS'!$D$2:$O$42,12,0)-L23</f>
        <v>180.69600000000003</v>
      </c>
      <c r="AB23" s="86" t="e">
        <f>VLOOKUP($A23,'Matriz Distâncias NTS'!$D$2:$O$42,13,0)-N23</f>
        <v>#REF!</v>
      </c>
    </row>
    <row r="24" spans="1:28" x14ac:dyDescent="0.3">
      <c r="A24" s="1" t="s">
        <v>82</v>
      </c>
      <c r="B24" s="78">
        <v>256.19499999999999</v>
      </c>
      <c r="C24" s="78">
        <v>322.28199999999998</v>
      </c>
      <c r="D24" s="78">
        <v>486.11500000000001</v>
      </c>
      <c r="E24" s="78">
        <v>75.897000000000006</v>
      </c>
      <c r="F24" s="81">
        <v>288.10199999999998</v>
      </c>
      <c r="G24" s="78">
        <v>71.233000000000004</v>
      </c>
      <c r="H24" s="78">
        <v>486.11500000000001</v>
      </c>
      <c r="I24" s="78">
        <v>394.26499999999999</v>
      </c>
      <c r="J24" s="78">
        <v>75.897000000000006</v>
      </c>
      <c r="K24" s="78">
        <v>75.897000000000006</v>
      </c>
      <c r="L24" s="79">
        <v>75.498999999999995</v>
      </c>
      <c r="M24" s="79">
        <v>114.31899999999999</v>
      </c>
      <c r="N24" s="79">
        <v>180.89699999999999</v>
      </c>
      <c r="O24" s="78">
        <v>256.19499999999999</v>
      </c>
      <c r="R24" s="86">
        <f>VLOOKUP($A24,'Matriz Distâncias NTS'!$D$2:$O$42,3,0)-F24</f>
        <v>34.180000000000007</v>
      </c>
      <c r="S24" s="86">
        <f>VLOOKUP($A24,'Matriz Distâncias NTS'!$D$2:$O$42,4,0)-O24</f>
        <v>-180.298</v>
      </c>
      <c r="T24" s="86">
        <f>VLOOKUP($A24,'Matriz Distâncias NTS'!$D$2:$O$42,5,0)-H24</f>
        <v>-360.79600000000005</v>
      </c>
      <c r="U24" s="86">
        <f>VLOOKUP($A24,'Matriz Distâncias NTS'!$D$2:$O$42,6,0)-O24</f>
        <v>31.906999999999982</v>
      </c>
      <c r="V24" s="86">
        <f>VLOOKUP($A24,'Matriz Distâncias NTS'!$D$2:$O$42,7,0)-E24</f>
        <v>410.21800000000002</v>
      </c>
      <c r="W24" s="86">
        <f>VLOOKUP($A24,'Matriz Distâncias NTS'!$D$2:$O$42,8,0)-G24</f>
        <v>0</v>
      </c>
      <c r="X24" s="86">
        <f>VLOOKUP($A24,'Matriz Distâncias NTS'!$D$2:$O$42,9,0)-C24</f>
        <v>163.83300000000003</v>
      </c>
      <c r="Y24" s="86">
        <f>VLOOKUP($A24,'Matriz Distâncias NTS'!$D$2:$O$42,10,0)-I24</f>
        <v>0</v>
      </c>
      <c r="Z24" s="86">
        <f>VLOOKUP($A24,'Matriz Distâncias NTS'!$D$2:$O$42,11,0)-M24</f>
        <v>141.876</v>
      </c>
      <c r="AA24" s="86">
        <f>VLOOKUP($A24,'Matriz Distâncias NTS'!$D$2:$O$42,12,0)-L24</f>
        <v>180.696</v>
      </c>
      <c r="AB24" s="86" t="e">
        <f>VLOOKUP($A24,'Matriz Distâncias NTS'!$D$2:$O$42,13,0)-N24</f>
        <v>#REF!</v>
      </c>
    </row>
    <row r="25" spans="1:28" x14ac:dyDescent="0.3">
      <c r="A25" s="80" t="s">
        <v>99</v>
      </c>
      <c r="B25" s="78">
        <v>607.57799999999997</v>
      </c>
      <c r="C25" s="78">
        <v>170.52600000000001</v>
      </c>
      <c r="D25" s="78">
        <v>330.96199999999999</v>
      </c>
      <c r="E25" s="78">
        <v>429.358</v>
      </c>
      <c r="F25" s="78">
        <v>64.278999999999996</v>
      </c>
      <c r="G25" s="78">
        <v>431.65800000000002</v>
      </c>
      <c r="H25" s="78">
        <v>330.96199999999999</v>
      </c>
      <c r="I25" s="78">
        <v>60.747999999999998</v>
      </c>
      <c r="J25" s="78">
        <v>429.358</v>
      </c>
      <c r="K25" s="78">
        <v>429.358</v>
      </c>
      <c r="L25" s="79">
        <v>435.92400000000004</v>
      </c>
      <c r="M25" s="79">
        <v>465.702</v>
      </c>
      <c r="N25" s="79">
        <v>534.35799999999995</v>
      </c>
      <c r="O25" s="78">
        <v>607.57799999999997</v>
      </c>
      <c r="R25" s="86">
        <f>VLOOKUP($A25,'Matriz Distâncias NTS'!$D$2:$O$42,3,0)-F25</f>
        <v>106.24700000000001</v>
      </c>
      <c r="S25" s="86">
        <f>VLOOKUP($A25,'Matriz Distâncias NTS'!$D$2:$O$42,4,0)-O25</f>
        <v>-178.21999999999997</v>
      </c>
      <c r="T25" s="86">
        <f>VLOOKUP($A25,'Matriz Distâncias NTS'!$D$2:$O$42,5,0)-H25</f>
        <v>145.74</v>
      </c>
      <c r="U25" s="86">
        <f>VLOOKUP($A25,'Matriz Distâncias NTS'!$D$2:$O$42,6,0)-O25</f>
        <v>-543.29899999999998</v>
      </c>
      <c r="V25" s="86">
        <f>VLOOKUP($A25,'Matriz Distâncias NTS'!$D$2:$O$42,7,0)-E25</f>
        <v>-98.396000000000015</v>
      </c>
      <c r="W25" s="86">
        <f>VLOOKUP($A25,'Matriz Distâncias NTS'!$D$2:$O$42,8,0)-G25</f>
        <v>0</v>
      </c>
      <c r="X25" s="86">
        <f>VLOOKUP($A25,'Matriz Distâncias NTS'!$D$2:$O$42,9,0)-C25</f>
        <v>160.43599999999998</v>
      </c>
      <c r="Y25" s="86">
        <f>VLOOKUP($A25,'Matriz Distâncias NTS'!$D$2:$O$42,10,0)-I25</f>
        <v>0</v>
      </c>
      <c r="Z25" s="86">
        <f>VLOOKUP($A25,'Matriz Distâncias NTS'!$D$2:$O$42,11,0)-M25</f>
        <v>141.87599999999998</v>
      </c>
      <c r="AA25" s="86">
        <f>VLOOKUP($A25,'Matriz Distâncias NTS'!$D$2:$O$42,12,0)-L25</f>
        <v>171.65399999999994</v>
      </c>
      <c r="AB25" s="86" t="e">
        <f>VLOOKUP($A25,'Matriz Distâncias NTS'!$D$2:$O$42,13,0)-N25</f>
        <v>#REF!</v>
      </c>
    </row>
    <row r="26" spans="1:28" x14ac:dyDescent="0.3">
      <c r="A26" s="80" t="s">
        <v>86</v>
      </c>
      <c r="B26" s="78">
        <v>182.59800000000001</v>
      </c>
      <c r="C26" s="78">
        <v>401.55900000000003</v>
      </c>
      <c r="D26" s="78">
        <v>504.714</v>
      </c>
      <c r="E26" s="78">
        <v>2.2999999999999998</v>
      </c>
      <c r="F26" s="78">
        <v>359.33499999999998</v>
      </c>
      <c r="G26" s="78">
        <v>0</v>
      </c>
      <c r="H26" s="78">
        <v>504.714</v>
      </c>
      <c r="I26" s="78">
        <v>465.49799999999999</v>
      </c>
      <c r="J26" s="78">
        <v>2.2999999999999998</v>
      </c>
      <c r="K26" s="78">
        <v>2.2999999999999998</v>
      </c>
      <c r="L26" s="79">
        <v>93.698000000000022</v>
      </c>
      <c r="M26" s="79">
        <v>40.722000000000008</v>
      </c>
      <c r="N26" s="79">
        <v>107.3</v>
      </c>
      <c r="O26" s="78">
        <v>182.59800000000001</v>
      </c>
      <c r="R26" s="86">
        <f>VLOOKUP($A26,'Matriz Distâncias NTS'!$D$2:$O$42,3,0)-F26</f>
        <v>42.224000000000046</v>
      </c>
      <c r="S26" s="86">
        <f>VLOOKUP($A26,'Matriz Distâncias NTS'!$D$2:$O$42,4,0)-O26</f>
        <v>-180.298</v>
      </c>
      <c r="T26" s="86">
        <f>VLOOKUP($A26,'Matriz Distâncias NTS'!$D$2:$O$42,5,0)-H26</f>
        <v>-452.99199999999996</v>
      </c>
      <c r="U26" s="86">
        <f>VLOOKUP($A26,'Matriz Distâncias NTS'!$D$2:$O$42,6,0)-O26</f>
        <v>176.74199999999996</v>
      </c>
      <c r="V26" s="86">
        <f>VLOOKUP($A26,'Matriz Distâncias NTS'!$D$2:$O$42,7,0)-E26</f>
        <v>502.41399999999999</v>
      </c>
      <c r="W26" s="86">
        <f>VLOOKUP($A26,'Matriz Distâncias NTS'!$D$2:$O$42,8,0)-G26</f>
        <v>0</v>
      </c>
      <c r="X26" s="86">
        <f>VLOOKUP($A26,'Matriz Distâncias NTS'!$D$2:$O$42,9,0)-C26</f>
        <v>103.15499999999997</v>
      </c>
      <c r="Y26" s="86">
        <f>VLOOKUP($A26,'Matriz Distâncias NTS'!$D$2:$O$42,10,0)-I26</f>
        <v>0</v>
      </c>
      <c r="Z26" s="86">
        <f>VLOOKUP($A26,'Matriz Distâncias NTS'!$D$2:$O$42,11,0)-M26</f>
        <v>141.876</v>
      </c>
      <c r="AA26" s="86">
        <f>VLOOKUP($A26,'Matriz Distâncias NTS'!$D$2:$O$42,12,0)-L26</f>
        <v>88.899999999999991</v>
      </c>
      <c r="AB26" s="86" t="e">
        <f>VLOOKUP($A26,'Matriz Distâncias NTS'!$D$2:$O$42,13,0)-N26</f>
        <v>#REF!</v>
      </c>
    </row>
    <row r="27" spans="1:28" x14ac:dyDescent="0.3">
      <c r="A27" s="82" t="s">
        <v>65</v>
      </c>
      <c r="B27" s="78">
        <v>654.14400000000001</v>
      </c>
      <c r="C27" s="78">
        <v>669.01099999999997</v>
      </c>
      <c r="D27" s="78">
        <v>772.16600000000005</v>
      </c>
      <c r="E27" s="78">
        <v>473.846</v>
      </c>
      <c r="F27" s="78">
        <v>634.83100000000002</v>
      </c>
      <c r="G27" s="78">
        <v>355.84399999999999</v>
      </c>
      <c r="H27" s="78">
        <v>772.16600000000005</v>
      </c>
      <c r="I27" s="78">
        <v>740.99400000000003</v>
      </c>
      <c r="J27" s="78">
        <v>473.846</v>
      </c>
      <c r="K27" s="78">
        <v>473.846</v>
      </c>
      <c r="L27" s="79">
        <v>360.11</v>
      </c>
      <c r="M27" s="79">
        <v>512.26800000000003</v>
      </c>
      <c r="N27" s="79">
        <v>578.846</v>
      </c>
      <c r="O27" s="78">
        <v>654.14400000000001</v>
      </c>
      <c r="R27" s="86">
        <f>VLOOKUP($A27,'Matriz Distâncias NTS'!$D$2:$O$42,3,0)-F27</f>
        <v>34.17999999999995</v>
      </c>
      <c r="S27" s="86">
        <f>VLOOKUP($A27,'Matriz Distâncias NTS'!$D$2:$O$42,4,0)-O27</f>
        <v>-180.298</v>
      </c>
      <c r="T27" s="86">
        <f>VLOOKUP($A27,'Matriz Distâncias NTS'!$D$2:$O$42,5,0)-H27</f>
        <v>-248.89800000000002</v>
      </c>
      <c r="U27" s="86">
        <f>VLOOKUP($A27,'Matriz Distâncias NTS'!$D$2:$O$42,6,0)-O27</f>
        <v>-19.312999999999988</v>
      </c>
      <c r="V27" s="86">
        <f>VLOOKUP($A27,'Matriz Distâncias NTS'!$D$2:$O$42,7,0)-E27</f>
        <v>298.32000000000005</v>
      </c>
      <c r="W27" s="86">
        <f>VLOOKUP($A27,'Matriz Distâncias NTS'!$D$2:$O$42,8,0)-G27</f>
        <v>0</v>
      </c>
      <c r="X27" s="86">
        <f>VLOOKUP($A27,'Matriz Distâncias NTS'!$D$2:$O$42,9,0)-C27</f>
        <v>103.15500000000009</v>
      </c>
      <c r="Y27" s="86">
        <f>VLOOKUP($A27,'Matriz Distâncias NTS'!$D$2:$O$42,10,0)-I27</f>
        <v>0</v>
      </c>
      <c r="Z27" s="86">
        <f>VLOOKUP($A27,'Matriz Distâncias NTS'!$D$2:$O$42,11,0)-M27</f>
        <v>141.87599999999998</v>
      </c>
      <c r="AA27" s="86">
        <f>VLOOKUP($A27,'Matriz Distâncias NTS'!$D$2:$O$42,12,0)-L27</f>
        <v>294.03399999999999</v>
      </c>
      <c r="AB27" s="86" t="e">
        <f>VLOOKUP($A27,'Matriz Distâncias NTS'!$D$2:$O$42,13,0)-N27</f>
        <v>#REF!</v>
      </c>
    </row>
    <row r="28" spans="1:28" x14ac:dyDescent="0.3">
      <c r="A28" s="76" t="s">
        <v>66</v>
      </c>
      <c r="B28" s="78">
        <v>654.14400000000001</v>
      </c>
      <c r="C28" s="78">
        <v>669.01099999999997</v>
      </c>
      <c r="D28" s="78">
        <v>772.16600000000005</v>
      </c>
      <c r="E28" s="78">
        <v>473.846</v>
      </c>
      <c r="F28" s="78">
        <v>634.83100000000002</v>
      </c>
      <c r="G28" s="78">
        <v>355.84399999999999</v>
      </c>
      <c r="H28" s="78">
        <v>772.16600000000005</v>
      </c>
      <c r="I28" s="78">
        <v>740.99400000000003</v>
      </c>
      <c r="J28" s="78">
        <v>473.846</v>
      </c>
      <c r="K28" s="78">
        <v>473.846</v>
      </c>
      <c r="L28" s="79">
        <v>360.11</v>
      </c>
      <c r="M28" s="79">
        <v>512.26800000000003</v>
      </c>
      <c r="N28" s="79">
        <v>578.846</v>
      </c>
      <c r="O28" s="78">
        <v>654.14400000000001</v>
      </c>
      <c r="R28" s="86">
        <f>VLOOKUP($A28,'Matriz Distâncias NTS'!$D$2:$O$42,3,0)-F28</f>
        <v>34.17999999999995</v>
      </c>
      <c r="S28" s="86">
        <f>VLOOKUP($A28,'Matriz Distâncias NTS'!$D$2:$O$42,4,0)-O28</f>
        <v>-180.298</v>
      </c>
      <c r="T28" s="86">
        <f>VLOOKUP($A28,'Matriz Distâncias NTS'!$D$2:$O$42,5,0)-H28</f>
        <v>-248.89800000000002</v>
      </c>
      <c r="U28" s="86">
        <f>VLOOKUP($A28,'Matriz Distâncias NTS'!$D$2:$O$42,6,0)-O28</f>
        <v>-19.312999999999988</v>
      </c>
      <c r="V28" s="86">
        <f>VLOOKUP($A28,'Matriz Distâncias NTS'!$D$2:$O$42,7,0)-E28</f>
        <v>298.32000000000005</v>
      </c>
      <c r="W28" s="86">
        <f>VLOOKUP($A28,'Matriz Distâncias NTS'!$D$2:$O$42,8,0)-G28</f>
        <v>0</v>
      </c>
      <c r="X28" s="86">
        <f>VLOOKUP($A28,'Matriz Distâncias NTS'!$D$2:$O$42,9,0)-C28</f>
        <v>103.15500000000009</v>
      </c>
      <c r="Y28" s="86">
        <f>VLOOKUP($A28,'Matriz Distâncias NTS'!$D$2:$O$42,10,0)-I28</f>
        <v>0</v>
      </c>
      <c r="Z28" s="86">
        <f>VLOOKUP($A28,'Matriz Distâncias NTS'!$D$2:$O$42,11,0)-M28</f>
        <v>141.87599999999998</v>
      </c>
      <c r="AA28" s="86">
        <f>VLOOKUP($A28,'Matriz Distâncias NTS'!$D$2:$O$42,12,0)-L28</f>
        <v>294.03399999999999</v>
      </c>
      <c r="AB28" s="86" t="e">
        <f>VLOOKUP($A28,'Matriz Distâncias NTS'!$D$2:$O$42,13,0)-N28</f>
        <v>#REF!</v>
      </c>
    </row>
    <row r="29" spans="1:28" x14ac:dyDescent="0.3">
      <c r="A29" s="1" t="s">
        <v>273</v>
      </c>
      <c r="B29" s="78">
        <v>682.71199999999999</v>
      </c>
      <c r="C29" s="78">
        <v>300.863</v>
      </c>
      <c r="D29" s="78">
        <v>0</v>
      </c>
      <c r="E29" s="78">
        <v>502.41399999999999</v>
      </c>
      <c r="F29" s="78">
        <v>266.68299999999999</v>
      </c>
      <c r="G29" s="78">
        <v>504.714</v>
      </c>
      <c r="H29" s="78">
        <v>0</v>
      </c>
      <c r="I29" s="78">
        <v>372.846</v>
      </c>
      <c r="J29" s="78">
        <v>502.41399999999999</v>
      </c>
      <c r="K29" s="78">
        <v>502.41399999999999</v>
      </c>
      <c r="L29" s="79">
        <v>508.98</v>
      </c>
      <c r="M29" s="79">
        <v>540.83600000000001</v>
      </c>
      <c r="N29" s="79">
        <v>607.41399999999999</v>
      </c>
      <c r="O29" s="78">
        <v>682.71199999999999</v>
      </c>
      <c r="R29" s="86" t="e">
        <f>VLOOKUP($A29,'Matriz Distâncias NTS'!$D$2:$O$42,3,0)-F29</f>
        <v>#N/A</v>
      </c>
      <c r="S29" s="86" t="e">
        <f>VLOOKUP($A29,'Matriz Distâncias NTS'!$D$2:$O$42,4,0)-O29</f>
        <v>#N/A</v>
      </c>
      <c r="T29" s="86" t="e">
        <f>VLOOKUP($A29,'Matriz Distâncias NTS'!$D$2:$O$42,5,0)-H29</f>
        <v>#N/A</v>
      </c>
      <c r="U29" s="86" t="e">
        <f>VLOOKUP($A29,'Matriz Distâncias NTS'!$D$2:$O$42,6,0)-O29</f>
        <v>#N/A</v>
      </c>
      <c r="V29" s="86" t="e">
        <f>VLOOKUP($A29,'Matriz Distâncias NTS'!$D$2:$O$42,7,0)-E29</f>
        <v>#N/A</v>
      </c>
      <c r="W29" s="86" t="e">
        <f>VLOOKUP($A29,'Matriz Distâncias NTS'!$D$2:$O$42,8,0)-G29</f>
        <v>#N/A</v>
      </c>
      <c r="X29" s="86" t="e">
        <f>VLOOKUP($A29,'Matriz Distâncias NTS'!$D$2:$O$42,9,0)-C29</f>
        <v>#N/A</v>
      </c>
      <c r="Y29" s="86" t="e">
        <f>VLOOKUP($A29,'Matriz Distâncias NTS'!$D$2:$O$42,10,0)-I29</f>
        <v>#N/A</v>
      </c>
      <c r="Z29" s="86" t="e">
        <f>VLOOKUP($A29,'Matriz Distâncias NTS'!$D$2:$O$42,11,0)-M29</f>
        <v>#N/A</v>
      </c>
      <c r="AA29" s="86" t="e">
        <f>VLOOKUP($A29,'Matriz Distâncias NTS'!$D$2:$O$42,12,0)-L29</f>
        <v>#N/A</v>
      </c>
      <c r="AB29" s="86" t="e">
        <f>VLOOKUP($A29,'Matriz Distâncias NTS'!$D$2:$O$42,13,0)-N29</f>
        <v>#N/A</v>
      </c>
    </row>
    <row r="30" spans="1:28" x14ac:dyDescent="0.3">
      <c r="A30" s="80" t="s">
        <v>84</v>
      </c>
      <c r="B30" s="78">
        <v>334.81599999999997</v>
      </c>
      <c r="C30" s="78">
        <v>244.471</v>
      </c>
      <c r="D30" s="78">
        <v>347.89600000000002</v>
      </c>
      <c r="E30" s="78">
        <v>154.518</v>
      </c>
      <c r="F30" s="81">
        <v>210.56100000000001</v>
      </c>
      <c r="G30" s="78">
        <v>156.81800000000001</v>
      </c>
      <c r="H30" s="78">
        <v>347.89600000000002</v>
      </c>
      <c r="I30" s="78">
        <v>316.72399999999999</v>
      </c>
      <c r="J30" s="78">
        <v>154.518</v>
      </c>
      <c r="K30" s="78">
        <v>154.518</v>
      </c>
      <c r="L30" s="79">
        <v>161.084</v>
      </c>
      <c r="M30" s="79">
        <v>192.93999999999997</v>
      </c>
      <c r="N30" s="79">
        <v>259.51800000000003</v>
      </c>
      <c r="O30" s="78">
        <v>334.81599999999997</v>
      </c>
      <c r="R30" s="86">
        <f>VLOOKUP($A30,'Matriz Distâncias NTS'!$D$2:$O$42,3,0)-F30</f>
        <v>33.909999999999997</v>
      </c>
      <c r="S30" s="86">
        <f>VLOOKUP($A30,'Matriz Distâncias NTS'!$D$2:$O$42,4,0)-O30</f>
        <v>-180.29799999999997</v>
      </c>
      <c r="T30" s="86">
        <f>VLOOKUP($A30,'Matriz Distâncias NTS'!$D$2:$O$42,5,0)-H30</f>
        <v>-143.95600000000005</v>
      </c>
      <c r="U30" s="86">
        <f>VLOOKUP($A30,'Matriz Distâncias NTS'!$D$2:$O$42,6,0)-O30</f>
        <v>-124.255</v>
      </c>
      <c r="V30" s="86">
        <f>VLOOKUP($A30,'Matriz Distâncias NTS'!$D$2:$O$42,7,0)-E30</f>
        <v>193.37800000000001</v>
      </c>
      <c r="W30" s="86">
        <f>VLOOKUP($A30,'Matriz Distâncias NTS'!$D$2:$O$42,8,0)-G30</f>
        <v>0</v>
      </c>
      <c r="X30" s="86">
        <f>VLOOKUP($A30,'Matriz Distâncias NTS'!$D$2:$O$42,9,0)-C30</f>
        <v>103.42500000000001</v>
      </c>
      <c r="Y30" s="86">
        <f>VLOOKUP($A30,'Matriz Distâncias NTS'!$D$2:$O$42,10,0)-I30</f>
        <v>0</v>
      </c>
      <c r="Z30" s="86">
        <f>VLOOKUP($A30,'Matriz Distâncias NTS'!$D$2:$O$42,11,0)-M30</f>
        <v>141.876</v>
      </c>
      <c r="AA30" s="86">
        <f>VLOOKUP($A30,'Matriz Distâncias NTS'!$D$2:$O$42,12,0)-L30</f>
        <v>173.73199999999997</v>
      </c>
      <c r="AB30" s="86" t="e">
        <f>VLOOKUP($A30,'Matriz Distâncias NTS'!$D$2:$O$42,13,0)-N30</f>
        <v>#REF!</v>
      </c>
    </row>
    <row r="31" spans="1:28" x14ac:dyDescent="0.3">
      <c r="A31" s="1" t="s">
        <v>95</v>
      </c>
      <c r="B31" s="78">
        <v>508.21699999999998</v>
      </c>
      <c r="C31" s="78">
        <v>66.924999999999997</v>
      </c>
      <c r="D31" s="78">
        <v>230.60300000000001</v>
      </c>
      <c r="E31" s="78">
        <v>328.99900000000002</v>
      </c>
      <c r="F31" s="78">
        <v>36.08</v>
      </c>
      <c r="G31" s="78">
        <v>331.29900000000004</v>
      </c>
      <c r="H31" s="78">
        <v>230.60300000000001</v>
      </c>
      <c r="I31" s="78">
        <v>142.24299999999999</v>
      </c>
      <c r="J31" s="78">
        <v>328.99900000000002</v>
      </c>
      <c r="K31" s="78">
        <v>328.99900000000002</v>
      </c>
      <c r="L31" s="79">
        <v>335.56500000000005</v>
      </c>
      <c r="M31" s="79">
        <v>366.34100000000001</v>
      </c>
      <c r="N31" s="79">
        <v>433.99900000000002</v>
      </c>
      <c r="O31" s="78">
        <v>508.21699999999998</v>
      </c>
      <c r="R31" s="86">
        <f>VLOOKUP($A31,'Matriz Distâncias NTS'!$D$2:$O$42,3,0)-F31</f>
        <v>30.844999999999999</v>
      </c>
      <c r="S31" s="86">
        <f>VLOOKUP($A31,'Matriz Distâncias NTS'!$D$2:$O$42,4,0)-O31</f>
        <v>-179.21799999999996</v>
      </c>
      <c r="T31" s="86">
        <f>VLOOKUP($A31,'Matriz Distâncias NTS'!$D$2:$O$42,5,0)-H31</f>
        <v>146.738</v>
      </c>
      <c r="U31" s="86">
        <f>VLOOKUP($A31,'Matriz Distâncias NTS'!$D$2:$O$42,6,0)-O31</f>
        <v>-472.137</v>
      </c>
      <c r="V31" s="86">
        <f>VLOOKUP($A31,'Matriz Distâncias NTS'!$D$2:$O$42,7,0)-E31</f>
        <v>-98.396000000000015</v>
      </c>
      <c r="W31" s="86">
        <f>VLOOKUP($A31,'Matriz Distâncias NTS'!$D$2:$O$42,8,0)-G31</f>
        <v>0</v>
      </c>
      <c r="X31" s="86">
        <f>VLOOKUP($A31,'Matriz Distâncias NTS'!$D$2:$O$42,9,0)-C31</f>
        <v>163.678</v>
      </c>
      <c r="Y31" s="86">
        <f>VLOOKUP($A31,'Matriz Distâncias NTS'!$D$2:$O$42,10,0)-I31</f>
        <v>0</v>
      </c>
      <c r="Z31" s="86">
        <f>VLOOKUP($A31,'Matriz Distâncias NTS'!$D$2:$O$42,11,0)-M31</f>
        <v>141.87599999999998</v>
      </c>
      <c r="AA31" s="86">
        <f>VLOOKUP($A31,'Matriz Distâncias NTS'!$D$2:$O$42,12,0)-L31</f>
        <v>172.65199999999993</v>
      </c>
      <c r="AB31" s="86" t="e">
        <f>VLOOKUP($A31,'Matriz Distâncias NTS'!$D$2:$O$42,13,0)-N31</f>
        <v>#REF!</v>
      </c>
    </row>
    <row r="32" spans="1:28" x14ac:dyDescent="0.3">
      <c r="A32" s="1" t="s">
        <v>85</v>
      </c>
      <c r="B32" s="78">
        <v>253.459</v>
      </c>
      <c r="C32" s="78">
        <v>390.27800000000002</v>
      </c>
      <c r="D32" s="78">
        <v>493.43299999999999</v>
      </c>
      <c r="E32" s="78">
        <v>70.861000000000004</v>
      </c>
      <c r="F32" s="78">
        <v>356.09800000000001</v>
      </c>
      <c r="G32" s="78">
        <v>68.161000000000001</v>
      </c>
      <c r="H32" s="78">
        <v>493.43299999999999</v>
      </c>
      <c r="I32" s="78">
        <v>462.26100000000002</v>
      </c>
      <c r="J32" s="78">
        <v>70.861000000000004</v>
      </c>
      <c r="K32" s="78">
        <v>70.861000000000004</v>
      </c>
      <c r="L32" s="79">
        <v>72.426999999999992</v>
      </c>
      <c r="M32" s="79">
        <v>111.583</v>
      </c>
      <c r="N32" s="79">
        <v>175.86099999999999</v>
      </c>
      <c r="O32" s="78">
        <v>253.459</v>
      </c>
      <c r="R32" s="86">
        <f>VLOOKUP($A32,'Matriz Distâncias NTS'!$D$2:$O$42,3,0)-F32</f>
        <v>34.180000000000007</v>
      </c>
      <c r="S32" s="86">
        <f>VLOOKUP($A32,'Matriz Distâncias NTS'!$D$2:$O$42,4,0)-O32</f>
        <v>-182.59800000000001</v>
      </c>
      <c r="T32" s="86">
        <f>VLOOKUP($A32,'Matriz Distâncias NTS'!$D$2:$O$42,5,0)-H32</f>
        <v>-370.85</v>
      </c>
      <c r="U32" s="86">
        <f>VLOOKUP($A32,'Matriz Distâncias NTS'!$D$2:$O$42,6,0)-O32</f>
        <v>102.63900000000001</v>
      </c>
      <c r="V32" s="86">
        <f>VLOOKUP($A32,'Matriz Distâncias NTS'!$D$2:$O$42,7,0)-E32</f>
        <v>422.572</v>
      </c>
      <c r="W32" s="86">
        <f>VLOOKUP($A32,'Matriz Distâncias NTS'!$D$2:$O$42,8,0)-G32</f>
        <v>0</v>
      </c>
      <c r="X32" s="86">
        <f>VLOOKUP($A32,'Matriz Distâncias NTS'!$D$2:$O$42,9,0)-C32</f>
        <v>103.15499999999997</v>
      </c>
      <c r="Y32" s="86">
        <f>VLOOKUP($A32,'Matriz Distâncias NTS'!$D$2:$O$42,10,0)-I32</f>
        <v>0</v>
      </c>
      <c r="Z32" s="86">
        <f>VLOOKUP($A32,'Matriz Distâncias NTS'!$D$2:$O$42,11,0)-M32</f>
        <v>141.876</v>
      </c>
      <c r="AA32" s="86">
        <f>VLOOKUP($A32,'Matriz Distâncias NTS'!$D$2:$O$42,12,0)-L32</f>
        <v>181.03200000000001</v>
      </c>
      <c r="AB32" s="86" t="e">
        <f>VLOOKUP($A32,'Matriz Distâncias NTS'!$D$2:$O$42,13,0)-N32</f>
        <v>#REF!</v>
      </c>
    </row>
    <row r="33" spans="1:28" x14ac:dyDescent="0.3">
      <c r="A33" s="80" t="s">
        <v>104</v>
      </c>
      <c r="B33" s="78">
        <v>651.54</v>
      </c>
      <c r="C33" s="78">
        <v>212.41</v>
      </c>
      <c r="D33" s="78">
        <v>372.846</v>
      </c>
      <c r="E33" s="78">
        <v>471.24200000000002</v>
      </c>
      <c r="F33" s="78">
        <v>106.163</v>
      </c>
      <c r="G33" s="78">
        <v>473.54200000000003</v>
      </c>
      <c r="H33" s="78">
        <v>372.846</v>
      </c>
      <c r="I33" s="78">
        <v>0</v>
      </c>
      <c r="J33" s="78">
        <v>471.24200000000002</v>
      </c>
      <c r="K33" s="78">
        <v>471.24200000000002</v>
      </c>
      <c r="L33" s="79">
        <v>477.80800000000005</v>
      </c>
      <c r="M33" s="79">
        <v>509.66399999999999</v>
      </c>
      <c r="N33" s="79">
        <v>576.24199999999996</v>
      </c>
      <c r="O33" s="78">
        <v>651.54</v>
      </c>
      <c r="R33" s="86" t="e">
        <f>VLOOKUP($A33,'Matriz Distâncias NTS'!$D$2:$O$42,3,0)-F33</f>
        <v>#N/A</v>
      </c>
      <c r="S33" s="86" t="e">
        <f>VLOOKUP($A33,'Matriz Distâncias NTS'!$D$2:$O$42,4,0)-O33</f>
        <v>#N/A</v>
      </c>
      <c r="T33" s="86" t="e">
        <f>VLOOKUP($A33,'Matriz Distâncias NTS'!$D$2:$O$42,5,0)-H33</f>
        <v>#N/A</v>
      </c>
      <c r="U33" s="86" t="e">
        <f>VLOOKUP($A33,'Matriz Distâncias NTS'!$D$2:$O$42,6,0)-O33</f>
        <v>#N/A</v>
      </c>
      <c r="V33" s="86" t="e">
        <f>VLOOKUP($A33,'Matriz Distâncias NTS'!$D$2:$O$42,7,0)-E33</f>
        <v>#N/A</v>
      </c>
      <c r="W33" s="86" t="e">
        <f>VLOOKUP($A33,'Matriz Distâncias NTS'!$D$2:$O$42,8,0)-G33</f>
        <v>#N/A</v>
      </c>
      <c r="X33" s="86" t="e">
        <f>VLOOKUP($A33,'Matriz Distâncias NTS'!$D$2:$O$42,9,0)-C33</f>
        <v>#N/A</v>
      </c>
      <c r="Y33" s="86" t="e">
        <f>VLOOKUP($A33,'Matriz Distâncias NTS'!$D$2:$O$42,10,0)-I33</f>
        <v>#N/A</v>
      </c>
      <c r="Z33" s="86" t="e">
        <f>VLOOKUP($A33,'Matriz Distâncias NTS'!$D$2:$O$42,11,0)-M33</f>
        <v>#N/A</v>
      </c>
      <c r="AA33" s="86" t="e">
        <f>VLOOKUP($A33,'Matriz Distâncias NTS'!$D$2:$O$42,12,0)-L33</f>
        <v>#N/A</v>
      </c>
      <c r="AB33" s="86" t="e">
        <f>VLOOKUP($A33,'Matriz Distâncias NTS'!$D$2:$O$42,13,0)-N33</f>
        <v>#N/A</v>
      </c>
    </row>
    <row r="34" spans="1:28" x14ac:dyDescent="0.3">
      <c r="A34" s="76" t="s">
        <v>62</v>
      </c>
      <c r="B34" s="78">
        <v>566.08000000000004</v>
      </c>
      <c r="C34" s="78">
        <v>580.947</v>
      </c>
      <c r="D34" s="78">
        <v>684.10199999999998</v>
      </c>
      <c r="E34" s="78">
        <v>385.78199999999998</v>
      </c>
      <c r="F34" s="78">
        <v>546.76700000000005</v>
      </c>
      <c r="G34" s="78">
        <v>267.77999999999997</v>
      </c>
      <c r="H34" s="78">
        <v>684.10199999999998</v>
      </c>
      <c r="I34" s="78">
        <v>652.92999999999995</v>
      </c>
      <c r="J34" s="78">
        <v>385.78199999999998</v>
      </c>
      <c r="K34" s="78">
        <v>385.78199999999998</v>
      </c>
      <c r="L34" s="79">
        <v>272.04599999999999</v>
      </c>
      <c r="M34" s="79">
        <v>424.20400000000006</v>
      </c>
      <c r="N34" s="79">
        <v>490.78199999999998</v>
      </c>
      <c r="O34" s="78">
        <v>566.08000000000004</v>
      </c>
      <c r="R34" s="86">
        <f>VLOOKUP($A34,'Matriz Distâncias NTS'!$D$2:$O$42,3,0)-F34</f>
        <v>34.17999999999995</v>
      </c>
      <c r="S34" s="86">
        <f>VLOOKUP($A34,'Matriz Distâncias NTS'!$D$2:$O$42,4,0)-O34</f>
        <v>-180.29800000000006</v>
      </c>
      <c r="T34" s="86">
        <f>VLOOKUP($A34,'Matriz Distâncias NTS'!$D$2:$O$42,5,0)-H34</f>
        <v>-248.89799999999991</v>
      </c>
      <c r="U34" s="86">
        <f>VLOOKUP($A34,'Matriz Distâncias NTS'!$D$2:$O$42,6,0)-O34</f>
        <v>-19.312999999999988</v>
      </c>
      <c r="V34" s="86">
        <f>VLOOKUP($A34,'Matriz Distâncias NTS'!$D$2:$O$42,7,0)-E34</f>
        <v>298.32</v>
      </c>
      <c r="W34" s="86">
        <f>VLOOKUP($A34,'Matriz Distâncias NTS'!$D$2:$O$42,8,0)-G34</f>
        <v>0</v>
      </c>
      <c r="X34" s="86">
        <f>VLOOKUP($A34,'Matriz Distâncias NTS'!$D$2:$O$42,9,0)-C34</f>
        <v>103.15499999999997</v>
      </c>
      <c r="Y34" s="86">
        <f>VLOOKUP($A34,'Matriz Distâncias NTS'!$D$2:$O$42,10,0)-I34</f>
        <v>0</v>
      </c>
      <c r="Z34" s="86">
        <f>VLOOKUP($A34,'Matriz Distâncias NTS'!$D$2:$O$42,11,0)-M34</f>
        <v>141.87599999999998</v>
      </c>
      <c r="AA34" s="86">
        <f>VLOOKUP($A34,'Matriz Distâncias NTS'!$D$2:$O$42,12,0)-L34</f>
        <v>294.03400000000005</v>
      </c>
      <c r="AB34" s="86" t="e">
        <f>VLOOKUP($A34,'Matriz Distâncias NTS'!$D$2:$O$42,13,0)-N34</f>
        <v>#REF!</v>
      </c>
    </row>
    <row r="35" spans="1:28" x14ac:dyDescent="0.3">
      <c r="A35" s="1" t="s">
        <v>100</v>
      </c>
      <c r="B35" s="78">
        <v>633.53700000000003</v>
      </c>
      <c r="C35" s="78">
        <v>194.40700000000001</v>
      </c>
      <c r="D35" s="78">
        <v>354.84300000000002</v>
      </c>
      <c r="E35" s="78">
        <v>453.23899999999998</v>
      </c>
      <c r="F35" s="78">
        <v>88.16</v>
      </c>
      <c r="G35" s="78">
        <v>455.53899999999999</v>
      </c>
      <c r="H35" s="78">
        <v>354.84300000000002</v>
      </c>
      <c r="I35" s="78">
        <v>18.003</v>
      </c>
      <c r="J35" s="78">
        <v>453.23899999999998</v>
      </c>
      <c r="K35" s="78">
        <v>453.23899999999998</v>
      </c>
      <c r="L35" s="79">
        <v>459.80500000000001</v>
      </c>
      <c r="M35" s="79">
        <v>491.66100000000006</v>
      </c>
      <c r="N35" s="79">
        <v>558.23900000000003</v>
      </c>
      <c r="O35" s="78">
        <v>633.53700000000003</v>
      </c>
      <c r="R35" s="86">
        <f>VLOOKUP($A35,'Matriz Distâncias NTS'!$D$2:$O$42,3,0)-F35</f>
        <v>106.24700000000001</v>
      </c>
      <c r="S35" s="86">
        <f>VLOOKUP($A35,'Matriz Distâncias NTS'!$D$2:$O$42,4,0)-O35</f>
        <v>-180.29800000000006</v>
      </c>
      <c r="T35" s="86">
        <f>VLOOKUP($A35,'Matriz Distâncias NTS'!$D$2:$O$42,5,0)-H35</f>
        <v>147.81800000000004</v>
      </c>
      <c r="U35" s="86">
        <f>VLOOKUP($A35,'Matriz Distâncias NTS'!$D$2:$O$42,6,0)-O35</f>
        <v>-545.37700000000007</v>
      </c>
      <c r="V35" s="86">
        <f>VLOOKUP($A35,'Matriz Distâncias NTS'!$D$2:$O$42,7,0)-E35</f>
        <v>-98.395999999999958</v>
      </c>
      <c r="W35" s="86">
        <f>VLOOKUP($A35,'Matriz Distâncias NTS'!$D$2:$O$42,8,0)-G35</f>
        <v>0</v>
      </c>
      <c r="X35" s="86">
        <f>VLOOKUP($A35,'Matriz Distâncias NTS'!$D$2:$O$42,9,0)-C35</f>
        <v>160.43600000000001</v>
      </c>
      <c r="Y35" s="86">
        <f>VLOOKUP($A35,'Matriz Distâncias NTS'!$D$2:$O$42,10,0)-I35</f>
        <v>0</v>
      </c>
      <c r="Z35" s="86">
        <f>VLOOKUP($A35,'Matriz Distâncias NTS'!$D$2:$O$42,11,0)-M35</f>
        <v>141.87599999999998</v>
      </c>
      <c r="AA35" s="86">
        <f>VLOOKUP($A35,'Matriz Distâncias NTS'!$D$2:$O$42,12,0)-L35</f>
        <v>173.73200000000003</v>
      </c>
      <c r="AB35" s="86" t="e">
        <f>VLOOKUP($A35,'Matriz Distâncias NTS'!$D$2:$O$42,13,0)-N35</f>
        <v>#REF!</v>
      </c>
    </row>
    <row r="36" spans="1:28" x14ac:dyDescent="0.3">
      <c r="A36" s="80" t="s">
        <v>101</v>
      </c>
      <c r="B36" s="78">
        <v>645.50099999999998</v>
      </c>
      <c r="C36" s="78">
        <v>206.37100000000001</v>
      </c>
      <c r="D36" s="78">
        <v>366.80700000000002</v>
      </c>
      <c r="E36" s="78">
        <v>465.20299999999997</v>
      </c>
      <c r="F36" s="78">
        <v>100.124</v>
      </c>
      <c r="G36" s="78">
        <v>467.50299999999999</v>
      </c>
      <c r="H36" s="78">
        <v>366.80700000000002</v>
      </c>
      <c r="I36" s="78">
        <v>20.484999999999999</v>
      </c>
      <c r="J36" s="78">
        <v>465.20299999999997</v>
      </c>
      <c r="K36" s="78">
        <v>465.20299999999997</v>
      </c>
      <c r="L36" s="79">
        <v>471.76900000000001</v>
      </c>
      <c r="M36" s="79">
        <v>503.625</v>
      </c>
      <c r="N36" s="79">
        <v>570.20299999999997</v>
      </c>
      <c r="O36" s="78">
        <v>645.50099999999998</v>
      </c>
      <c r="R36" s="86">
        <f>VLOOKUP($A36,'Matriz Distâncias NTS'!$D$2:$O$42,3,0)-F36</f>
        <v>106.24700000000001</v>
      </c>
      <c r="S36" s="86">
        <f>VLOOKUP($A36,'Matriz Distâncias NTS'!$D$2:$O$42,4,0)-O36</f>
        <v>-180.298</v>
      </c>
      <c r="T36" s="86">
        <f>VLOOKUP($A36,'Matriz Distâncias NTS'!$D$2:$O$42,5,0)-H36</f>
        <v>147.81799999999998</v>
      </c>
      <c r="U36" s="86">
        <f>VLOOKUP($A36,'Matriz Distâncias NTS'!$D$2:$O$42,6,0)-O36</f>
        <v>-545.37699999999995</v>
      </c>
      <c r="V36" s="86">
        <f>VLOOKUP($A36,'Matriz Distâncias NTS'!$D$2:$O$42,7,0)-E36</f>
        <v>-98.395999999999958</v>
      </c>
      <c r="W36" s="86">
        <f>VLOOKUP($A36,'Matriz Distâncias NTS'!$D$2:$O$42,8,0)-G36</f>
        <v>0</v>
      </c>
      <c r="X36" s="86">
        <f>VLOOKUP($A36,'Matriz Distâncias NTS'!$D$2:$O$42,9,0)-C36</f>
        <v>160.43600000000001</v>
      </c>
      <c r="Y36" s="86">
        <f>VLOOKUP($A36,'Matriz Distâncias NTS'!$D$2:$O$42,10,0)-I36</f>
        <v>0</v>
      </c>
      <c r="Z36" s="86">
        <f>VLOOKUP($A36,'Matriz Distâncias NTS'!$D$2:$O$42,11,0)-M36</f>
        <v>141.87599999999998</v>
      </c>
      <c r="AA36" s="86">
        <f>VLOOKUP($A36,'Matriz Distâncias NTS'!$D$2:$O$42,12,0)-L36</f>
        <v>173.73199999999997</v>
      </c>
      <c r="AB36" s="86" t="e">
        <f>VLOOKUP($A36,'Matriz Distâncias NTS'!$D$2:$O$42,13,0)-N36</f>
        <v>#REF!</v>
      </c>
    </row>
    <row r="37" spans="1:28" x14ac:dyDescent="0.3">
      <c r="A37" s="1" t="s">
        <v>96</v>
      </c>
      <c r="B37" s="78">
        <v>508.21699999999998</v>
      </c>
      <c r="C37" s="78">
        <v>66.924999999999997</v>
      </c>
      <c r="D37" s="78">
        <v>230.60300000000001</v>
      </c>
      <c r="E37" s="78">
        <v>328.99900000000002</v>
      </c>
      <c r="F37" s="78">
        <v>36.08</v>
      </c>
      <c r="G37" s="78">
        <v>331.29900000000004</v>
      </c>
      <c r="H37" s="78">
        <v>230.60300000000001</v>
      </c>
      <c r="I37" s="78">
        <v>142.24299999999999</v>
      </c>
      <c r="J37" s="78">
        <v>328.99900000000002</v>
      </c>
      <c r="K37" s="78">
        <v>328.99900000000002</v>
      </c>
      <c r="L37" s="79">
        <v>335.56500000000005</v>
      </c>
      <c r="M37" s="79">
        <v>366.34100000000001</v>
      </c>
      <c r="N37" s="79">
        <v>433.99900000000002</v>
      </c>
      <c r="O37" s="78">
        <v>508.21699999999998</v>
      </c>
      <c r="R37" s="86">
        <f>VLOOKUP($A37,'Matriz Distâncias NTS'!$D$2:$O$42,3,0)-F37</f>
        <v>30.844999999999999</v>
      </c>
      <c r="S37" s="86">
        <f>VLOOKUP($A37,'Matriz Distâncias NTS'!$D$2:$O$42,4,0)-O37</f>
        <v>-179.21799999999996</v>
      </c>
      <c r="T37" s="86">
        <f>VLOOKUP($A37,'Matriz Distâncias NTS'!$D$2:$O$42,5,0)-H37</f>
        <v>146.738</v>
      </c>
      <c r="U37" s="86">
        <f>VLOOKUP($A37,'Matriz Distâncias NTS'!$D$2:$O$42,6,0)-O37</f>
        <v>-472.137</v>
      </c>
      <c r="V37" s="86">
        <f>VLOOKUP($A37,'Matriz Distâncias NTS'!$D$2:$O$42,7,0)-E37</f>
        <v>-98.396000000000015</v>
      </c>
      <c r="W37" s="86">
        <f>VLOOKUP($A37,'Matriz Distâncias NTS'!$D$2:$O$42,8,0)-G37</f>
        <v>0</v>
      </c>
      <c r="X37" s="86">
        <f>VLOOKUP($A37,'Matriz Distâncias NTS'!$D$2:$O$42,9,0)-C37</f>
        <v>163.678</v>
      </c>
      <c r="Y37" s="86">
        <f>VLOOKUP($A37,'Matriz Distâncias NTS'!$D$2:$O$42,10,0)-I37</f>
        <v>0</v>
      </c>
      <c r="Z37" s="86">
        <f>VLOOKUP($A37,'Matriz Distâncias NTS'!$D$2:$O$42,11,0)-M37</f>
        <v>141.87599999999998</v>
      </c>
      <c r="AA37" s="86">
        <f>VLOOKUP($A37,'Matriz Distâncias NTS'!$D$2:$O$42,12,0)-L37</f>
        <v>172.65199999999993</v>
      </c>
      <c r="AB37" s="86" t="e">
        <f>VLOOKUP($A37,'Matriz Distâncias NTS'!$D$2:$O$42,13,0)-N37</f>
        <v>#REF!</v>
      </c>
    </row>
    <row r="38" spans="1:28" x14ac:dyDescent="0.3">
      <c r="A38" s="80" t="s">
        <v>97</v>
      </c>
      <c r="B38" s="78">
        <v>579.226</v>
      </c>
      <c r="C38" s="78">
        <v>141.17599999999999</v>
      </c>
      <c r="D38" s="78">
        <v>301.61200000000002</v>
      </c>
      <c r="E38" s="78">
        <v>400.00799999999998</v>
      </c>
      <c r="F38" s="78">
        <v>34.929000000000002</v>
      </c>
      <c r="G38" s="78">
        <v>402.30799999999999</v>
      </c>
      <c r="H38" s="78">
        <v>301.61200000000002</v>
      </c>
      <c r="I38" s="78">
        <v>70.236000000000004</v>
      </c>
      <c r="J38" s="78">
        <v>400.00799999999998</v>
      </c>
      <c r="K38" s="78">
        <v>400.00799999999998</v>
      </c>
      <c r="L38" s="79">
        <v>406.57400000000001</v>
      </c>
      <c r="M38" s="79">
        <v>437.35</v>
      </c>
      <c r="N38" s="79">
        <v>505.00799999999998</v>
      </c>
      <c r="O38" s="78">
        <v>579.226</v>
      </c>
      <c r="R38" s="86">
        <f>VLOOKUP($A38,'Matriz Distâncias NTS'!$D$2:$O$42,3,0)-F38</f>
        <v>106.24699999999999</v>
      </c>
      <c r="S38" s="86">
        <f>VLOOKUP($A38,'Matriz Distâncias NTS'!$D$2:$O$42,4,0)-O38</f>
        <v>-179.21800000000002</v>
      </c>
      <c r="T38" s="86">
        <f>VLOOKUP($A38,'Matriz Distâncias NTS'!$D$2:$O$42,5,0)-H38</f>
        <v>146.738</v>
      </c>
      <c r="U38" s="86">
        <f>VLOOKUP($A38,'Matriz Distâncias NTS'!$D$2:$O$42,6,0)-O38</f>
        <v>-544.29700000000003</v>
      </c>
      <c r="V38" s="86">
        <f>VLOOKUP($A38,'Matriz Distâncias NTS'!$D$2:$O$42,7,0)-E38</f>
        <v>-98.395999999999958</v>
      </c>
      <c r="W38" s="86">
        <f>VLOOKUP($A38,'Matriz Distâncias NTS'!$D$2:$O$42,8,0)-G38</f>
        <v>0</v>
      </c>
      <c r="X38" s="86">
        <f>VLOOKUP($A38,'Matriz Distâncias NTS'!$D$2:$O$42,9,0)-C38</f>
        <v>160.43600000000004</v>
      </c>
      <c r="Y38" s="86">
        <f>VLOOKUP($A38,'Matriz Distâncias NTS'!$D$2:$O$42,10,0)-I38</f>
        <v>0</v>
      </c>
      <c r="Z38" s="86">
        <f>VLOOKUP($A38,'Matriz Distâncias NTS'!$D$2:$O$42,11,0)-M38</f>
        <v>141.87599999999998</v>
      </c>
      <c r="AA38" s="86">
        <f>VLOOKUP($A38,'Matriz Distâncias NTS'!$D$2:$O$42,12,0)-L38</f>
        <v>172.65199999999999</v>
      </c>
      <c r="AB38" s="86" t="e">
        <f>VLOOKUP($A38,'Matriz Distâncias NTS'!$D$2:$O$42,13,0)-N38</f>
        <v>#REF!</v>
      </c>
    </row>
    <row r="39" spans="1:28" x14ac:dyDescent="0.3">
      <c r="A39" s="1" t="s">
        <v>94</v>
      </c>
      <c r="B39" s="78">
        <v>479.62299999999999</v>
      </c>
      <c r="C39" s="78">
        <v>98.853999999999999</v>
      </c>
      <c r="D39" s="78">
        <v>202.00899999999999</v>
      </c>
      <c r="E39" s="78">
        <v>300.40499999999997</v>
      </c>
      <c r="F39" s="78">
        <v>64.674000000000007</v>
      </c>
      <c r="G39" s="78">
        <v>302.70499999999998</v>
      </c>
      <c r="H39" s="78">
        <v>202.00899999999999</v>
      </c>
      <c r="I39" s="78">
        <v>170.83699999999999</v>
      </c>
      <c r="J39" s="78">
        <v>300.40499999999997</v>
      </c>
      <c r="K39" s="78">
        <v>300.40499999999997</v>
      </c>
      <c r="L39" s="79">
        <v>306.971</v>
      </c>
      <c r="M39" s="79">
        <v>337.74699999999996</v>
      </c>
      <c r="N39" s="79">
        <v>405.40499999999997</v>
      </c>
      <c r="O39" s="78">
        <v>479.62299999999999</v>
      </c>
      <c r="R39" s="86">
        <f>VLOOKUP($A39,'Matriz Distâncias NTS'!$D$2:$O$42,3,0)-F39</f>
        <v>34.179999999999993</v>
      </c>
      <c r="S39" s="86">
        <f>VLOOKUP($A39,'Matriz Distâncias NTS'!$D$2:$O$42,4,0)-O39</f>
        <v>-179.21800000000002</v>
      </c>
      <c r="T39" s="86">
        <f>VLOOKUP($A39,'Matriz Distâncias NTS'!$D$2:$O$42,5,0)-H39</f>
        <v>146.73799999999997</v>
      </c>
      <c r="U39" s="86">
        <f>VLOOKUP($A39,'Matriz Distâncias NTS'!$D$2:$O$42,6,0)-O39</f>
        <v>-414.94899999999996</v>
      </c>
      <c r="V39" s="86">
        <f>VLOOKUP($A39,'Matriz Distâncias NTS'!$D$2:$O$42,7,0)-E39</f>
        <v>-98.395999999999987</v>
      </c>
      <c r="W39" s="86">
        <f>VLOOKUP($A39,'Matriz Distâncias NTS'!$D$2:$O$42,8,0)-G39</f>
        <v>0</v>
      </c>
      <c r="X39" s="86">
        <f>VLOOKUP($A39,'Matriz Distâncias NTS'!$D$2:$O$42,9,0)-C39</f>
        <v>103.15499999999999</v>
      </c>
      <c r="Y39" s="86">
        <f>VLOOKUP($A39,'Matriz Distâncias NTS'!$D$2:$O$42,10,0)-I39</f>
        <v>0</v>
      </c>
      <c r="Z39" s="86">
        <f>VLOOKUP($A39,'Matriz Distâncias NTS'!$D$2:$O$42,11,0)-M39</f>
        <v>141.87600000000003</v>
      </c>
      <c r="AA39" s="86">
        <f>VLOOKUP($A39,'Matriz Distâncias NTS'!$D$2:$O$42,12,0)-L39</f>
        <v>172.65199999999999</v>
      </c>
      <c r="AB39" s="86" t="e">
        <f>VLOOKUP($A39,'Matriz Distâncias NTS'!$D$2:$O$42,13,0)-N39</f>
        <v>#REF!</v>
      </c>
    </row>
    <row r="40" spans="1:28" x14ac:dyDescent="0.3">
      <c r="A40" s="1" t="s">
        <v>71</v>
      </c>
      <c r="B40" s="78">
        <v>182.59800000000001</v>
      </c>
      <c r="C40" s="78">
        <v>401.55900000000003</v>
      </c>
      <c r="D40" s="78">
        <v>504.714</v>
      </c>
      <c r="E40" s="78">
        <v>2.2999999999999998</v>
      </c>
      <c r="F40" s="78">
        <v>359.33499999999998</v>
      </c>
      <c r="G40" s="78">
        <v>0</v>
      </c>
      <c r="H40" s="78">
        <v>504.714</v>
      </c>
      <c r="I40" s="78">
        <v>465.49799999999999</v>
      </c>
      <c r="J40" s="78">
        <v>2.2999999999999998</v>
      </c>
      <c r="K40" s="78">
        <v>2.2999999999999998</v>
      </c>
      <c r="L40" s="79">
        <v>93.698000000000022</v>
      </c>
      <c r="M40" s="79">
        <v>40.722000000000008</v>
      </c>
      <c r="N40" s="79">
        <v>107.3</v>
      </c>
      <c r="O40" s="78">
        <v>182.59800000000001</v>
      </c>
      <c r="R40" s="86">
        <f>VLOOKUP($A40,'Matriz Distâncias NTS'!$D$2:$O$42,3,0)-F40</f>
        <v>42.224000000000046</v>
      </c>
      <c r="S40" s="86">
        <f>VLOOKUP($A40,'Matriz Distâncias NTS'!$D$2:$O$42,4,0)-O40</f>
        <v>-180.298</v>
      </c>
      <c r="T40" s="86">
        <f>VLOOKUP($A40,'Matriz Distâncias NTS'!$D$2:$O$42,5,0)-H40</f>
        <v>-452.99199999999996</v>
      </c>
      <c r="U40" s="86">
        <f>VLOOKUP($A40,'Matriz Distâncias NTS'!$D$2:$O$42,6,0)-O40</f>
        <v>176.73699999999997</v>
      </c>
      <c r="V40" s="86">
        <f>VLOOKUP($A40,'Matriz Distâncias NTS'!$D$2:$O$42,7,0)-E40</f>
        <v>502.41399999999999</v>
      </c>
      <c r="W40" s="86">
        <f>VLOOKUP($A40,'Matriz Distâncias NTS'!$D$2:$O$42,8,0)-G40</f>
        <v>0</v>
      </c>
      <c r="X40" s="86">
        <f>VLOOKUP($A40,'Matriz Distâncias NTS'!$D$2:$O$42,9,0)-C40</f>
        <v>103.15499999999997</v>
      </c>
      <c r="Y40" s="86">
        <f>VLOOKUP($A40,'Matriz Distâncias NTS'!$D$2:$O$42,10,0)-I40</f>
        <v>0</v>
      </c>
      <c r="Z40" s="86">
        <f>VLOOKUP($A40,'Matriz Distâncias NTS'!$D$2:$O$42,11,0)-M40</f>
        <v>141.876</v>
      </c>
      <c r="AA40" s="86">
        <f>VLOOKUP($A40,'Matriz Distâncias NTS'!$D$2:$O$42,12,0)-L40</f>
        <v>88.899999999999991</v>
      </c>
      <c r="AB40" s="86" t="e">
        <f>VLOOKUP($A40,'Matriz Distâncias NTS'!$D$2:$O$42,13,0)-N40</f>
        <v>#REF!</v>
      </c>
    </row>
    <row r="41" spans="1:28" x14ac:dyDescent="0.3">
      <c r="A41" s="1" t="s">
        <v>72</v>
      </c>
      <c r="B41" s="78">
        <v>182.59800000000001</v>
      </c>
      <c r="C41" s="78">
        <v>401.55900000000003</v>
      </c>
      <c r="D41" s="78">
        <v>504.714</v>
      </c>
      <c r="E41" s="78">
        <v>2.2999999999999998</v>
      </c>
      <c r="F41" s="78">
        <v>359.33499999999998</v>
      </c>
      <c r="G41" s="78">
        <v>0</v>
      </c>
      <c r="H41" s="78">
        <v>504.714</v>
      </c>
      <c r="I41" s="78">
        <v>465.49799999999999</v>
      </c>
      <c r="J41" s="78">
        <v>2.2999999999999998</v>
      </c>
      <c r="K41" s="78">
        <v>2.2999999999999998</v>
      </c>
      <c r="L41" s="79">
        <v>93.698000000000022</v>
      </c>
      <c r="M41" s="79">
        <v>40.722000000000008</v>
      </c>
      <c r="N41" s="79">
        <v>107.3</v>
      </c>
      <c r="O41" s="78">
        <v>182.59800000000001</v>
      </c>
      <c r="R41" s="86">
        <f>VLOOKUP($A41,'Matriz Distâncias NTS'!$D$2:$O$42,3,0)-F41</f>
        <v>42.224000000000046</v>
      </c>
      <c r="S41" s="86">
        <f>VLOOKUP($A41,'Matriz Distâncias NTS'!$D$2:$O$42,4,0)-O41</f>
        <v>-180.298</v>
      </c>
      <c r="T41" s="86">
        <f>VLOOKUP($A41,'Matriz Distâncias NTS'!$D$2:$O$42,5,0)-H41</f>
        <v>-452.99199999999996</v>
      </c>
      <c r="U41" s="86">
        <f>VLOOKUP($A41,'Matriz Distâncias NTS'!$D$2:$O$42,6,0)-O41</f>
        <v>176.73699999999997</v>
      </c>
      <c r="V41" s="86">
        <f>VLOOKUP($A41,'Matriz Distâncias NTS'!$D$2:$O$42,7,0)-E41</f>
        <v>502.41399999999999</v>
      </c>
      <c r="W41" s="86">
        <f>VLOOKUP($A41,'Matriz Distâncias NTS'!$D$2:$O$42,8,0)-G41</f>
        <v>0</v>
      </c>
      <c r="X41" s="86">
        <f>VLOOKUP($A41,'Matriz Distâncias NTS'!$D$2:$O$42,9,0)-C41</f>
        <v>103.15499999999997</v>
      </c>
      <c r="Y41" s="86">
        <f>VLOOKUP($A41,'Matriz Distâncias NTS'!$D$2:$O$42,10,0)-I41</f>
        <v>0</v>
      </c>
      <c r="Z41" s="86">
        <f>VLOOKUP($A41,'Matriz Distâncias NTS'!$D$2:$O$42,11,0)-M41</f>
        <v>141.876</v>
      </c>
      <c r="AA41" s="86">
        <f>VLOOKUP($A41,'Matriz Distâncias NTS'!$D$2:$O$42,12,0)-L41</f>
        <v>88.899999999999991</v>
      </c>
      <c r="AB41" s="86" t="e">
        <f>VLOOKUP($A41,'Matriz Distâncias NTS'!$D$2:$O$42,13,0)-N41</f>
        <v>#REF!</v>
      </c>
    </row>
    <row r="42" spans="1:28" x14ac:dyDescent="0.3">
      <c r="A42" s="80" t="s">
        <v>78</v>
      </c>
      <c r="B42" s="81">
        <v>226.39599999999999</v>
      </c>
      <c r="C42" s="81">
        <v>353.161</v>
      </c>
      <c r="D42" s="81">
        <v>456.31599999999997</v>
      </c>
      <c r="E42" s="81">
        <v>46.097999999999999</v>
      </c>
      <c r="F42" s="81">
        <v>318.98099999999999</v>
      </c>
      <c r="G42" s="81">
        <v>48.397999999999996</v>
      </c>
      <c r="H42" s="81">
        <v>456.31599999999997</v>
      </c>
      <c r="I42" s="81">
        <v>424.06400000000002</v>
      </c>
      <c r="J42" s="81">
        <v>46.097999999999999</v>
      </c>
      <c r="K42" s="81">
        <v>46.097999999999999</v>
      </c>
      <c r="L42" s="79">
        <v>45.3</v>
      </c>
      <c r="M42" s="79">
        <v>84.519999999999982</v>
      </c>
      <c r="N42" s="79">
        <v>151.09800000000001</v>
      </c>
      <c r="O42" s="81">
        <v>226.39599999999999</v>
      </c>
      <c r="R42" s="86">
        <f>VLOOKUP($A42,'Matriz Distâncias NTS'!$D$2:$O$42,3,0)-F42</f>
        <v>34.180000000000007</v>
      </c>
      <c r="S42" s="86">
        <f>VLOOKUP($A42,'Matriz Distâncias NTS'!$D$2:$O$42,4,0)-O42</f>
        <v>-180.298</v>
      </c>
      <c r="T42" s="86">
        <f>VLOOKUP($A42,'Matriz Distâncias NTS'!$D$2:$O$42,5,0)-H42</f>
        <v>-360.79599999999999</v>
      </c>
      <c r="U42" s="86">
        <f>VLOOKUP($A42,'Matriz Distâncias NTS'!$D$2:$O$42,6,0)-O42</f>
        <v>92.585000000000008</v>
      </c>
      <c r="V42" s="86">
        <f>VLOOKUP($A42,'Matriz Distâncias NTS'!$D$2:$O$42,7,0)-E42</f>
        <v>410.21799999999996</v>
      </c>
      <c r="W42" s="86">
        <f>VLOOKUP($A42,'Matriz Distâncias NTS'!$D$2:$O$42,8,0)-G42</f>
        <v>0</v>
      </c>
      <c r="X42" s="86">
        <f>VLOOKUP($A42,'Matriz Distâncias NTS'!$D$2:$O$42,9,0)-C42</f>
        <v>103.15499999999997</v>
      </c>
      <c r="Y42" s="86">
        <f>VLOOKUP($A42,'Matriz Distâncias NTS'!$D$2:$O$42,10,0)-I42</f>
        <v>0</v>
      </c>
      <c r="Z42" s="86">
        <f>VLOOKUP($A42,'Matriz Distâncias NTS'!$D$2:$O$42,11,0)-M42</f>
        <v>141.876</v>
      </c>
      <c r="AA42" s="86">
        <f>VLOOKUP($A42,'Matriz Distâncias NTS'!$D$2:$O$42,12,0)-L42</f>
        <v>181.096</v>
      </c>
      <c r="AB42" s="86" t="e">
        <f>VLOOKUP($A42,'Matriz Distâncias NTS'!$D$2:$O$42,13,0)-N42</f>
        <v>#REF!</v>
      </c>
    </row>
    <row r="43" spans="1:28" x14ac:dyDescent="0.3">
      <c r="A43" s="1" t="s">
        <v>103</v>
      </c>
      <c r="B43" s="78">
        <v>649.06200000000001</v>
      </c>
      <c r="C43" s="78">
        <v>209.93199999999999</v>
      </c>
      <c r="D43" s="78">
        <v>370.36799999999999</v>
      </c>
      <c r="E43" s="78">
        <v>468.76400000000001</v>
      </c>
      <c r="F43" s="78">
        <v>103.685</v>
      </c>
      <c r="G43" s="78">
        <v>471.06400000000002</v>
      </c>
      <c r="H43" s="78">
        <v>370.36799999999999</v>
      </c>
      <c r="I43" s="78">
        <v>2.4780000000000002</v>
      </c>
      <c r="J43" s="78">
        <v>468.76400000000001</v>
      </c>
      <c r="K43" s="78">
        <v>468.76400000000001</v>
      </c>
      <c r="L43" s="79">
        <v>475.33000000000004</v>
      </c>
      <c r="M43" s="79">
        <v>507.18600000000004</v>
      </c>
      <c r="N43" s="79">
        <v>573.76400000000001</v>
      </c>
      <c r="O43" s="78">
        <v>649.06200000000001</v>
      </c>
      <c r="R43" s="86" t="e">
        <f>VLOOKUP($A43,'Matriz Distâncias NTS'!$D$2:$O$42,3,0)-F43</f>
        <v>#N/A</v>
      </c>
      <c r="S43" s="86" t="e">
        <f>VLOOKUP($A43,'Matriz Distâncias NTS'!$D$2:$O$42,4,0)-O43</f>
        <v>#N/A</v>
      </c>
      <c r="T43" s="86" t="e">
        <f>VLOOKUP($A43,'Matriz Distâncias NTS'!$D$2:$O$42,5,0)-H43</f>
        <v>#N/A</v>
      </c>
      <c r="U43" s="86" t="e">
        <f>VLOOKUP($A43,'Matriz Distâncias NTS'!$D$2:$O$42,6,0)-O43</f>
        <v>#N/A</v>
      </c>
      <c r="V43" s="86" t="e">
        <f>VLOOKUP($A43,'Matriz Distâncias NTS'!$D$2:$O$42,7,0)-E43</f>
        <v>#N/A</v>
      </c>
      <c r="W43" s="86" t="e">
        <f>VLOOKUP($A43,'Matriz Distâncias NTS'!$D$2:$O$42,8,0)-G43</f>
        <v>#N/A</v>
      </c>
      <c r="X43" s="86" t="e">
        <f>VLOOKUP($A43,'Matriz Distâncias NTS'!$D$2:$O$42,9,0)-C43</f>
        <v>#N/A</v>
      </c>
      <c r="Y43" s="86" t="e">
        <f>VLOOKUP($A43,'Matriz Distâncias NTS'!$D$2:$O$42,10,0)-I43</f>
        <v>#N/A</v>
      </c>
      <c r="Z43" s="86" t="e">
        <f>VLOOKUP($A43,'Matriz Distâncias NTS'!$D$2:$O$42,11,0)-M43</f>
        <v>#N/A</v>
      </c>
      <c r="AA43" s="86" t="e">
        <f>VLOOKUP($A43,'Matriz Distâncias NTS'!$D$2:$O$42,12,0)-L43</f>
        <v>#N/A</v>
      </c>
      <c r="AB43" s="86" t="e">
        <f>VLOOKUP($A43,'Matriz Distâncias NTS'!$D$2:$O$42,13,0)-N43</f>
        <v>#N/A</v>
      </c>
    </row>
    <row r="44" spans="1:28" x14ac:dyDescent="0.3">
      <c r="A44" s="80" t="s">
        <v>67</v>
      </c>
      <c r="B44" s="78">
        <v>654.14400000000001</v>
      </c>
      <c r="C44" s="78">
        <v>669.01099999999997</v>
      </c>
      <c r="D44" s="78">
        <v>772.16600000000005</v>
      </c>
      <c r="E44" s="78">
        <v>473.846</v>
      </c>
      <c r="F44" s="78">
        <v>634.83100000000002</v>
      </c>
      <c r="G44" s="78">
        <v>355.84399999999999</v>
      </c>
      <c r="H44" s="78">
        <v>772.16600000000005</v>
      </c>
      <c r="I44" s="78">
        <v>740.99400000000003</v>
      </c>
      <c r="J44" s="78">
        <v>473.846</v>
      </c>
      <c r="K44" s="78">
        <v>473.846</v>
      </c>
      <c r="L44" s="79">
        <v>360.11</v>
      </c>
      <c r="M44" s="79">
        <v>512.26800000000003</v>
      </c>
      <c r="N44" s="79">
        <v>578.846</v>
      </c>
      <c r="O44" s="78">
        <v>654.14400000000001</v>
      </c>
      <c r="R44" s="86">
        <f>VLOOKUP($A44,'Matriz Distâncias NTS'!$D$2:$O$42,3,0)-F44</f>
        <v>34.17999999999995</v>
      </c>
      <c r="S44" s="86">
        <f>VLOOKUP($A44,'Matriz Distâncias NTS'!$D$2:$O$42,4,0)-O44</f>
        <v>-180.298</v>
      </c>
      <c r="T44" s="86">
        <f>VLOOKUP($A44,'Matriz Distâncias NTS'!$D$2:$O$42,5,0)-H44</f>
        <v>-248.89800000000002</v>
      </c>
      <c r="U44" s="86">
        <f>VLOOKUP($A44,'Matriz Distâncias NTS'!$D$2:$O$42,6,0)-O44</f>
        <v>-19.312999999999988</v>
      </c>
      <c r="V44" s="86">
        <f>VLOOKUP($A44,'Matriz Distâncias NTS'!$D$2:$O$42,7,0)-E44</f>
        <v>298.32000000000005</v>
      </c>
      <c r="W44" s="86">
        <f>VLOOKUP($A44,'Matriz Distâncias NTS'!$D$2:$O$42,8,0)-G44</f>
        <v>0</v>
      </c>
      <c r="X44" s="86">
        <f>VLOOKUP($A44,'Matriz Distâncias NTS'!$D$2:$O$42,9,0)-C44</f>
        <v>103.15500000000009</v>
      </c>
      <c r="Y44" s="86">
        <f>VLOOKUP($A44,'Matriz Distâncias NTS'!$D$2:$O$42,10,0)-I44</f>
        <v>0</v>
      </c>
      <c r="Z44" s="86">
        <f>VLOOKUP($A44,'Matriz Distâncias NTS'!$D$2:$O$42,11,0)-M44</f>
        <v>141.87599999999998</v>
      </c>
      <c r="AA44" s="86">
        <f>VLOOKUP($A44,'Matriz Distâncias NTS'!$D$2:$O$42,12,0)-L44</f>
        <v>294.03399999999999</v>
      </c>
      <c r="AB44" s="86" t="e">
        <f>VLOOKUP($A44,'Matriz Distâncias NTS'!$D$2:$O$42,13,0)-N44</f>
        <v>#REF!</v>
      </c>
    </row>
    <row r="45" spans="1:28" x14ac:dyDescent="0.3">
      <c r="A45" s="1" t="s">
        <v>59</v>
      </c>
      <c r="B45" s="78">
        <v>427.93400000000003</v>
      </c>
      <c r="C45" s="78">
        <v>442.80099999999999</v>
      </c>
      <c r="D45" s="78">
        <v>545.95600000000002</v>
      </c>
      <c r="E45" s="78">
        <v>247.636</v>
      </c>
      <c r="F45" s="78">
        <v>408.62099999999998</v>
      </c>
      <c r="G45" s="78">
        <v>129.63399999999999</v>
      </c>
      <c r="H45" s="78">
        <v>545.95600000000002</v>
      </c>
      <c r="I45" s="78">
        <v>514.78399999999999</v>
      </c>
      <c r="J45" s="78">
        <v>247.636</v>
      </c>
      <c r="K45" s="78">
        <v>247.636</v>
      </c>
      <c r="L45" s="79">
        <v>133.89999999999998</v>
      </c>
      <c r="M45" s="79">
        <v>286.05799999999999</v>
      </c>
      <c r="N45" s="79">
        <v>352.63599999999997</v>
      </c>
      <c r="O45" s="78">
        <v>427.93400000000003</v>
      </c>
      <c r="R45" s="86">
        <f>VLOOKUP($A45,'Matriz Distâncias NTS'!$D$2:$O$42,3,0)-F45</f>
        <v>34.180000000000007</v>
      </c>
      <c r="S45" s="86">
        <f>VLOOKUP($A45,'Matriz Distâncias NTS'!$D$2:$O$42,4,0)-O45</f>
        <v>-180.29800000000003</v>
      </c>
      <c r="T45" s="86">
        <f>VLOOKUP($A45,'Matriz Distâncias NTS'!$D$2:$O$42,5,0)-H45</f>
        <v>-248.89800000000002</v>
      </c>
      <c r="U45" s="86">
        <f>VLOOKUP($A45,'Matriz Distâncias NTS'!$D$2:$O$42,6,0)-O45</f>
        <v>-19.313000000000045</v>
      </c>
      <c r="V45" s="86">
        <f>VLOOKUP($A45,'Matriz Distâncias NTS'!$D$2:$O$42,7,0)-E45</f>
        <v>298.32000000000005</v>
      </c>
      <c r="W45" s="86">
        <f>VLOOKUP($A45,'Matriz Distâncias NTS'!$D$2:$O$42,8,0)-G45</f>
        <v>0</v>
      </c>
      <c r="X45" s="86">
        <f>VLOOKUP($A45,'Matriz Distâncias NTS'!$D$2:$O$42,9,0)-C45</f>
        <v>103.15500000000003</v>
      </c>
      <c r="Y45" s="86">
        <f>VLOOKUP($A45,'Matriz Distâncias NTS'!$D$2:$O$42,10,0)-I45</f>
        <v>0</v>
      </c>
      <c r="Z45" s="86">
        <f>VLOOKUP($A45,'Matriz Distâncias NTS'!$D$2:$O$42,11,0)-M45</f>
        <v>141.87600000000003</v>
      </c>
      <c r="AA45" s="86">
        <f>VLOOKUP($A45,'Matriz Distâncias NTS'!$D$2:$O$42,12,0)-L45</f>
        <v>294.03400000000005</v>
      </c>
      <c r="AB45" s="86" t="e">
        <f>VLOOKUP($A45,'Matriz Distâncias NTS'!$D$2:$O$42,13,0)-N45</f>
        <v>#REF!</v>
      </c>
    </row>
    <row r="46" spans="1:28" x14ac:dyDescent="0.3">
      <c r="A46" s="76" t="s">
        <v>74</v>
      </c>
      <c r="B46" s="78">
        <v>13.329000000000001</v>
      </c>
      <c r="C46" s="78">
        <v>566.22799999999995</v>
      </c>
      <c r="D46" s="78">
        <v>669.38300000000004</v>
      </c>
      <c r="E46" s="78">
        <v>166.96899999999999</v>
      </c>
      <c r="F46" s="81">
        <v>532.048</v>
      </c>
      <c r="G46" s="78">
        <v>166.96899999999999</v>
      </c>
      <c r="H46" s="78">
        <v>669.38300000000004</v>
      </c>
      <c r="I46" s="78">
        <v>638.21100000000001</v>
      </c>
      <c r="J46" s="78">
        <v>166.96899999999999</v>
      </c>
      <c r="K46" s="78">
        <v>166.96899999999999</v>
      </c>
      <c r="L46" s="79">
        <v>258.36699999999996</v>
      </c>
      <c r="M46" s="79">
        <v>128.547</v>
      </c>
      <c r="N46" s="79">
        <v>271.96899999999999</v>
      </c>
      <c r="O46" s="78">
        <v>13.329000000000001</v>
      </c>
      <c r="R46" s="86">
        <f>VLOOKUP($A46,'Matriz Distâncias NTS'!$D$2:$O$42,3,0)-F46</f>
        <v>34.17999999999995</v>
      </c>
      <c r="S46" s="86">
        <f>VLOOKUP($A46,'Matriz Distâncias NTS'!$D$2:$O$42,4,0)-O46</f>
        <v>153.63999999999999</v>
      </c>
      <c r="T46" s="86">
        <f>VLOOKUP($A46,'Matriz Distâncias NTS'!$D$2:$O$42,5,0)-H46</f>
        <v>-529.83600000000001</v>
      </c>
      <c r="U46" s="86">
        <f>VLOOKUP($A46,'Matriz Distâncias NTS'!$D$2:$O$42,6,0)-O46</f>
        <v>518.71900000000005</v>
      </c>
      <c r="V46" s="86">
        <f>VLOOKUP($A46,'Matriz Distâncias NTS'!$D$2:$O$42,7,0)-E46</f>
        <v>502.41400000000004</v>
      </c>
      <c r="W46" s="86">
        <f>VLOOKUP($A46,'Matriz Distâncias NTS'!$D$2:$O$42,8,0)-G46</f>
        <v>0</v>
      </c>
      <c r="X46" s="86">
        <f>VLOOKUP($A46,'Matriz Distâncias NTS'!$D$2:$O$42,9,0)-C46</f>
        <v>103.15500000000009</v>
      </c>
      <c r="Y46" s="86">
        <f>VLOOKUP($A46,'Matriz Distâncias NTS'!$D$2:$O$42,10,0)-I46</f>
        <v>0</v>
      </c>
      <c r="Z46" s="86">
        <f>VLOOKUP($A46,'Matriz Distâncias NTS'!$D$2:$O$42,11,0)-M46</f>
        <v>-115.21799999999999</v>
      </c>
      <c r="AA46" s="86">
        <f>VLOOKUP($A46,'Matriz Distâncias NTS'!$D$2:$O$42,12,0)-L46</f>
        <v>-245.03799999999995</v>
      </c>
      <c r="AB46" s="86" t="e">
        <f>VLOOKUP($A46,'Matriz Distâncias NTS'!$D$2:$O$42,13,0)-N46</f>
        <v>#REF!</v>
      </c>
    </row>
    <row r="47" spans="1:28" x14ac:dyDescent="0.3">
      <c r="A47" s="1" t="s">
        <v>75</v>
      </c>
      <c r="B47" s="78">
        <v>13.329000000000001</v>
      </c>
      <c r="C47" s="78">
        <v>566.22799999999995</v>
      </c>
      <c r="D47" s="78">
        <v>669.38300000000004</v>
      </c>
      <c r="E47" s="78">
        <v>166.96899999999999</v>
      </c>
      <c r="F47" s="81">
        <v>532.048</v>
      </c>
      <c r="G47" s="78">
        <v>166.96899999999999</v>
      </c>
      <c r="H47" s="78">
        <v>669.38300000000004</v>
      </c>
      <c r="I47" s="78">
        <v>638.21100000000001</v>
      </c>
      <c r="J47" s="78">
        <v>166.96899999999999</v>
      </c>
      <c r="K47" s="78">
        <v>166.96899999999999</v>
      </c>
      <c r="L47" s="79">
        <v>258.36699999999996</v>
      </c>
      <c r="M47" s="79">
        <v>128.547</v>
      </c>
      <c r="N47" s="79">
        <v>271.96899999999999</v>
      </c>
      <c r="O47" s="78">
        <v>13.329000000000001</v>
      </c>
      <c r="R47" s="86">
        <f>VLOOKUP($A47,'Matriz Distâncias NTS'!$D$2:$O$42,3,0)-F47</f>
        <v>34.17999999999995</v>
      </c>
      <c r="S47" s="86">
        <f>VLOOKUP($A47,'Matriz Distâncias NTS'!$D$2:$O$42,4,0)-O47</f>
        <v>153.63999999999999</v>
      </c>
      <c r="T47" s="86">
        <f>VLOOKUP($A47,'Matriz Distâncias NTS'!$D$2:$O$42,5,0)-H47</f>
        <v>-529.83600000000001</v>
      </c>
      <c r="U47" s="86">
        <f>VLOOKUP($A47,'Matriz Distâncias NTS'!$D$2:$O$42,6,0)-O47</f>
        <v>518.71900000000005</v>
      </c>
      <c r="V47" s="86">
        <f>VLOOKUP($A47,'Matriz Distâncias NTS'!$D$2:$O$42,7,0)-E47</f>
        <v>502.41400000000004</v>
      </c>
      <c r="W47" s="86">
        <f>VLOOKUP($A47,'Matriz Distâncias NTS'!$D$2:$O$42,8,0)-G47</f>
        <v>0</v>
      </c>
      <c r="X47" s="86">
        <f>VLOOKUP($A47,'Matriz Distâncias NTS'!$D$2:$O$42,9,0)-C47</f>
        <v>103.15500000000009</v>
      </c>
      <c r="Y47" s="86">
        <f>VLOOKUP($A47,'Matriz Distâncias NTS'!$D$2:$O$42,10,0)-I47</f>
        <v>0</v>
      </c>
      <c r="Z47" s="86">
        <f>VLOOKUP($A47,'Matriz Distâncias NTS'!$D$2:$O$42,11,0)-M47</f>
        <v>-115.21799999999999</v>
      </c>
      <c r="AA47" s="86">
        <f>VLOOKUP($A47,'Matriz Distâncias NTS'!$D$2:$O$42,12,0)-L47</f>
        <v>-245.03799999999995</v>
      </c>
      <c r="AB47" s="86" t="e">
        <f>VLOOKUP($A47,'Matriz Distâncias NTS'!$D$2:$O$42,13,0)-N47</f>
        <v>#REF!</v>
      </c>
    </row>
    <row r="48" spans="1:28" x14ac:dyDescent="0.3">
      <c r="A48" s="80" t="s">
        <v>83</v>
      </c>
      <c r="B48" s="78">
        <v>285.33199999999999</v>
      </c>
      <c r="C48" s="78">
        <v>304.05500000000001</v>
      </c>
      <c r="D48" s="78">
        <v>515.25199999999995</v>
      </c>
      <c r="E48" s="78">
        <v>105.03400000000001</v>
      </c>
      <c r="F48" s="78">
        <v>269.875</v>
      </c>
      <c r="G48" s="78">
        <v>105.03400000000001</v>
      </c>
      <c r="H48" s="78">
        <v>515.25199999999995</v>
      </c>
      <c r="I48" s="78">
        <v>376.03800000000001</v>
      </c>
      <c r="J48" s="78">
        <v>105.03400000000001</v>
      </c>
      <c r="K48" s="78">
        <v>105.03400000000001</v>
      </c>
      <c r="L48" s="79">
        <v>109.3</v>
      </c>
      <c r="M48" s="79">
        <v>143.45599999999999</v>
      </c>
      <c r="N48" s="79">
        <v>210.03399999999999</v>
      </c>
      <c r="O48" s="78">
        <v>285.33199999999999</v>
      </c>
      <c r="R48" s="86">
        <f>VLOOKUP($A48,'Matriz Distâncias NTS'!$D$2:$O$42,3,0)-F48</f>
        <v>34.180000000000007</v>
      </c>
      <c r="S48" s="86">
        <f>VLOOKUP($A48,'Matriz Distâncias NTS'!$D$2:$O$42,4,0)-O48</f>
        <v>-180.298</v>
      </c>
      <c r="T48" s="86">
        <f>VLOOKUP($A48,'Matriz Distâncias NTS'!$D$2:$O$42,5,0)-H48</f>
        <v>-360.79599999999994</v>
      </c>
      <c r="U48" s="86">
        <f>VLOOKUP($A48,'Matriz Distâncias NTS'!$D$2:$O$42,6,0)-O48</f>
        <v>-15.456999999999994</v>
      </c>
      <c r="V48" s="86">
        <f>VLOOKUP($A48,'Matriz Distâncias NTS'!$D$2:$O$42,7,0)-E48</f>
        <v>410.21799999999996</v>
      </c>
      <c r="W48" s="86">
        <f>VLOOKUP($A48,'Matriz Distâncias NTS'!$D$2:$O$42,8,0)-G48</f>
        <v>0</v>
      </c>
      <c r="X48" s="86">
        <f>VLOOKUP($A48,'Matriz Distâncias NTS'!$D$2:$O$42,9,0)-C48</f>
        <v>211.19699999999995</v>
      </c>
      <c r="Y48" s="86">
        <f>VLOOKUP($A48,'Matriz Distâncias NTS'!$D$2:$O$42,10,0)-I48</f>
        <v>0</v>
      </c>
      <c r="Z48" s="86">
        <f>VLOOKUP($A48,'Matriz Distâncias NTS'!$D$2:$O$42,11,0)-M48</f>
        <v>141.876</v>
      </c>
      <c r="AA48" s="86">
        <f>VLOOKUP($A48,'Matriz Distâncias NTS'!$D$2:$O$42,12,0)-L48</f>
        <v>176.03199999999998</v>
      </c>
      <c r="AB48" s="86" t="e">
        <f>VLOOKUP($A48,'Matriz Distâncias NTS'!$D$2:$O$42,13,0)-N48</f>
        <v>#REF!</v>
      </c>
    </row>
    <row r="49" spans="1:28" x14ac:dyDescent="0.3">
      <c r="A49" s="80" t="s">
        <v>260</v>
      </c>
      <c r="B49" s="78">
        <v>0</v>
      </c>
      <c r="C49" s="78">
        <v>579.55700000000002</v>
      </c>
      <c r="D49" s="78">
        <v>682.71199999999999</v>
      </c>
      <c r="E49" s="78">
        <v>180.298</v>
      </c>
      <c r="F49" s="78">
        <v>545.37699999999995</v>
      </c>
      <c r="G49" s="78">
        <v>180.298</v>
      </c>
      <c r="H49" s="78">
        <v>682.71199999999999</v>
      </c>
      <c r="I49" s="78">
        <v>651.54</v>
      </c>
      <c r="J49" s="78">
        <v>180.298</v>
      </c>
      <c r="K49" s="78">
        <v>180.298</v>
      </c>
      <c r="L49" s="79">
        <v>271.69600000000003</v>
      </c>
      <c r="M49" s="79">
        <v>141.876</v>
      </c>
      <c r="N49" s="79">
        <v>285.298</v>
      </c>
      <c r="O49" s="78">
        <v>0</v>
      </c>
      <c r="R49" s="86" t="e">
        <f>VLOOKUP($A49,'Matriz Distâncias NTS'!$D$2:$O$42,3,0)-F49</f>
        <v>#N/A</v>
      </c>
      <c r="S49" s="86" t="e">
        <f>VLOOKUP($A49,'Matriz Distâncias NTS'!$D$2:$O$42,4,0)-O49</f>
        <v>#N/A</v>
      </c>
      <c r="T49" s="86" t="e">
        <f>VLOOKUP($A49,'Matriz Distâncias NTS'!$D$2:$O$42,5,0)-H49</f>
        <v>#N/A</v>
      </c>
      <c r="U49" s="86" t="e">
        <f>VLOOKUP($A49,'Matriz Distâncias NTS'!$D$2:$O$42,6,0)-O49</f>
        <v>#N/A</v>
      </c>
      <c r="V49" s="86" t="e">
        <f>VLOOKUP($A49,'Matriz Distâncias NTS'!$D$2:$O$42,7,0)-E49</f>
        <v>#N/A</v>
      </c>
      <c r="W49" s="86" t="e">
        <f>VLOOKUP($A49,'Matriz Distâncias NTS'!$D$2:$O$40,8,0)-G49</f>
        <v>#N/A</v>
      </c>
      <c r="X49" s="86" t="e">
        <f>VLOOKUP($A49,'Matriz Distâncias NTS'!$D$2:$O$42,9,0)-C49</f>
        <v>#N/A</v>
      </c>
      <c r="Y49" s="86" t="e">
        <f>VLOOKUP($A49,'Matriz Distâncias NTS'!$D$2:$O$42,10,0)-I49</f>
        <v>#N/A</v>
      </c>
      <c r="Z49" s="86" t="e">
        <f>VLOOKUP($A49,'Matriz Distâncias NTS'!$D$2:$O$42,11,0)-M49</f>
        <v>#N/A</v>
      </c>
      <c r="AA49" s="86" t="e">
        <f>VLOOKUP($A49,'Matriz Distâncias NTS'!$D$2:$O$42,12,0)-L49</f>
        <v>#N/A</v>
      </c>
      <c r="AB49" s="86" t="e">
        <f>VLOOKUP($A49,'Matriz Distâncias NTS'!$D$2:$O$42,13,0)-N49</f>
        <v>#N/A</v>
      </c>
    </row>
    <row r="50" spans="1:28" x14ac:dyDescent="0.3">
      <c r="AB50" s="86"/>
    </row>
    <row r="51" spans="1:28" x14ac:dyDescent="0.3">
      <c r="AB51" s="86"/>
    </row>
    <row r="52" spans="1:28" x14ac:dyDescent="0.3">
      <c r="AB52" s="86"/>
    </row>
    <row r="53" spans="1:28" x14ac:dyDescent="0.3">
      <c r="AB53" s="86"/>
    </row>
    <row r="54" spans="1:28" x14ac:dyDescent="0.3">
      <c r="AB54" s="86"/>
    </row>
    <row r="55" spans="1:28" x14ac:dyDescent="0.3">
      <c r="AB55" s="86"/>
    </row>
    <row r="56" spans="1:28" x14ac:dyDescent="0.3">
      <c r="AB56" s="86"/>
    </row>
    <row r="57" spans="1:28" x14ac:dyDescent="0.3">
      <c r="AB57" s="86"/>
    </row>
    <row r="58" spans="1:28" x14ac:dyDescent="0.3">
      <c r="AB58" s="86"/>
    </row>
    <row r="59" spans="1:28" x14ac:dyDescent="0.3">
      <c r="AB59" s="86"/>
    </row>
    <row r="60" spans="1:28" x14ac:dyDescent="0.3">
      <c r="AB60" s="86"/>
    </row>
    <row r="61" spans="1:28" x14ac:dyDescent="0.3">
      <c r="AB61" s="86"/>
    </row>
    <row r="62" spans="1:28" x14ac:dyDescent="0.3">
      <c r="AB62" s="86"/>
    </row>
    <row r="63" spans="1:28" x14ac:dyDescent="0.3">
      <c r="AB63" s="86"/>
    </row>
    <row r="64" spans="1:28" x14ac:dyDescent="0.3">
      <c r="AB64" s="86"/>
    </row>
    <row r="65" spans="28:28" x14ac:dyDescent="0.3">
      <c r="AB65" s="86"/>
    </row>
    <row r="66" spans="28:28" x14ac:dyDescent="0.3">
      <c r="AB66" s="86"/>
    </row>
    <row r="67" spans="28:28" x14ac:dyDescent="0.3">
      <c r="AB67" s="86"/>
    </row>
    <row r="68" spans="28:28" x14ac:dyDescent="0.3">
      <c r="AB68" s="86"/>
    </row>
    <row r="69" spans="28:28" x14ac:dyDescent="0.3">
      <c r="AB69" s="86"/>
    </row>
    <row r="70" spans="28:28" x14ac:dyDescent="0.3">
      <c r="AB70" s="86"/>
    </row>
    <row r="71" spans="28:28" x14ac:dyDescent="0.3">
      <c r="AB71" s="86"/>
    </row>
    <row r="72" spans="28:28" x14ac:dyDescent="0.3">
      <c r="AB72" s="86"/>
    </row>
    <row r="73" spans="28:28" x14ac:dyDescent="0.3">
      <c r="AB73" s="86"/>
    </row>
    <row r="74" spans="28:28" x14ac:dyDescent="0.3">
      <c r="AB74" s="86"/>
    </row>
    <row r="75" spans="28:28" x14ac:dyDescent="0.3">
      <c r="AB75" s="86"/>
    </row>
    <row r="76" spans="28:28" x14ac:dyDescent="0.3">
      <c r="AB76" s="86"/>
    </row>
    <row r="77" spans="28:28" x14ac:dyDescent="0.3">
      <c r="AB77" s="86"/>
    </row>
    <row r="78" spans="28:28" x14ac:dyDescent="0.3">
      <c r="AB78" s="86"/>
    </row>
    <row r="79" spans="28:28" x14ac:dyDescent="0.3">
      <c r="AB79" s="86"/>
    </row>
    <row r="80" spans="28:28" x14ac:dyDescent="0.3">
      <c r="AB80" s="86"/>
    </row>
    <row r="81" spans="28:28" x14ac:dyDescent="0.3">
      <c r="AB81" s="86"/>
    </row>
    <row r="82" spans="28:28" x14ac:dyDescent="0.3">
      <c r="AB82" s="86"/>
    </row>
    <row r="83" spans="28:28" x14ac:dyDescent="0.3">
      <c r="AB83" s="86"/>
    </row>
    <row r="84" spans="28:28" x14ac:dyDescent="0.3">
      <c r="AB84" s="86"/>
    </row>
    <row r="85" spans="28:28" x14ac:dyDescent="0.3">
      <c r="AB85" s="86"/>
    </row>
    <row r="86" spans="28:28" x14ac:dyDescent="0.3">
      <c r="AB86" s="86"/>
    </row>
    <row r="87" spans="28:28" x14ac:dyDescent="0.3">
      <c r="AB87" s="86"/>
    </row>
    <row r="88" spans="28:28" x14ac:dyDescent="0.3">
      <c r="AB88" s="86"/>
    </row>
    <row r="89" spans="28:28" x14ac:dyDescent="0.3">
      <c r="AB89" s="86"/>
    </row>
    <row r="90" spans="28:28" x14ac:dyDescent="0.3">
      <c r="AB90" s="86"/>
    </row>
    <row r="91" spans="28:28" x14ac:dyDescent="0.3">
      <c r="AB91" s="86"/>
    </row>
    <row r="92" spans="28:28" x14ac:dyDescent="0.3">
      <c r="AB92" s="86"/>
    </row>
    <row r="93" spans="28:28" x14ac:dyDescent="0.3">
      <c r="AB93" s="86"/>
    </row>
    <row r="94" spans="28:28" x14ac:dyDescent="0.3">
      <c r="AB94" s="86"/>
    </row>
    <row r="95" spans="28:28" x14ac:dyDescent="0.3">
      <c r="AB95" s="86"/>
    </row>
    <row r="96" spans="28:28" x14ac:dyDescent="0.3">
      <c r="AB96" s="86"/>
    </row>
    <row r="97" spans="28:28" x14ac:dyDescent="0.3">
      <c r="AB97" s="86"/>
    </row>
    <row r="98" spans="28:28" x14ac:dyDescent="0.3">
      <c r="AB98" s="86"/>
    </row>
    <row r="99" spans="28:28" x14ac:dyDescent="0.3">
      <c r="AB99" s="86"/>
    </row>
    <row r="100" spans="28:28" x14ac:dyDescent="0.3">
      <c r="AB100" s="86" t="e">
        <f>VLOOKUP($A100,'Matriz Distâncias NTS'!$D$2:$O$42,13,0)</f>
        <v>#N/A</v>
      </c>
    </row>
    <row r="101" spans="28:28" x14ac:dyDescent="0.3">
      <c r="AB101" s="86" t="e">
        <f>VLOOKUP($A101,'Matriz Distâncias NTS'!$D$2:$O$42,13,0)</f>
        <v>#N/A</v>
      </c>
    </row>
    <row r="102" spans="28:28" x14ac:dyDescent="0.3">
      <c r="AB102" s="86" t="e">
        <f>VLOOKUP($A102,'Matriz Distâncias NTS'!$D$2:$O$42,13,0)</f>
        <v>#N/A</v>
      </c>
    </row>
    <row r="103" spans="28:28" x14ac:dyDescent="0.3">
      <c r="AB103" s="86" t="e">
        <f>VLOOKUP($A103,'Matriz Distâncias NTS'!$D$2:$O$42,13,0)</f>
        <v>#N/A</v>
      </c>
    </row>
    <row r="104" spans="28:28" x14ac:dyDescent="0.3">
      <c r="AB104" s="86" t="e">
        <f>VLOOKUP($A104,'Matriz Distâncias NTS'!$D$2:$O$42,13,0)</f>
        <v>#N/A</v>
      </c>
    </row>
    <row r="105" spans="28:28" x14ac:dyDescent="0.3">
      <c r="AB105" s="86" t="e">
        <f>VLOOKUP($A105,'Matriz Distâncias NTS'!$D$2:$O$42,13,0)</f>
        <v>#N/A</v>
      </c>
    </row>
    <row r="106" spans="28:28" x14ac:dyDescent="0.3">
      <c r="AB106" s="86" t="e">
        <f>VLOOKUP($A106,'Matriz Distâncias NTS'!$D$2:$O$42,13,0)</f>
        <v>#N/A</v>
      </c>
    </row>
    <row r="107" spans="28:28" x14ac:dyDescent="0.3">
      <c r="AB107" s="86" t="e">
        <f>VLOOKUP($A107,'Matriz Distâncias NTS'!$D$2:$O$42,13,0)</f>
        <v>#N/A</v>
      </c>
    </row>
    <row r="108" spans="28:28" x14ac:dyDescent="0.3">
      <c r="AB108" s="86" t="e">
        <f>VLOOKUP($A108,'Matriz Distâncias NTS'!$D$2:$O$42,13,0)</f>
        <v>#N/A</v>
      </c>
    </row>
    <row r="109" spans="28:28" x14ac:dyDescent="0.3">
      <c r="AB109" s="86" t="e">
        <f>VLOOKUP($A109,'Matriz Distâncias NTS'!$D$2:$O$42,13,0)</f>
        <v>#N/A</v>
      </c>
    </row>
    <row r="110" spans="28:28" x14ac:dyDescent="0.3">
      <c r="AB110" s="86" t="e">
        <f>VLOOKUP($A110,'Matriz Distâncias NTS'!$D$2:$O$42,13,0)</f>
        <v>#N/A</v>
      </c>
    </row>
    <row r="111" spans="28:28" x14ac:dyDescent="0.3">
      <c r="AB111" s="86" t="e">
        <f>VLOOKUP($A111,'Matriz Distâncias NTS'!$D$2:$O$42,13,0)</f>
        <v>#N/A</v>
      </c>
    </row>
    <row r="112" spans="28:28" x14ac:dyDescent="0.3">
      <c r="AB112" s="86" t="e">
        <f>VLOOKUP($A112,'Matriz Distâncias NTS'!$D$2:$O$42,13,0)</f>
        <v>#N/A</v>
      </c>
    </row>
    <row r="113" spans="28:28" x14ac:dyDescent="0.3">
      <c r="AB113" s="86" t="e">
        <f>VLOOKUP($A113,'Matriz Distâncias NTS'!$D$2:$O$42,13,0)</f>
        <v>#N/A</v>
      </c>
    </row>
    <row r="114" spans="28:28" x14ac:dyDescent="0.3">
      <c r="AB114" s="86" t="e">
        <f>VLOOKUP($A114,'Matriz Distâncias NTS'!$D$2:$O$42,13,0)</f>
        <v>#N/A</v>
      </c>
    </row>
    <row r="115" spans="28:28" x14ac:dyDescent="0.3">
      <c r="AB115" s="86" t="e">
        <f>VLOOKUP($A115,'Matriz Distâncias NTS'!$D$2:$O$42,13,0)</f>
        <v>#N/A</v>
      </c>
    </row>
    <row r="116" spans="28:28" x14ac:dyDescent="0.3">
      <c r="AB116" s="86" t="e">
        <f>VLOOKUP($A116,'Matriz Distâncias NTS'!$D$2:$O$42,13,0)</f>
        <v>#N/A</v>
      </c>
    </row>
    <row r="117" spans="28:28" x14ac:dyDescent="0.3">
      <c r="AB117" s="86" t="e">
        <f>VLOOKUP($A117,'Matriz Distâncias NTS'!$D$2:$O$42,13,0)</f>
        <v>#N/A</v>
      </c>
    </row>
    <row r="118" spans="28:28" x14ac:dyDescent="0.3">
      <c r="AB118" s="86" t="e">
        <f>VLOOKUP($A118,'Matriz Distâncias NTS'!$D$2:$O$42,13,0)</f>
        <v>#N/A</v>
      </c>
    </row>
    <row r="119" spans="28:28" x14ac:dyDescent="0.3">
      <c r="AB119" s="86" t="e">
        <f>VLOOKUP($A119,'Matriz Distâncias NTS'!$D$2:$O$42,13,0)</f>
        <v>#N/A</v>
      </c>
    </row>
    <row r="120" spans="28:28" x14ac:dyDescent="0.3">
      <c r="AB120" s="86" t="e">
        <f>VLOOKUP($A120,'Matriz Distâncias NTS'!$D$2:$O$42,13,0)</f>
        <v>#N/A</v>
      </c>
    </row>
    <row r="121" spans="28:28" x14ac:dyDescent="0.3">
      <c r="AB121" s="86" t="e">
        <f>VLOOKUP($A121,'Matriz Distâncias NTS'!$D$2:$O$42,13,0)</f>
        <v>#N/A</v>
      </c>
    </row>
  </sheetData>
  <mergeCells count="1">
    <mergeCell ref="A1:K1"/>
  </mergeCells>
  <conditionalFormatting sqref="B3:O49">
    <cfRule type="cellIs" dxfId="4" priority="1" operator="between">
      <formula>30</formula>
      <formula>40</formula>
    </cfRule>
  </conditionalFormatting>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9">
    <tabColor theme="5" tint="0.79998168889431442"/>
  </sheetPr>
  <dimension ref="A2:AA302"/>
  <sheetViews>
    <sheetView showGridLines="0" zoomScale="70" zoomScaleNormal="70" workbookViewId="0">
      <selection activeCell="D219" sqref="D219"/>
    </sheetView>
  </sheetViews>
  <sheetFormatPr defaultColWidth="8.77734375" defaultRowHeight="14.4" x14ac:dyDescent="0.3"/>
  <cols>
    <col min="2" max="2" width="33" customWidth="1"/>
    <col min="3" max="3" width="20.5546875" bestFit="1" customWidth="1"/>
    <col min="4" max="4" width="26" bestFit="1" customWidth="1"/>
    <col min="5" max="5" width="25.21875" bestFit="1" customWidth="1"/>
    <col min="6" max="6" width="21.77734375" bestFit="1" customWidth="1"/>
    <col min="7" max="7" width="23.21875" customWidth="1"/>
    <col min="8" max="8" width="16.77734375" bestFit="1" customWidth="1"/>
    <col min="9" max="9" width="35.44140625" bestFit="1" customWidth="1"/>
    <col min="10" max="10" width="22" bestFit="1" customWidth="1"/>
    <col min="11" max="11" width="21.5546875" bestFit="1" customWidth="1"/>
    <col min="12" max="12" width="18.77734375" bestFit="1" customWidth="1"/>
    <col min="13" max="13" width="10.44140625" customWidth="1"/>
    <col min="14" max="14" width="10" customWidth="1"/>
    <col min="15" max="15" width="33.21875" bestFit="1" customWidth="1"/>
    <col min="16" max="16" width="13.77734375" bestFit="1" customWidth="1"/>
    <col min="17" max="17" width="8.77734375" customWidth="1"/>
    <col min="18" max="18" width="12.21875" bestFit="1" customWidth="1"/>
    <col min="19" max="19" width="23.44140625" bestFit="1" customWidth="1"/>
    <col min="20" max="20" width="27.44140625" bestFit="1" customWidth="1"/>
    <col min="21" max="27" width="9.21875" bestFit="1" customWidth="1"/>
  </cols>
  <sheetData>
    <row r="2" spans="1:9" x14ac:dyDescent="0.3">
      <c r="B2" s="93" t="s">
        <v>108</v>
      </c>
      <c r="G2" s="94" t="s">
        <v>109</v>
      </c>
    </row>
    <row r="3" spans="1:9" ht="15" thickBot="1" x14ac:dyDescent="0.35">
      <c r="G3" s="209">
        <v>2024</v>
      </c>
    </row>
    <row r="4" spans="1:9" ht="16.2" thickBot="1" x14ac:dyDescent="0.35">
      <c r="A4" s="224"/>
      <c r="B4" s="225" t="s">
        <v>110</v>
      </c>
      <c r="C4" s="226" t="s">
        <v>280</v>
      </c>
      <c r="D4" s="227">
        <f>Premissas!D40/1000</f>
        <v>4612.6816643245156</v>
      </c>
      <c r="E4" s="228" t="s">
        <v>111</v>
      </c>
      <c r="F4" s="224"/>
      <c r="G4" s="224"/>
      <c r="H4" s="239"/>
      <c r="I4" s="239"/>
    </row>
    <row r="5" spans="1:9" ht="15.6" x14ac:dyDescent="0.3">
      <c r="A5" s="210">
        <f>HLOOKUP($G$3,Premissas!$B$5:$F$13,9,FALSE)</f>
        <v>0.7</v>
      </c>
      <c r="B5" s="211" t="s">
        <v>112</v>
      </c>
      <c r="C5" s="212" t="s">
        <v>281</v>
      </c>
      <c r="D5" s="213">
        <f>$A$5*$D$4</f>
        <v>3228.8771650271606</v>
      </c>
      <c r="E5" s="214" t="s">
        <v>113</v>
      </c>
      <c r="F5" s="215"/>
      <c r="G5" s="215"/>
      <c r="H5" s="239"/>
    </row>
    <row r="6" spans="1:9" ht="28.8" x14ac:dyDescent="0.3">
      <c r="A6" s="95"/>
      <c r="B6" s="216" t="s">
        <v>114</v>
      </c>
      <c r="C6" s="217" t="s">
        <v>282</v>
      </c>
      <c r="D6" s="218">
        <f>$D$34*Premissas!$E$20</f>
        <v>16848160</v>
      </c>
      <c r="E6" s="216" t="s">
        <v>115</v>
      </c>
      <c r="F6" s="234">
        <f>H34</f>
        <v>628473080.14064002</v>
      </c>
      <c r="G6" s="85" t="s">
        <v>116</v>
      </c>
    </row>
    <row r="7" spans="1:9" ht="16.8" thickBot="1" x14ac:dyDescent="0.35">
      <c r="A7" s="219"/>
      <c r="B7" s="220" t="s">
        <v>117</v>
      </c>
      <c r="C7" s="221" t="s">
        <v>283</v>
      </c>
      <c r="D7" s="222">
        <f>$D$5/$D$6*1000</f>
        <v>0.1916456850497123</v>
      </c>
      <c r="E7" s="223" t="s">
        <v>118</v>
      </c>
      <c r="F7" s="236">
        <f>$D$5/$F$6*1000000</f>
        <v>5.1376538901309834</v>
      </c>
      <c r="G7" s="232" t="s">
        <v>15</v>
      </c>
      <c r="I7" s="239"/>
    </row>
    <row r="8" spans="1:9" ht="15.6" x14ac:dyDescent="0.3">
      <c r="A8" s="210">
        <f>1-A5</f>
        <v>0.30000000000000004</v>
      </c>
      <c r="B8" s="211" t="s">
        <v>119</v>
      </c>
      <c r="C8" s="212" t="s">
        <v>284</v>
      </c>
      <c r="D8" s="213">
        <f>$A$8*$D$4</f>
        <v>1383.8044992973548</v>
      </c>
      <c r="E8" s="214" t="s">
        <v>113</v>
      </c>
      <c r="F8" s="235"/>
      <c r="G8" s="233"/>
    </row>
    <row r="9" spans="1:9" ht="28.8" x14ac:dyDescent="0.3">
      <c r="B9" s="216" t="s">
        <v>120</v>
      </c>
      <c r="C9" s="217" t="s">
        <v>285</v>
      </c>
      <c r="D9" s="218">
        <f>$D$57*Premissas!$E$20</f>
        <v>14305795</v>
      </c>
      <c r="E9" s="216" t="s">
        <v>115</v>
      </c>
      <c r="F9" s="234">
        <f>H57</f>
        <v>533637325.82730496</v>
      </c>
      <c r="G9" s="85" t="s">
        <v>116</v>
      </c>
    </row>
    <row r="10" spans="1:9" ht="16.8" thickBot="1" x14ac:dyDescent="0.35">
      <c r="A10" s="229"/>
      <c r="B10" s="220" t="s">
        <v>121</v>
      </c>
      <c r="C10" s="221" t="s">
        <v>286</v>
      </c>
      <c r="D10" s="222">
        <f>$D$8/$D$9*1000</f>
        <v>9.6730345940044218E-2</v>
      </c>
      <c r="E10" s="223" t="s">
        <v>118</v>
      </c>
      <c r="F10" s="236">
        <f>$D$8/$F$9*1000000</f>
        <v>2.5931553741148532</v>
      </c>
      <c r="G10" s="232" t="s">
        <v>15</v>
      </c>
    </row>
    <row r="11" spans="1:9" ht="15" thickBot="1" x14ac:dyDescent="0.35">
      <c r="A11" s="224"/>
      <c r="B11" s="224" t="s">
        <v>122</v>
      </c>
      <c r="C11" s="230">
        <f>HLOOKUP($G$3,Premissas!$B$5:$F$8,4,FALSE)</f>
        <v>0.8</v>
      </c>
      <c r="D11" s="224"/>
      <c r="E11" s="224"/>
      <c r="F11" s="231"/>
      <c r="G11" s="224"/>
    </row>
    <row r="13" spans="1:9" s="98" customFormat="1" x14ac:dyDescent="0.3">
      <c r="A13" s="98" t="s">
        <v>123</v>
      </c>
      <c r="B13" s="98" t="s">
        <v>124</v>
      </c>
    </row>
    <row r="14" spans="1:9" x14ac:dyDescent="0.3">
      <c r="I14" s="96"/>
    </row>
    <row r="15" spans="1:9" x14ac:dyDescent="0.3">
      <c r="A15" s="99" t="s">
        <v>125</v>
      </c>
      <c r="B15" s="100" t="s">
        <v>126</v>
      </c>
      <c r="C15" s="101"/>
      <c r="I15" s="96"/>
    </row>
    <row r="16" spans="1:9" ht="15.6" x14ac:dyDescent="0.35">
      <c r="A16" t="s">
        <v>287</v>
      </c>
      <c r="B16" t="s">
        <v>127</v>
      </c>
      <c r="C16" s="47"/>
      <c r="I16" s="96"/>
    </row>
    <row r="17" spans="1:9" ht="15.6" x14ac:dyDescent="0.35">
      <c r="A17" t="s">
        <v>288</v>
      </c>
      <c r="B17" t="s">
        <v>128</v>
      </c>
      <c r="C17" s="47"/>
      <c r="I17" s="96"/>
    </row>
    <row r="18" spans="1:9" ht="15.6" x14ac:dyDescent="0.35">
      <c r="A18" t="s">
        <v>289</v>
      </c>
      <c r="B18" t="s">
        <v>129</v>
      </c>
      <c r="C18" s="47"/>
      <c r="H18">
        <v>37.302179000000002</v>
      </c>
      <c r="I18" s="96"/>
    </row>
    <row r="19" spans="1:9" ht="15.6" x14ac:dyDescent="0.35">
      <c r="A19" t="s">
        <v>290</v>
      </c>
      <c r="B19" t="s">
        <v>130</v>
      </c>
      <c r="C19" s="47"/>
      <c r="H19" s="102">
        <v>3.7302178999999998E-2</v>
      </c>
      <c r="I19" s="96"/>
    </row>
    <row r="20" spans="1:9" x14ac:dyDescent="0.3">
      <c r="C20" s="47"/>
      <c r="H20" s="102"/>
      <c r="I20" s="96"/>
    </row>
    <row r="21" spans="1:9" x14ac:dyDescent="0.3">
      <c r="A21" s="266"/>
      <c r="B21" s="266"/>
      <c r="C21" s="381">
        <f>G3</f>
        <v>2024</v>
      </c>
      <c r="D21" s="382"/>
      <c r="G21" s="380">
        <f>G3</f>
        <v>2024</v>
      </c>
      <c r="H21" s="380"/>
      <c r="I21" s="96"/>
    </row>
    <row r="22" spans="1:9" ht="16.05" customHeight="1" x14ac:dyDescent="0.3">
      <c r="A22" s="267"/>
      <c r="B22" s="267"/>
      <c r="C22" s="383" t="s">
        <v>246</v>
      </c>
      <c r="D22" s="384"/>
      <c r="G22" s="380" t="s">
        <v>247</v>
      </c>
      <c r="H22" s="380"/>
      <c r="I22" s="96"/>
    </row>
    <row r="23" spans="1:9" ht="33.6" x14ac:dyDescent="0.3">
      <c r="A23" s="268" t="s">
        <v>131</v>
      </c>
      <c r="B23" s="268" t="s">
        <v>132</v>
      </c>
      <c r="C23" s="105" t="s">
        <v>291</v>
      </c>
      <c r="D23" s="106" t="s">
        <v>292</v>
      </c>
      <c r="G23" s="105" t="s">
        <v>293</v>
      </c>
      <c r="H23" s="106" t="s">
        <v>294</v>
      </c>
      <c r="I23" s="96"/>
    </row>
    <row r="24" spans="1:9" x14ac:dyDescent="0.3">
      <c r="A24" s="2" t="s">
        <v>248</v>
      </c>
      <c r="B24" s="44" t="str">
        <f>'Oferta x Demanda'!O2</f>
        <v>PR-CARAGUATATUBA</v>
      </c>
      <c r="C24" s="317">
        <f>Oferta!C3</f>
        <v>20000</v>
      </c>
      <c r="D24" s="317">
        <f>'Oferta x Demanda'!C2</f>
        <v>14178</v>
      </c>
      <c r="F24" s="107"/>
      <c r="G24" s="43">
        <f>IFERROR($C24*$H$19*Premissas!$E$20*1000," ")</f>
        <v>182780677.09999996</v>
      </c>
      <c r="H24" s="43">
        <f>IFERROR($D24*$H$19*Premissas!$E$20*1000," ")</f>
        <v>129573221.99618998</v>
      </c>
      <c r="I24" s="96"/>
    </row>
    <row r="25" spans="1:9" x14ac:dyDescent="0.3">
      <c r="A25" s="2" t="s">
        <v>133</v>
      </c>
      <c r="B25" s="44" t="str">
        <f>'Oferta x Demanda'!O3</f>
        <v>PR-GNLBGB</v>
      </c>
      <c r="C25" s="317">
        <f>Oferta!C4</f>
        <v>20000</v>
      </c>
      <c r="D25" s="317">
        <f>'Oferta x Demanda'!C3</f>
        <v>20000</v>
      </c>
      <c r="F25" s="107"/>
      <c r="G25" s="43">
        <f>IFERROR($C25*$H$19*Premissas!$E$20*1000," ")</f>
        <v>182780677.09999996</v>
      </c>
      <c r="H25" s="43">
        <f>IFERROR($D25*$H$19*Premissas!$E$20*1000," ")</f>
        <v>182780677.09999996</v>
      </c>
      <c r="I25" s="96"/>
    </row>
    <row r="26" spans="1:9" x14ac:dyDescent="0.3">
      <c r="A26" s="2" t="s">
        <v>134</v>
      </c>
      <c r="B26" s="44" t="str">
        <f>'Oferta x Demanda'!O4</f>
        <v>PR-ITABORAÍ</v>
      </c>
      <c r="C26" s="317">
        <f>Oferta!C5</f>
        <v>12000</v>
      </c>
      <c r="D26" s="317">
        <f>'Oferta x Demanda'!C4</f>
        <v>13000</v>
      </c>
      <c r="E26" s="46"/>
      <c r="F26" s="107"/>
      <c r="G26" s="43">
        <f>IFERROR($C26*$H$19*Premissas!$E$20*1000," ")</f>
        <v>109668406.26000001</v>
      </c>
      <c r="H26" s="43">
        <f>IFERROR($D26*$H$19*Premissas!$E$20*1000," ")</f>
        <v>118807440.11499999</v>
      </c>
      <c r="I26" s="96"/>
    </row>
    <row r="27" spans="1:9" x14ac:dyDescent="0.3">
      <c r="A27" s="2" t="s">
        <v>135</v>
      </c>
      <c r="B27" s="44" t="str">
        <f>'Oferta x Demanda'!O5</f>
        <v>PR-GASPAJ (INTERCONEXÃO)</v>
      </c>
      <c r="C27" s="317">
        <f>Oferta!C6</f>
        <v>1250</v>
      </c>
      <c r="D27" s="317">
        <f>'Oferta x Demanda'!C5</f>
        <v>335</v>
      </c>
      <c r="E27" s="46"/>
      <c r="F27" s="107"/>
      <c r="G27" s="43">
        <f>IFERROR($C27*$H$19*Premissas!$E$20*1000," ")</f>
        <v>11423792.318749998</v>
      </c>
      <c r="H27" s="43">
        <f>IFERROR($D27*$H$19*Premissas!$E$20*1000," ")</f>
        <v>3061576.3414250002</v>
      </c>
      <c r="I27" s="96"/>
    </row>
    <row r="28" spans="1:9" x14ac:dyDescent="0.3">
      <c r="A28" s="2" t="s">
        <v>136</v>
      </c>
      <c r="B28" s="44" t="str">
        <f>'Oferta x Demanda'!O6</f>
        <v>PR-REDUC</v>
      </c>
      <c r="C28" s="317">
        <f>Oferta!C7</f>
        <v>5000</v>
      </c>
      <c r="D28" s="317">
        <f>'Oferta x Demanda'!C6</f>
        <v>0</v>
      </c>
      <c r="E28" s="46"/>
      <c r="F28" s="107"/>
      <c r="G28" s="43">
        <f>IFERROR($C28*$H$19*Premissas!$E$20*1000," ")</f>
        <v>45695169.274999991</v>
      </c>
      <c r="H28" s="43">
        <f>IFERROR($D28*$H$19*Premissas!$E$20*1000," ")</f>
        <v>0</v>
      </c>
      <c r="I28" s="96"/>
    </row>
    <row r="29" spans="1:9" x14ac:dyDescent="0.3">
      <c r="A29" s="2" t="s">
        <v>249</v>
      </c>
      <c r="B29" s="44" t="str">
        <f>'Oferta x Demanda'!O7</f>
        <v>PR-RPBC</v>
      </c>
      <c r="C29" s="317">
        <f>Oferta!C8</f>
        <v>2200</v>
      </c>
      <c r="D29" s="317">
        <f>'Oferta x Demanda'!C7</f>
        <v>0</v>
      </c>
      <c r="E29" s="46"/>
      <c r="F29" s="107"/>
      <c r="G29" s="43">
        <f>IFERROR($C29*$H$19*Premissas!$E$20*1000," ")</f>
        <v>20105874.480999999</v>
      </c>
      <c r="H29" s="43">
        <f>IFERROR($D29*$H$19*Premissas!$E$20*1000," ")</f>
        <v>0</v>
      </c>
      <c r="I29" s="96"/>
    </row>
    <row r="30" spans="1:9" x14ac:dyDescent="0.3">
      <c r="A30" s="2" t="s">
        <v>137</v>
      </c>
      <c r="B30" s="44" t="str">
        <f>'Oferta x Demanda'!O8</f>
        <v>PR-TECAB</v>
      </c>
      <c r="C30" s="317">
        <f>Oferta!C9</f>
        <v>25160</v>
      </c>
      <c r="D30" s="317">
        <f>'Oferta x Demanda'!C8</f>
        <v>14855</v>
      </c>
      <c r="E30" s="46"/>
      <c r="F30" s="107"/>
      <c r="G30" s="43">
        <f>IFERROR($C30*$H$19*Premissas!$E$20*1000," ")</f>
        <v>229938091.79179999</v>
      </c>
      <c r="H30" s="43">
        <f>IFERROR($D30*$H$19*Premissas!$E$20*1000," ")</f>
        <v>135760347.91602501</v>
      </c>
      <c r="I30" s="96"/>
    </row>
    <row r="31" spans="1:9" x14ac:dyDescent="0.3">
      <c r="A31" s="2" t="s">
        <v>250</v>
      </c>
      <c r="B31" s="44" t="str">
        <f>'Oferta x Demanda'!O9</f>
        <v>PR-GUARAREMA (INTERCONEXÃO)</v>
      </c>
      <c r="C31" s="317">
        <f>Oferta!C10</f>
        <v>0</v>
      </c>
      <c r="D31" s="317">
        <f>'Oferta x Demanda'!C9</f>
        <v>6000</v>
      </c>
      <c r="E31" s="46"/>
      <c r="F31" s="107"/>
      <c r="G31" s="43">
        <f>IFERROR($C31*$H$19*Premissas!$E$20*1000," ")</f>
        <v>0</v>
      </c>
      <c r="H31" s="43">
        <f>IFERROR($D31*$H$19*Premissas!$E$20*1000," ")</f>
        <v>54834203.130000003</v>
      </c>
      <c r="I31" s="96"/>
    </row>
    <row r="32" spans="1:9" x14ac:dyDescent="0.3">
      <c r="A32" s="2" t="s">
        <v>138</v>
      </c>
      <c r="B32" s="44" t="str">
        <f>'Oferta x Demanda'!O10</f>
        <v>PR-REPLAN (INTERCONEXÃO)</v>
      </c>
      <c r="C32" s="317">
        <f>Oferta!C11</f>
        <v>0</v>
      </c>
      <c r="D32" s="317">
        <f>'Oferta x Demanda'!C10</f>
        <v>200</v>
      </c>
      <c r="E32" s="46"/>
      <c r="F32" s="107"/>
      <c r="G32" s="43">
        <f>IFERROR($C32*$H$19*Premissas!$E$20*1000," ")</f>
        <v>0</v>
      </c>
      <c r="H32" s="43">
        <f>IFERROR($D32*$H$19*Premissas!$E$20*1000," ")</f>
        <v>1827806.7709999999</v>
      </c>
      <c r="I32" s="96"/>
    </row>
    <row r="33" spans="1:10" x14ac:dyDescent="0.3">
      <c r="A33" s="2" t="s">
        <v>139</v>
      </c>
      <c r="B33" s="44" t="str">
        <f>'Oferta x Demanda'!O11</f>
        <v>PR-TECAB (INTERCONEXÃO)</v>
      </c>
      <c r="C33" s="317">
        <f>Oferta!C12</f>
        <v>0</v>
      </c>
      <c r="D33" s="317">
        <f>'Oferta x Demanda'!C11</f>
        <v>200</v>
      </c>
      <c r="E33" s="46"/>
      <c r="F33" s="107"/>
      <c r="G33" s="43">
        <f>IFERROR($C33*$H$19*Premissas!$E$20*1000," ")</f>
        <v>0</v>
      </c>
      <c r="H33" s="43">
        <f>IFERROR($D33*$H$19*Premissas!$E$20*1000," ")</f>
        <v>1827806.7709999999</v>
      </c>
      <c r="I33" s="96"/>
    </row>
    <row r="34" spans="1:10" x14ac:dyDescent="0.3">
      <c r="C34" s="108">
        <f>SUM(C24:C33)</f>
        <v>85610</v>
      </c>
      <c r="D34" s="108">
        <f>SUM(D24:D33)</f>
        <v>68768</v>
      </c>
      <c r="E34" s="108"/>
      <c r="F34" s="107"/>
      <c r="G34" s="108">
        <f>SUM(G24:G33)</f>
        <v>782392688.32654989</v>
      </c>
      <c r="H34" s="108">
        <f>SUM(H24:H33)</f>
        <v>628473080.14064002</v>
      </c>
      <c r="I34" s="96"/>
    </row>
    <row r="35" spans="1:10" x14ac:dyDescent="0.3">
      <c r="C35" s="107">
        <f>Oferta!C13</f>
        <v>85610</v>
      </c>
      <c r="D35" s="107">
        <f>'Oferta x Demanda'!C12</f>
        <v>68768</v>
      </c>
      <c r="E35" s="107"/>
      <c r="F35" s="107"/>
      <c r="G35" s="107">
        <f>Oferta!C13*Premissas!C19*Premissas!E20</f>
        <v>782392688.32655013</v>
      </c>
      <c r="H35" s="107">
        <f>Oferta!E13*Premissas!F19*Premissas!E20</f>
        <v>628473080.14064002</v>
      </c>
      <c r="I35" s="96"/>
    </row>
    <row r="36" spans="1:10" x14ac:dyDescent="0.3">
      <c r="C36" s="107">
        <f>C34-C35</f>
        <v>0</v>
      </c>
      <c r="D36" s="107">
        <f>D34-D35</f>
        <v>0</v>
      </c>
      <c r="E36" s="107"/>
      <c r="F36" s="107"/>
      <c r="G36" s="107">
        <f>G34-G35</f>
        <v>0</v>
      </c>
      <c r="H36" s="107">
        <f>H34-H35</f>
        <v>0</v>
      </c>
      <c r="I36" s="96"/>
    </row>
    <row r="37" spans="1:10" x14ac:dyDescent="0.3">
      <c r="C37" s="107"/>
      <c r="D37" s="107"/>
      <c r="E37" s="107"/>
      <c r="F37" s="107"/>
      <c r="G37" s="107"/>
      <c r="H37" s="107"/>
      <c r="I37" s="96"/>
    </row>
    <row r="38" spans="1:10" x14ac:dyDescent="0.3">
      <c r="A38" s="266"/>
      <c r="B38" s="266"/>
      <c r="C38" s="380">
        <f>C21</f>
        <v>2024</v>
      </c>
      <c r="D38" s="380"/>
      <c r="G38" s="380">
        <f>G21</f>
        <v>2024</v>
      </c>
      <c r="H38" s="380"/>
      <c r="J38" s="96"/>
    </row>
    <row r="39" spans="1:10" ht="16.05" customHeight="1" x14ac:dyDescent="0.3">
      <c r="A39" s="267"/>
      <c r="B39" s="267"/>
      <c r="C39" s="380" t="s">
        <v>246</v>
      </c>
      <c r="D39" s="380"/>
      <c r="G39" s="380" t="s">
        <v>247</v>
      </c>
      <c r="H39" s="380"/>
      <c r="I39" s="96"/>
    </row>
    <row r="40" spans="1:10" ht="33.6" x14ac:dyDescent="0.3">
      <c r="A40" s="103" t="s">
        <v>131</v>
      </c>
      <c r="B40" s="268" t="s">
        <v>140</v>
      </c>
      <c r="C40" s="105" t="s">
        <v>295</v>
      </c>
      <c r="D40" s="106" t="s">
        <v>296</v>
      </c>
      <c r="G40" s="105" t="s">
        <v>297</v>
      </c>
      <c r="H40" s="106" t="s">
        <v>298</v>
      </c>
      <c r="I40" s="96"/>
    </row>
    <row r="41" spans="1:10" x14ac:dyDescent="0.3">
      <c r="A41" s="2" t="s">
        <v>41</v>
      </c>
      <c r="B41" s="44" t="str">
        <f>'Oferta x Demanda'!A17</f>
        <v>NTS MG 1</v>
      </c>
      <c r="C41" s="317">
        <f>Demanda!C3</f>
        <v>864.5</v>
      </c>
      <c r="D41" s="317">
        <f>'Oferta x Demanda'!C17</f>
        <v>607</v>
      </c>
      <c r="G41" s="43">
        <f>IFERROR($C41*$H$19*Premissas!$E$20*1000," ")</f>
        <v>7900694.7676475001</v>
      </c>
      <c r="H41" s="43">
        <f>IFERROR($D41*$H$19*Premissas!$E$20*1000," ")</f>
        <v>5547393.5499849999</v>
      </c>
      <c r="I41" s="96"/>
    </row>
    <row r="42" spans="1:10" x14ac:dyDescent="0.3">
      <c r="A42" s="2" t="s">
        <v>42</v>
      </c>
      <c r="B42" s="44" t="str">
        <f>'Oferta x Demanda'!A18</f>
        <v>NTS MG 2</v>
      </c>
      <c r="C42" s="317">
        <f>Demanda!C4</f>
        <v>1825.9</v>
      </c>
      <c r="D42" s="317">
        <f>'Oferta x Demanda'!C18</f>
        <v>1678</v>
      </c>
      <c r="G42" s="43">
        <f>IFERROR($C42*$H$19*Premissas!$E$20*1000," ")</f>
        <v>16686961.915844502</v>
      </c>
      <c r="H42" s="43">
        <f>IFERROR($D42*$H$19*Premissas!$E$20*1000," ")</f>
        <v>15335298.80869</v>
      </c>
      <c r="I42" s="96"/>
    </row>
    <row r="43" spans="1:10" x14ac:dyDescent="0.3">
      <c r="A43" s="2" t="s">
        <v>43</v>
      </c>
      <c r="B43" s="44" t="str">
        <f>'Oferta x Demanda'!A19</f>
        <v>NTS MG 3</v>
      </c>
      <c r="C43" s="317">
        <f>Demanda!C5</f>
        <v>3040.95</v>
      </c>
      <c r="D43" s="317">
        <f>'Oferta x Demanda'!C19</f>
        <v>2737</v>
      </c>
      <c r="E43" s="46"/>
      <c r="G43" s="43">
        <f>IFERROR($C43*$H$19*Premissas!$E$20*1000," ")</f>
        <v>27791345.001362249</v>
      </c>
      <c r="H43" s="43">
        <f>IFERROR($D43*$H$19*Premissas!$E$20*1000," ")</f>
        <v>25013535.661134996</v>
      </c>
      <c r="I43" s="96"/>
    </row>
    <row r="44" spans="1:10" x14ac:dyDescent="0.3">
      <c r="A44" s="2" t="s">
        <v>44</v>
      </c>
      <c r="B44" s="44" t="str">
        <f>'Oferta x Demanda'!A20</f>
        <v>NTS MG 4</v>
      </c>
      <c r="C44" s="317">
        <f>Demanda!C6</f>
        <v>1187.5</v>
      </c>
      <c r="D44" s="317">
        <f>'Oferta x Demanda'!C20</f>
        <v>335</v>
      </c>
      <c r="E44" s="46"/>
      <c r="G44" s="43">
        <f>IFERROR($C44*$H$19*Premissas!$E$20*1000," ")</f>
        <v>10852602.702812498</v>
      </c>
      <c r="H44" s="43">
        <f>IFERROR($D44*$H$19*Premissas!$E$20*1000," ")</f>
        <v>3061576.3414250002</v>
      </c>
      <c r="I44" s="96"/>
    </row>
    <row r="45" spans="1:10" x14ac:dyDescent="0.3">
      <c r="A45" s="2" t="s">
        <v>45</v>
      </c>
      <c r="B45" s="44" t="str">
        <f>'Oferta x Demanda'!A21</f>
        <v>NTS RJ 1</v>
      </c>
      <c r="C45" s="317">
        <f>Demanda!C7</f>
        <v>21185</v>
      </c>
      <c r="D45" s="317">
        <f>'Oferta x Demanda'!C21</f>
        <v>17793</v>
      </c>
      <c r="E45" s="46"/>
      <c r="G45" s="43">
        <f>IFERROR($C45*$H$19*Premissas!$E$20*1000," ")</f>
        <v>193610432.21817496</v>
      </c>
      <c r="H45" s="43">
        <f>IFERROR($D45*$H$19*Premissas!$E$20*1000," ")</f>
        <v>162610829.38201499</v>
      </c>
      <c r="I45" s="96"/>
    </row>
    <row r="46" spans="1:10" x14ac:dyDescent="0.3">
      <c r="A46" s="2" t="s">
        <v>46</v>
      </c>
      <c r="B46" s="44" t="str">
        <f>'Oferta x Demanda'!A22</f>
        <v>NTS RJ 2</v>
      </c>
      <c r="C46" s="317">
        <f>Demanda!C8</f>
        <v>11271.75</v>
      </c>
      <c r="D46" s="317">
        <f>'Oferta x Demanda'!C22</f>
        <v>8406</v>
      </c>
      <c r="E46" s="46"/>
      <c r="G46" s="43">
        <f>IFERROR($C46*$H$19*Premissas!$E$20*1000," ")</f>
        <v>103012904.85509625</v>
      </c>
      <c r="H46" s="43">
        <f>IFERROR($D46*$H$19*Premissas!$E$20*1000," ")</f>
        <v>76822718.585130006</v>
      </c>
      <c r="I46" s="96"/>
    </row>
    <row r="47" spans="1:10" x14ac:dyDescent="0.3">
      <c r="A47" s="2" t="s">
        <v>47</v>
      </c>
      <c r="B47" s="44" t="str">
        <f>'Oferta x Demanda'!A23</f>
        <v>NTS RJ 3</v>
      </c>
      <c r="C47" s="317">
        <f>Demanda!C9</f>
        <v>3249</v>
      </c>
      <c r="D47" s="317">
        <f>'Oferta x Demanda'!C23</f>
        <v>1714</v>
      </c>
      <c r="E47" s="46"/>
      <c r="G47" s="43">
        <f>IFERROR($C47*$H$19*Premissas!$E$20*1000," ")</f>
        <v>29692720.994895</v>
      </c>
      <c r="H47" s="43">
        <f>IFERROR($D47*$H$19*Premissas!$E$20*1000," ")</f>
        <v>15664304.02747</v>
      </c>
      <c r="I47" s="96"/>
    </row>
    <row r="48" spans="1:10" x14ac:dyDescent="0.3">
      <c r="A48" s="2" t="s">
        <v>48</v>
      </c>
      <c r="B48" s="44" t="str">
        <f>'Oferta x Demanda'!A24</f>
        <v>NTS RJ 4</v>
      </c>
      <c r="C48" s="317">
        <f>Demanda!C10</f>
        <v>498.75</v>
      </c>
      <c r="D48" s="317">
        <f>'Oferta x Demanda'!C24</f>
        <v>323</v>
      </c>
      <c r="E48" s="46"/>
      <c r="G48" s="43">
        <f>IFERROR($C48*$H$19*Premissas!$E$20*1000," ")</f>
        <v>4558093.1351812501</v>
      </c>
      <c r="H48" s="43">
        <f>IFERROR($D48*$H$19*Premissas!$E$20*1000," ")</f>
        <v>2951907.9351649997</v>
      </c>
      <c r="I48" s="96"/>
    </row>
    <row r="49" spans="1:9" x14ac:dyDescent="0.3">
      <c r="A49" s="2" t="s">
        <v>49</v>
      </c>
      <c r="B49" s="44" t="str">
        <f>'Oferta x Demanda'!A25</f>
        <v>NTS RJ 5</v>
      </c>
      <c r="C49" s="317">
        <f>Demanda!C11</f>
        <v>3321.2</v>
      </c>
      <c r="D49" s="317">
        <f>'Oferta x Demanda'!C25</f>
        <v>2128</v>
      </c>
      <c r="E49" s="46"/>
      <c r="G49" s="43">
        <f>IFERROR($C49*$H$19*Premissas!$E$20*1000," ")</f>
        <v>30352559.239225999</v>
      </c>
      <c r="H49" s="43">
        <f>IFERROR($D49*$H$19*Premissas!$E$20*1000," ")</f>
        <v>19447864.043439995</v>
      </c>
      <c r="I49" s="96"/>
    </row>
    <row r="50" spans="1:9" x14ac:dyDescent="0.3">
      <c r="A50" s="2" t="s">
        <v>50</v>
      </c>
      <c r="B50" s="44" t="str">
        <f>'Oferta x Demanda'!A26</f>
        <v>NTS SP 1</v>
      </c>
      <c r="C50" s="317">
        <f>Demanda!C12</f>
        <v>14292.75</v>
      </c>
      <c r="D50" s="317">
        <f>'Oferta x Demanda'!C26</f>
        <v>1237</v>
      </c>
      <c r="E50" s="46"/>
      <c r="G50" s="43">
        <f>IFERROR($C50*$H$19*Premissas!$E$20*1000," ")</f>
        <v>130621926.13105126</v>
      </c>
      <c r="H50" s="43">
        <f>IFERROR($D50*$H$19*Premissas!$E$20*1000," ")</f>
        <v>11304984.878634999</v>
      </c>
      <c r="I50" s="96"/>
    </row>
    <row r="51" spans="1:9" x14ac:dyDescent="0.3">
      <c r="A51" s="2" t="s">
        <v>51</v>
      </c>
      <c r="B51" s="44" t="str">
        <f>'Oferta x Demanda'!A27</f>
        <v>NTS SP 2</v>
      </c>
      <c r="C51" s="317">
        <f>Demanda!C13</f>
        <v>3971</v>
      </c>
      <c r="D51" s="317">
        <f>'Oferta x Demanda'!C27</f>
        <v>2972</v>
      </c>
      <c r="E51" s="46"/>
      <c r="G51" s="43">
        <f>IFERROR($C51*$H$19*Premissas!$E$20*1000," ")</f>
        <v>36291103.438204996</v>
      </c>
      <c r="H51" s="43">
        <f>IFERROR($D51*$H$19*Premissas!$E$20*1000," ")</f>
        <v>27161208.617059998</v>
      </c>
      <c r="I51" s="96"/>
    </row>
    <row r="52" spans="1:9" x14ac:dyDescent="0.3">
      <c r="A52" s="2" t="s">
        <v>52</v>
      </c>
      <c r="B52" s="44" t="str">
        <f>'Oferta x Demanda'!A28</f>
        <v>NTS SP 3</v>
      </c>
      <c r="C52" s="317">
        <f>Demanda!C14</f>
        <v>9941.75</v>
      </c>
      <c r="D52" s="317">
        <f>'Oferta x Demanda'!C28</f>
        <v>7969</v>
      </c>
      <c r="E52" s="46"/>
      <c r="G52" s="43">
        <f>IFERROR($C52*$H$19*Premissas!$E$20*1000," ")</f>
        <v>90857989.827946246</v>
      </c>
      <c r="H52" s="43">
        <f>IFERROR($D52*$H$19*Premissas!$E$20*1000," ")</f>
        <v>72828960.790494993</v>
      </c>
      <c r="I52" s="96"/>
    </row>
    <row r="53" spans="1:9" x14ac:dyDescent="0.3">
      <c r="A53" s="2" t="s">
        <v>53</v>
      </c>
      <c r="B53" s="44" t="str">
        <f>'Oferta x Demanda'!A29</f>
        <v>NTS SP 4</v>
      </c>
      <c r="C53" s="317">
        <f>Demanda!C15</f>
        <v>3809.5</v>
      </c>
      <c r="D53" s="317">
        <f>'Oferta x Demanda'!C29</f>
        <v>3281</v>
      </c>
      <c r="E53" s="46"/>
      <c r="G53" s="43">
        <f>IFERROR($C53*$H$19*Premissas!$E$20*1000," ")</f>
        <v>34815149.470622495</v>
      </c>
      <c r="H53" s="43">
        <f>IFERROR($D53*$H$19*Premissas!$E$20*1000," ")</f>
        <v>29985170.078254998</v>
      </c>
      <c r="I53" s="96"/>
    </row>
    <row r="54" spans="1:9" x14ac:dyDescent="0.3">
      <c r="A54" s="2" t="s">
        <v>54</v>
      </c>
      <c r="B54" s="44" t="str">
        <f>'Oferta x Demanda'!A30</f>
        <v>PE-GUARAREMA (INTERCONEXÃO)</v>
      </c>
      <c r="C54" s="317">
        <f>Demanda!C16</f>
        <v>0</v>
      </c>
      <c r="D54" s="317">
        <f>'Oferta x Demanda'!C30</f>
        <v>0</v>
      </c>
      <c r="E54" s="46"/>
      <c r="G54" s="43">
        <f>IFERROR($C54*$H$19*Premissas!$E$20*1000," ")</f>
        <v>0</v>
      </c>
      <c r="H54" s="43">
        <f>IFERROR($D54*$H$19*Premissas!$E$20*1000," ")</f>
        <v>0</v>
      </c>
      <c r="I54" s="96"/>
    </row>
    <row r="55" spans="1:9" x14ac:dyDescent="0.3">
      <c r="A55" s="2" t="s">
        <v>55</v>
      </c>
      <c r="B55" s="44" t="str">
        <f>'Oferta x Demanda'!A31</f>
        <v>PE-REPLAN (INTERCONEXÃO)</v>
      </c>
      <c r="C55" s="317">
        <f>Demanda!C17</f>
        <v>0</v>
      </c>
      <c r="D55" s="317">
        <f>'Oferta x Demanda'!C31</f>
        <v>7011</v>
      </c>
      <c r="E55" s="46"/>
      <c r="G55" s="43">
        <f>IFERROR($C55*$H$19*Premissas!$E$20*1000," ")</f>
        <v>0</v>
      </c>
      <c r="H55" s="43">
        <f>IFERROR($D55*$H$19*Premissas!$E$20*1000," ")</f>
        <v>64073766.357404992</v>
      </c>
      <c r="I55" s="96"/>
    </row>
    <row r="56" spans="1:9" x14ac:dyDescent="0.3">
      <c r="A56" s="2" t="s">
        <v>56</v>
      </c>
      <c r="B56" s="44" t="str">
        <f>'Oferta x Demanda'!A32</f>
        <v>PE-TECAB (INTERCONEXÃO)</v>
      </c>
      <c r="C56" s="317">
        <f>Demanda!C18</f>
        <v>0</v>
      </c>
      <c r="D56" s="317">
        <f>'Oferta x Demanda'!C32</f>
        <v>200</v>
      </c>
      <c r="E56" s="46"/>
      <c r="G56" s="43">
        <f>IFERROR($C56*$H$19*Premissas!$E$20*1000," ")</f>
        <v>0</v>
      </c>
      <c r="H56" s="43">
        <f>IFERROR($D56*$H$19*Premissas!$E$20*1000," ")</f>
        <v>1827806.7709999999</v>
      </c>
      <c r="I56" s="96"/>
    </row>
    <row r="57" spans="1:9" x14ac:dyDescent="0.3">
      <c r="C57" s="108">
        <f>SUM(C41:C56)</f>
        <v>78459.549999999988</v>
      </c>
      <c r="D57" s="108">
        <f>SUM(D41:D56)</f>
        <v>58391</v>
      </c>
      <c r="E57" s="108"/>
      <c r="G57" s="108">
        <f>SUM(G41:G56)</f>
        <v>717044483.69806528</v>
      </c>
      <c r="H57" s="108">
        <f>SUM(H41:H56)</f>
        <v>533637325.82730496</v>
      </c>
      <c r="I57" s="96"/>
    </row>
    <row r="58" spans="1:9" x14ac:dyDescent="0.3">
      <c r="C58" s="107">
        <f>Demanda!C19</f>
        <v>78459.549999999988</v>
      </c>
      <c r="D58" s="107">
        <f>Demanda!E19</f>
        <v>58391</v>
      </c>
      <c r="E58" s="107"/>
      <c r="G58" s="107">
        <f>Demanda!C19*Premissas!C19*Premissas!E20</f>
        <v>717044483.69806516</v>
      </c>
      <c r="H58" s="107">
        <f>'Oferta x Demanda'!Q33</f>
        <v>533637325.82730496</v>
      </c>
      <c r="I58" s="96"/>
    </row>
    <row r="59" spans="1:9" x14ac:dyDescent="0.3">
      <c r="C59" s="107">
        <f>C57-C58</f>
        <v>0</v>
      </c>
      <c r="D59" s="107">
        <f>D57-D58</f>
        <v>0</v>
      </c>
      <c r="E59" s="107"/>
      <c r="F59" s="107"/>
      <c r="G59" s="107">
        <f>G57-G58</f>
        <v>0</v>
      </c>
      <c r="H59" s="107">
        <f>H57-H58</f>
        <v>0</v>
      </c>
      <c r="I59" s="96"/>
    </row>
    <row r="60" spans="1:9" x14ac:dyDescent="0.3">
      <c r="C60" s="96"/>
      <c r="D60" s="96"/>
      <c r="F60" s="96"/>
      <c r="G60" s="96"/>
      <c r="H60" s="96"/>
    </row>
    <row r="61" spans="1:9" s="98" customFormat="1" x14ac:dyDescent="0.3">
      <c r="A61" s="98" t="s">
        <v>141</v>
      </c>
      <c r="B61" s="98" t="s">
        <v>142</v>
      </c>
    </row>
    <row r="62" spans="1:9" x14ac:dyDescent="0.3">
      <c r="A62" s="3"/>
    </row>
    <row r="63" spans="1:9" x14ac:dyDescent="0.3">
      <c r="A63" t="s">
        <v>125</v>
      </c>
      <c r="B63" t="s">
        <v>126</v>
      </c>
    </row>
    <row r="64" spans="1:9" ht="15.6" x14ac:dyDescent="0.35">
      <c r="A64" t="s">
        <v>299</v>
      </c>
      <c r="B64" t="s">
        <v>143</v>
      </c>
    </row>
    <row r="65" spans="1:12" x14ac:dyDescent="0.3">
      <c r="C65" s="2" t="s">
        <v>248</v>
      </c>
      <c r="D65" s="2" t="s">
        <v>133</v>
      </c>
      <c r="E65" s="2" t="s">
        <v>134</v>
      </c>
      <c r="F65" s="2" t="s">
        <v>135</v>
      </c>
      <c r="G65" s="2" t="s">
        <v>136</v>
      </c>
      <c r="H65" s="2" t="s">
        <v>249</v>
      </c>
      <c r="I65" s="2" t="s">
        <v>137</v>
      </c>
      <c r="J65" s="2" t="s">
        <v>250</v>
      </c>
      <c r="K65" s="2" t="s">
        <v>138</v>
      </c>
      <c r="L65" s="2" t="s">
        <v>139</v>
      </c>
    </row>
    <row r="66" spans="1:12" ht="22.8" x14ac:dyDescent="0.3">
      <c r="C66" s="45" t="s">
        <v>261</v>
      </c>
      <c r="D66" s="45" t="s">
        <v>26</v>
      </c>
      <c r="E66" s="45" t="s">
        <v>512</v>
      </c>
      <c r="F66" s="45" t="s">
        <v>253</v>
      </c>
      <c r="G66" s="45" t="s">
        <v>27</v>
      </c>
      <c r="H66" s="45" t="s">
        <v>29</v>
      </c>
      <c r="I66" s="45" t="s">
        <v>24</v>
      </c>
      <c r="J66" s="45" t="s">
        <v>274</v>
      </c>
      <c r="K66" s="45" t="s">
        <v>276</v>
      </c>
      <c r="L66" s="45" t="s">
        <v>275</v>
      </c>
    </row>
    <row r="67" spans="1:12" x14ac:dyDescent="0.3">
      <c r="A67" s="2" t="s">
        <v>41</v>
      </c>
      <c r="B67" s="44" t="str">
        <f>B41</f>
        <v>NTS MG 1</v>
      </c>
      <c r="C67" s="318">
        <f ca="1">VLOOKUP($B67,'Matriz Distâncias NTS'!$S$2:$AC$18,2,0)</f>
        <v>447.1</v>
      </c>
      <c r="D67" s="318">
        <f ca="1">VLOOKUP($B67,'Matriz Distâncias NTS'!$S$2:$AC$18,3,0)</f>
        <v>251.935</v>
      </c>
      <c r="E67" s="318">
        <f ca="1">VLOOKUP($B67,'Matriz Distâncias NTS'!$S$2:$AC$18,4,0)</f>
        <v>301.35699999999997</v>
      </c>
      <c r="F67" s="318">
        <f ca="1">VLOOKUP($B67,'Matriz Distâncias NTS'!$S$2:$AC$18,8,0)</f>
        <v>550.255</v>
      </c>
      <c r="G67" s="318">
        <f ca="1">VLOOKUP($B67,'Matriz Distâncias NTS'!$S$2:$AC$18,7,0)</f>
        <v>133.93299999999999</v>
      </c>
      <c r="H67" s="318">
        <f ca="1">VLOOKUP($B67,'Matriz Distâncias NTS'!$S$2:$AC$18,9,0)</f>
        <v>519.08299999999997</v>
      </c>
      <c r="I67" s="318">
        <f ca="1">VLOOKUP($B67,'Matriz Distâncias NTS'!$S$2:$AC$18,10,0)</f>
        <v>432.233</v>
      </c>
      <c r="J67" s="318">
        <f ca="1">VLOOKUP($B67,'Matriz Distâncias NTS'!$S$2:$AC$18,5,0)</f>
        <v>412.91999999999996</v>
      </c>
      <c r="K67" s="318">
        <f ca="1">VLOOKUP($B67,'Matriz Distâncias NTS'!$S$2:$AC$18,8,0)</f>
        <v>550.255</v>
      </c>
      <c r="L67" s="318">
        <f ca="1">VLOOKUP($B67,'Matriz Distâncias NTS'!$S$2:$AC$18,11,0)</f>
        <v>432.233</v>
      </c>
    </row>
    <row r="68" spans="1:12" x14ac:dyDescent="0.3">
      <c r="A68" s="2" t="s">
        <v>42</v>
      </c>
      <c r="B68" s="44" t="str">
        <f>B42</f>
        <v>NTS MG 2</v>
      </c>
      <c r="C68" s="318">
        <f ca="1">VLOOKUP($B68,'Matriz Distâncias NTS'!$S$2:$AC$18,2,0)</f>
        <v>544.26400000000001</v>
      </c>
      <c r="D68" s="318">
        <f ca="1">VLOOKUP($B68,'Matriz Distâncias NTS'!$S$2:$AC$18,3,0)</f>
        <v>349.09899999999999</v>
      </c>
      <c r="E68" s="318">
        <f ca="1">VLOOKUP($B68,'Matriz Distâncias NTS'!$S$2:$AC$18,4,0)</f>
        <v>398.52100000000002</v>
      </c>
      <c r="F68" s="318">
        <f ca="1">VLOOKUP($B68,'Matriz Distâncias NTS'!$S$2:$AC$18,8,0)</f>
        <v>647.41899999999998</v>
      </c>
      <c r="G68" s="318">
        <f ca="1">VLOOKUP($B68,'Matriz Distâncias NTS'!$S$2:$AC$18,7,0)</f>
        <v>231.09699999999998</v>
      </c>
      <c r="H68" s="318">
        <f ca="1">VLOOKUP($B68,'Matriz Distâncias NTS'!$S$2:$AC$18,9,0)</f>
        <v>616.24699999999996</v>
      </c>
      <c r="I68" s="318">
        <f ca="1">VLOOKUP($B68,'Matriz Distâncias NTS'!$S$2:$AC$18,10,0)</f>
        <v>529.39700000000005</v>
      </c>
      <c r="J68" s="318">
        <f ca="1">VLOOKUP($B68,'Matriz Distâncias NTS'!$S$2:$AC$18,5,0)</f>
        <v>510.08400000000006</v>
      </c>
      <c r="K68" s="318">
        <f ca="1">VLOOKUP($B68,'Matriz Distâncias NTS'!$S$2:$AC$18,8,0)</f>
        <v>647.41899999999998</v>
      </c>
      <c r="L68" s="318">
        <f ca="1">VLOOKUP($B68,'Matriz Distâncias NTS'!$S$2:$AC$18,11,0)</f>
        <v>529.39700000000005</v>
      </c>
    </row>
    <row r="69" spans="1:12" x14ac:dyDescent="0.3">
      <c r="A69" s="2" t="s">
        <v>43</v>
      </c>
      <c r="B69" s="44" t="str">
        <f>B43</f>
        <v>NTS MG 3</v>
      </c>
      <c r="C69" s="318">
        <f ca="1">VLOOKUP($B69,'Matriz Distâncias NTS'!$S$2:$AC$18,2,0)</f>
        <v>661.42919999999992</v>
      </c>
      <c r="D69" s="318">
        <f ca="1">VLOOKUP($B69,'Matriz Distâncias NTS'!$S$2:$AC$18,3,0)</f>
        <v>466.26419999999996</v>
      </c>
      <c r="E69" s="318">
        <f ca="1">VLOOKUP($B69,'Matriz Distâncias NTS'!$S$2:$AC$18,4,0)</f>
        <v>515.68619999999999</v>
      </c>
      <c r="F69" s="318">
        <f ca="1">VLOOKUP($B69,'Matriz Distâncias NTS'!$S$2:$AC$18,8,0)</f>
        <v>764.58420000000001</v>
      </c>
      <c r="G69" s="318">
        <f ca="1">VLOOKUP($B69,'Matriz Distâncias NTS'!$S$2:$AC$18,7,0)</f>
        <v>348.26220000000001</v>
      </c>
      <c r="H69" s="318">
        <f ca="1">VLOOKUP($B69,'Matriz Distâncias NTS'!$S$2:$AC$18,9,0)</f>
        <v>733.4122000000001</v>
      </c>
      <c r="I69" s="318">
        <f ca="1">VLOOKUP($B69,'Matriz Distâncias NTS'!$S$2:$AC$18,10,0)</f>
        <v>646.56219999999996</v>
      </c>
      <c r="J69" s="318">
        <f ca="1">VLOOKUP($B69,'Matriz Distâncias NTS'!$S$2:$AC$18,5,0)</f>
        <v>627.24920000000009</v>
      </c>
      <c r="K69" s="318">
        <f ca="1">VLOOKUP($B69,'Matriz Distâncias NTS'!$S$2:$AC$18,8,0)</f>
        <v>764.58420000000001</v>
      </c>
      <c r="L69" s="318">
        <f ca="1">VLOOKUP($B69,'Matriz Distâncias NTS'!$S$2:$AC$18,11,0)</f>
        <v>646.56219999999996</v>
      </c>
    </row>
    <row r="70" spans="1:12" x14ac:dyDescent="0.3">
      <c r="A70" s="2" t="s">
        <v>44</v>
      </c>
      <c r="B70" s="44" t="str">
        <f t="shared" ref="B70:B82" si="0">B44</f>
        <v>NTS MG 4</v>
      </c>
      <c r="C70" s="318">
        <f ca="1">VLOOKUP($B70,'Matriz Distâncias NTS'!$S$2:$AC$18,2,0)</f>
        <v>394.62900000000002</v>
      </c>
      <c r="D70" s="318">
        <f ca="1">VLOOKUP($B70,'Matriz Distâncias NTS'!$S$2:$AC$18,3,0)</f>
        <v>596.17999999999995</v>
      </c>
      <c r="E70" s="318">
        <f ca="1">VLOOKUP($B70,'Matriz Distâncias NTS'!$S$2:$AC$18,4,0)</f>
        <v>645.60199999999998</v>
      </c>
      <c r="F70" s="318">
        <f ca="1">VLOOKUP($B70,'Matriz Distâncias NTS'!$S$2:$AC$18,8,0)</f>
        <v>93.766000000000005</v>
      </c>
      <c r="G70" s="318">
        <f ca="1">VLOOKUP($B70,'Matriz Distâncias NTS'!$S$2:$AC$18,7,0)</f>
        <v>598.4799999999999</v>
      </c>
      <c r="H70" s="318">
        <f ca="1">VLOOKUP($B70,'Matriz Distâncias NTS'!$S$2:$AC$18,9,0)</f>
        <v>466.61200000000002</v>
      </c>
      <c r="I70" s="318">
        <f ca="1">VLOOKUP($B70,'Matriz Distâncias NTS'!$S$2:$AC$18,10,0)</f>
        <v>776.47799999999995</v>
      </c>
      <c r="J70" s="318">
        <f ca="1">VLOOKUP($B70,'Matriz Distâncias NTS'!$S$2:$AC$18,5,0)</f>
        <v>360.44900000000001</v>
      </c>
      <c r="K70" s="318">
        <f ca="1">VLOOKUP($B70,'Matriz Distâncias NTS'!$S$2:$AC$18,8,0)</f>
        <v>93.766000000000005</v>
      </c>
      <c r="L70" s="318">
        <f ca="1">VLOOKUP($B70,'Matriz Distâncias NTS'!$S$2:$AC$18,11,0)</f>
        <v>776.47799999999995</v>
      </c>
    </row>
    <row r="71" spans="1:12" x14ac:dyDescent="0.3">
      <c r="A71" s="2" t="s">
        <v>45</v>
      </c>
      <c r="B71" s="44" t="str">
        <f t="shared" si="0"/>
        <v>NTS RJ 1</v>
      </c>
      <c r="C71" s="318">
        <f ca="1">VLOOKUP($B71,'Matriz Distâncias NTS'!$S$2:$AC$18,2,0)</f>
        <v>460.82099999999997</v>
      </c>
      <c r="D71" s="318">
        <f ca="1">VLOOKUP($B71,'Matriz Distâncias NTS'!$S$2:$AC$18,3,0)</f>
        <v>64.091333333333338</v>
      </c>
      <c r="E71" s="318">
        <f ca="1">VLOOKUP($B71,'Matriz Distâncias NTS'!$S$2:$AC$18,4,0)</f>
        <v>75.091333333333338</v>
      </c>
      <c r="F71" s="318">
        <f ca="1">VLOOKUP($B71,'Matriz Distâncias NTS'!$S$2:$AC$18,8,0)</f>
        <v>563.976</v>
      </c>
      <c r="G71" s="318">
        <f ca="1">VLOOKUP($B71,'Matriz Distâncias NTS'!$S$2:$AC$18,7,0)</f>
        <v>64.091333333333338</v>
      </c>
      <c r="H71" s="318">
        <f ca="1">VLOOKUP($B71,'Matriz Distâncias NTS'!$S$2:$AC$18,9,0)</f>
        <v>530.12266666666665</v>
      </c>
      <c r="I71" s="318">
        <f ca="1">VLOOKUP($B71,'Matriz Distâncias NTS'!$S$2:$AC$18,10,0)</f>
        <v>120.26933333333334</v>
      </c>
      <c r="J71" s="318">
        <f ca="1">VLOOKUP($B71,'Matriz Distâncias NTS'!$S$2:$AC$18,5,0)</f>
        <v>423.95966666666664</v>
      </c>
      <c r="K71" s="318">
        <f ca="1">VLOOKUP($B71,'Matriz Distâncias NTS'!$S$2:$AC$18,8,0)</f>
        <v>563.976</v>
      </c>
      <c r="L71" s="318">
        <f ca="1">VLOOKUP($B71,'Matriz Distâncias NTS'!$S$2:$AC$18,11,0)</f>
        <v>120.26933333333334</v>
      </c>
    </row>
    <row r="72" spans="1:12" x14ac:dyDescent="0.3">
      <c r="A72" s="2" t="s">
        <v>46</v>
      </c>
      <c r="B72" s="44" t="str">
        <f t="shared" si="0"/>
        <v>NTS RJ 2</v>
      </c>
      <c r="C72" s="318">
        <f ca="1">VLOOKUP($B72,'Matriz Distâncias NTS'!$S$2:$AC$18,2,0)</f>
        <v>352.80099999999999</v>
      </c>
      <c r="D72" s="318">
        <f ca="1">VLOOKUP($B72,'Matriz Distâncias NTS'!$S$2:$AC$18,3,0)</f>
        <v>46.097999999999992</v>
      </c>
      <c r="E72" s="318">
        <f ca="1">VLOOKUP($B72,'Matriz Distâncias NTS'!$S$2:$AC$18,4,0)</f>
        <v>95.519999999999982</v>
      </c>
      <c r="F72" s="318">
        <f ca="1">VLOOKUP($B72,'Matriz Distâncias NTS'!$S$2:$AC$18,8,0)</f>
        <v>456.31599999999997</v>
      </c>
      <c r="G72" s="318">
        <f ca="1">VLOOKUP($B72,'Matriz Distâncias NTS'!$S$2:$AC$18,7,0)</f>
        <v>45.943333333333328</v>
      </c>
      <c r="H72" s="318">
        <f ca="1">VLOOKUP($B72,'Matriz Distâncias NTS'!$S$2:$AC$18,9,0)</f>
        <v>424.06400000000002</v>
      </c>
      <c r="I72" s="318">
        <f ca="1">VLOOKUP($B72,'Matriz Distâncias NTS'!$S$2:$AC$18,10,0)</f>
        <v>226.39599999999999</v>
      </c>
      <c r="J72" s="318">
        <f ca="1">VLOOKUP($B72,'Matriz Distâncias NTS'!$S$2:$AC$18,5,0)</f>
        <v>318.62100000000004</v>
      </c>
      <c r="K72" s="318">
        <f ca="1">VLOOKUP($B72,'Matriz Distâncias NTS'!$S$2:$AC$18,8,0)</f>
        <v>456.31599999999997</v>
      </c>
      <c r="L72" s="318">
        <f ca="1">VLOOKUP($B72,'Matriz Distâncias NTS'!$S$2:$AC$18,11,0)</f>
        <v>226.39599999999999</v>
      </c>
    </row>
    <row r="73" spans="1:12" x14ac:dyDescent="0.3">
      <c r="A73" s="2" t="s">
        <v>47</v>
      </c>
      <c r="B73" s="44" t="str">
        <f t="shared" si="0"/>
        <v>NTS RJ 3</v>
      </c>
      <c r="C73" s="318">
        <f ca="1">VLOOKUP($B73,'Matriz Distâncias NTS'!$S$2:$AC$18,2,0)</f>
        <v>307.62360000000001</v>
      </c>
      <c r="D73" s="318">
        <f ca="1">VLOOKUP($B73,'Matriz Distâncias NTS'!$S$2:$AC$18,3,0)</f>
        <v>92.737400000000008</v>
      </c>
      <c r="E73" s="318">
        <f ca="1">VLOOKUP($B73,'Matriz Distâncias NTS'!$S$2:$AC$18,4,0)</f>
        <v>142.15940000000001</v>
      </c>
      <c r="F73" s="318">
        <f ca="1">VLOOKUP($B73,'Matriz Distâncias NTS'!$S$2:$AC$18,8,0)</f>
        <v>448.94899999999996</v>
      </c>
      <c r="G73" s="318">
        <f ca="1">VLOOKUP($B73,'Matriz Distâncias NTS'!$S$2:$AC$18,7,0)</f>
        <v>89.951799999999992</v>
      </c>
      <c r="H73" s="318">
        <f ca="1">VLOOKUP($B73,'Matriz Distâncias NTS'!$S$2:$AC$18,9,0)</f>
        <v>379.60659999999996</v>
      </c>
      <c r="I73" s="318">
        <f ca="1">VLOOKUP($B73,'Matriz Distâncias NTS'!$S$2:$AC$18,10,0)</f>
        <v>273.03540000000004</v>
      </c>
      <c r="J73" s="318">
        <f ca="1">VLOOKUP($B73,'Matriz Distâncias NTS'!$S$2:$AC$18,5,0)</f>
        <v>273.44359999999995</v>
      </c>
      <c r="K73" s="318">
        <f ca="1">VLOOKUP($B73,'Matriz Distâncias NTS'!$S$2:$AC$18,8,0)</f>
        <v>448.94899999999996</v>
      </c>
      <c r="L73" s="318">
        <f ca="1">VLOOKUP($B73,'Matriz Distâncias NTS'!$S$2:$AC$18,11,0)</f>
        <v>273.03540000000004</v>
      </c>
    </row>
    <row r="74" spans="1:12" x14ac:dyDescent="0.3">
      <c r="A74" s="2" t="s">
        <v>48</v>
      </c>
      <c r="B74" s="44" t="str">
        <f t="shared" si="0"/>
        <v>NTS RJ 4</v>
      </c>
      <c r="C74" s="318">
        <f ca="1">VLOOKUP($B74,'Matriz Distâncias NTS'!$S$2:$AC$18,2,0)</f>
        <v>244.471</v>
      </c>
      <c r="D74" s="318">
        <f ca="1">VLOOKUP($B74,'Matriz Distâncias NTS'!$S$2:$AC$18,3,0)</f>
        <v>154.518</v>
      </c>
      <c r="E74" s="318">
        <f ca="1">VLOOKUP($B74,'Matriz Distâncias NTS'!$S$2:$AC$18,4,0)</f>
        <v>203.93999999999997</v>
      </c>
      <c r="F74" s="318">
        <f ca="1">VLOOKUP($B74,'Matriz Distâncias NTS'!$S$2:$AC$18,8,0)</f>
        <v>347.89600000000002</v>
      </c>
      <c r="G74" s="318">
        <f ca="1">VLOOKUP($B74,'Matriz Distâncias NTS'!$S$2:$AC$18,7,0)</f>
        <v>156.81800000000001</v>
      </c>
      <c r="H74" s="318">
        <f ca="1">VLOOKUP($B74,'Matriz Distâncias NTS'!$S$2:$AC$18,9,0)</f>
        <v>316.72399999999999</v>
      </c>
      <c r="I74" s="318">
        <f ca="1">VLOOKUP($B74,'Matriz Distâncias NTS'!$S$2:$AC$18,10,0)</f>
        <v>334.81599999999997</v>
      </c>
      <c r="J74" s="318">
        <f ca="1">VLOOKUP($B74,'Matriz Distâncias NTS'!$S$2:$AC$18,5,0)</f>
        <v>210.56099999999998</v>
      </c>
      <c r="K74" s="318">
        <f ca="1">VLOOKUP($B74,'Matriz Distâncias NTS'!$S$2:$AC$18,8,0)</f>
        <v>347.89600000000002</v>
      </c>
      <c r="L74" s="318">
        <f ca="1">VLOOKUP($B74,'Matriz Distâncias NTS'!$S$2:$AC$18,11,0)</f>
        <v>334.81599999999997</v>
      </c>
    </row>
    <row r="75" spans="1:12" x14ac:dyDescent="0.3">
      <c r="A75" s="2" t="s">
        <v>49</v>
      </c>
      <c r="B75" s="44" t="str">
        <f t="shared" si="0"/>
        <v>NTS RJ 5</v>
      </c>
      <c r="C75" s="318">
        <f ca="1">VLOOKUP($B75,'Matriz Distâncias NTS'!$S$2:$AC$18,2,0)</f>
        <v>395.91849999999999</v>
      </c>
      <c r="D75" s="318">
        <f ca="1">VLOOKUP($B75,'Matriz Distâncias NTS'!$S$2:$AC$18,3,0)</f>
        <v>36.580500000000001</v>
      </c>
      <c r="E75" s="318">
        <f ca="1">VLOOKUP($B75,'Matriz Distâncias NTS'!$S$2:$AC$18,4,0)</f>
        <v>87.152500000000003</v>
      </c>
      <c r="F75" s="318">
        <f ca="1">VLOOKUP($B75,'Matriz Distâncias NTS'!$S$2:$AC$18,8,0)</f>
        <v>499.07349999999997</v>
      </c>
      <c r="G75" s="318">
        <f ca="1">VLOOKUP($B75,'Matriz Distâncias NTS'!$S$2:$AC$18,7,0)</f>
        <v>34.080500000000001</v>
      </c>
      <c r="H75" s="318">
        <f ca="1">VLOOKUP($B75,'Matriz Distâncias NTS'!$S$2:$AC$18,9,0)</f>
        <v>463.87950000000001</v>
      </c>
      <c r="I75" s="318">
        <f ca="1">VLOOKUP($B75,'Matriz Distâncias NTS'!$S$2:$AC$18,10,0)</f>
        <v>218.02850000000001</v>
      </c>
      <c r="J75" s="318">
        <f ca="1">VLOOKUP($B75,'Matriz Distâncias NTS'!$S$2:$AC$18,5,0)</f>
        <v>357.71899999999999</v>
      </c>
      <c r="K75" s="318">
        <f ca="1">VLOOKUP($B75,'Matriz Distâncias NTS'!$S$2:$AC$18,8,0)</f>
        <v>499.07349999999997</v>
      </c>
      <c r="L75" s="318">
        <f ca="1">VLOOKUP($B75,'Matriz Distâncias NTS'!$S$2:$AC$18,11,0)</f>
        <v>218.02850000000001</v>
      </c>
    </row>
    <row r="76" spans="1:12" x14ac:dyDescent="0.3">
      <c r="A76" s="2" t="s">
        <v>50</v>
      </c>
      <c r="B76" s="44" t="str">
        <f t="shared" si="0"/>
        <v>NTS SP 1</v>
      </c>
      <c r="C76" s="318">
        <f ca="1">VLOOKUP($B76,'Matriz Distâncias NTS'!$S$2:$AC$18,2,0)</f>
        <v>162.84283333333335</v>
      </c>
      <c r="D76" s="318">
        <f ca="1">VLOOKUP($B76,'Matriz Distâncias NTS'!$S$2:$AC$18,3,0)</f>
        <v>343.1248333333333</v>
      </c>
      <c r="E76" s="318">
        <f ca="1">VLOOKUP($B76,'Matriz Distâncias NTS'!$S$2:$AC$18,4,0)</f>
        <v>329.05316666666664</v>
      </c>
      <c r="F76" s="318">
        <f ca="1">VLOOKUP($B76,'Matriz Distâncias NTS'!$S$2:$AC$18,8,0)</f>
        <v>222.24283333333335</v>
      </c>
      <c r="G76" s="318">
        <f ca="1">VLOOKUP($B76,'Matriz Distâncias NTS'!$S$2:$AC$18,7,0)</f>
        <v>278.44916666666666</v>
      </c>
      <c r="H76" s="318">
        <f ca="1">VLOOKUP($B76,'Matriz Distâncias NTS'!$S$2:$AC$18,9,0)</f>
        <v>234.82583333333335</v>
      </c>
      <c r="I76" s="318">
        <f ca="1">VLOOKUP($B76,'Matriz Distâncias NTS'!$S$2:$AC$18,10,0)</f>
        <v>459.92916666666662</v>
      </c>
      <c r="J76" s="318">
        <f ca="1">VLOOKUP($B76,'Matriz Distâncias NTS'!$S$2:$AC$18,5,0)</f>
        <v>128.66283333333334</v>
      </c>
      <c r="K76" s="318">
        <f ca="1">VLOOKUP($B76,'Matriz Distâncias NTS'!$S$2:$AC$18,8,0)</f>
        <v>222.24283333333335</v>
      </c>
      <c r="L76" s="318">
        <f ca="1">VLOOKUP($B76,'Matriz Distâncias NTS'!$S$2:$AC$18,11,0)</f>
        <v>459.92916666666662</v>
      </c>
    </row>
    <row r="77" spans="1:12" x14ac:dyDescent="0.3">
      <c r="A77" s="2" t="s">
        <v>51</v>
      </c>
      <c r="B77" s="44" t="str">
        <f t="shared" si="0"/>
        <v>NTS SP 2</v>
      </c>
      <c r="C77" s="318">
        <f ca="1">VLOOKUP($B77,'Matriz Distâncias NTS'!$S$2:$AC$18,2,0)</f>
        <v>77.567999999999998</v>
      </c>
      <c r="D77" s="318">
        <f ca="1">VLOOKUP($B77,'Matriz Distâncias NTS'!$S$2:$AC$18,3,0)</f>
        <v>319.46766666666667</v>
      </c>
      <c r="E77" s="318">
        <f ca="1">VLOOKUP($B77,'Matriz Distâncias NTS'!$S$2:$AC$18,4,0)</f>
        <v>367.80966666666671</v>
      </c>
      <c r="F77" s="318">
        <f ca="1">VLOOKUP($B77,'Matriz Distâncias NTS'!$S$2:$AC$18,8,0)</f>
        <v>221.07166666666669</v>
      </c>
      <c r="G77" s="318">
        <f ca="1">VLOOKUP($B77,'Matriz Distâncias NTS'!$S$2:$AC$18,7,0)</f>
        <v>321.76766666666668</v>
      </c>
      <c r="H77" s="318">
        <f ca="1">VLOOKUP($B77,'Matriz Distâncias NTS'!$S$2:$AC$18,9,0)</f>
        <v>151.77433333333332</v>
      </c>
      <c r="I77" s="318">
        <f ca="1">VLOOKUP($B77,'Matriz Distâncias NTS'!$S$2:$AC$18,10,0)</f>
        <v>498.68566666666669</v>
      </c>
      <c r="J77" s="318">
        <f ca="1">VLOOKUP($B77,'Matriz Distâncias NTS'!$S$2:$AC$18,5,0)</f>
        <v>45.611333333333334</v>
      </c>
      <c r="K77" s="318">
        <f ca="1">VLOOKUP($B77,'Matriz Distâncias NTS'!$S$2:$AC$18,8,0)</f>
        <v>221.07166666666669</v>
      </c>
      <c r="L77" s="318">
        <f ca="1">VLOOKUP($B77,'Matriz Distâncias NTS'!$S$2:$AC$18,11,0)</f>
        <v>498.68566666666669</v>
      </c>
    </row>
    <row r="78" spans="1:12" x14ac:dyDescent="0.3">
      <c r="A78" s="2" t="s">
        <v>52</v>
      </c>
      <c r="B78" s="44" t="str">
        <f t="shared" si="0"/>
        <v>NTS SP 3</v>
      </c>
      <c r="C78" s="318">
        <f ca="1">VLOOKUP($B78,'Matriz Distâncias NTS'!$S$2:$AC$18,2,0)</f>
        <v>176.60120000000001</v>
      </c>
      <c r="D78" s="318">
        <f ca="1">VLOOKUP($B78,'Matriz Distâncias NTS'!$S$2:$AC$18,3,0)</f>
        <v>435.43320000000006</v>
      </c>
      <c r="E78" s="318">
        <f ca="1">VLOOKUP($B78,'Matriz Distâncias NTS'!$S$2:$AC$18,4,0)</f>
        <v>483.80799999999999</v>
      </c>
      <c r="F78" s="318">
        <f ca="1">VLOOKUP($B78,'Matriz Distâncias NTS'!$S$2:$AC$18,8,0)</f>
        <v>337.03720000000004</v>
      </c>
      <c r="G78" s="318">
        <f ca="1">VLOOKUP($B78,'Matriz Distâncias NTS'!$S$2:$AC$18,7,0)</f>
        <v>437.73320000000001</v>
      </c>
      <c r="H78" s="318">
        <f ca="1">VLOOKUP($B78,'Matriz Distâncias NTS'!$S$2:$AC$18,9,0)</f>
        <v>46.044000000000004</v>
      </c>
      <c r="I78" s="318">
        <f ca="1">VLOOKUP($B78,'Matriz Distâncias NTS'!$S$2:$AC$18,10,0)</f>
        <v>614.68399999999997</v>
      </c>
      <c r="J78" s="318">
        <f ca="1">VLOOKUP($B78,'Matriz Distâncias NTS'!$S$2:$AC$18,5,0)</f>
        <v>70.354199999999992</v>
      </c>
      <c r="K78" s="318">
        <f ca="1">VLOOKUP($B78,'Matriz Distâncias NTS'!$S$2:$AC$18,8,0)</f>
        <v>337.03720000000004</v>
      </c>
      <c r="L78" s="318">
        <f ca="1">VLOOKUP($B78,'Matriz Distâncias NTS'!$S$2:$AC$18,11,0)</f>
        <v>614.68399999999997</v>
      </c>
    </row>
    <row r="79" spans="1:12" x14ac:dyDescent="0.3">
      <c r="A79" s="2" t="s">
        <v>53</v>
      </c>
      <c r="B79" s="44" t="str">
        <f t="shared" si="0"/>
        <v>NTS SP 4</v>
      </c>
      <c r="C79" s="318">
        <f ca="1">VLOOKUP($B79,'Matriz Distâncias NTS'!$S$2:$AC$18,2,0)</f>
        <v>211.58399999999997</v>
      </c>
      <c r="D79" s="318">
        <f ca="1">VLOOKUP($B79,'Matriz Distâncias NTS'!$S$2:$AC$18,3,0)</f>
        <v>470.416</v>
      </c>
      <c r="E79" s="318">
        <f ca="1">VLOOKUP($B79,'Matriz Distâncias NTS'!$S$2:$AC$18,4,0)</f>
        <v>519.83799999999997</v>
      </c>
      <c r="F79" s="318">
        <f ca="1">VLOOKUP($B79,'Matriz Distâncias NTS'!$S$2:$AC$18,8,0)</f>
        <v>372.02</v>
      </c>
      <c r="G79" s="318">
        <f ca="1">VLOOKUP($B79,'Matriz Distâncias NTS'!$S$2:$AC$18,7,0)</f>
        <v>472.71600000000007</v>
      </c>
      <c r="H79" s="318">
        <f ca="1">VLOOKUP($B79,'Matriz Distâncias NTS'!$S$2:$AC$18,9,0)</f>
        <v>0.82600000000000007</v>
      </c>
      <c r="I79" s="318">
        <f ca="1">VLOOKUP($B79,'Matriz Distâncias NTS'!$S$2:$AC$18,10,0)</f>
        <v>650.71399999999994</v>
      </c>
      <c r="J79" s="318">
        <f ca="1">VLOOKUP($B79,'Matriz Distâncias NTS'!$S$2:$AC$18,5,0)</f>
        <v>105.337</v>
      </c>
      <c r="K79" s="318">
        <f ca="1">VLOOKUP($B79,'Matriz Distâncias NTS'!$S$2:$AC$18,8,0)</f>
        <v>372.02</v>
      </c>
      <c r="L79" s="318">
        <f ca="1">VLOOKUP($B79,'Matriz Distâncias NTS'!$S$2:$AC$18,11,0)</f>
        <v>650.71399999999994</v>
      </c>
    </row>
    <row r="80" spans="1:12" x14ac:dyDescent="0.3">
      <c r="A80" s="2" t="s">
        <v>54</v>
      </c>
      <c r="B80" s="44" t="str">
        <f t="shared" si="0"/>
        <v>PE-GUARAREMA (INTERCONEXÃO)</v>
      </c>
      <c r="C80" s="318">
        <f>VLOOKUP($B80,'Matriz Distâncias NTS'!$S$2:$AC$18,2,0)</f>
        <v>106.247</v>
      </c>
      <c r="D80" s="318">
        <f>VLOOKUP($B80,'Matriz Distâncias NTS'!$S$2:$AC$18,3,0)</f>
        <v>365.07900000000001</v>
      </c>
      <c r="E80" s="318">
        <f>VLOOKUP($B80,'Matriz Distâncias NTS'!$S$2:$AC$18,4,0)</f>
        <v>414.50099999999998</v>
      </c>
      <c r="F80" s="318">
        <f>VLOOKUP($B80,'Matriz Distâncias NTS'!$S$2:$AC$18,8,0)</f>
        <v>266.68299999999999</v>
      </c>
      <c r="G80" s="318">
        <f>VLOOKUP($B80,'Matriz Distâncias NTS'!$S$2:$AC$18,7,0)</f>
        <v>367.37900000000002</v>
      </c>
      <c r="H80" s="318">
        <f>VLOOKUP($B80,'Matriz Distâncias NTS'!$S$2:$AC$18,9,0)</f>
        <v>106.163</v>
      </c>
      <c r="I80" s="318">
        <f>VLOOKUP($B80,'Matriz Distâncias NTS'!$S$2:$AC$18,10,0)</f>
        <v>545.37699999999995</v>
      </c>
      <c r="J80" s="318">
        <f>VLOOKUP($B80,'Matriz Distâncias NTS'!$S$2:$AC$18,5,0)</f>
        <v>0</v>
      </c>
      <c r="K80" s="318">
        <f>VLOOKUP($B80,'Matriz Distâncias NTS'!$S$2:$AC$18,8,0)</f>
        <v>266.68299999999999</v>
      </c>
      <c r="L80" s="318">
        <f>VLOOKUP($B80,'Matriz Distâncias NTS'!$S$2:$AC$18,11,0)</f>
        <v>545.37699999999995</v>
      </c>
    </row>
    <row r="81" spans="1:12" x14ac:dyDescent="0.3">
      <c r="A81" s="2" t="s">
        <v>55</v>
      </c>
      <c r="B81" s="44" t="str">
        <f t="shared" si="0"/>
        <v>PE-REPLAN (INTERCONEXÃO)</v>
      </c>
      <c r="C81" s="318">
        <f>VLOOKUP($B81,'Matriz Distâncias NTS'!$S$2:$AC$18,2,0)</f>
        <v>300.863</v>
      </c>
      <c r="D81" s="318">
        <f>VLOOKUP($B81,'Matriz Distâncias NTS'!$S$2:$AC$18,3,0)</f>
        <v>502.41399999999999</v>
      </c>
      <c r="E81" s="318">
        <f>VLOOKUP($B81,'Matriz Distâncias NTS'!$S$2:$AC$18,4,0)</f>
        <v>551.83600000000001</v>
      </c>
      <c r="F81" s="318">
        <f>VLOOKUP($B81,'Matriz Distâncias NTS'!$S$2:$AC$18,8,0)</f>
        <v>0</v>
      </c>
      <c r="G81" s="318">
        <f>VLOOKUP($B81,'Matriz Distâncias NTS'!$S$2:$AC$18,7,0)</f>
        <v>504.714</v>
      </c>
      <c r="H81" s="318">
        <f>VLOOKUP($B81,'Matriz Distâncias NTS'!$S$2:$AC$18,9,0)</f>
        <v>372.846</v>
      </c>
      <c r="I81" s="318">
        <f>VLOOKUP($B81,'Matriz Distâncias NTS'!$S$2:$AC$18,10,0)</f>
        <v>682.71199999999999</v>
      </c>
      <c r="J81" s="318">
        <f>VLOOKUP($B81,'Matriz Distâncias NTS'!$S$2:$AC$18,5,0)</f>
        <v>266.68299999999999</v>
      </c>
      <c r="K81" s="318">
        <f>VLOOKUP($B81,'Matriz Distâncias NTS'!$S$2:$AC$18,8,0)</f>
        <v>0</v>
      </c>
      <c r="L81" s="318">
        <f>VLOOKUP($B81,'Matriz Distâncias NTS'!$S$2:$AC$18,11,0)</f>
        <v>682.71199999999999</v>
      </c>
    </row>
    <row r="82" spans="1:12" x14ac:dyDescent="0.3">
      <c r="A82" s="2" t="s">
        <v>56</v>
      </c>
      <c r="B82" s="44" t="str">
        <f t="shared" si="0"/>
        <v>PE-TECAB (INTERCONEXÃO)</v>
      </c>
      <c r="C82" s="318">
        <f>VLOOKUP($B82,'Matriz Distâncias NTS'!$S$2:$AC$18,2,0)</f>
        <v>579.55700000000002</v>
      </c>
      <c r="D82" s="318">
        <f>VLOOKUP($B82,'Matriz Distâncias NTS'!$S$2:$AC$18,3,0)</f>
        <v>180.298</v>
      </c>
      <c r="E82" s="318">
        <f>VLOOKUP($B82,'Matriz Distâncias NTS'!$S$2:$AC$18,4,0)</f>
        <v>152.876</v>
      </c>
      <c r="F82" s="318">
        <f>VLOOKUP($B82,'Matriz Distâncias NTS'!$S$2:$AC$18,8,0)</f>
        <v>682.71199999999999</v>
      </c>
      <c r="G82" s="318">
        <f>VLOOKUP($B82,'Matriz Distâncias NTS'!$S$2:$AC$18,7,0)</f>
        <v>180.298</v>
      </c>
      <c r="H82" s="318">
        <f>VLOOKUP($B82,'Matriz Distâncias NTS'!$S$2:$AC$18,9,0)</f>
        <v>651.54</v>
      </c>
      <c r="I82" s="318">
        <f>VLOOKUP($B82,'Matriz Distâncias NTS'!$S$2:$AC$18,10,0)</f>
        <v>0</v>
      </c>
      <c r="J82" s="318">
        <f>VLOOKUP($B82,'Matriz Distâncias NTS'!$S$2:$AC$18,5,0)</f>
        <v>545.37699999999995</v>
      </c>
      <c r="K82" s="318">
        <f>VLOOKUP($B82,'Matriz Distâncias NTS'!$S$2:$AC$18,8,0)</f>
        <v>682.71199999999999</v>
      </c>
      <c r="L82" s="318">
        <f>VLOOKUP($B82,'Matriz Distâncias NTS'!$S$2:$AC$18,11,0)</f>
        <v>0</v>
      </c>
    </row>
    <row r="85" spans="1:12" s="98" customFormat="1" x14ac:dyDescent="0.3">
      <c r="A85" s="98" t="s">
        <v>144</v>
      </c>
      <c r="B85" s="98" t="s">
        <v>519</v>
      </c>
    </row>
    <row r="88" spans="1:12" x14ac:dyDescent="0.3">
      <c r="A88" t="s">
        <v>125</v>
      </c>
      <c r="B88" t="s">
        <v>126</v>
      </c>
    </row>
    <row r="89" spans="1:12" ht="15.6" x14ac:dyDescent="0.35">
      <c r="A89" t="s">
        <v>300</v>
      </c>
      <c r="B89" t="s">
        <v>145</v>
      </c>
    </row>
    <row r="90" spans="1:12" ht="15.6" x14ac:dyDescent="0.35">
      <c r="A90" t="s">
        <v>301</v>
      </c>
      <c r="B90" t="s">
        <v>146</v>
      </c>
    </row>
    <row r="92" spans="1:12" x14ac:dyDescent="0.3">
      <c r="A92" t="s">
        <v>147</v>
      </c>
    </row>
    <row r="93" spans="1:12" x14ac:dyDescent="0.3">
      <c r="A93" s="109"/>
      <c r="B93" s="109"/>
    </row>
    <row r="94" spans="1:12" x14ac:dyDescent="0.3">
      <c r="A94" s="109"/>
      <c r="B94" s="109"/>
    </row>
    <row r="95" spans="1:12" x14ac:dyDescent="0.3">
      <c r="A95" s="109"/>
      <c r="B95" s="109"/>
    </row>
    <row r="98" spans="1:27" ht="15.6" x14ac:dyDescent="0.35">
      <c r="A98" s="110" t="s">
        <v>302</v>
      </c>
      <c r="B98" s="111" t="s">
        <v>148</v>
      </c>
      <c r="D98" s="110" t="s">
        <v>303</v>
      </c>
      <c r="E98" s="111" t="s">
        <v>148</v>
      </c>
      <c r="G98" s="112" t="s">
        <v>302</v>
      </c>
      <c r="H98" s="95" t="s">
        <v>304</v>
      </c>
      <c r="I98" s="95" t="s">
        <v>305</v>
      </c>
      <c r="J98" s="95" t="s">
        <v>306</v>
      </c>
      <c r="K98" s="95" t="s">
        <v>307</v>
      </c>
      <c r="L98" s="95" t="s">
        <v>308</v>
      </c>
      <c r="M98" s="95" t="s">
        <v>309</v>
      </c>
      <c r="N98" s="95" t="s">
        <v>310</v>
      </c>
      <c r="O98" s="95" t="s">
        <v>311</v>
      </c>
      <c r="P98" s="95" t="s">
        <v>312</v>
      </c>
      <c r="Q98" s="95" t="s">
        <v>313</v>
      </c>
      <c r="R98" s="95"/>
      <c r="S98" s="95"/>
      <c r="T98" s="95"/>
      <c r="U98" s="95"/>
      <c r="V98" s="95"/>
      <c r="W98" s="95"/>
      <c r="X98" s="95"/>
      <c r="Y98" s="95"/>
      <c r="Z98" s="95"/>
      <c r="AA98" s="95"/>
    </row>
    <row r="99" spans="1:27" ht="15.6" x14ac:dyDescent="0.35">
      <c r="A99" t="s">
        <v>304</v>
      </c>
      <c r="B99" s="115">
        <f>H24/$H$34</f>
        <v>0.20617147510469983</v>
      </c>
      <c r="C99" s="9"/>
      <c r="D99" t="s">
        <v>314</v>
      </c>
      <c r="E99" s="113">
        <f>H41/$H$57</f>
        <v>1.0395437653062972E-2</v>
      </c>
      <c r="G99" s="112" t="s">
        <v>148</v>
      </c>
      <c r="H99" s="114">
        <f>H24/$H$34</f>
        <v>0.20617147510469983</v>
      </c>
      <c r="I99" s="114">
        <f>H25/$H$34</f>
        <v>0.29083294555607253</v>
      </c>
      <c r="J99" s="114">
        <f>$H26/$H$34</f>
        <v>0.18904141461144716</v>
      </c>
      <c r="K99" s="114">
        <f>$H27/$H$34</f>
        <v>4.8714518380642158E-3</v>
      </c>
      <c r="L99" s="114">
        <f>$H28/$H$34</f>
        <v>0</v>
      </c>
      <c r="M99" s="114">
        <f>$H29/$H$34</f>
        <v>0</v>
      </c>
      <c r="N99" s="114">
        <f>$H30/$H$34</f>
        <v>0.21601617031177292</v>
      </c>
      <c r="O99" s="114">
        <f>$H31/$H$34</f>
        <v>8.7249883666821779E-2</v>
      </c>
      <c r="P99" s="114">
        <f>$H32/$H$34</f>
        <v>2.9083294555607257E-3</v>
      </c>
      <c r="Q99" s="114">
        <f>$H33/$H$34</f>
        <v>2.9083294555607257E-3</v>
      </c>
      <c r="R99" s="114">
        <f>SUM(H99:Q99)</f>
        <v>0.99999999999999989</v>
      </c>
      <c r="S99" s="113"/>
      <c r="T99" s="113"/>
      <c r="U99" s="113"/>
      <c r="V99" s="113"/>
      <c r="W99" s="113"/>
    </row>
    <row r="100" spans="1:27" ht="15.6" x14ac:dyDescent="0.35">
      <c r="A100" t="s">
        <v>305</v>
      </c>
      <c r="B100" s="115">
        <f t="shared" ref="B100:B108" si="1">H25/$H$34</f>
        <v>0.29083294555607253</v>
      </c>
      <c r="C100" s="4"/>
      <c r="D100" t="s">
        <v>315</v>
      </c>
      <c r="E100" s="113">
        <f t="shared" ref="E100:E114" si="2">H42/$H$57</f>
        <v>2.8737305406655138E-2</v>
      </c>
      <c r="W100" s="116"/>
    </row>
    <row r="101" spans="1:27" ht="15.6" x14ac:dyDescent="0.35">
      <c r="A101" t="s">
        <v>306</v>
      </c>
      <c r="B101" s="115">
        <f t="shared" si="1"/>
        <v>0.18904141461144716</v>
      </c>
      <c r="C101" s="4"/>
      <c r="D101" t="s">
        <v>316</v>
      </c>
      <c r="E101" s="113">
        <f t="shared" si="2"/>
        <v>4.6873662036957746E-2</v>
      </c>
      <c r="G101" s="113"/>
      <c r="H101" s="115"/>
      <c r="I101" s="115"/>
    </row>
    <row r="102" spans="1:27" ht="15.6" x14ac:dyDescent="0.35">
      <c r="A102" t="s">
        <v>307</v>
      </c>
      <c r="B102" s="115">
        <f t="shared" si="1"/>
        <v>4.8714518380642158E-3</v>
      </c>
      <c r="C102" s="4"/>
      <c r="D102" t="s">
        <v>317</v>
      </c>
      <c r="E102" s="113">
        <f t="shared" si="2"/>
        <v>5.7371855251665506E-3</v>
      </c>
      <c r="G102" s="113"/>
      <c r="H102" s="115"/>
      <c r="I102" s="115"/>
    </row>
    <row r="103" spans="1:27" ht="15.6" x14ac:dyDescent="0.35">
      <c r="A103" t="s">
        <v>308</v>
      </c>
      <c r="B103" s="115">
        <f t="shared" si="1"/>
        <v>0</v>
      </c>
      <c r="C103" s="4"/>
      <c r="D103" t="s">
        <v>318</v>
      </c>
      <c r="E103" s="113">
        <f t="shared" si="2"/>
        <v>0.30472161805757736</v>
      </c>
      <c r="G103" s="113"/>
      <c r="H103" s="115"/>
      <c r="I103" s="115"/>
    </row>
    <row r="104" spans="1:27" ht="15.6" x14ac:dyDescent="0.35">
      <c r="A104" t="s">
        <v>309</v>
      </c>
      <c r="B104" s="115">
        <f t="shared" si="1"/>
        <v>0</v>
      </c>
      <c r="C104" s="4"/>
      <c r="D104" t="s">
        <v>319</v>
      </c>
      <c r="E104" s="113">
        <f t="shared" si="2"/>
        <v>0.14396054186432844</v>
      </c>
      <c r="G104" s="113"/>
      <c r="H104" s="115"/>
      <c r="I104" s="115"/>
    </row>
    <row r="105" spans="1:27" ht="15.6" x14ac:dyDescent="0.35">
      <c r="A105" t="s">
        <v>310</v>
      </c>
      <c r="B105" s="115">
        <f t="shared" si="1"/>
        <v>0.21601617031177292</v>
      </c>
      <c r="C105" s="4"/>
      <c r="D105" t="s">
        <v>320</v>
      </c>
      <c r="E105" s="113">
        <f t="shared" si="2"/>
        <v>2.9353838776523783E-2</v>
      </c>
      <c r="G105" s="113"/>
      <c r="H105" s="115"/>
      <c r="I105" s="115"/>
    </row>
    <row r="106" spans="1:27" ht="15.6" x14ac:dyDescent="0.35">
      <c r="A106" t="s">
        <v>311</v>
      </c>
      <c r="B106" s="115">
        <f t="shared" si="1"/>
        <v>8.7249883666821779E-2</v>
      </c>
      <c r="C106" s="4"/>
      <c r="D106" t="s">
        <v>321</v>
      </c>
      <c r="E106" s="113">
        <f t="shared" si="2"/>
        <v>5.5316744018770016E-3</v>
      </c>
      <c r="G106" s="113"/>
      <c r="H106" s="115"/>
      <c r="I106" s="115"/>
    </row>
    <row r="107" spans="1:27" ht="15.6" x14ac:dyDescent="0.35">
      <c r="A107" t="s">
        <v>312</v>
      </c>
      <c r="B107" s="115">
        <f t="shared" si="1"/>
        <v>2.9083294555607257E-3</v>
      </c>
      <c r="C107" s="4"/>
      <c r="D107" t="s">
        <v>322</v>
      </c>
      <c r="E107" s="113">
        <f t="shared" si="2"/>
        <v>3.6443972530013184E-2</v>
      </c>
      <c r="G107" s="113"/>
      <c r="H107" s="115"/>
      <c r="I107" s="115"/>
    </row>
    <row r="108" spans="1:27" ht="15.6" x14ac:dyDescent="0.35">
      <c r="A108" t="s">
        <v>313</v>
      </c>
      <c r="B108" s="115">
        <f t="shared" si="1"/>
        <v>2.9083294555607257E-3</v>
      </c>
      <c r="D108" t="s">
        <v>323</v>
      </c>
      <c r="E108" s="113">
        <f t="shared" si="2"/>
        <v>2.1184771625764244E-2</v>
      </c>
      <c r="G108" s="113"/>
    </row>
    <row r="109" spans="1:27" ht="15.6" x14ac:dyDescent="0.35">
      <c r="B109" s="115">
        <f>SUM(B99:B108)</f>
        <v>0.99999999999999989</v>
      </c>
      <c r="D109" t="s">
        <v>324</v>
      </c>
      <c r="E109" s="113">
        <f t="shared" si="2"/>
        <v>5.089825486804473E-2</v>
      </c>
      <c r="G109" s="113"/>
    </row>
    <row r="110" spans="1:27" ht="15.6" x14ac:dyDescent="0.35">
      <c r="B110" s="115"/>
      <c r="D110" t="s">
        <v>325</v>
      </c>
      <c r="E110" s="113">
        <f t="shared" si="2"/>
        <v>0.13647651179120068</v>
      </c>
      <c r="G110" s="113"/>
    </row>
    <row r="111" spans="1:27" ht="15.6" x14ac:dyDescent="0.35">
      <c r="B111" s="115"/>
      <c r="D111" t="s">
        <v>326</v>
      </c>
      <c r="E111" s="113">
        <f t="shared" si="2"/>
        <v>5.6190166292750594E-2</v>
      </c>
    </row>
    <row r="112" spans="1:27" ht="15.6" x14ac:dyDescent="0.35">
      <c r="B112" s="115"/>
      <c r="D112" t="s">
        <v>327</v>
      </c>
      <c r="E112" s="113">
        <f t="shared" si="2"/>
        <v>0</v>
      </c>
    </row>
    <row r="113" spans="1:5" ht="15.6" x14ac:dyDescent="0.35">
      <c r="B113" s="115"/>
      <c r="D113" t="s">
        <v>328</v>
      </c>
      <c r="E113" s="113">
        <f t="shared" si="2"/>
        <v>0.12006987378191844</v>
      </c>
    </row>
    <row r="114" spans="1:5" ht="15.6" x14ac:dyDescent="0.35">
      <c r="B114" s="115"/>
      <c r="D114" t="s">
        <v>329</v>
      </c>
      <c r="E114" s="113">
        <f t="shared" si="2"/>
        <v>3.4251853881591345E-3</v>
      </c>
    </row>
    <row r="115" spans="1:5" x14ac:dyDescent="0.3">
      <c r="E115" s="113">
        <f>SUM(E99:E114)</f>
        <v>1</v>
      </c>
    </row>
    <row r="117" spans="1:5" s="98" customFormat="1" x14ac:dyDescent="0.3">
      <c r="A117" s="98" t="s">
        <v>149</v>
      </c>
      <c r="B117" s="98" t="s">
        <v>518</v>
      </c>
    </row>
    <row r="119" spans="1:5" x14ac:dyDescent="0.3">
      <c r="A119" t="s">
        <v>125</v>
      </c>
      <c r="B119" t="s">
        <v>126</v>
      </c>
    </row>
    <row r="120" spans="1:5" ht="15.6" x14ac:dyDescent="0.35">
      <c r="A120" t="s">
        <v>330</v>
      </c>
      <c r="B120" t="s">
        <v>150</v>
      </c>
    </row>
    <row r="121" spans="1:5" ht="15.6" x14ac:dyDescent="0.35">
      <c r="A121" t="s">
        <v>331</v>
      </c>
      <c r="B121" t="s">
        <v>151</v>
      </c>
    </row>
    <row r="123" spans="1:5" x14ac:dyDescent="0.3">
      <c r="A123" t="s">
        <v>147</v>
      </c>
    </row>
    <row r="124" spans="1:5" x14ac:dyDescent="0.3">
      <c r="A124" s="109"/>
      <c r="B124" s="109"/>
    </row>
    <row r="125" spans="1:5" x14ac:dyDescent="0.3">
      <c r="A125" s="109"/>
      <c r="B125" s="109"/>
    </row>
    <row r="126" spans="1:5" x14ac:dyDescent="0.3">
      <c r="A126" s="109"/>
      <c r="B126" s="109"/>
    </row>
    <row r="127" spans="1:5" x14ac:dyDescent="0.3">
      <c r="A127" s="109"/>
      <c r="B127" s="109"/>
    </row>
    <row r="129" spans="1:5" ht="15.6" x14ac:dyDescent="0.3">
      <c r="A129" s="110" t="s">
        <v>332</v>
      </c>
      <c r="B129" s="111" t="s">
        <v>148</v>
      </c>
      <c r="D129" s="110" t="s">
        <v>333</v>
      </c>
      <c r="E129" s="111" t="s">
        <v>148</v>
      </c>
    </row>
    <row r="130" spans="1:5" ht="15.6" x14ac:dyDescent="0.35">
      <c r="A130" t="s">
        <v>334</v>
      </c>
      <c r="B130" s="113">
        <f ca="1">SUMPRODUCT($E$99:$E$114,C$67:C$82)</f>
        <v>351.07719645892911</v>
      </c>
      <c r="C130" s="117"/>
      <c r="D130" t="s">
        <v>335</v>
      </c>
      <c r="E130" s="4">
        <f ca="1">SUMPRODUCT($H$99:$Q$99,$C67:$L67)</f>
        <v>357.35369706840385</v>
      </c>
    </row>
    <row r="131" spans="1:5" ht="15.6" x14ac:dyDescent="0.35">
      <c r="A131" t="s">
        <v>336</v>
      </c>
      <c r="B131" s="113">
        <f ca="1">SUMPRODUCT($E$99:$E$114,D$67:D$82)</f>
        <v>239.33429862421721</v>
      </c>
      <c r="C131" s="117"/>
      <c r="D131" t="s">
        <v>337</v>
      </c>
      <c r="E131" s="4">
        <f t="shared" ref="E131:E145" ca="1" si="3">SUMPRODUCT($H$99:$Q$99,$C68:$L68)</f>
        <v>454.51769706840395</v>
      </c>
    </row>
    <row r="132" spans="1:5" ht="15.6" x14ac:dyDescent="0.35">
      <c r="A132" t="s">
        <v>338</v>
      </c>
      <c r="B132" s="113">
        <f ca="1">SUMPRODUCT($E$99:$E$114,E$67:E$82)</f>
        <v>275.28400309122975</v>
      </c>
      <c r="C132" s="117"/>
      <c r="D132" t="s">
        <v>339</v>
      </c>
      <c r="E132" s="4">
        <f t="shared" ca="1" si="3"/>
        <v>571.68289706840392</v>
      </c>
    </row>
    <row r="133" spans="1:5" ht="15.6" x14ac:dyDescent="0.35">
      <c r="A133" t="s">
        <v>340</v>
      </c>
      <c r="B133" s="113">
        <f ca="1">SUMPRODUCT($E$99:$E$114,F$67:F$82)</f>
        <v>416.74052411102173</v>
      </c>
      <c r="C133" s="117"/>
      <c r="D133" t="s">
        <v>341</v>
      </c>
      <c r="E133" s="4">
        <f t="shared" ca="1" si="3"/>
        <v>578.96421390763123</v>
      </c>
    </row>
    <row r="134" spans="1:5" ht="15.6" x14ac:dyDescent="0.35">
      <c r="A134" t="s">
        <v>342</v>
      </c>
      <c r="B134" s="113">
        <f ca="1">SUMPRODUCT($E$99:$E$114,G$67:G$82)</f>
        <v>228.48236613347947</v>
      </c>
      <c r="C134" s="117"/>
      <c r="D134" t="s">
        <v>343</v>
      </c>
      <c r="E134" s="4">
        <f t="shared" ca="1" si="3"/>
        <v>195.55133363386071</v>
      </c>
    </row>
    <row r="135" spans="1:5" ht="15.6" x14ac:dyDescent="0.35">
      <c r="A135" t="s">
        <v>344</v>
      </c>
      <c r="B135" s="113">
        <f ca="1">SUMPRODUCT($E$99:$E$114,H$67:H$82)</f>
        <v>378.57832051686046</v>
      </c>
      <c r="C135" s="117"/>
      <c r="D135" t="s">
        <v>345</v>
      </c>
      <c r="E135" s="4">
        <f t="shared" ca="1" si="3"/>
        <v>185.11487055025594</v>
      </c>
    </row>
    <row r="136" spans="1:5" ht="15.6" x14ac:dyDescent="0.35">
      <c r="A136" t="s">
        <v>346</v>
      </c>
      <c r="B136" s="113">
        <f ca="1">SUMPRODUCT($E$99:$E$114,I$67:I$82)</f>
        <v>379.07406666267065</v>
      </c>
      <c r="D136" t="s">
        <v>347</v>
      </c>
      <c r="E136" s="4">
        <f t="shared" ca="1" si="3"/>
        <v>204.39310235574683</v>
      </c>
    </row>
    <row r="137" spans="1:5" ht="15.6" x14ac:dyDescent="0.35">
      <c r="A137" t="s">
        <v>348</v>
      </c>
      <c r="B137" s="113">
        <f ca="1">SUMPRODUCT($E$99:$E$114,J$67:J$82)</f>
        <v>302.16339752872869</v>
      </c>
      <c r="D137" t="s">
        <v>349</v>
      </c>
      <c r="E137" s="4">
        <f t="shared" ca="1" si="3"/>
        <v>228.27238072940898</v>
      </c>
    </row>
    <row r="138" spans="1:5" ht="15.6" x14ac:dyDescent="0.35">
      <c r="A138" t="s">
        <v>350</v>
      </c>
      <c r="B138" s="113">
        <f ca="1">SUMPRODUCT($E$99:$E$114,K$67:K$82)</f>
        <v>416.74052411102173</v>
      </c>
      <c r="D138" t="s">
        <v>351</v>
      </c>
      <c r="E138" s="4">
        <f t="shared" ca="1" si="3"/>
        <v>191.56675173045602</v>
      </c>
    </row>
    <row r="139" spans="1:5" ht="15.6" x14ac:dyDescent="0.35">
      <c r="A139" t="s">
        <v>352</v>
      </c>
      <c r="B139" s="113">
        <f ca="1">SUMPRODUCT($E$99:$E$114,L$67:L$82)</f>
        <v>379.07406666267065</v>
      </c>
      <c r="D139" t="s">
        <v>353</v>
      </c>
      <c r="E139" s="4">
        <f t="shared" ca="1" si="3"/>
        <v>309.21480985826736</v>
      </c>
    </row>
    <row r="140" spans="1:5" ht="15.6" x14ac:dyDescent="0.35">
      <c r="B140" s="113"/>
      <c r="D140" t="s">
        <v>354</v>
      </c>
      <c r="E140" s="4">
        <f t="shared" ca="1" si="3"/>
        <v>293.30927404219017</v>
      </c>
    </row>
    <row r="141" spans="1:5" ht="15.6" x14ac:dyDescent="0.35">
      <c r="B141" s="113"/>
      <c r="D141" t="s">
        <v>355</v>
      </c>
      <c r="E141" s="4">
        <f t="shared" ca="1" si="3"/>
        <v>397.83805746277329</v>
      </c>
    </row>
    <row r="142" spans="1:5" ht="15.6" x14ac:dyDescent="0.35">
      <c r="B142" s="113"/>
      <c r="D142" t="s">
        <v>356</v>
      </c>
      <c r="E142" s="4">
        <f t="shared" ca="1" si="3"/>
        <v>433.24807936831081</v>
      </c>
    </row>
    <row r="143" spans="1:5" ht="15.6" x14ac:dyDescent="0.35">
      <c r="B143" s="113"/>
      <c r="D143" t="s">
        <v>357</v>
      </c>
      <c r="E143" s="4">
        <f t="shared" si="3"/>
        <v>327.91107936831082</v>
      </c>
    </row>
    <row r="144" spans="1:5" ht="15.6" x14ac:dyDescent="0.35">
      <c r="B144" s="113"/>
      <c r="D144" t="s">
        <v>358</v>
      </c>
      <c r="E144" s="4">
        <f t="shared" si="3"/>
        <v>485.19821390763138</v>
      </c>
    </row>
    <row r="145" spans="1:5" ht="15.6" x14ac:dyDescent="0.35">
      <c r="B145" s="113"/>
      <c r="D145" t="s">
        <v>359</v>
      </c>
      <c r="E145" s="4">
        <f t="shared" si="3"/>
        <v>253.72004516635639</v>
      </c>
    </row>
    <row r="147" spans="1:5" s="98" customFormat="1" x14ac:dyDescent="0.3">
      <c r="A147" s="98" t="s">
        <v>152</v>
      </c>
      <c r="B147" s="98" t="s">
        <v>517</v>
      </c>
    </row>
    <row r="149" spans="1:5" x14ac:dyDescent="0.3">
      <c r="A149" t="s">
        <v>125</v>
      </c>
      <c r="B149" t="s">
        <v>126</v>
      </c>
    </row>
    <row r="150" spans="1:5" ht="15.6" x14ac:dyDescent="0.35">
      <c r="A150" t="s">
        <v>360</v>
      </c>
      <c r="B150" t="s">
        <v>153</v>
      </c>
    </row>
    <row r="151" spans="1:5" ht="15.6" x14ac:dyDescent="0.35">
      <c r="A151" t="s">
        <v>361</v>
      </c>
      <c r="B151" t="s">
        <v>154</v>
      </c>
    </row>
    <row r="153" spans="1:5" x14ac:dyDescent="0.3">
      <c r="A153" t="s">
        <v>147</v>
      </c>
    </row>
    <row r="154" spans="1:5" x14ac:dyDescent="0.3">
      <c r="A154" s="109"/>
      <c r="B154" s="109"/>
    </row>
    <row r="155" spans="1:5" x14ac:dyDescent="0.3">
      <c r="A155" s="109"/>
      <c r="B155" s="109"/>
    </row>
    <row r="156" spans="1:5" x14ac:dyDescent="0.3">
      <c r="A156" s="109"/>
      <c r="B156" s="109"/>
    </row>
    <row r="157" spans="1:5" x14ac:dyDescent="0.3">
      <c r="A157" s="109"/>
      <c r="B157" s="109"/>
    </row>
    <row r="158" spans="1:5" x14ac:dyDescent="0.3">
      <c r="A158" s="109"/>
      <c r="B158" s="109"/>
    </row>
    <row r="159" spans="1:5" x14ac:dyDescent="0.3">
      <c r="A159" s="109"/>
      <c r="B159" s="109"/>
    </row>
    <row r="161" spans="1:9" ht="15.6" x14ac:dyDescent="0.3">
      <c r="A161" s="110" t="s">
        <v>362</v>
      </c>
      <c r="B161" s="111" t="s">
        <v>148</v>
      </c>
      <c r="D161" s="110" t="s">
        <v>363</v>
      </c>
      <c r="E161" s="111" t="s">
        <v>148</v>
      </c>
    </row>
    <row r="162" spans="1:9" ht="15.6" x14ac:dyDescent="0.35">
      <c r="A162" t="s">
        <v>364</v>
      </c>
      <c r="B162" s="118">
        <f ca="1">($H24*$B130)/SUMPRODUCT($H$24:$H$33,$B$130:$B$139)</f>
        <v>0.2360622486533436</v>
      </c>
      <c r="C162" s="36"/>
      <c r="D162" t="s">
        <v>365</v>
      </c>
      <c r="E162" s="118">
        <f t="shared" ref="E162:E177" ca="1" si="4">($H41*$E130)/SUMPRODUCT($H$41:$H$56,$E$130:$E$145)</f>
        <v>1.211536206679918E-2</v>
      </c>
    </row>
    <row r="163" spans="1:9" ht="15.6" x14ac:dyDescent="0.35">
      <c r="A163" t="s">
        <v>366</v>
      </c>
      <c r="B163" s="118">
        <f t="shared" ref="B163:B171" ca="1" si="5">($H25*$B131)/SUMPRODUCT($H$24:$H$33,$B$130:$B$139)</f>
        <v>0.22700942200551694</v>
      </c>
      <c r="C163" s="4"/>
      <c r="D163" t="s">
        <v>367</v>
      </c>
      <c r="E163" s="118">
        <f t="shared" ca="1" si="4"/>
        <v>4.2598291486368581E-2</v>
      </c>
    </row>
    <row r="164" spans="1:9" ht="15.6" x14ac:dyDescent="0.35">
      <c r="A164" t="s">
        <v>368</v>
      </c>
      <c r="B164" s="118">
        <f t="shared" ca="1" si="5"/>
        <v>0.16972009783978415</v>
      </c>
      <c r="C164" s="4"/>
      <c r="D164" t="s">
        <v>369</v>
      </c>
      <c r="E164" s="118">
        <f t="shared" ca="1" si="4"/>
        <v>8.7393558636060034E-2</v>
      </c>
      <c r="H164" s="119"/>
      <c r="I164" s="119"/>
    </row>
    <row r="165" spans="1:9" ht="15.6" x14ac:dyDescent="0.35">
      <c r="A165" t="s">
        <v>370</v>
      </c>
      <c r="B165" s="118">
        <f t="shared" ca="1" si="5"/>
        <v>6.6209374766300509E-3</v>
      </c>
      <c r="C165" s="4"/>
      <c r="D165" t="s">
        <v>371</v>
      </c>
      <c r="E165" s="118">
        <f t="shared" ca="1" si="4"/>
        <v>1.0832930441404013E-2</v>
      </c>
    </row>
    <row r="166" spans="1:9" ht="15.6" x14ac:dyDescent="0.35">
      <c r="A166" t="s">
        <v>372</v>
      </c>
      <c r="B166" s="118">
        <f t="shared" ca="1" si="5"/>
        <v>0</v>
      </c>
      <c r="C166" s="4"/>
      <c r="D166" t="s">
        <v>373</v>
      </c>
      <c r="E166" s="118">
        <f t="shared" ca="1" si="4"/>
        <v>0.19433874230799281</v>
      </c>
    </row>
    <row r="167" spans="1:9" ht="15.6" x14ac:dyDescent="0.35">
      <c r="A167" t="s">
        <v>374</v>
      </c>
      <c r="B167" s="118">
        <f t="shared" ca="1" si="5"/>
        <v>0</v>
      </c>
      <c r="C167" s="4"/>
      <c r="D167" t="s">
        <v>375</v>
      </c>
      <c r="E167" s="118">
        <f t="shared" ca="1" si="4"/>
        <v>8.6912075312291476E-2</v>
      </c>
    </row>
    <row r="168" spans="1:9" ht="15.6" x14ac:dyDescent="0.35">
      <c r="A168" t="s">
        <v>376</v>
      </c>
      <c r="B168" s="118">
        <f t="shared" ca="1" si="5"/>
        <v>0.26705805187810078</v>
      </c>
      <c r="C168" s="4"/>
      <c r="D168" t="s">
        <v>377</v>
      </c>
      <c r="E168" s="118">
        <f t="shared" ca="1" si="4"/>
        <v>1.9567100701725487E-2</v>
      </c>
    </row>
    <row r="169" spans="1:9" ht="15.6" x14ac:dyDescent="0.35">
      <c r="A169" t="s">
        <v>378</v>
      </c>
      <c r="B169" s="118">
        <f t="shared" ca="1" si="5"/>
        <v>8.5980912830116912E-2</v>
      </c>
      <c r="C169" s="4"/>
      <c r="D169" t="s">
        <v>379</v>
      </c>
      <c r="E169" s="118">
        <f t="shared" ca="1" si="4"/>
        <v>4.1181799277950626E-3</v>
      </c>
    </row>
    <row r="170" spans="1:9" ht="15.6" x14ac:dyDescent="0.35">
      <c r="A170" t="s">
        <v>380</v>
      </c>
      <c r="B170" s="118">
        <f t="shared" ca="1" si="5"/>
        <v>3.9527984935104777E-3</v>
      </c>
      <c r="D170" t="s">
        <v>381</v>
      </c>
      <c r="E170" s="118">
        <f t="shared" ca="1" si="4"/>
        <v>2.2768854708290064E-2</v>
      </c>
    </row>
    <row r="171" spans="1:9" ht="15.6" x14ac:dyDescent="0.35">
      <c r="A171" t="s">
        <v>382</v>
      </c>
      <c r="B171" s="118">
        <f t="shared" ca="1" si="5"/>
        <v>3.5955308229969805E-3</v>
      </c>
      <c r="D171" t="s">
        <v>383</v>
      </c>
      <c r="E171" s="118">
        <f t="shared" ca="1" si="4"/>
        <v>2.136384472722538E-2</v>
      </c>
    </row>
    <row r="172" spans="1:9" ht="15.6" x14ac:dyDescent="0.35">
      <c r="B172" s="237">
        <f ca="1">SUM(B162:B171)</f>
        <v>0.99999999999999989</v>
      </c>
      <c r="D172" t="s">
        <v>384</v>
      </c>
      <c r="E172" s="118">
        <f t="shared" ca="1" si="4"/>
        <v>4.8688234530612509E-2</v>
      </c>
    </row>
    <row r="173" spans="1:9" ht="15.6" x14ac:dyDescent="0.35">
      <c r="B173" s="118"/>
      <c r="D173" t="s">
        <v>385</v>
      </c>
      <c r="E173" s="118">
        <f t="shared" ca="1" si="4"/>
        <v>0.17707594959013301</v>
      </c>
    </row>
    <row r="174" spans="1:9" ht="15.6" x14ac:dyDescent="0.35">
      <c r="B174" s="118"/>
      <c r="D174" t="s">
        <v>386</v>
      </c>
      <c r="E174" s="118">
        <f t="shared" ca="1" si="4"/>
        <v>7.9394844677794826E-2</v>
      </c>
    </row>
    <row r="175" spans="1:9" ht="15.6" x14ac:dyDescent="0.35">
      <c r="B175" s="118"/>
      <c r="D175" t="s">
        <v>387</v>
      </c>
      <c r="E175" s="118">
        <f t="shared" ca="1" si="4"/>
        <v>0</v>
      </c>
    </row>
    <row r="176" spans="1:9" ht="15.6" x14ac:dyDescent="0.35">
      <c r="B176" s="118"/>
      <c r="D176" t="s">
        <v>388</v>
      </c>
      <c r="E176" s="118">
        <f t="shared" ca="1" si="4"/>
        <v>0.18999780668102992</v>
      </c>
    </row>
    <row r="177" spans="1:5" ht="15.6" x14ac:dyDescent="0.35">
      <c r="B177" s="118"/>
      <c r="D177" t="s">
        <v>389</v>
      </c>
      <c r="E177" s="118">
        <f t="shared" ca="1" si="4"/>
        <v>2.8342242044775002E-3</v>
      </c>
    </row>
    <row r="178" spans="1:5" x14ac:dyDescent="0.3">
      <c r="E178" s="237">
        <f ca="1">SUM(E162:E177)</f>
        <v>0.99999999999999989</v>
      </c>
    </row>
    <row r="180" spans="1:5" s="98" customFormat="1" x14ac:dyDescent="0.3">
      <c r="A180" s="98" t="s">
        <v>155</v>
      </c>
      <c r="B180" s="98" t="s">
        <v>156</v>
      </c>
    </row>
    <row r="182" spans="1:5" x14ac:dyDescent="0.3">
      <c r="A182" t="s">
        <v>125</v>
      </c>
      <c r="B182" t="s">
        <v>126</v>
      </c>
    </row>
    <row r="183" spans="1:5" ht="15.6" x14ac:dyDescent="0.35">
      <c r="A183" t="s">
        <v>390</v>
      </c>
      <c r="B183" t="s">
        <v>157</v>
      </c>
    </row>
    <row r="184" spans="1:5" ht="15.6" x14ac:dyDescent="0.35">
      <c r="A184" t="s">
        <v>391</v>
      </c>
      <c r="B184" t="s">
        <v>158</v>
      </c>
    </row>
    <row r="186" spans="1:5" x14ac:dyDescent="0.3">
      <c r="A186" t="s">
        <v>147</v>
      </c>
    </row>
    <row r="187" spans="1:5" x14ac:dyDescent="0.3">
      <c r="A187" s="109"/>
      <c r="B187" s="109"/>
    </row>
    <row r="188" spans="1:5" x14ac:dyDescent="0.3">
      <c r="A188" s="109"/>
      <c r="B188" s="109"/>
    </row>
    <row r="189" spans="1:5" x14ac:dyDescent="0.3">
      <c r="A189" s="109"/>
      <c r="B189" s="109"/>
    </row>
    <row r="190" spans="1:5" x14ac:dyDescent="0.3">
      <c r="A190" s="109"/>
      <c r="B190" s="109"/>
    </row>
    <row r="192" spans="1:5" ht="15.6" x14ac:dyDescent="0.3">
      <c r="A192" s="110" t="s">
        <v>362</v>
      </c>
      <c r="B192" s="111" t="s">
        <v>148</v>
      </c>
      <c r="D192" s="110" t="s">
        <v>363</v>
      </c>
      <c r="E192" s="111" t="s">
        <v>148</v>
      </c>
    </row>
    <row r="193" spans="1:5" ht="15.6" x14ac:dyDescent="0.35">
      <c r="A193" t="s">
        <v>392</v>
      </c>
      <c r="B193" s="7">
        <f t="shared" ref="B193:B202" ca="1" si="6">$B162*$D$5</f>
        <v>762.21600420174479</v>
      </c>
      <c r="C193" s="47"/>
      <c r="D193" t="s">
        <v>393</v>
      </c>
      <c r="E193" s="6">
        <f t="shared" ref="E193:E208" ca="1" si="7">$E162*$D$8</f>
        <v>16.765292538653206</v>
      </c>
    </row>
    <row r="194" spans="1:5" ht="15.6" x14ac:dyDescent="0.35">
      <c r="A194" t="s">
        <v>394</v>
      </c>
      <c r="B194" s="7">
        <f t="shared" ca="1" si="6"/>
        <v>732.98553895962789</v>
      </c>
      <c r="D194" t="s">
        <v>395</v>
      </c>
      <c r="E194" s="6">
        <f t="shared" ca="1" si="7"/>
        <v>58.947707421217046</v>
      </c>
    </row>
    <row r="195" spans="1:5" ht="15.6" x14ac:dyDescent="0.35">
      <c r="A195" t="s">
        <v>396</v>
      </c>
      <c r="B195" s="7">
        <f t="shared" ca="1" si="6"/>
        <v>548.00534836105453</v>
      </c>
      <c r="D195" t="s">
        <v>397</v>
      </c>
      <c r="E195" s="6">
        <f t="shared" ca="1" si="7"/>
        <v>120.93559965018707</v>
      </c>
    </row>
    <row r="196" spans="1:5" ht="15.6" x14ac:dyDescent="0.35">
      <c r="A196" t="s">
        <v>398</v>
      </c>
      <c r="B196" s="7">
        <f t="shared" ca="1" si="6"/>
        <v>21.378193829363322</v>
      </c>
      <c r="D196" t="s">
        <v>399</v>
      </c>
      <c r="E196" s="6">
        <f t="shared" ca="1" si="7"/>
        <v>14.990657885390153</v>
      </c>
    </row>
    <row r="197" spans="1:5" ht="15.6" x14ac:dyDescent="0.35">
      <c r="A197" t="s">
        <v>400</v>
      </c>
      <c r="B197" s="7">
        <f t="shared" ca="1" si="6"/>
        <v>0</v>
      </c>
      <c r="D197" t="s">
        <v>401</v>
      </c>
      <c r="E197" s="6">
        <f t="shared" ca="1" si="7"/>
        <v>268.92682599358966</v>
      </c>
    </row>
    <row r="198" spans="1:5" ht="15.6" x14ac:dyDescent="0.35">
      <c r="A198" t="s">
        <v>402</v>
      </c>
      <c r="B198" s="7">
        <f t="shared" ca="1" si="6"/>
        <v>0</v>
      </c>
      <c r="D198" t="s">
        <v>403</v>
      </c>
      <c r="E198" s="6">
        <f t="shared" ca="1" si="7"/>
        <v>120.2693208604195</v>
      </c>
    </row>
    <row r="199" spans="1:5" ht="15.6" x14ac:dyDescent="0.35">
      <c r="A199" t="s">
        <v>404</v>
      </c>
      <c r="B199" s="7">
        <f t="shared" ca="1" si="6"/>
        <v>862.29764544583838</v>
      </c>
      <c r="D199" t="s">
        <v>405</v>
      </c>
      <c r="E199" s="6">
        <f t="shared" ca="1" si="7"/>
        <v>27.077041989252159</v>
      </c>
    </row>
    <row r="200" spans="1:5" ht="15.6" x14ac:dyDescent="0.35">
      <c r="A200" t="s">
        <v>406</v>
      </c>
      <c r="B200" s="7">
        <f t="shared" ca="1" si="6"/>
        <v>277.62180606535532</v>
      </c>
      <c r="D200" t="s">
        <v>407</v>
      </c>
      <c r="E200" s="6">
        <f t="shared" ca="1" si="7"/>
        <v>5.6987559129988634</v>
      </c>
    </row>
    <row r="201" spans="1:5" ht="15.6" x14ac:dyDescent="0.35">
      <c r="A201" t="s">
        <v>408</v>
      </c>
      <c r="B201" s="7">
        <f t="shared" ca="1" si="6"/>
        <v>12.763100793649743</v>
      </c>
      <c r="D201" t="s">
        <v>409</v>
      </c>
      <c r="E201" s="6">
        <f t="shared" ca="1" si="7"/>
        <v>31.507643589179551</v>
      </c>
    </row>
    <row r="202" spans="1:5" ht="15.6" x14ac:dyDescent="0.35">
      <c r="A202" t="s">
        <v>410</v>
      </c>
      <c r="B202" s="7">
        <f t="shared" ca="1" si="6"/>
        <v>11.609527370526264</v>
      </c>
      <c r="D202" t="s">
        <v>411</v>
      </c>
      <c r="E202" s="6">
        <f t="shared" ca="1" si="7"/>
        <v>29.563384455824551</v>
      </c>
    </row>
    <row r="203" spans="1:5" ht="15.6" x14ac:dyDescent="0.35">
      <c r="B203" s="7">
        <f ca="1">SUM(B193:B202)</f>
        <v>3228.8771650271606</v>
      </c>
      <c r="D203" t="s">
        <v>412</v>
      </c>
      <c r="E203" s="6">
        <f t="shared" ca="1" si="7"/>
        <v>67.374998006306427</v>
      </c>
    </row>
    <row r="204" spans="1:5" ht="15.6" x14ac:dyDescent="0.35">
      <c r="B204" s="7"/>
      <c r="D204" t="s">
        <v>413</v>
      </c>
      <c r="E204" s="6">
        <f t="shared" ca="1" si="7"/>
        <v>245.03849576017765</v>
      </c>
    </row>
    <row r="205" spans="1:5" ht="15.6" x14ac:dyDescent="0.35">
      <c r="B205" s="7"/>
      <c r="D205" t="s">
        <v>414</v>
      </c>
      <c r="E205" s="6">
        <f t="shared" ca="1" si="7"/>
        <v>109.86694328614712</v>
      </c>
    </row>
    <row r="206" spans="1:5" ht="15.6" x14ac:dyDescent="0.35">
      <c r="B206" s="7"/>
      <c r="D206" t="s">
        <v>415</v>
      </c>
      <c r="E206" s="6">
        <f t="shared" ca="1" si="7"/>
        <v>0</v>
      </c>
    </row>
    <row r="207" spans="1:5" ht="15.6" x14ac:dyDescent="0.35">
      <c r="B207" s="7"/>
      <c r="D207" t="s">
        <v>416</v>
      </c>
      <c r="E207" s="6">
        <f t="shared" ca="1" si="7"/>
        <v>262.91981974183824</v>
      </c>
    </row>
    <row r="208" spans="1:5" ht="15.6" x14ac:dyDescent="0.35">
      <c r="B208" s="7"/>
      <c r="D208" t="s">
        <v>417</v>
      </c>
      <c r="E208" s="6">
        <f t="shared" ca="1" si="7"/>
        <v>3.9220122061734308</v>
      </c>
    </row>
    <row r="209" spans="1:5" x14ac:dyDescent="0.3">
      <c r="B209" s="7"/>
      <c r="E209" s="6">
        <f ca="1">SUM(E193:E208)</f>
        <v>1383.8044992973546</v>
      </c>
    </row>
    <row r="210" spans="1:5" x14ac:dyDescent="0.3">
      <c r="B210" s="119"/>
      <c r="E210" s="120"/>
    </row>
    <row r="211" spans="1:5" s="98" customFormat="1" x14ac:dyDescent="0.3">
      <c r="A211" s="98" t="s">
        <v>159</v>
      </c>
      <c r="B211" s="98" t="s">
        <v>160</v>
      </c>
    </row>
    <row r="213" spans="1:5" x14ac:dyDescent="0.3">
      <c r="A213" t="s">
        <v>125</v>
      </c>
      <c r="B213" t="s">
        <v>126</v>
      </c>
    </row>
    <row r="214" spans="1:5" ht="15.6" x14ac:dyDescent="0.35">
      <c r="A214" t="s">
        <v>418</v>
      </c>
      <c r="B214" t="s">
        <v>161</v>
      </c>
    </row>
    <row r="215" spans="1:5" ht="15.6" x14ac:dyDescent="0.35">
      <c r="A215" t="s">
        <v>419</v>
      </c>
      <c r="B215" t="s">
        <v>162</v>
      </c>
    </row>
    <row r="217" spans="1:5" x14ac:dyDescent="0.3">
      <c r="A217" t="s">
        <v>147</v>
      </c>
    </row>
    <row r="218" spans="1:5" x14ac:dyDescent="0.3">
      <c r="A218" s="109"/>
      <c r="B218" s="109"/>
    </row>
    <row r="219" spans="1:5" x14ac:dyDescent="0.3">
      <c r="A219" s="109"/>
      <c r="B219" s="109"/>
    </row>
    <row r="220" spans="1:5" x14ac:dyDescent="0.3">
      <c r="A220" s="109"/>
      <c r="B220" s="109"/>
    </row>
    <row r="221" spans="1:5" x14ac:dyDescent="0.3">
      <c r="A221" s="109"/>
      <c r="B221" s="109"/>
    </row>
    <row r="222" spans="1:5" x14ac:dyDescent="0.3">
      <c r="A222" s="109"/>
      <c r="B222" s="109"/>
    </row>
    <row r="223" spans="1:5" x14ac:dyDescent="0.3">
      <c r="A223" s="109"/>
      <c r="B223" s="109"/>
    </row>
    <row r="225" spans="1:22" ht="15.6" x14ac:dyDescent="0.3">
      <c r="A225" s="111" t="s">
        <v>420</v>
      </c>
      <c r="B225" s="111" t="s">
        <v>163</v>
      </c>
      <c r="C225" s="111" t="s">
        <v>421</v>
      </c>
      <c r="E225" s="121"/>
      <c r="F225" s="121"/>
      <c r="G225" s="122"/>
      <c r="H225" s="110" t="s">
        <v>422</v>
      </c>
      <c r="I225" s="111" t="s">
        <v>164</v>
      </c>
      <c r="J225" s="111" t="s">
        <v>423</v>
      </c>
      <c r="Q225" s="123"/>
      <c r="R225" s="122"/>
      <c r="S225" s="121"/>
      <c r="T225" s="121"/>
      <c r="U225" s="121"/>
    </row>
    <row r="226" spans="1:22" ht="15.6" x14ac:dyDescent="0.3">
      <c r="A226" s="49" t="s">
        <v>424</v>
      </c>
      <c r="B226" s="49" t="str">
        <f>B24</f>
        <v>PR-CARAGUATATUBA</v>
      </c>
      <c r="C226" s="12">
        <f ca="1">IFERROR($B193/$H24*1000000," ")</f>
        <v>5.8825117756518956</v>
      </c>
      <c r="D226" s="124"/>
      <c r="E226" s="8"/>
      <c r="F226" s="8"/>
      <c r="G226" s="125"/>
      <c r="H226" s="49" t="s">
        <v>425</v>
      </c>
      <c r="I226" s="49" t="str">
        <f t="shared" ref="I226:I241" si="8">B41</f>
        <v>NTS MG 1</v>
      </c>
      <c r="J226" s="12">
        <f ca="1">IFERROR($E193/$H41*1000000," ")</f>
        <v>3.0221927446807051</v>
      </c>
      <c r="L226" s="21"/>
      <c r="M226" s="126"/>
      <c r="Q226" s="8"/>
      <c r="R226" s="127"/>
      <c r="S226" s="128"/>
      <c r="T226" s="128"/>
      <c r="U226" s="128"/>
    </row>
    <row r="227" spans="1:22" ht="15.6" x14ac:dyDescent="0.3">
      <c r="A227" s="49" t="s">
        <v>426</v>
      </c>
      <c r="B227" s="49" t="str">
        <f t="shared" ref="B227:B235" si="9">B25</f>
        <v>PR-GNLBGB</v>
      </c>
      <c r="C227" s="12">
        <f t="shared" ref="C227:C235" ca="1" si="10">IFERROR($B194/$H25*1000000," ")</f>
        <v>4.0101916164727243</v>
      </c>
      <c r="D227" s="124"/>
      <c r="E227" s="8"/>
      <c r="F227" s="8"/>
      <c r="G227" s="125"/>
      <c r="H227" s="49" t="s">
        <v>427</v>
      </c>
      <c r="I227" s="49" t="str">
        <f t="shared" si="8"/>
        <v>NTS MG 2</v>
      </c>
      <c r="J227" s="12">
        <f t="shared" ref="J227:J241" ca="1" si="11">IFERROR($E194/$H42*1000000," ")</f>
        <v>3.8439229751306412</v>
      </c>
      <c r="L227" s="21"/>
      <c r="M227" s="126"/>
      <c r="Q227" s="8"/>
      <c r="R227" s="127"/>
      <c r="S227" s="128"/>
      <c r="T227" s="128"/>
      <c r="U227" s="128"/>
    </row>
    <row r="228" spans="1:22" ht="15.6" x14ac:dyDescent="0.3">
      <c r="A228" s="49" t="s">
        <v>428</v>
      </c>
      <c r="B228" s="49" t="str">
        <f t="shared" si="9"/>
        <v>PR-ITABORAÍ</v>
      </c>
      <c r="C228" s="12">
        <f t="shared" ca="1" si="10"/>
        <v>4.6125507613884382</v>
      </c>
      <c r="D228" s="124"/>
      <c r="E228" s="8"/>
      <c r="F228" s="8"/>
      <c r="G228" s="125"/>
      <c r="H228" s="49" t="s">
        <v>429</v>
      </c>
      <c r="I228" s="49" t="str">
        <f t="shared" si="8"/>
        <v>NTS MG 3</v>
      </c>
      <c r="J228" s="12">
        <f t="shared" ca="1" si="11"/>
        <v>4.8348062940215142</v>
      </c>
      <c r="L228" s="21"/>
      <c r="M228" s="126"/>
      <c r="Q228" s="8"/>
      <c r="R228" s="127"/>
      <c r="S228" s="128"/>
      <c r="T228" s="128"/>
      <c r="U228" s="128"/>
    </row>
    <row r="229" spans="1:22" ht="15.6" x14ac:dyDescent="0.3">
      <c r="A229" s="49" t="s">
        <v>430</v>
      </c>
      <c r="B229" s="49" t="str">
        <f t="shared" si="9"/>
        <v>PR-GASPAJ (INTERCONEXÃO)</v>
      </c>
      <c r="C229" s="12">
        <f t="shared" ca="1" si="10"/>
        <v>6.9827407339491376</v>
      </c>
      <c r="D229" s="124"/>
      <c r="E229" s="8"/>
      <c r="F229" s="8"/>
      <c r="G229" s="125"/>
      <c r="H229" s="49" t="s">
        <v>431</v>
      </c>
      <c r="I229" s="49" t="str">
        <f t="shared" si="8"/>
        <v>NTS MG 4</v>
      </c>
      <c r="J229" s="12">
        <f t="shared" ca="1" si="11"/>
        <v>4.8963854608351207</v>
      </c>
      <c r="L229" s="21"/>
      <c r="M229" s="126"/>
      <c r="Q229" s="8"/>
      <c r="R229" s="127"/>
      <c r="S229" s="128"/>
      <c r="T229" s="128"/>
      <c r="U229" s="128"/>
    </row>
    <row r="230" spans="1:22" ht="15.6" x14ac:dyDescent="0.3">
      <c r="A230" s="49" t="s">
        <v>432</v>
      </c>
      <c r="B230" s="49" t="str">
        <f t="shared" si="9"/>
        <v>PR-REDUC</v>
      </c>
      <c r="C230" s="12" t="str">
        <f t="shared" ca="1" si="10"/>
        <v xml:space="preserve"> </v>
      </c>
      <c r="D230" s="124"/>
      <c r="E230" s="8"/>
      <c r="F230" s="8"/>
      <c r="G230" s="125"/>
      <c r="H230" s="49" t="s">
        <v>433</v>
      </c>
      <c r="I230" s="49" t="str">
        <f t="shared" si="8"/>
        <v>NTS RJ 1</v>
      </c>
      <c r="J230" s="12">
        <f t="shared" ca="1" si="11"/>
        <v>1.6538063732631905</v>
      </c>
      <c r="L230" s="21"/>
      <c r="M230" s="126"/>
      <c r="Q230" s="8"/>
      <c r="R230" s="127"/>
      <c r="S230" s="128"/>
      <c r="T230" s="128"/>
      <c r="U230" s="128"/>
    </row>
    <row r="231" spans="1:22" ht="15.6" x14ac:dyDescent="0.3">
      <c r="A231" s="49" t="s">
        <v>434</v>
      </c>
      <c r="B231" s="49" t="str">
        <f t="shared" si="9"/>
        <v>PR-RPBC</v>
      </c>
      <c r="C231" s="12" t="str">
        <f t="shared" ca="1" si="10"/>
        <v xml:space="preserve"> </v>
      </c>
      <c r="D231" s="124"/>
      <c r="E231" s="8"/>
      <c r="F231" s="8"/>
      <c r="G231" s="125"/>
      <c r="H231" s="49" t="s">
        <v>435</v>
      </c>
      <c r="I231" s="49" t="str">
        <f t="shared" si="8"/>
        <v>NTS RJ 2</v>
      </c>
      <c r="J231" s="12">
        <f t="shared" ca="1" si="11"/>
        <v>1.5655436708757546</v>
      </c>
      <c r="L231" s="21"/>
      <c r="M231" s="126"/>
      <c r="Q231" s="8"/>
      <c r="R231" s="127"/>
      <c r="S231" s="128"/>
      <c r="T231" s="128"/>
      <c r="U231" s="128"/>
    </row>
    <row r="232" spans="1:22" ht="15.6" x14ac:dyDescent="0.3">
      <c r="A232" s="49" t="s">
        <v>436</v>
      </c>
      <c r="B232" s="49" t="str">
        <f t="shared" si="9"/>
        <v>PR-TECAB</v>
      </c>
      <c r="C232" s="12">
        <f t="shared" ca="1" si="10"/>
        <v>6.3516163495633888</v>
      </c>
      <c r="D232" s="124"/>
      <c r="E232" s="8"/>
      <c r="F232" s="8"/>
      <c r="G232" s="125"/>
      <c r="H232" s="49" t="s">
        <v>437</v>
      </c>
      <c r="I232" s="49" t="str">
        <f t="shared" si="8"/>
        <v>NTS RJ 3</v>
      </c>
      <c r="J232" s="12">
        <f t="shared" ca="1" si="11"/>
        <v>1.7285825110243005</v>
      </c>
      <c r="L232" s="21"/>
      <c r="M232" s="126"/>
      <c r="Q232" s="8"/>
      <c r="R232" s="127"/>
      <c r="S232" s="128"/>
      <c r="T232" s="128"/>
      <c r="U232" s="128"/>
    </row>
    <row r="233" spans="1:22" ht="15.6" x14ac:dyDescent="0.3">
      <c r="A233" s="49" t="s">
        <v>438</v>
      </c>
      <c r="B233" s="49" t="str">
        <f t="shared" si="9"/>
        <v>PR-GUARAREMA (INTERCONEXÃO)</v>
      </c>
      <c r="C233" s="12">
        <f t="shared" ca="1" si="10"/>
        <v>5.0629313497485171</v>
      </c>
      <c r="D233" s="124"/>
      <c r="E233" s="8"/>
      <c r="F233" s="8"/>
      <c r="G233" s="125"/>
      <c r="H233" s="49" t="s">
        <v>439</v>
      </c>
      <c r="I233" s="49" t="str">
        <f t="shared" si="8"/>
        <v>NTS RJ 4</v>
      </c>
      <c r="J233" s="12">
        <f t="shared" ca="1" si="11"/>
        <v>1.9305330783225547</v>
      </c>
      <c r="L233" s="21"/>
      <c r="M233" s="126"/>
      <c r="Q233" s="8"/>
      <c r="R233" s="127"/>
      <c r="S233" s="128"/>
      <c r="T233" s="128"/>
      <c r="U233" s="128"/>
    </row>
    <row r="234" spans="1:22" ht="15.6" x14ac:dyDescent="0.3">
      <c r="A234" s="49" t="s">
        <v>440</v>
      </c>
      <c r="B234" s="49" t="str">
        <f t="shared" si="9"/>
        <v>PR-REPLAN (INTERCONEXÃO)</v>
      </c>
      <c r="C234" s="12">
        <f t="shared" ca="1" si="10"/>
        <v>6.9827407339491367</v>
      </c>
      <c r="D234" s="119"/>
      <c r="E234" s="8"/>
      <c r="F234" s="8"/>
      <c r="G234" s="119"/>
      <c r="H234" s="49" t="s">
        <v>441</v>
      </c>
      <c r="I234" s="49" t="str">
        <f t="shared" si="8"/>
        <v>NTS RJ 5</v>
      </c>
      <c r="J234" s="12">
        <f t="shared" ca="1" si="11"/>
        <v>1.6201081783995435</v>
      </c>
      <c r="L234" s="21"/>
      <c r="Q234" s="8"/>
      <c r="R234" s="127"/>
      <c r="S234" s="128"/>
      <c r="T234" s="128"/>
      <c r="U234" s="128"/>
    </row>
    <row r="235" spans="1:22" ht="15.6" x14ac:dyDescent="0.3">
      <c r="A235" s="49" t="s">
        <v>442</v>
      </c>
      <c r="B235" s="49" t="str">
        <f t="shared" si="9"/>
        <v>PR-TECAB (INTERCONEXÃO)</v>
      </c>
      <c r="C235" s="12">
        <f t="shared" ca="1" si="10"/>
        <v>6.3516163495633879</v>
      </c>
      <c r="D235" s="119"/>
      <c r="E235" s="8"/>
      <c r="F235" s="8"/>
      <c r="G235" s="119"/>
      <c r="H235" s="49" t="s">
        <v>443</v>
      </c>
      <c r="I235" s="49" t="str">
        <f t="shared" si="8"/>
        <v>NTS SP 1</v>
      </c>
      <c r="J235" s="12">
        <f t="shared" ca="1" si="11"/>
        <v>2.6150750994541916</v>
      </c>
      <c r="L235" s="21"/>
      <c r="Q235" s="8"/>
      <c r="R235" s="127"/>
      <c r="S235" s="128"/>
      <c r="T235" s="128"/>
      <c r="U235" s="128"/>
    </row>
    <row r="236" spans="1:22" ht="15.6" x14ac:dyDescent="0.3">
      <c r="D236" s="119"/>
      <c r="E236" s="8"/>
      <c r="F236" s="8"/>
      <c r="G236" s="119"/>
      <c r="H236" s="49" t="s">
        <v>444</v>
      </c>
      <c r="I236" s="49" t="str">
        <f t="shared" si="8"/>
        <v>NTS SP 2</v>
      </c>
      <c r="J236" s="12">
        <f t="shared" ca="1" si="11"/>
        <v>2.4805596450515859</v>
      </c>
      <c r="K236" s="119"/>
      <c r="L236" s="21"/>
      <c r="Q236" s="8"/>
      <c r="R236" s="127"/>
      <c r="S236" s="128"/>
      <c r="T236" s="128"/>
      <c r="U236" s="128"/>
    </row>
    <row r="237" spans="1:22" ht="15.6" x14ac:dyDescent="0.3">
      <c r="D237" s="119"/>
      <c r="E237" s="8"/>
      <c r="F237" s="8"/>
      <c r="G237" s="119"/>
      <c r="H237" s="49" t="s">
        <v>445</v>
      </c>
      <c r="I237" s="49" t="str">
        <f t="shared" si="8"/>
        <v>NTS SP 3</v>
      </c>
      <c r="J237" s="12">
        <f t="shared" ca="1" si="11"/>
        <v>3.3645749314626765</v>
      </c>
      <c r="L237" s="21"/>
      <c r="Q237" s="8"/>
      <c r="R237" s="127"/>
      <c r="S237" s="128"/>
      <c r="T237" s="128"/>
      <c r="U237" s="128"/>
    </row>
    <row r="238" spans="1:22" ht="15.6" x14ac:dyDescent="0.3">
      <c r="D238" s="119"/>
      <c r="E238" s="8"/>
      <c r="F238" s="8"/>
      <c r="G238" s="119"/>
      <c r="H238" s="49" t="s">
        <v>446</v>
      </c>
      <c r="I238" s="49" t="str">
        <f t="shared" si="8"/>
        <v>NTS SP 4</v>
      </c>
      <c r="J238" s="12">
        <f t="shared" ca="1" si="11"/>
        <v>3.6640426917512046</v>
      </c>
      <c r="L238" s="21"/>
      <c r="Q238" s="8"/>
      <c r="R238" s="127"/>
      <c r="S238" s="128"/>
      <c r="T238" s="128"/>
      <c r="U238" s="128"/>
    </row>
    <row r="239" spans="1:22" ht="15.6" x14ac:dyDescent="0.3">
      <c r="D239" s="119"/>
      <c r="E239" s="8"/>
      <c r="F239" s="8"/>
      <c r="G239" s="119"/>
      <c r="H239" s="49" t="s">
        <v>447</v>
      </c>
      <c r="I239" s="49" t="str">
        <f t="shared" si="8"/>
        <v>PE-GUARAREMA (INTERCONEXÃO)</v>
      </c>
      <c r="J239" s="12" t="str">
        <f t="shared" ca="1" si="11"/>
        <v xml:space="preserve"> </v>
      </c>
      <c r="L239" s="21"/>
      <c r="Q239" s="8"/>
      <c r="R239" s="127"/>
      <c r="S239" s="10"/>
      <c r="T239" s="10"/>
      <c r="U239" s="10"/>
    </row>
    <row r="240" spans="1:22" ht="15.6" x14ac:dyDescent="0.3">
      <c r="E240" s="8"/>
      <c r="F240" s="8"/>
      <c r="G240" s="119"/>
      <c r="H240" s="49" t="s">
        <v>448</v>
      </c>
      <c r="I240" s="49" t="str">
        <f t="shared" si="8"/>
        <v>PE-REPLAN (INTERCONEXÃO)</v>
      </c>
      <c r="J240" s="12">
        <f t="shared" ca="1" si="11"/>
        <v>4.1033926158681737</v>
      </c>
      <c r="L240" s="21"/>
      <c r="Q240" s="8"/>
      <c r="R240" s="129"/>
      <c r="S240" s="10"/>
      <c r="T240" s="10"/>
      <c r="U240" s="10"/>
      <c r="V240" s="119"/>
    </row>
    <row r="241" spans="1:22" ht="15.6" x14ac:dyDescent="0.3">
      <c r="E241" s="8"/>
      <c r="F241" s="8"/>
      <c r="G241" s="119"/>
      <c r="H241" s="49" t="s">
        <v>449</v>
      </c>
      <c r="I241" s="49" t="str">
        <f t="shared" si="8"/>
        <v>PE-TECAB (INTERCONEXÃO)</v>
      </c>
      <c r="J241" s="12">
        <f t="shared" ca="1" si="11"/>
        <v>2.1457477171001416</v>
      </c>
      <c r="L241" s="21"/>
      <c r="P241" s="125"/>
      <c r="Q241" s="129"/>
      <c r="R241" s="129"/>
      <c r="S241" s="8"/>
      <c r="T241" s="8"/>
      <c r="U241" s="8"/>
      <c r="V241" s="119"/>
    </row>
    <row r="242" spans="1:22" x14ac:dyDescent="0.3">
      <c r="L242" s="21"/>
    </row>
    <row r="243" spans="1:22" x14ac:dyDescent="0.3">
      <c r="L243" s="21"/>
    </row>
    <row r="244" spans="1:22" ht="15.6" x14ac:dyDescent="0.3">
      <c r="A244" s="111" t="s">
        <v>420</v>
      </c>
      <c r="B244" s="111" t="s">
        <v>163</v>
      </c>
      <c r="C244" s="111" t="s">
        <v>421</v>
      </c>
      <c r="D244" s="111" t="s">
        <v>450</v>
      </c>
      <c r="E244" s="111" t="s">
        <v>451</v>
      </c>
      <c r="G244" s="122"/>
      <c r="H244" s="111" t="s">
        <v>422</v>
      </c>
      <c r="I244" s="111" t="s">
        <v>164</v>
      </c>
      <c r="J244" s="111" t="s">
        <v>423</v>
      </c>
      <c r="K244" s="111" t="s">
        <v>452</v>
      </c>
      <c r="L244" s="111" t="s">
        <v>453</v>
      </c>
    </row>
    <row r="245" spans="1:22" ht="15.6" x14ac:dyDescent="0.3">
      <c r="A245" s="49" t="s">
        <v>424</v>
      </c>
      <c r="B245" s="49" t="str">
        <f t="shared" ref="B245:B254" si="12">B226</f>
        <v>PR-CARAGUATATUBA</v>
      </c>
      <c r="C245" s="12">
        <f ca="1">IF(H24=0," ",C226*(1-$C$11))</f>
        <v>1.1765023551303788</v>
      </c>
      <c r="D245" s="12">
        <f t="shared" ref="D245:D254" si="13">$F$7*$C$11</f>
        <v>4.1101231121047865</v>
      </c>
      <c r="E245" s="12">
        <f ca="1">IFERROR(C245+D245," ")</f>
        <v>5.2866254672351651</v>
      </c>
      <c r="G245" s="126"/>
      <c r="H245" s="49" t="s">
        <v>425</v>
      </c>
      <c r="I245" s="49" t="str">
        <f t="shared" ref="I245:I260" si="14">I226</f>
        <v>NTS MG 1</v>
      </c>
      <c r="J245" s="12">
        <f ca="1">IF(H41=0," ",J226*(1-$C$11))</f>
        <v>0.60443854893614091</v>
      </c>
      <c r="K245" s="12">
        <f t="shared" ref="K245:K260" si="15">$F$10*$C$11</f>
        <v>2.0745242992918826</v>
      </c>
      <c r="L245" s="12">
        <f ca="1">IFERROR(J245+K245," ")</f>
        <v>2.6789628482280237</v>
      </c>
    </row>
    <row r="246" spans="1:22" ht="15.6" x14ac:dyDescent="0.3">
      <c r="A246" s="49" t="s">
        <v>426</v>
      </c>
      <c r="B246" s="49" t="str">
        <f t="shared" si="12"/>
        <v>PR-GNLBGB</v>
      </c>
      <c r="C246" s="12">
        <f t="shared" ref="C246:C254" ca="1" si="16">IF(H25=0," ",C227*(1-$C$11))</f>
        <v>0.80203832329454472</v>
      </c>
      <c r="D246" s="12">
        <f t="shared" si="13"/>
        <v>4.1101231121047865</v>
      </c>
      <c r="E246" s="12">
        <f t="shared" ref="E246:E254" ca="1" si="17">IFERROR(C246+D246," ")</f>
        <v>4.912161435399331</v>
      </c>
      <c r="G246" s="126"/>
      <c r="H246" s="49" t="s">
        <v>427</v>
      </c>
      <c r="I246" s="49" t="str">
        <f t="shared" si="14"/>
        <v>NTS MG 2</v>
      </c>
      <c r="J246" s="12">
        <f t="shared" ref="J246:J247" ca="1" si="18">IF(H42=0," ",J227*(1-$C$11))</f>
        <v>0.76878459502612806</v>
      </c>
      <c r="K246" s="12">
        <f t="shared" si="15"/>
        <v>2.0745242992918826</v>
      </c>
      <c r="L246" s="12">
        <f t="shared" ref="L246:L260" ca="1" si="19">IFERROR(J246+K246," ")</f>
        <v>2.8433088943180107</v>
      </c>
    </row>
    <row r="247" spans="1:22" ht="15.6" x14ac:dyDescent="0.3">
      <c r="A247" s="49" t="s">
        <v>428</v>
      </c>
      <c r="B247" s="49" t="str">
        <f t="shared" si="12"/>
        <v>PR-ITABORAÍ</v>
      </c>
      <c r="C247" s="12">
        <f t="shared" ca="1" si="16"/>
        <v>0.9225101522776874</v>
      </c>
      <c r="D247" s="12">
        <f t="shared" si="13"/>
        <v>4.1101231121047865</v>
      </c>
      <c r="E247" s="12">
        <f t="shared" ca="1" si="17"/>
        <v>5.0326332643824738</v>
      </c>
      <c r="G247" s="126"/>
      <c r="H247" s="49" t="s">
        <v>429</v>
      </c>
      <c r="I247" s="49" t="str">
        <f t="shared" si="14"/>
        <v>NTS MG 3</v>
      </c>
      <c r="J247" s="12">
        <f t="shared" ca="1" si="18"/>
        <v>0.96696125880430261</v>
      </c>
      <c r="K247" s="12">
        <f t="shared" si="15"/>
        <v>2.0745242992918826</v>
      </c>
      <c r="L247" s="12">
        <f t="shared" ca="1" si="19"/>
        <v>3.041485558096185</v>
      </c>
    </row>
    <row r="248" spans="1:22" ht="15.6" x14ac:dyDescent="0.3">
      <c r="A248" s="49" t="s">
        <v>430</v>
      </c>
      <c r="B248" s="49" t="str">
        <f t="shared" si="12"/>
        <v>PR-GASPAJ (INTERCONEXÃO)</v>
      </c>
      <c r="C248" s="12">
        <f t="shared" ca="1" si="16"/>
        <v>1.3965481467898273</v>
      </c>
      <c r="D248" s="12">
        <f t="shared" si="13"/>
        <v>4.1101231121047865</v>
      </c>
      <c r="E248" s="12">
        <f t="shared" ca="1" si="17"/>
        <v>5.5066712588946141</v>
      </c>
      <c r="G248" s="126"/>
      <c r="H248" s="49" t="s">
        <v>431</v>
      </c>
      <c r="I248" s="49" t="str">
        <f t="shared" si="14"/>
        <v>NTS MG 4</v>
      </c>
      <c r="J248" s="12">
        <f ca="1">IF(H44=0," ",J229*(1-$C$11))</f>
        <v>0.97927709216702397</v>
      </c>
      <c r="K248" s="12">
        <f t="shared" si="15"/>
        <v>2.0745242992918826</v>
      </c>
      <c r="L248" s="12">
        <f t="shared" ca="1" si="19"/>
        <v>3.0538013914589066</v>
      </c>
    </row>
    <row r="249" spans="1:22" ht="15.6" x14ac:dyDescent="0.3">
      <c r="A249" s="49" t="s">
        <v>432</v>
      </c>
      <c r="B249" s="49" t="str">
        <f t="shared" si="12"/>
        <v>PR-REDUC</v>
      </c>
      <c r="C249" s="12" t="str">
        <f t="shared" si="16"/>
        <v xml:space="preserve"> </v>
      </c>
      <c r="D249" s="12"/>
      <c r="E249" s="12" t="str">
        <f t="shared" si="17"/>
        <v xml:space="preserve"> </v>
      </c>
      <c r="G249" s="126"/>
      <c r="H249" s="49" t="s">
        <v>433</v>
      </c>
      <c r="I249" s="49" t="str">
        <f t="shared" si="14"/>
        <v>NTS RJ 1</v>
      </c>
      <c r="J249" s="12">
        <f t="shared" ref="J249:J260" ca="1" si="20">IF(H45=0," ",J230*(1-$C$11))</f>
        <v>0.33076127465263799</v>
      </c>
      <c r="K249" s="12">
        <f t="shared" si="15"/>
        <v>2.0745242992918826</v>
      </c>
      <c r="L249" s="12">
        <f t="shared" ca="1" si="19"/>
        <v>2.4052855739445205</v>
      </c>
    </row>
    <row r="250" spans="1:22" ht="15.6" x14ac:dyDescent="0.3">
      <c r="A250" s="49" t="s">
        <v>434</v>
      </c>
      <c r="B250" s="49" t="str">
        <f t="shared" si="12"/>
        <v>PR-RPBC</v>
      </c>
      <c r="C250" s="12" t="str">
        <f t="shared" si="16"/>
        <v xml:space="preserve"> </v>
      </c>
      <c r="D250" s="12"/>
      <c r="E250" s="12" t="str">
        <f t="shared" si="17"/>
        <v xml:space="preserve"> </v>
      </c>
      <c r="G250" s="126"/>
      <c r="H250" s="49" t="s">
        <v>435</v>
      </c>
      <c r="I250" s="49" t="str">
        <f t="shared" si="14"/>
        <v>NTS RJ 2</v>
      </c>
      <c r="J250" s="12">
        <f t="shared" ca="1" si="20"/>
        <v>0.31310873417515084</v>
      </c>
      <c r="K250" s="12">
        <f t="shared" si="15"/>
        <v>2.0745242992918826</v>
      </c>
      <c r="L250" s="12">
        <f t="shared" ca="1" si="19"/>
        <v>2.3876330334670337</v>
      </c>
    </row>
    <row r="251" spans="1:22" ht="15.6" x14ac:dyDescent="0.3">
      <c r="A251" s="49" t="s">
        <v>436</v>
      </c>
      <c r="B251" s="49" t="str">
        <f t="shared" si="12"/>
        <v>PR-TECAB</v>
      </c>
      <c r="C251" s="12">
        <f t="shared" ca="1" si="16"/>
        <v>1.2703232699126774</v>
      </c>
      <c r="D251" s="12">
        <f t="shared" si="13"/>
        <v>4.1101231121047865</v>
      </c>
      <c r="E251" s="12">
        <f t="shared" ca="1" si="17"/>
        <v>5.3804463820174639</v>
      </c>
      <c r="G251" s="126"/>
      <c r="H251" s="49" t="s">
        <v>437</v>
      </c>
      <c r="I251" s="49" t="str">
        <f t="shared" si="14"/>
        <v>NTS RJ 3</v>
      </c>
      <c r="J251" s="12">
        <f t="shared" ca="1" si="20"/>
        <v>0.34571650220486</v>
      </c>
      <c r="K251" s="12">
        <f t="shared" si="15"/>
        <v>2.0745242992918826</v>
      </c>
      <c r="L251" s="12">
        <f t="shared" ca="1" si="19"/>
        <v>2.4202408014967425</v>
      </c>
    </row>
    <row r="252" spans="1:22" ht="15.6" x14ac:dyDescent="0.3">
      <c r="A252" s="49" t="s">
        <v>438</v>
      </c>
      <c r="B252" s="49" t="str">
        <f t="shared" si="12"/>
        <v>PR-GUARAREMA (INTERCONEXÃO)</v>
      </c>
      <c r="C252" s="12">
        <f t="shared" ca="1" si="16"/>
        <v>1.0125862699497032</v>
      </c>
      <c r="D252" s="12">
        <f t="shared" si="13"/>
        <v>4.1101231121047865</v>
      </c>
      <c r="E252" s="12">
        <f t="shared" ca="1" si="17"/>
        <v>5.1227093820544898</v>
      </c>
      <c r="G252" s="126"/>
      <c r="H252" s="49" t="s">
        <v>439</v>
      </c>
      <c r="I252" s="49" t="str">
        <f t="shared" si="14"/>
        <v>NTS RJ 4</v>
      </c>
      <c r="J252" s="12">
        <f t="shared" ca="1" si="20"/>
        <v>0.38610661566451088</v>
      </c>
      <c r="K252" s="12">
        <f t="shared" si="15"/>
        <v>2.0745242992918826</v>
      </c>
      <c r="L252" s="12">
        <f t="shared" ca="1" si="19"/>
        <v>2.4606309149563934</v>
      </c>
    </row>
    <row r="253" spans="1:22" ht="15.6" x14ac:dyDescent="0.3">
      <c r="A253" s="49" t="s">
        <v>440</v>
      </c>
      <c r="B253" s="49" t="str">
        <f t="shared" si="12"/>
        <v>PR-REPLAN (INTERCONEXÃO)</v>
      </c>
      <c r="C253" s="12">
        <f t="shared" ca="1" si="16"/>
        <v>1.3965481467898271</v>
      </c>
      <c r="D253" s="12">
        <f t="shared" si="13"/>
        <v>4.1101231121047865</v>
      </c>
      <c r="E253" s="12">
        <f t="shared" ca="1" si="17"/>
        <v>5.5066712588946132</v>
      </c>
      <c r="G253" s="126"/>
      <c r="H253" s="49" t="s">
        <v>441</v>
      </c>
      <c r="I253" s="49" t="str">
        <f t="shared" si="14"/>
        <v>NTS RJ 5</v>
      </c>
      <c r="J253" s="12">
        <f t="shared" ca="1" si="20"/>
        <v>0.3240216356799086</v>
      </c>
      <c r="K253" s="12">
        <f t="shared" si="15"/>
        <v>2.0745242992918826</v>
      </c>
      <c r="L253" s="12">
        <f t="shared" ca="1" si="19"/>
        <v>2.398545934971791</v>
      </c>
    </row>
    <row r="254" spans="1:22" ht="15.6" x14ac:dyDescent="0.3">
      <c r="A254" s="49" t="s">
        <v>442</v>
      </c>
      <c r="B254" s="49" t="str">
        <f t="shared" si="12"/>
        <v>PR-TECAB (INTERCONEXÃO)</v>
      </c>
      <c r="C254" s="12">
        <f t="shared" ca="1" si="16"/>
        <v>1.2703232699126774</v>
      </c>
      <c r="D254" s="12">
        <f t="shared" si="13"/>
        <v>4.1101231121047865</v>
      </c>
      <c r="E254" s="12">
        <f t="shared" ca="1" si="17"/>
        <v>5.3804463820174639</v>
      </c>
      <c r="G254" s="126"/>
      <c r="H254" s="49" t="s">
        <v>443</v>
      </c>
      <c r="I254" s="49" t="str">
        <f t="shared" si="14"/>
        <v>NTS SP 1</v>
      </c>
      <c r="J254" s="12">
        <f t="shared" ca="1" si="20"/>
        <v>0.52301501989083821</v>
      </c>
      <c r="K254" s="12">
        <f t="shared" si="15"/>
        <v>2.0745242992918826</v>
      </c>
      <c r="L254" s="12">
        <f t="shared" ca="1" si="19"/>
        <v>2.597539319182721</v>
      </c>
    </row>
    <row r="255" spans="1:22" ht="15.6" x14ac:dyDescent="0.3">
      <c r="H255" s="49" t="s">
        <v>444</v>
      </c>
      <c r="I255" s="49" t="str">
        <f t="shared" si="14"/>
        <v>NTS SP 2</v>
      </c>
      <c r="J255" s="12">
        <f t="shared" ca="1" si="20"/>
        <v>0.49611192901031709</v>
      </c>
      <c r="K255" s="12">
        <f t="shared" si="15"/>
        <v>2.0745242992918826</v>
      </c>
      <c r="L255" s="12">
        <f t="shared" ca="1" si="19"/>
        <v>2.5706362283021997</v>
      </c>
    </row>
    <row r="256" spans="1:22" ht="15.6" x14ac:dyDescent="0.3">
      <c r="H256" s="49" t="s">
        <v>445</v>
      </c>
      <c r="I256" s="49" t="str">
        <f t="shared" si="14"/>
        <v>NTS SP 3</v>
      </c>
      <c r="J256" s="12">
        <f t="shared" ca="1" si="20"/>
        <v>0.6729149862925351</v>
      </c>
      <c r="K256" s="12">
        <f t="shared" si="15"/>
        <v>2.0745242992918826</v>
      </c>
      <c r="L256" s="12">
        <f t="shared" ca="1" si="19"/>
        <v>2.7474392855844179</v>
      </c>
    </row>
    <row r="257" spans="1:13" ht="15.6" x14ac:dyDescent="0.3">
      <c r="H257" s="49" t="s">
        <v>446</v>
      </c>
      <c r="I257" s="49" t="str">
        <f t="shared" si="14"/>
        <v>NTS SP 4</v>
      </c>
      <c r="J257" s="12">
        <f t="shared" ca="1" si="20"/>
        <v>0.73280853835024073</v>
      </c>
      <c r="K257" s="12">
        <f t="shared" si="15"/>
        <v>2.0745242992918826</v>
      </c>
      <c r="L257" s="12">
        <f t="shared" ca="1" si="19"/>
        <v>2.8073328376421234</v>
      </c>
    </row>
    <row r="258" spans="1:13" ht="15.6" x14ac:dyDescent="0.3">
      <c r="H258" s="49" t="s">
        <v>447</v>
      </c>
      <c r="I258" s="49" t="str">
        <f t="shared" si="14"/>
        <v>PE-GUARAREMA (INTERCONEXÃO)</v>
      </c>
      <c r="J258" s="12" t="str">
        <f t="shared" si="20"/>
        <v xml:space="preserve"> </v>
      </c>
      <c r="K258" s="12"/>
      <c r="L258" s="12" t="str">
        <f>IFERROR(J258+K258," ")</f>
        <v xml:space="preserve"> </v>
      </c>
    </row>
    <row r="259" spans="1:13" ht="15.6" x14ac:dyDescent="0.3">
      <c r="H259" s="49" t="s">
        <v>448</v>
      </c>
      <c r="I259" s="49" t="str">
        <f t="shared" si="14"/>
        <v>PE-REPLAN (INTERCONEXÃO)</v>
      </c>
      <c r="J259" s="12">
        <f t="shared" ca="1" si="20"/>
        <v>0.82067852317363454</v>
      </c>
      <c r="K259" s="12">
        <f t="shared" si="15"/>
        <v>2.0745242992918826</v>
      </c>
      <c r="L259" s="12">
        <f t="shared" ca="1" si="19"/>
        <v>2.8952028224655173</v>
      </c>
    </row>
    <row r="260" spans="1:13" ht="15.6" x14ac:dyDescent="0.3">
      <c r="H260" s="49" t="s">
        <v>449</v>
      </c>
      <c r="I260" s="49" t="str">
        <f t="shared" si="14"/>
        <v>PE-TECAB (INTERCONEXÃO)</v>
      </c>
      <c r="J260" s="12">
        <f t="shared" ca="1" si="20"/>
        <v>0.4291495434200282</v>
      </c>
      <c r="K260" s="12">
        <f t="shared" si="15"/>
        <v>2.0745242992918826</v>
      </c>
      <c r="L260" s="12">
        <f t="shared" ca="1" si="19"/>
        <v>2.503673842711911</v>
      </c>
    </row>
    <row r="262" spans="1:13" x14ac:dyDescent="0.3">
      <c r="A262" t="s">
        <v>165</v>
      </c>
      <c r="C262" s="97">
        <v>0.9</v>
      </c>
    </row>
    <row r="263" spans="1:13" x14ac:dyDescent="0.3">
      <c r="J263" s="126"/>
      <c r="K263" s="126"/>
      <c r="L263" s="126"/>
      <c r="M263" s="126"/>
    </row>
    <row r="264" spans="1:13" s="257" customFormat="1" x14ac:dyDescent="0.3">
      <c r="A264" s="249" t="s">
        <v>474</v>
      </c>
      <c r="K264" s="258">
        <f>IFERROR(#REF!*#REF!,0)</f>
        <v>0</v>
      </c>
      <c r="L264" s="259"/>
    </row>
    <row r="265" spans="1:13" x14ac:dyDescent="0.3">
      <c r="L265" s="131"/>
    </row>
    <row r="266" spans="1:13" ht="36" x14ac:dyDescent="0.3">
      <c r="B266" s="250" t="s">
        <v>459</v>
      </c>
      <c r="C266" s="269" t="s">
        <v>466</v>
      </c>
      <c r="D266" s="269" t="s">
        <v>465</v>
      </c>
      <c r="E266" s="275" t="s">
        <v>472</v>
      </c>
      <c r="F266" s="250" t="s">
        <v>476</v>
      </c>
      <c r="L266" s="131"/>
    </row>
    <row r="267" spans="1:13" ht="18" x14ac:dyDescent="0.35">
      <c r="B267" s="251" t="s">
        <v>460</v>
      </c>
      <c r="C267" s="276">
        <f>Oferta!E11</f>
        <v>200</v>
      </c>
      <c r="D267" s="270">
        <f ca="1">E253</f>
        <v>5.5066712588946132</v>
      </c>
      <c r="E267" s="273">
        <f ca="1">D267*(1-$C$262)</f>
        <v>0.55066712588946121</v>
      </c>
      <c r="F267" s="271">
        <f ca="1">C267*E267*Premissas!$C$44*Premissas!$E$20*1000</f>
        <v>1006513.1012678666</v>
      </c>
      <c r="L267" s="131"/>
    </row>
    <row r="268" spans="1:13" ht="18" x14ac:dyDescent="0.35">
      <c r="B268" s="252" t="s">
        <v>461</v>
      </c>
      <c r="C268" s="276">
        <f>Oferta!E10</f>
        <v>6000</v>
      </c>
      <c r="D268" s="270">
        <f ca="1">E252</f>
        <v>5.1227093820544898</v>
      </c>
      <c r="E268" s="273">
        <f t="shared" ref="E268:E270" ca="1" si="21">D268*(1-$C$262)</f>
        <v>0.51227093820544889</v>
      </c>
      <c r="F268" s="271">
        <f ca="1">C268*E268*Premissas!$C$44*Premissas!$E$20*1000</f>
        <v>28089968.68315326</v>
      </c>
      <c r="G268" s="132"/>
      <c r="K268" s="132"/>
      <c r="L268" s="131"/>
    </row>
    <row r="269" spans="1:13" ht="18" x14ac:dyDescent="0.35">
      <c r="B269" s="253" t="s">
        <v>462</v>
      </c>
      <c r="C269" s="276">
        <f>Oferta!E12</f>
        <v>200</v>
      </c>
      <c r="D269" s="270">
        <f ca="1">E254</f>
        <v>5.3804463820174639</v>
      </c>
      <c r="E269" s="273">
        <f t="shared" ca="1" si="21"/>
        <v>0.53804463820174631</v>
      </c>
      <c r="F269" s="271">
        <f ca="1">C269*E269*Premissas!$C$44*Premissas!$E$20*1000</f>
        <v>983441.63280539715</v>
      </c>
      <c r="K269" s="132"/>
      <c r="L269" s="131"/>
    </row>
    <row r="270" spans="1:13" ht="18" x14ac:dyDescent="0.35">
      <c r="B270" s="253" t="s">
        <v>253</v>
      </c>
      <c r="C270" s="276">
        <f>Oferta!E6</f>
        <v>335</v>
      </c>
      <c r="D270" s="270">
        <f ca="1">E248</f>
        <v>5.5066712588946141</v>
      </c>
      <c r="E270" s="273">
        <f t="shared" ca="1" si="21"/>
        <v>0.55066712588946132</v>
      </c>
      <c r="F270" s="271">
        <f ca="1">C270*E270*Premissas!$C$44*Premissas!$E$20*1000</f>
        <v>1685909.4446236768</v>
      </c>
      <c r="K270" s="132"/>
      <c r="L270" s="131"/>
    </row>
    <row r="271" spans="1:13" ht="18" x14ac:dyDescent="0.35">
      <c r="B271" s="251" t="s">
        <v>463</v>
      </c>
      <c r="C271" s="276">
        <f>Demanda!E17</f>
        <v>7011</v>
      </c>
      <c r="D271" s="270">
        <f ca="1">L259</f>
        <v>2.8952028224655173</v>
      </c>
      <c r="E271" s="273">
        <f ca="1">D271*(1-$C$262)</f>
        <v>0.28952028224655169</v>
      </c>
      <c r="F271" s="271">
        <f ca="1">C271*E271*Premissas!$C$44*Premissas!$E$20*1000</f>
        <v>18550654.920395505</v>
      </c>
      <c r="K271" s="132"/>
      <c r="L271" s="131"/>
    </row>
    <row r="272" spans="1:13" ht="18" x14ac:dyDescent="0.35">
      <c r="B272" s="253" t="s">
        <v>464</v>
      </c>
      <c r="C272" s="276">
        <f>Demanda!E18</f>
        <v>200</v>
      </c>
      <c r="D272" s="270">
        <f ca="1">L260</f>
        <v>2.503673842711911</v>
      </c>
      <c r="E272" s="273">
        <f ca="1">D272*(1-$C$262)</f>
        <v>0.25036738427119104</v>
      </c>
      <c r="F272" s="271">
        <f ca="1">C272*E272*Premissas!$C$44*Premissas!$E$20*1000</f>
        <v>457623.20020844188</v>
      </c>
      <c r="K272" s="132"/>
      <c r="L272" s="131"/>
    </row>
    <row r="273" spans="2:13" ht="18.600000000000001" thickBot="1" x14ac:dyDescent="0.4">
      <c r="B273" s="253"/>
      <c r="C273" s="253"/>
      <c r="D273" s="253"/>
      <c r="E273" s="253"/>
      <c r="F273" s="272">
        <f ca="1">SUM(F267:F272)</f>
        <v>50774110.982454143</v>
      </c>
      <c r="K273" s="132"/>
      <c r="L273" s="131"/>
    </row>
    <row r="274" spans="2:13" ht="15" thickTop="1" x14ac:dyDescent="0.3">
      <c r="K274" s="132"/>
      <c r="L274" s="131"/>
    </row>
    <row r="275" spans="2:13" x14ac:dyDescent="0.3">
      <c r="K275" s="132"/>
      <c r="L275" s="131"/>
    </row>
    <row r="276" spans="2:13" x14ac:dyDescent="0.3">
      <c r="K276" s="132"/>
      <c r="L276" s="131"/>
    </row>
    <row r="277" spans="2:13" x14ac:dyDescent="0.3">
      <c r="K277" s="132"/>
    </row>
    <row r="278" spans="2:13" x14ac:dyDescent="0.3">
      <c r="K278" s="132"/>
    </row>
    <row r="279" spans="2:13" x14ac:dyDescent="0.3">
      <c r="K279" s="132"/>
      <c r="M279" s="133"/>
    </row>
    <row r="280" spans="2:13" x14ac:dyDescent="0.3">
      <c r="K280" s="132"/>
      <c r="M280" s="133"/>
    </row>
    <row r="281" spans="2:13" x14ac:dyDescent="0.3">
      <c r="K281" s="132"/>
      <c r="M281" s="133"/>
    </row>
    <row r="282" spans="2:13" x14ac:dyDescent="0.3">
      <c r="K282" s="132"/>
      <c r="M282" s="133"/>
    </row>
    <row r="283" spans="2:13" x14ac:dyDescent="0.3">
      <c r="K283" s="132"/>
      <c r="M283" s="133"/>
    </row>
    <row r="284" spans="2:13" x14ac:dyDescent="0.3">
      <c r="K284" s="132"/>
      <c r="M284" s="133"/>
    </row>
    <row r="285" spans="2:13" x14ac:dyDescent="0.3">
      <c r="K285" s="132"/>
      <c r="M285" s="133"/>
    </row>
    <row r="286" spans="2:13" x14ac:dyDescent="0.3">
      <c r="K286" s="132"/>
      <c r="M286" s="133"/>
    </row>
    <row r="287" spans="2:13" x14ac:dyDescent="0.3">
      <c r="M287" s="133"/>
    </row>
    <row r="288" spans="2:13" x14ac:dyDescent="0.3">
      <c r="M288" s="133"/>
    </row>
    <row r="289" spans="13:14" x14ac:dyDescent="0.3">
      <c r="M289" s="133"/>
    </row>
    <row r="290" spans="13:14" x14ac:dyDescent="0.3">
      <c r="M290" s="133"/>
    </row>
    <row r="291" spans="13:14" x14ac:dyDescent="0.3">
      <c r="M291" s="133"/>
    </row>
    <row r="292" spans="13:14" x14ac:dyDescent="0.3">
      <c r="M292" s="133"/>
    </row>
    <row r="293" spans="13:14" x14ac:dyDescent="0.3">
      <c r="M293" s="133"/>
    </row>
    <row r="294" spans="13:14" x14ac:dyDescent="0.3">
      <c r="M294" s="133"/>
    </row>
    <row r="295" spans="13:14" x14ac:dyDescent="0.3">
      <c r="M295" s="133"/>
    </row>
    <row r="296" spans="13:14" x14ac:dyDescent="0.3">
      <c r="M296" s="133"/>
    </row>
    <row r="297" spans="13:14" x14ac:dyDescent="0.3">
      <c r="M297" s="133"/>
    </row>
    <row r="298" spans="13:14" x14ac:dyDescent="0.3">
      <c r="M298" s="133"/>
    </row>
    <row r="302" spans="13:14" x14ac:dyDescent="0.3">
      <c r="N302" s="134"/>
    </row>
  </sheetData>
  <mergeCells count="8">
    <mergeCell ref="C38:D38"/>
    <mergeCell ref="C39:D39"/>
    <mergeCell ref="G39:H39"/>
    <mergeCell ref="G38:H38"/>
    <mergeCell ref="C21:D21"/>
    <mergeCell ref="C22:D22"/>
    <mergeCell ref="G21:H21"/>
    <mergeCell ref="G22:H22"/>
  </mergeCells>
  <phoneticPr fontId="14" type="noConversion"/>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8">
    <tabColor theme="5" tint="0.79998168889431442"/>
  </sheetPr>
  <dimension ref="A2:AA303"/>
  <sheetViews>
    <sheetView showGridLines="0" zoomScale="80" zoomScaleNormal="80" workbookViewId="0">
      <selection activeCell="D249" sqref="D249"/>
    </sheetView>
  </sheetViews>
  <sheetFormatPr defaultColWidth="8.77734375" defaultRowHeight="14.4" x14ac:dyDescent="0.3"/>
  <cols>
    <col min="2" max="2" width="33" customWidth="1"/>
    <col min="3" max="3" width="22.5546875" bestFit="1" customWidth="1"/>
    <col min="4" max="4" width="27" customWidth="1"/>
    <col min="5" max="5" width="25.77734375" customWidth="1"/>
    <col min="6" max="6" width="28.44140625" customWidth="1"/>
    <col min="7" max="7" width="27.77734375" bestFit="1" customWidth="1"/>
    <col min="8" max="8" width="16.77734375" bestFit="1" customWidth="1"/>
    <col min="9" max="9" width="35.44140625" bestFit="1" customWidth="1"/>
    <col min="10" max="10" width="22" bestFit="1" customWidth="1"/>
    <col min="11" max="11" width="25" bestFit="1" customWidth="1"/>
    <col min="12" max="12" width="18.77734375" bestFit="1" customWidth="1"/>
    <col min="13" max="13" width="27.77734375" bestFit="1" customWidth="1"/>
    <col min="14" max="14" width="18.77734375" bestFit="1" customWidth="1"/>
    <col min="15" max="15" width="33.21875" bestFit="1" customWidth="1"/>
    <col min="16" max="16" width="13.77734375" bestFit="1" customWidth="1"/>
    <col min="17" max="17" width="8.77734375" customWidth="1"/>
    <col min="18" max="18" width="12.21875" bestFit="1" customWidth="1"/>
    <col min="19" max="19" width="23.44140625" bestFit="1" customWidth="1"/>
    <col min="20" max="20" width="27.44140625" bestFit="1" customWidth="1"/>
    <col min="21" max="27" width="9.21875" bestFit="1" customWidth="1"/>
  </cols>
  <sheetData>
    <row r="2" spans="1:9" x14ac:dyDescent="0.3">
      <c r="B2" s="93" t="s">
        <v>108</v>
      </c>
      <c r="G2" s="94" t="s">
        <v>109</v>
      </c>
    </row>
    <row r="3" spans="1:9" ht="15" thickBot="1" x14ac:dyDescent="0.35">
      <c r="G3" s="209">
        <v>2024</v>
      </c>
    </row>
    <row r="4" spans="1:9" ht="16.2" thickBot="1" x14ac:dyDescent="0.35">
      <c r="A4" s="224"/>
      <c r="B4" s="225" t="s">
        <v>110</v>
      </c>
      <c r="C4" s="226" t="s">
        <v>280</v>
      </c>
      <c r="D4" s="227">
        <f>Premissas!D40/1000</f>
        <v>4612.6816643245156</v>
      </c>
      <c r="E4" s="228" t="s">
        <v>111</v>
      </c>
      <c r="F4" s="224"/>
      <c r="G4" s="224"/>
      <c r="H4" s="239"/>
      <c r="I4" s="239"/>
    </row>
    <row r="5" spans="1:9" ht="15" thickBot="1" x14ac:dyDescent="0.35">
      <c r="A5" s="215"/>
      <c r="B5" s="260" t="s">
        <v>470</v>
      </c>
      <c r="C5" s="212"/>
      <c r="D5" s="213">
        <f ca="1">D6+D9</f>
        <v>4561.907553342061</v>
      </c>
      <c r="E5" s="228" t="s">
        <v>111</v>
      </c>
      <c r="F5" s="278" t="s">
        <v>475</v>
      </c>
      <c r="G5" s="215"/>
      <c r="H5" s="239"/>
      <c r="I5" s="239"/>
    </row>
    <row r="6" spans="1:9" ht="15.6" x14ac:dyDescent="0.3">
      <c r="A6" s="210">
        <f>HLOOKUP($G$3,Premissas!$B$5:$F$13,9,FALSE)</f>
        <v>0.7</v>
      </c>
      <c r="B6" s="211" t="s">
        <v>112</v>
      </c>
      <c r="C6" s="212" t="s">
        <v>281</v>
      </c>
      <c r="D6" s="213">
        <f ca="1">($A$6*$D$4)-(SUM($F$268:$F$271)/10^6)</f>
        <v>3197.1113321653102</v>
      </c>
      <c r="E6" s="214" t="s">
        <v>113</v>
      </c>
      <c r="F6" s="278" t="s">
        <v>468</v>
      </c>
      <c r="G6" s="215"/>
      <c r="H6" s="239"/>
    </row>
    <row r="7" spans="1:9" ht="28.8" x14ac:dyDescent="0.3">
      <c r="A7" s="95"/>
      <c r="B7" s="216" t="s">
        <v>114</v>
      </c>
      <c r="C7" s="217" t="s">
        <v>282</v>
      </c>
      <c r="D7" s="218">
        <f>$D$35*Premissas!$E$20</f>
        <v>15198085</v>
      </c>
      <c r="E7" s="216" t="s">
        <v>115</v>
      </c>
      <c r="F7" s="234">
        <f>H35</f>
        <v>566921687.12721503</v>
      </c>
      <c r="G7" s="85" t="s">
        <v>116</v>
      </c>
    </row>
    <row r="8" spans="1:9" ht="16.8" thickBot="1" x14ac:dyDescent="0.35">
      <c r="A8" s="219"/>
      <c r="B8" s="220" t="s">
        <v>117</v>
      </c>
      <c r="C8" s="221" t="s">
        <v>283</v>
      </c>
      <c r="D8" s="222">
        <f ca="1">$D$6/$D$7*1000</f>
        <v>0.2103627747946738</v>
      </c>
      <c r="E8" s="223" t="s">
        <v>118</v>
      </c>
      <c r="F8" s="236">
        <f ca="1">$D$6/$F$7*1000000</f>
        <v>5.6394232303339118</v>
      </c>
      <c r="G8" s="232" t="s">
        <v>15</v>
      </c>
      <c r="I8" s="239"/>
    </row>
    <row r="9" spans="1:9" ht="15.6" x14ac:dyDescent="0.3">
      <c r="A9" s="210">
        <f>1-A6</f>
        <v>0.30000000000000004</v>
      </c>
      <c r="B9" s="211" t="s">
        <v>119</v>
      </c>
      <c r="C9" s="212" t="s">
        <v>284</v>
      </c>
      <c r="D9" s="213">
        <f ca="1">($A$9*$D$4)-(SUM($F$272:$F$273)/10^6)</f>
        <v>1364.7962211767508</v>
      </c>
      <c r="E9" s="214" t="s">
        <v>113</v>
      </c>
      <c r="F9" s="278" t="s">
        <v>469</v>
      </c>
      <c r="G9" s="233"/>
    </row>
    <row r="10" spans="1:9" ht="28.8" x14ac:dyDescent="0.3">
      <c r="B10" s="216" t="s">
        <v>120</v>
      </c>
      <c r="C10" s="217" t="s">
        <v>285</v>
      </c>
      <c r="D10" s="218">
        <f>$D$58*Premissas!$E$20</f>
        <v>12539100</v>
      </c>
      <c r="E10" s="216" t="s">
        <v>115</v>
      </c>
      <c r="F10" s="234">
        <f>H58</f>
        <v>467735752.69889992</v>
      </c>
      <c r="G10" s="85" t="s">
        <v>116</v>
      </c>
    </row>
    <row r="11" spans="1:9" ht="16.8" thickBot="1" x14ac:dyDescent="0.35">
      <c r="A11" s="229"/>
      <c r="B11" s="220" t="s">
        <v>121</v>
      </c>
      <c r="C11" s="221" t="s">
        <v>286</v>
      </c>
      <c r="D11" s="222">
        <f ca="1">$D$9/$D$10*1000</f>
        <v>0.10884323605177013</v>
      </c>
      <c r="E11" s="223" t="s">
        <v>118</v>
      </c>
      <c r="F11" s="236">
        <f ca="1">$D$9/$F$10*1000000</f>
        <v>2.9178787665935046</v>
      </c>
      <c r="G11" s="232" t="s">
        <v>15</v>
      </c>
    </row>
    <row r="12" spans="1:9" ht="15" thickBot="1" x14ac:dyDescent="0.35">
      <c r="A12" s="224"/>
      <c r="B12" s="224" t="s">
        <v>122</v>
      </c>
      <c r="C12" s="230">
        <f>HLOOKUP($G$3,Premissas!$B$5:$F$8,4,FALSE)</f>
        <v>0.8</v>
      </c>
      <c r="D12" s="224"/>
      <c r="E12" s="224"/>
      <c r="F12" s="231"/>
      <c r="G12" s="224"/>
    </row>
    <row r="14" spans="1:9" s="98" customFormat="1" x14ac:dyDescent="0.3">
      <c r="A14" s="98" t="s">
        <v>123</v>
      </c>
      <c r="B14" s="98" t="s">
        <v>124</v>
      </c>
    </row>
    <row r="15" spans="1:9" x14ac:dyDescent="0.3">
      <c r="I15" s="96"/>
    </row>
    <row r="16" spans="1:9" x14ac:dyDescent="0.3">
      <c r="A16" s="99" t="s">
        <v>125</v>
      </c>
      <c r="B16" s="100" t="s">
        <v>126</v>
      </c>
      <c r="C16" s="101"/>
      <c r="I16" s="96"/>
    </row>
    <row r="17" spans="1:9" ht="15.6" x14ac:dyDescent="0.35">
      <c r="A17" t="s">
        <v>287</v>
      </c>
      <c r="B17" t="s">
        <v>127</v>
      </c>
      <c r="C17" s="47"/>
      <c r="I17" s="96"/>
    </row>
    <row r="18" spans="1:9" ht="15.6" x14ac:dyDescent="0.35">
      <c r="A18" t="s">
        <v>288</v>
      </c>
      <c r="B18" t="s">
        <v>128</v>
      </c>
      <c r="C18" s="47"/>
      <c r="I18" s="96"/>
    </row>
    <row r="19" spans="1:9" ht="15.6" x14ac:dyDescent="0.35">
      <c r="A19" t="s">
        <v>289</v>
      </c>
      <c r="B19" t="s">
        <v>129</v>
      </c>
      <c r="C19" s="47"/>
      <c r="H19">
        <v>37.302179000000002</v>
      </c>
      <c r="I19" s="96"/>
    </row>
    <row r="20" spans="1:9" ht="15.6" x14ac:dyDescent="0.35">
      <c r="A20" t="s">
        <v>290</v>
      </c>
      <c r="B20" t="s">
        <v>130</v>
      </c>
      <c r="C20" s="47"/>
      <c r="H20" s="102">
        <v>3.7302178999999998E-2</v>
      </c>
      <c r="I20" s="96"/>
    </row>
    <row r="21" spans="1:9" x14ac:dyDescent="0.3">
      <c r="C21" s="47"/>
      <c r="H21" s="102"/>
      <c r="I21" s="96"/>
    </row>
    <row r="22" spans="1:9" x14ac:dyDescent="0.3">
      <c r="C22" s="380">
        <f>G3</f>
        <v>2024</v>
      </c>
      <c r="D22" s="380"/>
      <c r="G22" s="380">
        <f>G3</f>
        <v>2024</v>
      </c>
      <c r="H22" s="380"/>
      <c r="I22" s="96"/>
    </row>
    <row r="23" spans="1:9" ht="16.05" customHeight="1" x14ac:dyDescent="0.3">
      <c r="C23" s="380" t="s">
        <v>246</v>
      </c>
      <c r="D23" s="380"/>
      <c r="G23" s="380" t="s">
        <v>247</v>
      </c>
      <c r="H23" s="380"/>
      <c r="I23" s="96"/>
    </row>
    <row r="24" spans="1:9" ht="33.6" x14ac:dyDescent="0.3">
      <c r="A24" s="103" t="s">
        <v>131</v>
      </c>
      <c r="B24" s="104" t="s">
        <v>132</v>
      </c>
      <c r="C24" s="105" t="s">
        <v>291</v>
      </c>
      <c r="D24" s="106" t="s">
        <v>292</v>
      </c>
      <c r="G24" s="105" t="s">
        <v>293</v>
      </c>
      <c r="H24" s="106" t="s">
        <v>294</v>
      </c>
      <c r="I24" s="96"/>
    </row>
    <row r="25" spans="1:9" x14ac:dyDescent="0.3">
      <c r="A25" s="2" t="s">
        <v>248</v>
      </c>
      <c r="B25" s="44" t="str">
        <f>'Oferta x Demanda'!O2</f>
        <v>PR-CARAGUATATUBA</v>
      </c>
      <c r="C25" s="317">
        <f>Oferta!C3</f>
        <v>20000</v>
      </c>
      <c r="D25" s="317">
        <f>'Oferta x Demanda'!C2</f>
        <v>14178</v>
      </c>
      <c r="F25" s="107"/>
      <c r="G25" s="43">
        <f>IFERROR($C25*$H$20*Premissas!$E$20*1000," ")</f>
        <v>182780677.09999996</v>
      </c>
      <c r="H25" s="43">
        <f>IFERROR($D25*$H$20*Premissas!$E$20*1000," ")</f>
        <v>129573221.99618998</v>
      </c>
      <c r="I25" s="96"/>
    </row>
    <row r="26" spans="1:9" x14ac:dyDescent="0.3">
      <c r="A26" s="2" t="s">
        <v>133</v>
      </c>
      <c r="B26" s="44" t="str">
        <f>'Oferta x Demanda'!O3</f>
        <v>PR-GNLBGB</v>
      </c>
      <c r="C26" s="317">
        <f>Oferta!C4</f>
        <v>20000</v>
      </c>
      <c r="D26" s="317">
        <f>'Oferta x Demanda'!C3</f>
        <v>20000</v>
      </c>
      <c r="F26" s="107"/>
      <c r="G26" s="43">
        <f>IFERROR($C26*$H$20*Premissas!$E$20*1000," ")</f>
        <v>182780677.09999996</v>
      </c>
      <c r="H26" s="43">
        <f>IFERROR($D26*$H$20*Premissas!$E$20*1000," ")</f>
        <v>182780677.09999996</v>
      </c>
      <c r="I26" s="96"/>
    </row>
    <row r="27" spans="1:9" x14ac:dyDescent="0.3">
      <c r="A27" s="2" t="s">
        <v>134</v>
      </c>
      <c r="B27" s="44" t="str">
        <f>'Oferta x Demanda'!O4</f>
        <v>PR-ITABORAÍ</v>
      </c>
      <c r="C27" s="317">
        <f>Oferta!C5</f>
        <v>12000</v>
      </c>
      <c r="D27" s="317">
        <f>'Oferta x Demanda'!C4</f>
        <v>13000</v>
      </c>
      <c r="E27" s="46"/>
      <c r="F27" s="107"/>
      <c r="G27" s="43">
        <f>IFERROR($C27*$H$20*Premissas!$E$20*1000," ")</f>
        <v>109668406.26000001</v>
      </c>
      <c r="H27" s="43">
        <f>IFERROR($D27*$H$20*Premissas!$E$20*1000," ")</f>
        <v>118807440.11499999</v>
      </c>
      <c r="I27" s="96"/>
    </row>
    <row r="28" spans="1:9" x14ac:dyDescent="0.3">
      <c r="A28" s="2" t="s">
        <v>135</v>
      </c>
      <c r="B28" s="44" t="str">
        <f>'Oferta x Demanda'!O5</f>
        <v>PR-GASPAJ (INTERCONEXÃO)</v>
      </c>
      <c r="C28" s="254"/>
      <c r="D28" s="254"/>
      <c r="E28" s="279" t="s">
        <v>471</v>
      </c>
      <c r="F28" s="107"/>
      <c r="G28" s="43">
        <f>IFERROR($C28*$H$20*Premissas!$E$20*1000," ")</f>
        <v>0</v>
      </c>
      <c r="H28" s="43">
        <f>IFERROR($D28*$H$20*Premissas!$E$20*1000," ")</f>
        <v>0</v>
      </c>
      <c r="I28" s="96"/>
    </row>
    <row r="29" spans="1:9" x14ac:dyDescent="0.3">
      <c r="A29" s="2" t="s">
        <v>136</v>
      </c>
      <c r="B29" s="44" t="str">
        <f>'Oferta x Demanda'!O6</f>
        <v>PR-REDUC</v>
      </c>
      <c r="C29" s="317">
        <f>Oferta!C7</f>
        <v>5000</v>
      </c>
      <c r="D29" s="317">
        <f>'Oferta x Demanda'!C6</f>
        <v>0</v>
      </c>
      <c r="E29" s="46"/>
      <c r="F29" s="107"/>
      <c r="G29" s="43">
        <f>IFERROR($C29*$H$20*Premissas!$E$20*1000," ")</f>
        <v>45695169.274999991</v>
      </c>
      <c r="H29" s="43">
        <f>IFERROR($D29*$H$20*Premissas!$E$20*1000," ")</f>
        <v>0</v>
      </c>
      <c r="I29" s="96"/>
    </row>
    <row r="30" spans="1:9" x14ac:dyDescent="0.3">
      <c r="A30" s="2" t="s">
        <v>249</v>
      </c>
      <c r="B30" s="44" t="str">
        <f>'Oferta x Demanda'!O7</f>
        <v>PR-RPBC</v>
      </c>
      <c r="C30" s="317">
        <f>Oferta!C8</f>
        <v>2200</v>
      </c>
      <c r="D30" s="317">
        <f>'Oferta x Demanda'!C7</f>
        <v>0</v>
      </c>
      <c r="E30" s="46"/>
      <c r="F30" s="107"/>
      <c r="G30" s="43">
        <f>IFERROR($C30*$H$20*Premissas!$E$20*1000," ")</f>
        <v>20105874.480999999</v>
      </c>
      <c r="H30" s="43">
        <f>IFERROR($D30*$H$20*Premissas!$E$20*1000," ")</f>
        <v>0</v>
      </c>
      <c r="I30" s="96"/>
    </row>
    <row r="31" spans="1:9" x14ac:dyDescent="0.3">
      <c r="A31" s="2" t="s">
        <v>137</v>
      </c>
      <c r="B31" s="44" t="str">
        <f>'Oferta x Demanda'!O8</f>
        <v>PR-TECAB</v>
      </c>
      <c r="C31" s="317">
        <f>Oferta!C9</f>
        <v>25160</v>
      </c>
      <c r="D31" s="317">
        <f>'Oferta x Demanda'!C8</f>
        <v>14855</v>
      </c>
      <c r="E31" s="46"/>
      <c r="F31" s="107"/>
      <c r="G31" s="43">
        <f>IFERROR($C31*$H$20*Premissas!$E$20*1000," ")</f>
        <v>229938091.79179999</v>
      </c>
      <c r="H31" s="43">
        <f>IFERROR($D31*$H$20*Premissas!$E$20*1000," ")</f>
        <v>135760347.91602501</v>
      </c>
      <c r="I31" s="96"/>
    </row>
    <row r="32" spans="1:9" x14ac:dyDescent="0.3">
      <c r="A32" s="2" t="s">
        <v>250</v>
      </c>
      <c r="B32" s="44" t="str">
        <f>'Oferta x Demanda'!O9</f>
        <v>PR-GUARAREMA (INTERCONEXÃO)</v>
      </c>
      <c r="C32" s="254"/>
      <c r="D32" s="254"/>
      <c r="E32" s="279" t="s">
        <v>471</v>
      </c>
      <c r="F32" s="107"/>
      <c r="G32" s="43">
        <f>IFERROR($C32*$H$20*Premissas!$E$20*1000," ")</f>
        <v>0</v>
      </c>
      <c r="H32" s="43">
        <f>IFERROR($D32*$H$20*Premissas!$E$20*1000," ")</f>
        <v>0</v>
      </c>
      <c r="I32" s="96"/>
    </row>
    <row r="33" spans="1:10" x14ac:dyDescent="0.3">
      <c r="A33" s="2" t="s">
        <v>138</v>
      </c>
      <c r="B33" s="44" t="str">
        <f>'Oferta x Demanda'!O10</f>
        <v>PR-REPLAN (INTERCONEXÃO)</v>
      </c>
      <c r="C33" s="254"/>
      <c r="D33" s="254"/>
      <c r="E33" s="279" t="s">
        <v>471</v>
      </c>
      <c r="F33" s="107"/>
      <c r="G33" s="43">
        <f>IFERROR($C33*$H$20*Premissas!$E$20*1000," ")</f>
        <v>0</v>
      </c>
      <c r="H33" s="43">
        <f>IFERROR($D33*$H$20*Premissas!$E$20*1000," ")</f>
        <v>0</v>
      </c>
      <c r="I33" s="96"/>
    </row>
    <row r="34" spans="1:10" x14ac:dyDescent="0.3">
      <c r="A34" s="2" t="s">
        <v>139</v>
      </c>
      <c r="B34" s="44" t="str">
        <f>'Oferta x Demanda'!O11</f>
        <v>PR-TECAB (INTERCONEXÃO)</v>
      </c>
      <c r="C34" s="254"/>
      <c r="D34" s="254"/>
      <c r="E34" s="279" t="s">
        <v>471</v>
      </c>
      <c r="F34" s="107"/>
      <c r="G34" s="43">
        <f>IFERROR($C34*$H$20*Premissas!$E$20*1000," ")</f>
        <v>0</v>
      </c>
      <c r="H34" s="43">
        <f>IFERROR($D34*$H$20*Premissas!$E$20*1000," ")</f>
        <v>0</v>
      </c>
      <c r="I34" s="96"/>
    </row>
    <row r="35" spans="1:10" x14ac:dyDescent="0.3">
      <c r="C35" s="108">
        <f>SUM(C25:C34)</f>
        <v>84360</v>
      </c>
      <c r="D35" s="108">
        <f>SUM(D25:D34)</f>
        <v>62033</v>
      </c>
      <c r="E35" s="108"/>
      <c r="F35" s="107"/>
      <c r="G35" s="108">
        <f>SUM(G25:G34)</f>
        <v>770968896.00779986</v>
      </c>
      <c r="H35" s="108">
        <f>SUM(H25:H34)</f>
        <v>566921687.12721503</v>
      </c>
      <c r="I35" s="96"/>
    </row>
    <row r="36" spans="1:10" x14ac:dyDescent="0.3">
      <c r="C36" s="107"/>
      <c r="D36" s="107"/>
      <c r="E36" s="107"/>
      <c r="F36" s="107"/>
      <c r="G36" s="107"/>
      <c r="H36" s="107"/>
      <c r="I36" s="96"/>
    </row>
    <row r="37" spans="1:10" x14ac:dyDescent="0.3">
      <c r="C37" s="107"/>
      <c r="D37" s="107"/>
      <c r="E37" s="107"/>
      <c r="F37" s="107"/>
      <c r="G37" s="107"/>
      <c r="H37" s="107"/>
      <c r="I37" s="96"/>
    </row>
    <row r="38" spans="1:10" x14ac:dyDescent="0.3">
      <c r="C38" s="107"/>
      <c r="D38" s="107"/>
      <c r="F38" s="107"/>
      <c r="G38" s="107"/>
      <c r="H38" s="107"/>
      <c r="I38" s="96"/>
    </row>
    <row r="39" spans="1:10" x14ac:dyDescent="0.3">
      <c r="C39" s="380">
        <f>C22</f>
        <v>2024</v>
      </c>
      <c r="D39" s="380"/>
      <c r="G39" s="380">
        <f>G22</f>
        <v>2024</v>
      </c>
      <c r="H39" s="380"/>
      <c r="J39" s="96"/>
    </row>
    <row r="40" spans="1:10" ht="16.05" customHeight="1" x14ac:dyDescent="0.3">
      <c r="C40" s="380" t="s">
        <v>246</v>
      </c>
      <c r="D40" s="380"/>
      <c r="G40" s="380" t="s">
        <v>247</v>
      </c>
      <c r="H40" s="380"/>
      <c r="I40" s="96"/>
    </row>
    <row r="41" spans="1:10" ht="33.6" x14ac:dyDescent="0.3">
      <c r="A41" s="103" t="s">
        <v>131</v>
      </c>
      <c r="B41" s="104" t="s">
        <v>140</v>
      </c>
      <c r="C41" s="105" t="s">
        <v>295</v>
      </c>
      <c r="D41" s="106" t="s">
        <v>296</v>
      </c>
      <c r="G41" s="105" t="s">
        <v>297</v>
      </c>
      <c r="H41" s="106" t="s">
        <v>298</v>
      </c>
      <c r="I41" s="96"/>
    </row>
    <row r="42" spans="1:10" x14ac:dyDescent="0.3">
      <c r="A42" s="2" t="s">
        <v>41</v>
      </c>
      <c r="B42" s="44" t="str">
        <f>'Oferta x Demanda'!A17</f>
        <v>NTS MG 1</v>
      </c>
      <c r="C42" s="317">
        <f>Demanda!C3</f>
        <v>864.5</v>
      </c>
      <c r="D42" s="317">
        <f>'Oferta x Demanda'!C17</f>
        <v>607</v>
      </c>
      <c r="G42" s="43">
        <f>IFERROR($C42*$H$20*Premissas!$E$20*1000," ")</f>
        <v>7900694.7676475001</v>
      </c>
      <c r="H42" s="43">
        <f>IFERROR($D42*$H$20*Premissas!$E$20*1000," ")</f>
        <v>5547393.5499849999</v>
      </c>
      <c r="I42" s="96"/>
    </row>
    <row r="43" spans="1:10" x14ac:dyDescent="0.3">
      <c r="A43" s="2" t="s">
        <v>42</v>
      </c>
      <c r="B43" s="44" t="str">
        <f>'Oferta x Demanda'!A18</f>
        <v>NTS MG 2</v>
      </c>
      <c r="C43" s="317">
        <f>Demanda!C4</f>
        <v>1825.9</v>
      </c>
      <c r="D43" s="317">
        <f>'Oferta x Demanda'!C18</f>
        <v>1678</v>
      </c>
      <c r="E43" s="46"/>
      <c r="G43" s="43">
        <f>IFERROR($C43*$H$20*Premissas!$E$20*1000," ")</f>
        <v>16686961.915844502</v>
      </c>
      <c r="H43" s="43">
        <f>IFERROR($D43*$H$20*Premissas!$E$20*1000," ")</f>
        <v>15335298.80869</v>
      </c>
      <c r="I43" s="96"/>
    </row>
    <row r="44" spans="1:10" x14ac:dyDescent="0.3">
      <c r="A44" s="2" t="s">
        <v>43</v>
      </c>
      <c r="B44" s="44" t="str">
        <f>'Oferta x Demanda'!A19</f>
        <v>NTS MG 3</v>
      </c>
      <c r="C44" s="317">
        <f>Demanda!C5</f>
        <v>3040.95</v>
      </c>
      <c r="D44" s="317">
        <f>'Oferta x Demanda'!C19</f>
        <v>2737</v>
      </c>
      <c r="E44" s="46"/>
      <c r="G44" s="43">
        <f>IFERROR($C44*$H$20*Premissas!$E$20*1000," ")</f>
        <v>27791345.001362249</v>
      </c>
      <c r="H44" s="43">
        <f>IFERROR($D44*$H$20*Premissas!$E$20*1000," ")</f>
        <v>25013535.661134996</v>
      </c>
      <c r="I44" s="96"/>
    </row>
    <row r="45" spans="1:10" x14ac:dyDescent="0.3">
      <c r="A45" s="2" t="s">
        <v>44</v>
      </c>
      <c r="B45" s="44" t="str">
        <f>'Oferta x Demanda'!A20</f>
        <v>NTS MG 4</v>
      </c>
      <c r="C45" s="317">
        <f>Demanda!C6</f>
        <v>1187.5</v>
      </c>
      <c r="D45" s="317">
        <f>'Oferta x Demanda'!C20</f>
        <v>335</v>
      </c>
      <c r="E45" s="46"/>
      <c r="G45" s="43">
        <f>IFERROR($C45*$H$20*Premissas!$E$20*1000," ")</f>
        <v>10852602.702812498</v>
      </c>
      <c r="H45" s="43">
        <f>IFERROR($D45*$H$20*Premissas!$E$20*1000," ")</f>
        <v>3061576.3414250002</v>
      </c>
      <c r="I45" s="96"/>
    </row>
    <row r="46" spans="1:10" x14ac:dyDescent="0.3">
      <c r="A46" s="2" t="s">
        <v>45</v>
      </c>
      <c r="B46" s="44" t="str">
        <f>'Oferta x Demanda'!A21</f>
        <v>NTS RJ 1</v>
      </c>
      <c r="C46" s="317">
        <f>Demanda!C7</f>
        <v>21185</v>
      </c>
      <c r="D46" s="317">
        <f>'Oferta x Demanda'!C21</f>
        <v>17793</v>
      </c>
      <c r="E46" s="46"/>
      <c r="G46" s="43">
        <f>IFERROR($C46*$H$20*Premissas!$E$20*1000," ")</f>
        <v>193610432.21817496</v>
      </c>
      <c r="H46" s="43">
        <f>IFERROR($D46*$H$20*Premissas!$E$20*1000," ")</f>
        <v>162610829.38201499</v>
      </c>
      <c r="I46" s="96"/>
    </row>
    <row r="47" spans="1:10" x14ac:dyDescent="0.3">
      <c r="A47" s="2" t="s">
        <v>46</v>
      </c>
      <c r="B47" s="44" t="str">
        <f>'Oferta x Demanda'!A22</f>
        <v>NTS RJ 2</v>
      </c>
      <c r="C47" s="317">
        <f>Demanda!C8</f>
        <v>11271.75</v>
      </c>
      <c r="D47" s="317">
        <f>'Oferta x Demanda'!C22</f>
        <v>8406</v>
      </c>
      <c r="E47" s="46"/>
      <c r="G47" s="43">
        <f>IFERROR($C47*$H$20*Premissas!$E$20*1000," ")</f>
        <v>103012904.85509625</v>
      </c>
      <c r="H47" s="43">
        <f>IFERROR($D47*$H$20*Premissas!$E$20*1000," ")</f>
        <v>76822718.585130006</v>
      </c>
      <c r="I47" s="96"/>
    </row>
    <row r="48" spans="1:10" x14ac:dyDescent="0.3">
      <c r="A48" s="2" t="s">
        <v>47</v>
      </c>
      <c r="B48" s="44" t="str">
        <f>'Oferta x Demanda'!A23</f>
        <v>NTS RJ 3</v>
      </c>
      <c r="C48" s="317">
        <f>Demanda!C9</f>
        <v>3249</v>
      </c>
      <c r="D48" s="317">
        <f>'Oferta x Demanda'!C23</f>
        <v>1714</v>
      </c>
      <c r="E48" s="46"/>
      <c r="G48" s="43">
        <f>IFERROR($C48*$H$20*Premissas!$E$20*1000," ")</f>
        <v>29692720.994895</v>
      </c>
      <c r="H48" s="43">
        <f>IFERROR($D48*$H$20*Premissas!$E$20*1000," ")</f>
        <v>15664304.02747</v>
      </c>
      <c r="I48" s="96"/>
    </row>
    <row r="49" spans="1:9" x14ac:dyDescent="0.3">
      <c r="A49" s="2" t="s">
        <v>48</v>
      </c>
      <c r="B49" s="44" t="str">
        <f>'Oferta x Demanda'!A24</f>
        <v>NTS RJ 4</v>
      </c>
      <c r="C49" s="317">
        <f>Demanda!C10</f>
        <v>498.75</v>
      </c>
      <c r="D49" s="317">
        <f>'Oferta x Demanda'!C24</f>
        <v>323</v>
      </c>
      <c r="E49" s="46"/>
      <c r="G49" s="43">
        <f>IFERROR($C49*$H$20*Premissas!$E$20*1000," ")</f>
        <v>4558093.1351812501</v>
      </c>
      <c r="H49" s="43">
        <f>IFERROR($D49*$H$20*Premissas!$E$20*1000," ")</f>
        <v>2951907.9351649997</v>
      </c>
      <c r="I49" s="96"/>
    </row>
    <row r="50" spans="1:9" x14ac:dyDescent="0.3">
      <c r="A50" s="2" t="s">
        <v>49</v>
      </c>
      <c r="B50" s="44" t="str">
        <f>'Oferta x Demanda'!A25</f>
        <v>NTS RJ 5</v>
      </c>
      <c r="C50" s="317">
        <f>Demanda!C11</f>
        <v>3321.2</v>
      </c>
      <c r="D50" s="317">
        <f>'Oferta x Demanda'!C25</f>
        <v>2128</v>
      </c>
      <c r="E50" s="46"/>
      <c r="G50" s="43">
        <f>IFERROR($C50*$H$20*Premissas!$E$20*1000," ")</f>
        <v>30352559.239225999</v>
      </c>
      <c r="H50" s="43">
        <f>IFERROR($D50*$H$20*Premissas!$E$20*1000," ")</f>
        <v>19447864.043439995</v>
      </c>
      <c r="I50" s="96"/>
    </row>
    <row r="51" spans="1:9" x14ac:dyDescent="0.3">
      <c r="A51" s="2" t="s">
        <v>50</v>
      </c>
      <c r="B51" s="44" t="str">
        <f>'Oferta x Demanda'!A26</f>
        <v>NTS SP 1</v>
      </c>
      <c r="C51" s="317">
        <f>Demanda!C12</f>
        <v>14292.75</v>
      </c>
      <c r="D51" s="317">
        <f>'Oferta x Demanda'!C26</f>
        <v>1237</v>
      </c>
      <c r="E51" s="46"/>
      <c r="G51" s="43">
        <f>IFERROR($C51*$H$20*Premissas!$E$20*1000," ")</f>
        <v>130621926.13105126</v>
      </c>
      <c r="H51" s="43">
        <f>IFERROR($D51*$H$20*Premissas!$E$20*1000," ")</f>
        <v>11304984.878634999</v>
      </c>
      <c r="I51" s="96"/>
    </row>
    <row r="52" spans="1:9" x14ac:dyDescent="0.3">
      <c r="A52" s="2" t="s">
        <v>51</v>
      </c>
      <c r="B52" s="44" t="str">
        <f>'Oferta x Demanda'!A27</f>
        <v>NTS SP 2</v>
      </c>
      <c r="C52" s="317">
        <f>Demanda!C13</f>
        <v>3971</v>
      </c>
      <c r="D52" s="317">
        <f>'Oferta x Demanda'!C27</f>
        <v>2972</v>
      </c>
      <c r="E52" s="46"/>
      <c r="G52" s="43">
        <f>IFERROR($C52*$H$20*Premissas!$E$20*1000," ")</f>
        <v>36291103.438204996</v>
      </c>
      <c r="H52" s="43">
        <f>IFERROR($D52*$H$20*Premissas!$E$20*1000," ")</f>
        <v>27161208.617059998</v>
      </c>
      <c r="I52" s="96"/>
    </row>
    <row r="53" spans="1:9" x14ac:dyDescent="0.3">
      <c r="A53" s="2" t="s">
        <v>52</v>
      </c>
      <c r="B53" s="44" t="str">
        <f>'Oferta x Demanda'!A28</f>
        <v>NTS SP 3</v>
      </c>
      <c r="C53" s="317">
        <f>Demanda!C14</f>
        <v>9941.75</v>
      </c>
      <c r="D53" s="317">
        <f>'Oferta x Demanda'!C28</f>
        <v>7969</v>
      </c>
      <c r="E53" s="46"/>
      <c r="G53" s="43">
        <f>IFERROR($C53*$H$20*Premissas!$E$20*1000," ")</f>
        <v>90857989.827946246</v>
      </c>
      <c r="H53" s="43">
        <f>IFERROR($D53*$H$20*Premissas!$E$20*1000," ")</f>
        <v>72828960.790494993</v>
      </c>
      <c r="I53" s="96"/>
    </row>
    <row r="54" spans="1:9" x14ac:dyDescent="0.3">
      <c r="A54" s="2" t="s">
        <v>53</v>
      </c>
      <c r="B54" s="44" t="str">
        <f>'Oferta x Demanda'!A29</f>
        <v>NTS SP 4</v>
      </c>
      <c r="C54" s="317">
        <f>Demanda!C15</f>
        <v>3809.5</v>
      </c>
      <c r="D54" s="317">
        <f>'Oferta x Demanda'!C29</f>
        <v>3281</v>
      </c>
      <c r="E54" s="46"/>
      <c r="G54" s="43">
        <f>IFERROR($C54*$H$20*Premissas!$E$20*1000," ")</f>
        <v>34815149.470622495</v>
      </c>
      <c r="H54" s="43">
        <f>IFERROR($D54*$H$20*Premissas!$E$20*1000," ")</f>
        <v>29985170.078254998</v>
      </c>
      <c r="I54" s="96"/>
    </row>
    <row r="55" spans="1:9" x14ac:dyDescent="0.3">
      <c r="A55" s="2" t="s">
        <v>54</v>
      </c>
      <c r="B55" s="44" t="str">
        <f>'Oferta x Demanda'!A30</f>
        <v>PE-GUARAREMA (INTERCONEXÃO)</v>
      </c>
      <c r="C55" s="254"/>
      <c r="D55" s="254"/>
      <c r="E55" s="279" t="s">
        <v>471</v>
      </c>
      <c r="G55" s="43">
        <f>IFERROR($C55*$H$20*Premissas!$E$20*1000," ")</f>
        <v>0</v>
      </c>
      <c r="H55" s="43">
        <f>IFERROR($D55*$H$20*Premissas!$E$20*1000," ")</f>
        <v>0</v>
      </c>
      <c r="I55" s="96"/>
    </row>
    <row r="56" spans="1:9" x14ac:dyDescent="0.3">
      <c r="A56" s="2" t="s">
        <v>55</v>
      </c>
      <c r="B56" s="44" t="str">
        <f>'Oferta x Demanda'!A31</f>
        <v>PE-REPLAN (INTERCONEXÃO)</v>
      </c>
      <c r="C56" s="254"/>
      <c r="D56" s="254"/>
      <c r="E56" s="279" t="s">
        <v>471</v>
      </c>
      <c r="G56" s="43">
        <f>IFERROR($C56*$H$20*Premissas!$E$20*1000," ")</f>
        <v>0</v>
      </c>
      <c r="H56" s="43">
        <f>IFERROR($D56*$H$20*Premissas!$E$20*1000," ")</f>
        <v>0</v>
      </c>
      <c r="I56" s="96"/>
    </row>
    <row r="57" spans="1:9" x14ac:dyDescent="0.3">
      <c r="A57" s="2" t="s">
        <v>56</v>
      </c>
      <c r="B57" s="44" t="str">
        <f>'Oferta x Demanda'!A32</f>
        <v>PE-TECAB (INTERCONEXÃO)</v>
      </c>
      <c r="C57" s="254"/>
      <c r="D57" s="254"/>
      <c r="E57" s="279" t="s">
        <v>471</v>
      </c>
      <c r="G57" s="43">
        <f>IFERROR($C57*$H$20*Premissas!$E$20*1000," ")</f>
        <v>0</v>
      </c>
      <c r="H57" s="43">
        <f>IFERROR($D57*$H$20*Premissas!$E$20*1000," ")</f>
        <v>0</v>
      </c>
      <c r="I57" s="96"/>
    </row>
    <row r="58" spans="1:9" x14ac:dyDescent="0.3">
      <c r="C58" s="108">
        <f>SUM(C42:C57)</f>
        <v>78459.549999999988</v>
      </c>
      <c r="D58" s="108">
        <f>SUM(D42:D57)</f>
        <v>51180</v>
      </c>
      <c r="E58" s="108"/>
      <c r="G58" s="108">
        <f>SUM(G42:G57)</f>
        <v>717044483.69806528</v>
      </c>
      <c r="H58" s="108">
        <f>SUM(H42:H57)</f>
        <v>467735752.69889992</v>
      </c>
      <c r="I58" s="96"/>
    </row>
    <row r="59" spans="1:9" x14ac:dyDescent="0.3">
      <c r="C59" s="107"/>
      <c r="D59" s="107"/>
      <c r="E59" s="107"/>
      <c r="G59" s="107"/>
      <c r="H59" s="107"/>
      <c r="I59" s="96"/>
    </row>
    <row r="60" spans="1:9" x14ac:dyDescent="0.3">
      <c r="C60" s="107"/>
      <c r="D60" s="107"/>
      <c r="E60" s="107"/>
      <c r="F60" s="107"/>
      <c r="G60" s="107"/>
      <c r="H60" s="107"/>
      <c r="I60" s="96"/>
    </row>
    <row r="61" spans="1:9" x14ac:dyDescent="0.3">
      <c r="C61" s="96"/>
      <c r="D61" s="96"/>
      <c r="F61" s="96"/>
      <c r="G61" s="96"/>
      <c r="H61" s="96"/>
    </row>
    <row r="62" spans="1:9" s="98" customFormat="1" x14ac:dyDescent="0.3">
      <c r="A62" s="98" t="s">
        <v>141</v>
      </c>
      <c r="B62" s="98" t="s">
        <v>142</v>
      </c>
    </row>
    <row r="63" spans="1:9" x14ac:dyDescent="0.3">
      <c r="A63" s="3"/>
    </row>
    <row r="64" spans="1:9" x14ac:dyDescent="0.3">
      <c r="A64" t="s">
        <v>125</v>
      </c>
      <c r="B64" t="s">
        <v>126</v>
      </c>
    </row>
    <row r="65" spans="1:12" ht="15.6" x14ac:dyDescent="0.35">
      <c r="A65" t="s">
        <v>299</v>
      </c>
      <c r="B65" t="s">
        <v>143</v>
      </c>
    </row>
    <row r="66" spans="1:12" x14ac:dyDescent="0.3">
      <c r="C66" s="2" t="s">
        <v>248</v>
      </c>
      <c r="D66" s="2" t="s">
        <v>133</v>
      </c>
      <c r="E66" s="2" t="s">
        <v>134</v>
      </c>
      <c r="F66" s="2" t="s">
        <v>135</v>
      </c>
      <c r="G66" s="2" t="s">
        <v>136</v>
      </c>
      <c r="H66" s="2" t="s">
        <v>249</v>
      </c>
      <c r="I66" s="2" t="s">
        <v>137</v>
      </c>
      <c r="J66" s="2" t="s">
        <v>250</v>
      </c>
      <c r="K66" s="2" t="s">
        <v>138</v>
      </c>
      <c r="L66" s="2" t="s">
        <v>139</v>
      </c>
    </row>
    <row r="67" spans="1:12" ht="22.8" x14ac:dyDescent="0.3">
      <c r="C67" s="45" t="s">
        <v>261</v>
      </c>
      <c r="D67" s="45" t="s">
        <v>26</v>
      </c>
      <c r="E67" s="45" t="s">
        <v>512</v>
      </c>
      <c r="F67" s="45" t="s">
        <v>253</v>
      </c>
      <c r="G67" s="45" t="s">
        <v>27</v>
      </c>
      <c r="H67" s="45" t="s">
        <v>29</v>
      </c>
      <c r="I67" s="45" t="s">
        <v>24</v>
      </c>
      <c r="J67" s="45" t="s">
        <v>274</v>
      </c>
      <c r="K67" s="45" t="s">
        <v>276</v>
      </c>
      <c r="L67" s="45" t="s">
        <v>275</v>
      </c>
    </row>
    <row r="68" spans="1:12" x14ac:dyDescent="0.3">
      <c r="A68" s="2" t="s">
        <v>41</v>
      </c>
      <c r="B68" s="44" t="str">
        <f>B42</f>
        <v>NTS MG 1</v>
      </c>
      <c r="C68" s="318">
        <f ca="1">VLOOKUP($B68,'Matriz Distâncias NTS'!$S$2:$AC$18,2,0)</f>
        <v>447.1</v>
      </c>
      <c r="D68" s="318">
        <f ca="1">VLOOKUP($B68,'Matriz Distâncias NTS'!$S$2:$AC$18,3,0)</f>
        <v>251.935</v>
      </c>
      <c r="E68" s="318">
        <f ca="1">VLOOKUP($B68,'Matriz Distâncias NTS'!$S$2:$AC$18,4,0)</f>
        <v>301.35699999999997</v>
      </c>
      <c r="F68" s="318">
        <f ca="1">VLOOKUP($B68,'Matriz Distâncias NTS'!$S$2:$AC$18,8,0)</f>
        <v>550.255</v>
      </c>
      <c r="G68" s="318">
        <f ca="1">VLOOKUP($B68,'Matriz Distâncias NTS'!$S$2:$AC$18,7,0)</f>
        <v>133.93299999999999</v>
      </c>
      <c r="H68" s="318">
        <f ca="1">VLOOKUP($B68,'Matriz Distâncias NTS'!$S$2:$AC$18,9,0)</f>
        <v>519.08299999999997</v>
      </c>
      <c r="I68" s="318">
        <f ca="1">VLOOKUP($B68,'Matriz Distâncias NTS'!$S$2:$AC$18,10,0)</f>
        <v>432.233</v>
      </c>
      <c r="J68" s="318">
        <f ca="1">VLOOKUP($B68,'Matriz Distâncias NTS'!$S$2:$AC$18,5,0)</f>
        <v>412.91999999999996</v>
      </c>
      <c r="K68" s="318">
        <f ca="1">VLOOKUP($B68,'Matriz Distâncias NTS'!$S$2:$AC$18,8,0)</f>
        <v>550.255</v>
      </c>
      <c r="L68" s="318">
        <f ca="1">VLOOKUP($B68,'Matriz Distâncias NTS'!$S$2:$AC$18,11,0)</f>
        <v>432.233</v>
      </c>
    </row>
    <row r="69" spans="1:12" x14ac:dyDescent="0.3">
      <c r="A69" s="2" t="s">
        <v>42</v>
      </c>
      <c r="B69" s="44" t="str">
        <f>B43</f>
        <v>NTS MG 2</v>
      </c>
      <c r="C69" s="318">
        <f ca="1">VLOOKUP($B69,'Matriz Distâncias NTS'!$S$2:$AC$18,2,0)</f>
        <v>544.26400000000001</v>
      </c>
      <c r="D69" s="318">
        <f ca="1">VLOOKUP($B69,'Matriz Distâncias NTS'!$S$2:$AC$18,3,0)</f>
        <v>349.09899999999999</v>
      </c>
      <c r="E69" s="318">
        <f ca="1">VLOOKUP($B69,'Matriz Distâncias NTS'!$S$2:$AC$18,4,0)</f>
        <v>398.52100000000002</v>
      </c>
      <c r="F69" s="318">
        <f ca="1">VLOOKUP($B69,'Matriz Distâncias NTS'!$S$2:$AC$18,8,0)</f>
        <v>647.41899999999998</v>
      </c>
      <c r="G69" s="318">
        <f ca="1">VLOOKUP($B69,'Matriz Distâncias NTS'!$S$2:$AC$18,7,0)</f>
        <v>231.09699999999998</v>
      </c>
      <c r="H69" s="318">
        <f ca="1">VLOOKUP($B69,'Matriz Distâncias NTS'!$S$2:$AC$18,9,0)</f>
        <v>616.24699999999996</v>
      </c>
      <c r="I69" s="318">
        <f ca="1">VLOOKUP($B69,'Matriz Distâncias NTS'!$S$2:$AC$18,10,0)</f>
        <v>529.39700000000005</v>
      </c>
      <c r="J69" s="318">
        <f ca="1">VLOOKUP($B69,'Matriz Distâncias NTS'!$S$2:$AC$18,5,0)</f>
        <v>510.08400000000006</v>
      </c>
      <c r="K69" s="318">
        <f ca="1">VLOOKUP($B69,'Matriz Distâncias NTS'!$S$2:$AC$18,8,0)</f>
        <v>647.41899999999998</v>
      </c>
      <c r="L69" s="318">
        <f ca="1">VLOOKUP($B69,'Matriz Distâncias NTS'!$S$2:$AC$18,11,0)</f>
        <v>529.39700000000005</v>
      </c>
    </row>
    <row r="70" spans="1:12" x14ac:dyDescent="0.3">
      <c r="A70" s="2" t="s">
        <v>43</v>
      </c>
      <c r="B70" s="44" t="str">
        <f>B44</f>
        <v>NTS MG 3</v>
      </c>
      <c r="C70" s="318">
        <f ca="1">VLOOKUP($B70,'Matriz Distâncias NTS'!$S$2:$AC$18,2,0)</f>
        <v>661.42919999999992</v>
      </c>
      <c r="D70" s="318">
        <f ca="1">VLOOKUP($B70,'Matriz Distâncias NTS'!$S$2:$AC$18,3,0)</f>
        <v>466.26419999999996</v>
      </c>
      <c r="E70" s="318">
        <f ca="1">VLOOKUP($B70,'Matriz Distâncias NTS'!$S$2:$AC$18,4,0)</f>
        <v>515.68619999999999</v>
      </c>
      <c r="F70" s="318">
        <f ca="1">VLOOKUP($B70,'Matriz Distâncias NTS'!$S$2:$AC$18,8,0)</f>
        <v>764.58420000000001</v>
      </c>
      <c r="G70" s="318">
        <f ca="1">VLOOKUP($B70,'Matriz Distâncias NTS'!$S$2:$AC$18,7,0)</f>
        <v>348.26220000000001</v>
      </c>
      <c r="H70" s="318">
        <f ca="1">VLOOKUP($B70,'Matriz Distâncias NTS'!$S$2:$AC$18,9,0)</f>
        <v>733.4122000000001</v>
      </c>
      <c r="I70" s="318">
        <f ca="1">VLOOKUP($B70,'Matriz Distâncias NTS'!$S$2:$AC$18,10,0)</f>
        <v>646.56219999999996</v>
      </c>
      <c r="J70" s="318">
        <f ca="1">VLOOKUP($B70,'Matriz Distâncias NTS'!$S$2:$AC$18,5,0)</f>
        <v>627.24920000000009</v>
      </c>
      <c r="K70" s="318">
        <f ca="1">VLOOKUP($B70,'Matriz Distâncias NTS'!$S$2:$AC$18,8,0)</f>
        <v>764.58420000000001</v>
      </c>
      <c r="L70" s="318">
        <f ca="1">VLOOKUP($B70,'Matriz Distâncias NTS'!$S$2:$AC$18,11,0)</f>
        <v>646.56219999999996</v>
      </c>
    </row>
    <row r="71" spans="1:12" x14ac:dyDescent="0.3">
      <c r="A71" s="2" t="s">
        <v>44</v>
      </c>
      <c r="B71" s="44" t="str">
        <f t="shared" ref="B71:B83" si="0">B45</f>
        <v>NTS MG 4</v>
      </c>
      <c r="C71" s="318">
        <f ca="1">VLOOKUP($B71,'Matriz Distâncias NTS'!$S$2:$AC$18,2,0)</f>
        <v>394.62900000000002</v>
      </c>
      <c r="D71" s="318">
        <f ca="1">VLOOKUP($B71,'Matriz Distâncias NTS'!$S$2:$AC$18,3,0)</f>
        <v>596.17999999999995</v>
      </c>
      <c r="E71" s="318">
        <f ca="1">VLOOKUP($B71,'Matriz Distâncias NTS'!$S$2:$AC$18,4,0)</f>
        <v>645.60199999999998</v>
      </c>
      <c r="F71" s="318">
        <f ca="1">VLOOKUP($B71,'Matriz Distâncias NTS'!$S$2:$AC$18,8,0)</f>
        <v>93.766000000000005</v>
      </c>
      <c r="G71" s="318">
        <f ca="1">VLOOKUP($B71,'Matriz Distâncias NTS'!$S$2:$AC$18,7,0)</f>
        <v>598.4799999999999</v>
      </c>
      <c r="H71" s="318">
        <f ca="1">VLOOKUP($B71,'Matriz Distâncias NTS'!$S$2:$AC$18,9,0)</f>
        <v>466.61200000000002</v>
      </c>
      <c r="I71" s="318">
        <f ca="1">VLOOKUP($B71,'Matriz Distâncias NTS'!$S$2:$AC$18,10,0)</f>
        <v>776.47799999999995</v>
      </c>
      <c r="J71" s="318">
        <f ca="1">VLOOKUP($B71,'Matriz Distâncias NTS'!$S$2:$AC$18,5,0)</f>
        <v>360.44900000000001</v>
      </c>
      <c r="K71" s="318">
        <f ca="1">VLOOKUP($B71,'Matriz Distâncias NTS'!$S$2:$AC$18,8,0)</f>
        <v>93.766000000000005</v>
      </c>
      <c r="L71" s="318">
        <f ca="1">VLOOKUP($B71,'Matriz Distâncias NTS'!$S$2:$AC$18,11,0)</f>
        <v>776.47799999999995</v>
      </c>
    </row>
    <row r="72" spans="1:12" x14ac:dyDescent="0.3">
      <c r="A72" s="2" t="s">
        <v>45</v>
      </c>
      <c r="B72" s="44" t="str">
        <f t="shared" si="0"/>
        <v>NTS RJ 1</v>
      </c>
      <c r="C72" s="318">
        <f ca="1">VLOOKUP($B72,'Matriz Distâncias NTS'!$S$2:$AC$18,2,0)</f>
        <v>460.82099999999997</v>
      </c>
      <c r="D72" s="318">
        <f ca="1">VLOOKUP($B72,'Matriz Distâncias NTS'!$S$2:$AC$18,3,0)</f>
        <v>64.091333333333338</v>
      </c>
      <c r="E72" s="318">
        <f ca="1">VLOOKUP($B72,'Matriz Distâncias NTS'!$S$2:$AC$18,4,0)</f>
        <v>75.091333333333338</v>
      </c>
      <c r="F72" s="318">
        <f ca="1">VLOOKUP($B72,'Matriz Distâncias NTS'!$S$2:$AC$18,8,0)</f>
        <v>563.976</v>
      </c>
      <c r="G72" s="318">
        <f ca="1">VLOOKUP($B72,'Matriz Distâncias NTS'!$S$2:$AC$18,7,0)</f>
        <v>64.091333333333338</v>
      </c>
      <c r="H72" s="318">
        <f ca="1">VLOOKUP($B72,'Matriz Distâncias NTS'!$S$2:$AC$18,9,0)</f>
        <v>530.12266666666665</v>
      </c>
      <c r="I72" s="318">
        <f ca="1">VLOOKUP($B72,'Matriz Distâncias NTS'!$S$2:$AC$18,10,0)</f>
        <v>120.26933333333334</v>
      </c>
      <c r="J72" s="318">
        <f ca="1">VLOOKUP($B72,'Matriz Distâncias NTS'!$S$2:$AC$18,5,0)</f>
        <v>423.95966666666664</v>
      </c>
      <c r="K72" s="318">
        <f ca="1">VLOOKUP($B72,'Matriz Distâncias NTS'!$S$2:$AC$18,8,0)</f>
        <v>563.976</v>
      </c>
      <c r="L72" s="318">
        <f ca="1">VLOOKUP($B72,'Matriz Distâncias NTS'!$S$2:$AC$18,11,0)</f>
        <v>120.26933333333334</v>
      </c>
    </row>
    <row r="73" spans="1:12" x14ac:dyDescent="0.3">
      <c r="A73" s="2" t="s">
        <v>46</v>
      </c>
      <c r="B73" s="44" t="str">
        <f t="shared" si="0"/>
        <v>NTS RJ 2</v>
      </c>
      <c r="C73" s="318">
        <f ca="1">VLOOKUP($B73,'Matriz Distâncias NTS'!$S$2:$AC$18,2,0)</f>
        <v>352.80099999999999</v>
      </c>
      <c r="D73" s="318">
        <f ca="1">VLOOKUP($B73,'Matriz Distâncias NTS'!$S$2:$AC$18,3,0)</f>
        <v>46.097999999999992</v>
      </c>
      <c r="E73" s="318">
        <f ca="1">VLOOKUP($B73,'Matriz Distâncias NTS'!$S$2:$AC$18,4,0)</f>
        <v>95.519999999999982</v>
      </c>
      <c r="F73" s="318">
        <f ca="1">VLOOKUP($B73,'Matriz Distâncias NTS'!$S$2:$AC$18,8,0)</f>
        <v>456.31599999999997</v>
      </c>
      <c r="G73" s="318">
        <f ca="1">VLOOKUP($B73,'Matriz Distâncias NTS'!$S$2:$AC$18,7,0)</f>
        <v>45.943333333333328</v>
      </c>
      <c r="H73" s="318">
        <f ca="1">VLOOKUP($B73,'Matriz Distâncias NTS'!$S$2:$AC$18,9,0)</f>
        <v>424.06400000000002</v>
      </c>
      <c r="I73" s="318">
        <f ca="1">VLOOKUP($B73,'Matriz Distâncias NTS'!$S$2:$AC$18,10,0)</f>
        <v>226.39599999999999</v>
      </c>
      <c r="J73" s="318">
        <f ca="1">VLOOKUP($B73,'Matriz Distâncias NTS'!$S$2:$AC$18,5,0)</f>
        <v>318.62100000000004</v>
      </c>
      <c r="K73" s="318">
        <f ca="1">VLOOKUP($B73,'Matriz Distâncias NTS'!$S$2:$AC$18,8,0)</f>
        <v>456.31599999999997</v>
      </c>
      <c r="L73" s="318">
        <f ca="1">VLOOKUP($B73,'Matriz Distâncias NTS'!$S$2:$AC$18,11,0)</f>
        <v>226.39599999999999</v>
      </c>
    </row>
    <row r="74" spans="1:12" x14ac:dyDescent="0.3">
      <c r="A74" s="2" t="s">
        <v>47</v>
      </c>
      <c r="B74" s="44" t="str">
        <f t="shared" si="0"/>
        <v>NTS RJ 3</v>
      </c>
      <c r="C74" s="318">
        <f ca="1">VLOOKUP($B74,'Matriz Distâncias NTS'!$S$2:$AC$18,2,0)</f>
        <v>307.62360000000001</v>
      </c>
      <c r="D74" s="318">
        <f ca="1">VLOOKUP($B74,'Matriz Distâncias NTS'!$S$2:$AC$18,3,0)</f>
        <v>92.737400000000008</v>
      </c>
      <c r="E74" s="318">
        <f ca="1">VLOOKUP($B74,'Matriz Distâncias NTS'!$S$2:$AC$18,4,0)</f>
        <v>142.15940000000001</v>
      </c>
      <c r="F74" s="318">
        <f ca="1">VLOOKUP($B74,'Matriz Distâncias NTS'!$S$2:$AC$18,8,0)</f>
        <v>448.94899999999996</v>
      </c>
      <c r="G74" s="318">
        <f ca="1">VLOOKUP($B74,'Matriz Distâncias NTS'!$S$2:$AC$18,7,0)</f>
        <v>89.951799999999992</v>
      </c>
      <c r="H74" s="318">
        <f ca="1">VLOOKUP($B74,'Matriz Distâncias NTS'!$S$2:$AC$18,9,0)</f>
        <v>379.60659999999996</v>
      </c>
      <c r="I74" s="318">
        <f ca="1">VLOOKUP($B74,'Matriz Distâncias NTS'!$S$2:$AC$18,10,0)</f>
        <v>273.03540000000004</v>
      </c>
      <c r="J74" s="318">
        <f ca="1">VLOOKUP($B74,'Matriz Distâncias NTS'!$S$2:$AC$18,5,0)</f>
        <v>273.44359999999995</v>
      </c>
      <c r="K74" s="318">
        <f ca="1">VLOOKUP($B74,'Matriz Distâncias NTS'!$S$2:$AC$18,8,0)</f>
        <v>448.94899999999996</v>
      </c>
      <c r="L74" s="318">
        <f ca="1">VLOOKUP($B74,'Matriz Distâncias NTS'!$S$2:$AC$18,11,0)</f>
        <v>273.03540000000004</v>
      </c>
    </row>
    <row r="75" spans="1:12" x14ac:dyDescent="0.3">
      <c r="A75" s="2" t="s">
        <v>48</v>
      </c>
      <c r="B75" s="44" t="str">
        <f t="shared" si="0"/>
        <v>NTS RJ 4</v>
      </c>
      <c r="C75" s="318">
        <f ca="1">VLOOKUP($B75,'Matriz Distâncias NTS'!$S$2:$AC$18,2,0)</f>
        <v>244.471</v>
      </c>
      <c r="D75" s="318">
        <f ca="1">VLOOKUP($B75,'Matriz Distâncias NTS'!$S$2:$AC$18,3,0)</f>
        <v>154.518</v>
      </c>
      <c r="E75" s="318">
        <f ca="1">VLOOKUP($B75,'Matriz Distâncias NTS'!$S$2:$AC$18,4,0)</f>
        <v>203.93999999999997</v>
      </c>
      <c r="F75" s="318">
        <f ca="1">VLOOKUP($B75,'Matriz Distâncias NTS'!$S$2:$AC$18,8,0)</f>
        <v>347.89600000000002</v>
      </c>
      <c r="G75" s="318">
        <f ca="1">VLOOKUP($B75,'Matriz Distâncias NTS'!$S$2:$AC$18,7,0)</f>
        <v>156.81800000000001</v>
      </c>
      <c r="H75" s="318">
        <f ca="1">VLOOKUP($B75,'Matriz Distâncias NTS'!$S$2:$AC$18,9,0)</f>
        <v>316.72399999999999</v>
      </c>
      <c r="I75" s="318">
        <f ca="1">VLOOKUP($B75,'Matriz Distâncias NTS'!$S$2:$AC$18,10,0)</f>
        <v>334.81599999999997</v>
      </c>
      <c r="J75" s="318">
        <f ca="1">VLOOKUP($B75,'Matriz Distâncias NTS'!$S$2:$AC$18,5,0)</f>
        <v>210.56099999999998</v>
      </c>
      <c r="K75" s="318">
        <f ca="1">VLOOKUP($B75,'Matriz Distâncias NTS'!$S$2:$AC$18,8,0)</f>
        <v>347.89600000000002</v>
      </c>
      <c r="L75" s="318">
        <f ca="1">VLOOKUP($B75,'Matriz Distâncias NTS'!$S$2:$AC$18,11,0)</f>
        <v>334.81599999999997</v>
      </c>
    </row>
    <row r="76" spans="1:12" x14ac:dyDescent="0.3">
      <c r="A76" s="2" t="s">
        <v>49</v>
      </c>
      <c r="B76" s="44" t="str">
        <f t="shared" si="0"/>
        <v>NTS RJ 5</v>
      </c>
      <c r="C76" s="318">
        <f ca="1">VLOOKUP($B76,'Matriz Distâncias NTS'!$S$2:$AC$18,2,0)</f>
        <v>395.91849999999999</v>
      </c>
      <c r="D76" s="318">
        <f ca="1">VLOOKUP($B76,'Matriz Distâncias NTS'!$S$2:$AC$18,3,0)</f>
        <v>36.580500000000001</v>
      </c>
      <c r="E76" s="318">
        <f ca="1">VLOOKUP($B76,'Matriz Distâncias NTS'!$S$2:$AC$18,4,0)</f>
        <v>87.152500000000003</v>
      </c>
      <c r="F76" s="318">
        <f ca="1">VLOOKUP($B76,'Matriz Distâncias NTS'!$S$2:$AC$18,8,0)</f>
        <v>499.07349999999997</v>
      </c>
      <c r="G76" s="318">
        <f ca="1">VLOOKUP($B76,'Matriz Distâncias NTS'!$S$2:$AC$18,7,0)</f>
        <v>34.080500000000001</v>
      </c>
      <c r="H76" s="318">
        <f ca="1">VLOOKUP($B76,'Matriz Distâncias NTS'!$S$2:$AC$18,9,0)</f>
        <v>463.87950000000001</v>
      </c>
      <c r="I76" s="318">
        <f ca="1">VLOOKUP($B76,'Matriz Distâncias NTS'!$S$2:$AC$18,10,0)</f>
        <v>218.02850000000001</v>
      </c>
      <c r="J76" s="318">
        <f ca="1">VLOOKUP($B76,'Matriz Distâncias NTS'!$S$2:$AC$18,5,0)</f>
        <v>357.71899999999999</v>
      </c>
      <c r="K76" s="318">
        <f ca="1">VLOOKUP($B76,'Matriz Distâncias NTS'!$S$2:$AC$18,8,0)</f>
        <v>499.07349999999997</v>
      </c>
      <c r="L76" s="318">
        <f ca="1">VLOOKUP($B76,'Matriz Distâncias NTS'!$S$2:$AC$18,11,0)</f>
        <v>218.02850000000001</v>
      </c>
    </row>
    <row r="77" spans="1:12" x14ac:dyDescent="0.3">
      <c r="A77" s="2" t="s">
        <v>50</v>
      </c>
      <c r="B77" s="44" t="str">
        <f t="shared" si="0"/>
        <v>NTS SP 1</v>
      </c>
      <c r="C77" s="318">
        <f ca="1">VLOOKUP($B77,'Matriz Distâncias NTS'!$S$2:$AC$18,2,0)</f>
        <v>162.84283333333335</v>
      </c>
      <c r="D77" s="318">
        <f ca="1">VLOOKUP($B77,'Matriz Distâncias NTS'!$S$2:$AC$18,3,0)</f>
        <v>343.1248333333333</v>
      </c>
      <c r="E77" s="318">
        <f ca="1">VLOOKUP($B77,'Matriz Distâncias NTS'!$S$2:$AC$18,4,0)</f>
        <v>329.05316666666664</v>
      </c>
      <c r="F77" s="318">
        <f ca="1">VLOOKUP($B77,'Matriz Distâncias NTS'!$S$2:$AC$18,8,0)</f>
        <v>222.24283333333335</v>
      </c>
      <c r="G77" s="318">
        <f ca="1">VLOOKUP($B77,'Matriz Distâncias NTS'!$S$2:$AC$18,7,0)</f>
        <v>278.44916666666666</v>
      </c>
      <c r="H77" s="318">
        <f ca="1">VLOOKUP($B77,'Matriz Distâncias NTS'!$S$2:$AC$18,9,0)</f>
        <v>234.82583333333335</v>
      </c>
      <c r="I77" s="318">
        <f ca="1">VLOOKUP($B77,'Matriz Distâncias NTS'!$S$2:$AC$18,10,0)</f>
        <v>459.92916666666662</v>
      </c>
      <c r="J77" s="318">
        <f ca="1">VLOOKUP($B77,'Matriz Distâncias NTS'!$S$2:$AC$18,5,0)</f>
        <v>128.66283333333334</v>
      </c>
      <c r="K77" s="318">
        <f ca="1">VLOOKUP($B77,'Matriz Distâncias NTS'!$S$2:$AC$18,8,0)</f>
        <v>222.24283333333335</v>
      </c>
      <c r="L77" s="318">
        <f ca="1">VLOOKUP($B77,'Matriz Distâncias NTS'!$S$2:$AC$18,11,0)</f>
        <v>459.92916666666662</v>
      </c>
    </row>
    <row r="78" spans="1:12" x14ac:dyDescent="0.3">
      <c r="A78" s="2" t="s">
        <v>51</v>
      </c>
      <c r="B78" s="44" t="str">
        <f t="shared" si="0"/>
        <v>NTS SP 2</v>
      </c>
      <c r="C78" s="318">
        <f ca="1">VLOOKUP($B78,'Matriz Distâncias NTS'!$S$2:$AC$18,2,0)</f>
        <v>77.567999999999998</v>
      </c>
      <c r="D78" s="318">
        <f ca="1">VLOOKUP($B78,'Matriz Distâncias NTS'!$S$2:$AC$18,3,0)</f>
        <v>319.46766666666667</v>
      </c>
      <c r="E78" s="318">
        <f ca="1">VLOOKUP($B78,'Matriz Distâncias NTS'!$S$2:$AC$18,4,0)</f>
        <v>367.80966666666671</v>
      </c>
      <c r="F78" s="318">
        <f ca="1">VLOOKUP($B78,'Matriz Distâncias NTS'!$S$2:$AC$18,8,0)</f>
        <v>221.07166666666669</v>
      </c>
      <c r="G78" s="318">
        <f ca="1">VLOOKUP($B78,'Matriz Distâncias NTS'!$S$2:$AC$18,7,0)</f>
        <v>321.76766666666668</v>
      </c>
      <c r="H78" s="318">
        <f ca="1">VLOOKUP($B78,'Matriz Distâncias NTS'!$S$2:$AC$18,9,0)</f>
        <v>151.77433333333332</v>
      </c>
      <c r="I78" s="318">
        <f ca="1">VLOOKUP($B78,'Matriz Distâncias NTS'!$S$2:$AC$18,10,0)</f>
        <v>498.68566666666669</v>
      </c>
      <c r="J78" s="318">
        <f ca="1">VLOOKUP($B78,'Matriz Distâncias NTS'!$S$2:$AC$18,5,0)</f>
        <v>45.611333333333334</v>
      </c>
      <c r="K78" s="318">
        <f ca="1">VLOOKUP($B78,'Matriz Distâncias NTS'!$S$2:$AC$18,8,0)</f>
        <v>221.07166666666669</v>
      </c>
      <c r="L78" s="318">
        <f ca="1">VLOOKUP($B78,'Matriz Distâncias NTS'!$S$2:$AC$18,11,0)</f>
        <v>498.68566666666669</v>
      </c>
    </row>
    <row r="79" spans="1:12" x14ac:dyDescent="0.3">
      <c r="A79" s="2" t="s">
        <v>52</v>
      </c>
      <c r="B79" s="44" t="str">
        <f t="shared" si="0"/>
        <v>NTS SP 3</v>
      </c>
      <c r="C79" s="318">
        <f ca="1">VLOOKUP($B79,'Matriz Distâncias NTS'!$S$2:$AC$18,2,0)</f>
        <v>176.60120000000001</v>
      </c>
      <c r="D79" s="318">
        <f ca="1">VLOOKUP($B79,'Matriz Distâncias NTS'!$S$2:$AC$18,3,0)</f>
        <v>435.43320000000006</v>
      </c>
      <c r="E79" s="318">
        <f ca="1">VLOOKUP($B79,'Matriz Distâncias NTS'!$S$2:$AC$18,4,0)</f>
        <v>483.80799999999999</v>
      </c>
      <c r="F79" s="318">
        <f ca="1">VLOOKUP($B79,'Matriz Distâncias NTS'!$S$2:$AC$18,8,0)</f>
        <v>337.03720000000004</v>
      </c>
      <c r="G79" s="318">
        <f ca="1">VLOOKUP($B79,'Matriz Distâncias NTS'!$S$2:$AC$18,7,0)</f>
        <v>437.73320000000001</v>
      </c>
      <c r="H79" s="318">
        <f ca="1">VLOOKUP($B79,'Matriz Distâncias NTS'!$S$2:$AC$18,9,0)</f>
        <v>46.044000000000004</v>
      </c>
      <c r="I79" s="318">
        <f ca="1">VLOOKUP($B79,'Matriz Distâncias NTS'!$S$2:$AC$18,10,0)</f>
        <v>614.68399999999997</v>
      </c>
      <c r="J79" s="318">
        <f ca="1">VLOOKUP($B79,'Matriz Distâncias NTS'!$S$2:$AC$18,5,0)</f>
        <v>70.354199999999992</v>
      </c>
      <c r="K79" s="318">
        <f ca="1">VLOOKUP($B79,'Matriz Distâncias NTS'!$S$2:$AC$18,8,0)</f>
        <v>337.03720000000004</v>
      </c>
      <c r="L79" s="318">
        <f ca="1">VLOOKUP($B79,'Matriz Distâncias NTS'!$S$2:$AC$18,11,0)</f>
        <v>614.68399999999997</v>
      </c>
    </row>
    <row r="80" spans="1:12" x14ac:dyDescent="0.3">
      <c r="A80" s="2" t="s">
        <v>53</v>
      </c>
      <c r="B80" s="44" t="str">
        <f t="shared" si="0"/>
        <v>NTS SP 4</v>
      </c>
      <c r="C80" s="318">
        <f ca="1">VLOOKUP($B80,'Matriz Distâncias NTS'!$S$2:$AC$18,2,0)</f>
        <v>211.58399999999997</v>
      </c>
      <c r="D80" s="318">
        <f ca="1">VLOOKUP($B80,'Matriz Distâncias NTS'!$S$2:$AC$18,3,0)</f>
        <v>470.416</v>
      </c>
      <c r="E80" s="318">
        <f ca="1">VLOOKUP($B80,'Matriz Distâncias NTS'!$S$2:$AC$18,4,0)</f>
        <v>519.83799999999997</v>
      </c>
      <c r="F80" s="318">
        <f ca="1">VLOOKUP($B80,'Matriz Distâncias NTS'!$S$2:$AC$18,8,0)</f>
        <v>372.02</v>
      </c>
      <c r="G80" s="318">
        <f ca="1">VLOOKUP($B80,'Matriz Distâncias NTS'!$S$2:$AC$18,7,0)</f>
        <v>472.71600000000007</v>
      </c>
      <c r="H80" s="318">
        <f ca="1">VLOOKUP($B80,'Matriz Distâncias NTS'!$S$2:$AC$18,9,0)</f>
        <v>0.82600000000000007</v>
      </c>
      <c r="I80" s="318">
        <f ca="1">VLOOKUP($B80,'Matriz Distâncias NTS'!$S$2:$AC$18,10,0)</f>
        <v>650.71399999999994</v>
      </c>
      <c r="J80" s="318">
        <f ca="1">VLOOKUP($B80,'Matriz Distâncias NTS'!$S$2:$AC$18,5,0)</f>
        <v>105.337</v>
      </c>
      <c r="K80" s="318">
        <f ca="1">VLOOKUP($B80,'Matriz Distâncias NTS'!$S$2:$AC$18,8,0)</f>
        <v>372.02</v>
      </c>
      <c r="L80" s="318">
        <f ca="1">VLOOKUP($B80,'Matriz Distâncias NTS'!$S$2:$AC$18,11,0)</f>
        <v>650.71399999999994</v>
      </c>
    </row>
    <row r="81" spans="1:12" x14ac:dyDescent="0.3">
      <c r="A81" s="2" t="s">
        <v>54</v>
      </c>
      <c r="B81" s="44" t="str">
        <f t="shared" si="0"/>
        <v>PE-GUARAREMA (INTERCONEXÃO)</v>
      </c>
      <c r="C81" s="318">
        <f>VLOOKUP($B81,'Matriz Distâncias NTS'!$S$2:$AC$18,2,0)</f>
        <v>106.247</v>
      </c>
      <c r="D81" s="318">
        <f>VLOOKUP($B81,'Matriz Distâncias NTS'!$S$2:$AC$18,3,0)</f>
        <v>365.07900000000001</v>
      </c>
      <c r="E81" s="318">
        <f>VLOOKUP($B81,'Matriz Distâncias NTS'!$S$2:$AC$18,4,0)</f>
        <v>414.50099999999998</v>
      </c>
      <c r="F81" s="318">
        <f>VLOOKUP($B81,'Matriz Distâncias NTS'!$S$2:$AC$18,8,0)</f>
        <v>266.68299999999999</v>
      </c>
      <c r="G81" s="318">
        <f>VLOOKUP($B81,'Matriz Distâncias NTS'!$S$2:$AC$18,7,0)</f>
        <v>367.37900000000002</v>
      </c>
      <c r="H81" s="318">
        <f>VLOOKUP($B81,'Matriz Distâncias NTS'!$S$2:$AC$18,9,0)</f>
        <v>106.163</v>
      </c>
      <c r="I81" s="318">
        <f>VLOOKUP($B81,'Matriz Distâncias NTS'!$S$2:$AC$18,10,0)</f>
        <v>545.37699999999995</v>
      </c>
      <c r="J81" s="318">
        <f>VLOOKUP($B81,'Matriz Distâncias NTS'!$S$2:$AC$18,5,0)</f>
        <v>0</v>
      </c>
      <c r="K81" s="318">
        <f>VLOOKUP($B81,'Matriz Distâncias NTS'!$S$2:$AC$18,8,0)</f>
        <v>266.68299999999999</v>
      </c>
      <c r="L81" s="318">
        <f>VLOOKUP($B81,'Matriz Distâncias NTS'!$S$2:$AC$18,11,0)</f>
        <v>545.37699999999995</v>
      </c>
    </row>
    <row r="82" spans="1:12" x14ac:dyDescent="0.3">
      <c r="A82" s="2" t="s">
        <v>55</v>
      </c>
      <c r="B82" s="44" t="str">
        <f t="shared" si="0"/>
        <v>PE-REPLAN (INTERCONEXÃO)</v>
      </c>
      <c r="C82" s="318">
        <f>VLOOKUP($B82,'Matriz Distâncias NTS'!$S$2:$AC$18,2,0)</f>
        <v>300.863</v>
      </c>
      <c r="D82" s="318">
        <f>VLOOKUP($B82,'Matriz Distâncias NTS'!$S$2:$AC$18,3,0)</f>
        <v>502.41399999999999</v>
      </c>
      <c r="E82" s="318">
        <f>VLOOKUP($B82,'Matriz Distâncias NTS'!$S$2:$AC$18,4,0)</f>
        <v>551.83600000000001</v>
      </c>
      <c r="F82" s="318">
        <f>VLOOKUP($B82,'Matriz Distâncias NTS'!$S$2:$AC$18,8,0)</f>
        <v>0</v>
      </c>
      <c r="G82" s="318">
        <f>VLOOKUP($B82,'Matriz Distâncias NTS'!$S$2:$AC$18,7,0)</f>
        <v>504.714</v>
      </c>
      <c r="H82" s="318">
        <f>VLOOKUP($B82,'Matriz Distâncias NTS'!$S$2:$AC$18,9,0)</f>
        <v>372.846</v>
      </c>
      <c r="I82" s="318">
        <f>VLOOKUP($B82,'Matriz Distâncias NTS'!$S$2:$AC$18,10,0)</f>
        <v>682.71199999999999</v>
      </c>
      <c r="J82" s="318">
        <f>VLOOKUP($B82,'Matriz Distâncias NTS'!$S$2:$AC$18,5,0)</f>
        <v>266.68299999999999</v>
      </c>
      <c r="K82" s="318">
        <f>VLOOKUP($B82,'Matriz Distâncias NTS'!$S$2:$AC$18,8,0)</f>
        <v>0</v>
      </c>
      <c r="L82" s="318">
        <f>VLOOKUP($B82,'Matriz Distâncias NTS'!$S$2:$AC$18,11,0)</f>
        <v>682.71199999999999</v>
      </c>
    </row>
    <row r="83" spans="1:12" x14ac:dyDescent="0.3">
      <c r="A83" s="2" t="s">
        <v>56</v>
      </c>
      <c r="B83" s="44" t="str">
        <f t="shared" si="0"/>
        <v>PE-TECAB (INTERCONEXÃO)</v>
      </c>
      <c r="C83" s="318">
        <f>VLOOKUP($B83,'Matriz Distâncias NTS'!$S$2:$AC$18,2,0)</f>
        <v>579.55700000000002</v>
      </c>
      <c r="D83" s="318">
        <f>VLOOKUP($B83,'Matriz Distâncias NTS'!$S$2:$AC$18,3,0)</f>
        <v>180.298</v>
      </c>
      <c r="E83" s="318">
        <f>VLOOKUP($B83,'Matriz Distâncias NTS'!$S$2:$AC$18,4,0)</f>
        <v>152.876</v>
      </c>
      <c r="F83" s="318">
        <f>VLOOKUP($B83,'Matriz Distâncias NTS'!$S$2:$AC$18,8,0)</f>
        <v>682.71199999999999</v>
      </c>
      <c r="G83" s="318">
        <f>VLOOKUP($B83,'Matriz Distâncias NTS'!$S$2:$AC$18,7,0)</f>
        <v>180.298</v>
      </c>
      <c r="H83" s="318">
        <f>VLOOKUP($B83,'Matriz Distâncias NTS'!$S$2:$AC$18,9,0)</f>
        <v>651.54</v>
      </c>
      <c r="I83" s="318">
        <f>VLOOKUP($B83,'Matriz Distâncias NTS'!$S$2:$AC$18,10,0)</f>
        <v>0</v>
      </c>
      <c r="J83" s="318">
        <f>VLOOKUP($B83,'Matriz Distâncias NTS'!$S$2:$AC$18,5,0)</f>
        <v>545.37699999999995</v>
      </c>
      <c r="K83" s="318">
        <f>VLOOKUP($B83,'Matriz Distâncias NTS'!$S$2:$AC$18,8,0)</f>
        <v>682.71199999999999</v>
      </c>
      <c r="L83" s="318">
        <f>VLOOKUP($B83,'Matriz Distâncias NTS'!$S$2:$AC$18,11,0)</f>
        <v>0</v>
      </c>
    </row>
    <row r="86" spans="1:12" s="98" customFormat="1" x14ac:dyDescent="0.3">
      <c r="A86" s="98" t="s">
        <v>144</v>
      </c>
      <c r="B86" s="98" t="s">
        <v>519</v>
      </c>
    </row>
    <row r="89" spans="1:12" x14ac:dyDescent="0.3">
      <c r="A89" t="s">
        <v>125</v>
      </c>
      <c r="B89" t="s">
        <v>126</v>
      </c>
    </row>
    <row r="90" spans="1:12" ht="15.6" x14ac:dyDescent="0.35">
      <c r="A90" t="s">
        <v>300</v>
      </c>
      <c r="B90" t="s">
        <v>145</v>
      </c>
    </row>
    <row r="91" spans="1:12" ht="15.6" x14ac:dyDescent="0.35">
      <c r="A91" t="s">
        <v>301</v>
      </c>
      <c r="B91" t="s">
        <v>146</v>
      </c>
    </row>
    <row r="93" spans="1:12" x14ac:dyDescent="0.3">
      <c r="A93" t="s">
        <v>147</v>
      </c>
    </row>
    <row r="94" spans="1:12" x14ac:dyDescent="0.3">
      <c r="A94" s="109"/>
      <c r="B94" s="109"/>
    </row>
    <row r="95" spans="1:12" x14ac:dyDescent="0.3">
      <c r="A95" s="109"/>
      <c r="B95" s="109"/>
    </row>
    <row r="96" spans="1:12" x14ac:dyDescent="0.3">
      <c r="A96" s="109"/>
      <c r="B96" s="109"/>
    </row>
    <row r="99" spans="1:27" ht="15.6" x14ac:dyDescent="0.35">
      <c r="A99" s="110" t="s">
        <v>302</v>
      </c>
      <c r="B99" s="111" t="s">
        <v>148</v>
      </c>
      <c r="D99" s="110" t="s">
        <v>303</v>
      </c>
      <c r="E99" s="111" t="s">
        <v>148</v>
      </c>
      <c r="G99" s="112" t="s">
        <v>302</v>
      </c>
      <c r="H99" s="95" t="s">
        <v>304</v>
      </c>
      <c r="I99" s="95" t="s">
        <v>305</v>
      </c>
      <c r="J99" s="95" t="s">
        <v>306</v>
      </c>
      <c r="K99" s="95" t="s">
        <v>307</v>
      </c>
      <c r="L99" s="95" t="s">
        <v>308</v>
      </c>
      <c r="M99" s="95" t="s">
        <v>309</v>
      </c>
      <c r="N99" s="95" t="s">
        <v>310</v>
      </c>
      <c r="O99" s="95" t="s">
        <v>311</v>
      </c>
      <c r="P99" s="95" t="s">
        <v>312</v>
      </c>
      <c r="Q99" s="95" t="s">
        <v>313</v>
      </c>
      <c r="R99" s="95"/>
      <c r="S99" s="95"/>
      <c r="T99" s="95"/>
      <c r="U99" s="95"/>
      <c r="V99" s="95"/>
      <c r="W99" s="95"/>
      <c r="X99" s="95"/>
      <c r="Y99" s="95"/>
      <c r="Z99" s="95"/>
      <c r="AA99" s="95"/>
    </row>
    <row r="100" spans="1:27" ht="15.6" x14ac:dyDescent="0.35">
      <c r="A100" t="s">
        <v>304</v>
      </c>
      <c r="B100" s="113">
        <f>H25/$H$35</f>
        <v>0.22855576870375441</v>
      </c>
      <c r="C100" s="9"/>
      <c r="D100" t="s">
        <v>314</v>
      </c>
      <c r="E100" s="113">
        <f>H42/$H$58</f>
        <v>1.1860101602188356E-2</v>
      </c>
      <c r="G100" s="112" t="s">
        <v>148</v>
      </c>
      <c r="H100" s="114">
        <f>H25/$H$35</f>
        <v>0.22855576870375441</v>
      </c>
      <c r="I100" s="114">
        <f>H26/$H$35</f>
        <v>0.3224090403494913</v>
      </c>
      <c r="J100" s="114">
        <f>$H27/$H$35</f>
        <v>0.20956587622716938</v>
      </c>
      <c r="K100" s="114">
        <f>$H28/$H$35</f>
        <v>0</v>
      </c>
      <c r="L100" s="114">
        <f>$H29/$H$35</f>
        <v>0</v>
      </c>
      <c r="M100" s="114">
        <f>$H30/$H$35</f>
        <v>0</v>
      </c>
      <c r="N100" s="114">
        <f>$H31/$H$35</f>
        <v>0.23946931471958474</v>
      </c>
      <c r="O100" s="114">
        <f>$H32/$H$35</f>
        <v>0</v>
      </c>
      <c r="P100" s="114">
        <f>$H33/$H$35</f>
        <v>0</v>
      </c>
      <c r="Q100" s="114">
        <f>$H34/$H$35</f>
        <v>0</v>
      </c>
      <c r="R100" s="114">
        <f>SUM(H100:Q100)</f>
        <v>0.99999999999999989</v>
      </c>
      <c r="S100" s="113"/>
      <c r="T100" s="113"/>
      <c r="U100" s="113"/>
      <c r="V100" s="113"/>
      <c r="W100" s="113"/>
    </row>
    <row r="101" spans="1:27" ht="15.6" x14ac:dyDescent="0.35">
      <c r="A101" t="s">
        <v>305</v>
      </c>
      <c r="B101" s="113">
        <f t="shared" ref="B101:B109" si="1">H26/$H$35</f>
        <v>0.3224090403494913</v>
      </c>
      <c r="C101" s="4"/>
      <c r="D101" t="s">
        <v>315</v>
      </c>
      <c r="E101" s="113">
        <f t="shared" ref="E101:E115" si="2">H43/$H$58</f>
        <v>3.2786244626807355E-2</v>
      </c>
      <c r="W101" s="116"/>
    </row>
    <row r="102" spans="1:27" ht="15.6" x14ac:dyDescent="0.35">
      <c r="A102" t="s">
        <v>306</v>
      </c>
      <c r="B102" s="113">
        <f t="shared" si="1"/>
        <v>0.20956587622716938</v>
      </c>
      <c r="C102" s="4"/>
      <c r="D102" t="s">
        <v>316</v>
      </c>
      <c r="E102" s="113">
        <f t="shared" si="2"/>
        <v>5.3477921062915199E-2</v>
      </c>
      <c r="G102" s="113"/>
    </row>
    <row r="103" spans="1:27" ht="15.6" x14ac:dyDescent="0.35">
      <c r="A103" t="s">
        <v>307</v>
      </c>
      <c r="B103" s="113">
        <f t="shared" si="1"/>
        <v>0</v>
      </c>
      <c r="C103" s="4"/>
      <c r="D103" t="s">
        <v>317</v>
      </c>
      <c r="E103" s="113">
        <f t="shared" si="2"/>
        <v>6.5455255959359143E-3</v>
      </c>
      <c r="G103" s="113"/>
      <c r="H103" s="115"/>
      <c r="I103" s="115"/>
    </row>
    <row r="104" spans="1:27" ht="15.6" x14ac:dyDescent="0.35">
      <c r="A104" t="s">
        <v>308</v>
      </c>
      <c r="B104" s="113">
        <f t="shared" si="1"/>
        <v>0</v>
      </c>
      <c r="C104" s="4"/>
      <c r="D104" t="s">
        <v>318</v>
      </c>
      <c r="E104" s="113">
        <f t="shared" si="2"/>
        <v>0.34765533411488864</v>
      </c>
      <c r="G104" s="113"/>
      <c r="H104" s="115"/>
      <c r="I104" s="115"/>
    </row>
    <row r="105" spans="1:27" ht="15.6" x14ac:dyDescent="0.35">
      <c r="A105" t="s">
        <v>309</v>
      </c>
      <c r="B105" s="113">
        <f t="shared" si="1"/>
        <v>0</v>
      </c>
      <c r="C105" s="4"/>
      <c r="D105" t="s">
        <v>319</v>
      </c>
      <c r="E105" s="113">
        <f t="shared" si="2"/>
        <v>0.16424384525205163</v>
      </c>
      <c r="G105" s="113"/>
      <c r="H105" s="115"/>
      <c r="I105" s="115"/>
    </row>
    <row r="106" spans="1:27" ht="15.6" x14ac:dyDescent="0.35">
      <c r="A106" t="s">
        <v>310</v>
      </c>
      <c r="B106" s="113">
        <f t="shared" si="1"/>
        <v>0.23946931471958474</v>
      </c>
      <c r="C106" s="4"/>
      <c r="D106" t="s">
        <v>320</v>
      </c>
      <c r="E106" s="113">
        <f t="shared" si="2"/>
        <v>3.3489644392340763E-2</v>
      </c>
      <c r="G106" s="113"/>
      <c r="H106" s="115"/>
      <c r="I106" s="115"/>
    </row>
    <row r="107" spans="1:27" ht="15.6" x14ac:dyDescent="0.35">
      <c r="A107" t="s">
        <v>311</v>
      </c>
      <c r="B107" s="113">
        <f t="shared" si="1"/>
        <v>0</v>
      </c>
      <c r="C107" s="4"/>
      <c r="D107" t="s">
        <v>321</v>
      </c>
      <c r="E107" s="113">
        <f t="shared" si="2"/>
        <v>6.311059007424776E-3</v>
      </c>
      <c r="G107" s="113"/>
      <c r="H107" s="115"/>
      <c r="I107" s="115"/>
    </row>
    <row r="108" spans="1:27" ht="15.6" x14ac:dyDescent="0.35">
      <c r="A108" t="s">
        <v>312</v>
      </c>
      <c r="B108" s="113">
        <f t="shared" si="1"/>
        <v>0</v>
      </c>
      <c r="C108" s="4"/>
      <c r="D108" t="s">
        <v>322</v>
      </c>
      <c r="E108" s="113">
        <f t="shared" si="2"/>
        <v>4.1578741695974988E-2</v>
      </c>
      <c r="G108" s="113"/>
      <c r="H108" s="115"/>
      <c r="I108" s="115"/>
    </row>
    <row r="109" spans="1:27" ht="15.6" x14ac:dyDescent="0.35">
      <c r="A109" t="s">
        <v>313</v>
      </c>
      <c r="B109" s="113">
        <f t="shared" si="1"/>
        <v>0</v>
      </c>
      <c r="D109" t="s">
        <v>323</v>
      </c>
      <c r="E109" s="113">
        <f t="shared" si="2"/>
        <v>2.4169597499023057E-2</v>
      </c>
      <c r="G109" s="113"/>
    </row>
    <row r="110" spans="1:27" ht="15.6" x14ac:dyDescent="0.35">
      <c r="B110" s="113">
        <f>SUM(B100:B109)</f>
        <v>0.99999999999999989</v>
      </c>
      <c r="D110" t="s">
        <v>324</v>
      </c>
      <c r="E110" s="113">
        <f t="shared" si="2"/>
        <v>5.8069558421258306E-2</v>
      </c>
      <c r="G110" s="113"/>
    </row>
    <row r="111" spans="1:27" ht="15.6" x14ac:dyDescent="0.35">
      <c r="B111" s="115"/>
      <c r="D111" t="s">
        <v>325</v>
      </c>
      <c r="E111" s="113">
        <f t="shared" si="2"/>
        <v>0.15570535365377103</v>
      </c>
      <c r="G111" s="113"/>
    </row>
    <row r="112" spans="1:27" ht="15.6" x14ac:dyDescent="0.35">
      <c r="B112" s="115"/>
      <c r="D112" t="s">
        <v>326</v>
      </c>
      <c r="E112" s="113">
        <f t="shared" si="2"/>
        <v>6.4107073075420087E-2</v>
      </c>
    </row>
    <row r="113" spans="1:5" ht="15.6" x14ac:dyDescent="0.35">
      <c r="B113" s="115"/>
      <c r="D113" t="s">
        <v>327</v>
      </c>
      <c r="E113" s="113">
        <f t="shared" si="2"/>
        <v>0</v>
      </c>
    </row>
    <row r="114" spans="1:5" ht="15.6" x14ac:dyDescent="0.35">
      <c r="B114" s="115"/>
      <c r="D114" t="s">
        <v>328</v>
      </c>
      <c r="E114" s="113">
        <f t="shared" si="2"/>
        <v>0</v>
      </c>
    </row>
    <row r="115" spans="1:5" ht="15.6" x14ac:dyDescent="0.35">
      <c r="B115" s="115"/>
      <c r="D115" t="s">
        <v>329</v>
      </c>
      <c r="E115" s="113">
        <f t="shared" si="2"/>
        <v>0</v>
      </c>
    </row>
    <row r="116" spans="1:5" x14ac:dyDescent="0.3">
      <c r="E116" s="113">
        <f>SUM(E100:E115)</f>
        <v>1.0000000000000002</v>
      </c>
    </row>
    <row r="118" spans="1:5" s="98" customFormat="1" x14ac:dyDescent="0.3">
      <c r="A118" s="98" t="s">
        <v>149</v>
      </c>
      <c r="B118" s="98" t="s">
        <v>522</v>
      </c>
    </row>
    <row r="120" spans="1:5" x14ac:dyDescent="0.3">
      <c r="A120" t="s">
        <v>125</v>
      </c>
      <c r="B120" t="s">
        <v>126</v>
      </c>
    </row>
    <row r="121" spans="1:5" ht="15.6" x14ac:dyDescent="0.35">
      <c r="A121" t="s">
        <v>330</v>
      </c>
      <c r="B121" t="s">
        <v>150</v>
      </c>
    </row>
    <row r="122" spans="1:5" ht="15.6" x14ac:dyDescent="0.35">
      <c r="A122" t="s">
        <v>331</v>
      </c>
      <c r="B122" t="s">
        <v>151</v>
      </c>
    </row>
    <row r="124" spans="1:5" x14ac:dyDescent="0.3">
      <c r="A124" t="s">
        <v>147</v>
      </c>
    </row>
    <row r="125" spans="1:5" x14ac:dyDescent="0.3">
      <c r="A125" s="109"/>
      <c r="B125" s="109"/>
    </row>
    <row r="126" spans="1:5" x14ac:dyDescent="0.3">
      <c r="A126" s="109"/>
      <c r="B126" s="109"/>
    </row>
    <row r="127" spans="1:5" x14ac:dyDescent="0.3">
      <c r="A127" s="109"/>
      <c r="B127" s="109"/>
    </row>
    <row r="128" spans="1:5" x14ac:dyDescent="0.3">
      <c r="A128" s="109"/>
      <c r="B128" s="109"/>
    </row>
    <row r="130" spans="1:5" ht="15.6" x14ac:dyDescent="0.3">
      <c r="A130" s="110" t="s">
        <v>332</v>
      </c>
      <c r="B130" s="111" t="s">
        <v>148</v>
      </c>
      <c r="D130" s="110" t="s">
        <v>333</v>
      </c>
      <c r="E130" s="111" t="s">
        <v>148</v>
      </c>
    </row>
    <row r="131" spans="1:5" ht="15.6" x14ac:dyDescent="0.35">
      <c r="A131" t="s">
        <v>334</v>
      </c>
      <c r="B131" s="113">
        <f ca="1">SUMPRODUCT($E$100:$E$115,C$68:C$83)</f>
        <v>357.06304582714608</v>
      </c>
      <c r="C131" s="117"/>
      <c r="D131" t="s">
        <v>335</v>
      </c>
      <c r="E131" s="4">
        <f ca="1">SUMPRODUCT($H$100:$Q$100,$C68:$L68)</f>
        <v>350.07408983927905</v>
      </c>
    </row>
    <row r="132" spans="1:5" ht="15.6" x14ac:dyDescent="0.35">
      <c r="A132" t="s">
        <v>336</v>
      </c>
      <c r="B132" s="113">
        <f ca="1">SUMPRODUCT($E$100:$E$115,D$68:D$83)</f>
        <v>203.52647278168561</v>
      </c>
      <c r="C132" s="117"/>
      <c r="D132" t="s">
        <v>337</v>
      </c>
      <c r="E132" s="4">
        <f t="shared" ref="E132:E146" ca="1" si="3">SUMPRODUCT($H$100:$Q$100,$C69:$L69)</f>
        <v>447.23808983927904</v>
      </c>
    </row>
    <row r="133" spans="1:5" ht="15.6" x14ac:dyDescent="0.35">
      <c r="A133" t="s">
        <v>338</v>
      </c>
      <c r="B133" s="113">
        <f ca="1">SUMPRODUCT($E$100:$E$115,E$68:E$83)</f>
        <v>237.87828895076203</v>
      </c>
      <c r="C133" s="117"/>
      <c r="D133" t="s">
        <v>339</v>
      </c>
      <c r="E133" s="4">
        <f t="shared" ca="1" si="3"/>
        <v>564.40328983927895</v>
      </c>
    </row>
    <row r="134" spans="1:5" ht="15.6" x14ac:dyDescent="0.35">
      <c r="A134" t="s">
        <v>340</v>
      </c>
      <c r="B134" s="113">
        <f ca="1">SUMPRODUCT($E$100:$E$115,F$68:F$83)</f>
        <v>472.78924469258828</v>
      </c>
      <c r="C134" s="117"/>
      <c r="D134" t="s">
        <v>341</v>
      </c>
      <c r="E134" s="4">
        <f t="shared" ca="1" si="3"/>
        <v>603.64735950220029</v>
      </c>
    </row>
    <row r="135" spans="1:5" ht="15.6" x14ac:dyDescent="0.35">
      <c r="A135" t="s">
        <v>342</v>
      </c>
      <c r="B135" s="113">
        <f ca="1">SUMPRODUCT($E$100:$E$115,G$68:G$83)</f>
        <v>190.83048821610004</v>
      </c>
      <c r="C135" s="117"/>
      <c r="D135" t="s">
        <v>343</v>
      </c>
      <c r="E135" s="4">
        <f t="shared" ca="1" si="3"/>
        <v>170.52431906673326</v>
      </c>
    </row>
    <row r="136" spans="1:5" ht="15.6" x14ac:dyDescent="0.35">
      <c r="A136" t="s">
        <v>344</v>
      </c>
      <c r="B136" s="113">
        <f ca="1">SUMPRODUCT($E$100:$E$115,H$68:H$83)</f>
        <v>378.29690127588907</v>
      </c>
      <c r="C136" s="117"/>
      <c r="D136" t="s">
        <v>345</v>
      </c>
      <c r="E136" s="4">
        <f t="shared" ca="1" si="3"/>
        <v>169.72974316895841</v>
      </c>
    </row>
    <row r="137" spans="1:5" ht="15.6" x14ac:dyDescent="0.35">
      <c r="A137" t="s">
        <v>346</v>
      </c>
      <c r="B137" s="113">
        <f ca="1">SUMPRODUCT($E$100:$E$115,I$68:I$83)</f>
        <v>338.96092212778433</v>
      </c>
      <c r="D137" t="s">
        <v>347</v>
      </c>
      <c r="E137" s="4">
        <f t="shared" ca="1" si="3"/>
        <v>195.38388386503956</v>
      </c>
    </row>
    <row r="138" spans="1:5" ht="15.6" x14ac:dyDescent="0.35">
      <c r="A138" t="s">
        <v>348</v>
      </c>
      <c r="B138" s="113">
        <f ca="1">SUMPRODUCT($E$100:$E$115,J$68:J$83)</f>
        <v>306.07333005275501</v>
      </c>
      <c r="D138" t="s">
        <v>349</v>
      </c>
      <c r="E138" s="4">
        <f t="shared" ca="1" si="3"/>
        <v>228.61028030241965</v>
      </c>
    </row>
    <row r="139" spans="1:5" ht="15.6" x14ac:dyDescent="0.35">
      <c r="A139" t="s">
        <v>350</v>
      </c>
      <c r="B139" s="113">
        <f ca="1">SUMPRODUCT($E$100:$E$115,K$68:K$83)</f>
        <v>472.78924469258828</v>
      </c>
      <c r="D139" t="s">
        <v>351</v>
      </c>
      <c r="E139" s="4">
        <f t="shared" ca="1" si="3"/>
        <v>172.7586665242693</v>
      </c>
    </row>
    <row r="140" spans="1:5" ht="15.6" x14ac:dyDescent="0.35">
      <c r="A140" t="s">
        <v>352</v>
      </c>
      <c r="B140" s="113">
        <f ca="1">SUMPRODUCT($E$100:$E$115,L$68:L$83)</f>
        <v>338.96092212778433</v>
      </c>
      <c r="D140" t="s">
        <v>353</v>
      </c>
      <c r="E140" s="4">
        <f t="shared" ca="1" si="3"/>
        <v>326.94245474451765</v>
      </c>
    </row>
    <row r="141" spans="1:5" ht="15.6" x14ac:dyDescent="0.35">
      <c r="B141" s="113"/>
      <c r="D141" t="s">
        <v>354</v>
      </c>
      <c r="E141" s="4">
        <f t="shared" ca="1" si="3"/>
        <v>317.22814763647307</v>
      </c>
    </row>
    <row r="142" spans="1:5" ht="15.6" x14ac:dyDescent="0.35">
      <c r="B142" s="113"/>
      <c r="D142" t="s">
        <v>355</v>
      </c>
      <c r="E142" s="4">
        <f t="shared" ca="1" si="3"/>
        <v>429.33842686312119</v>
      </c>
    </row>
    <row r="143" spans="1:5" ht="15.6" x14ac:dyDescent="0.35">
      <c r="B143" s="113"/>
      <c r="D143" t="s">
        <v>356</v>
      </c>
      <c r="E143" s="4">
        <f t="shared" ca="1" si="3"/>
        <v>464.79145651508065</v>
      </c>
    </row>
    <row r="144" spans="1:5" ht="15.6" x14ac:dyDescent="0.35">
      <c r="B144" s="113"/>
      <c r="D144" t="s">
        <v>357</v>
      </c>
      <c r="E144" s="4">
        <f t="shared" si="3"/>
        <v>359.45445651508061</v>
      </c>
    </row>
    <row r="145" spans="1:5" ht="15.6" x14ac:dyDescent="0.35">
      <c r="B145" s="113"/>
      <c r="D145" t="s">
        <v>358</v>
      </c>
      <c r="E145" s="4">
        <f t="shared" si="3"/>
        <v>509.88135950220033</v>
      </c>
    </row>
    <row r="146" spans="1:5" ht="15.6" x14ac:dyDescent="0.35">
      <c r="B146" s="113"/>
      <c r="D146" t="s">
        <v>359</v>
      </c>
      <c r="E146" s="4">
        <f t="shared" si="3"/>
        <v>222.62839369367913</v>
      </c>
    </row>
    <row r="148" spans="1:5" s="98" customFormat="1" x14ac:dyDescent="0.3">
      <c r="A148" s="98" t="s">
        <v>152</v>
      </c>
      <c r="B148" s="98" t="s">
        <v>517</v>
      </c>
    </row>
    <row r="150" spans="1:5" x14ac:dyDescent="0.3">
      <c r="A150" t="s">
        <v>125</v>
      </c>
      <c r="B150" t="s">
        <v>126</v>
      </c>
    </row>
    <row r="151" spans="1:5" ht="15.6" x14ac:dyDescent="0.35">
      <c r="A151" t="s">
        <v>360</v>
      </c>
      <c r="B151" t="s">
        <v>153</v>
      </c>
    </row>
    <row r="152" spans="1:5" ht="15.6" x14ac:dyDescent="0.35">
      <c r="A152" t="s">
        <v>361</v>
      </c>
      <c r="B152" t="s">
        <v>154</v>
      </c>
    </row>
    <row r="154" spans="1:5" x14ac:dyDescent="0.3">
      <c r="A154" t="s">
        <v>147</v>
      </c>
    </row>
    <row r="155" spans="1:5" x14ac:dyDescent="0.3">
      <c r="A155" s="109"/>
      <c r="B155" s="109"/>
    </row>
    <row r="156" spans="1:5" x14ac:dyDescent="0.3">
      <c r="A156" s="109"/>
      <c r="B156" s="109"/>
    </row>
    <row r="157" spans="1:5" x14ac:dyDescent="0.3">
      <c r="A157" s="109"/>
      <c r="B157" s="109"/>
    </row>
    <row r="158" spans="1:5" x14ac:dyDescent="0.3">
      <c r="A158" s="109"/>
      <c r="B158" s="109"/>
    </row>
    <row r="159" spans="1:5" x14ac:dyDescent="0.3">
      <c r="A159" s="109"/>
      <c r="B159" s="109"/>
    </row>
    <row r="160" spans="1:5" x14ac:dyDescent="0.3">
      <c r="A160" s="109"/>
      <c r="B160" s="109"/>
    </row>
    <row r="162" spans="1:9" ht="15.6" x14ac:dyDescent="0.3">
      <c r="A162" s="110" t="s">
        <v>362</v>
      </c>
      <c r="B162" s="111" t="s">
        <v>148</v>
      </c>
      <c r="D162" s="110" t="s">
        <v>363</v>
      </c>
      <c r="E162" s="111" t="s">
        <v>148</v>
      </c>
    </row>
    <row r="163" spans="1:9" ht="15.6" x14ac:dyDescent="0.35">
      <c r="A163" t="s">
        <v>364</v>
      </c>
      <c r="B163" s="118">
        <f ca="1">($H25*$B131)/SUMPRODUCT($H$25:$H$34,$B$131:$B$140)</f>
        <v>0.29329367098637016</v>
      </c>
      <c r="C163" s="36"/>
      <c r="D163" t="s">
        <v>365</v>
      </c>
      <c r="E163" s="118">
        <f t="shared" ref="E163:E178" ca="1" si="4">($H42*$E131)/SUMPRODUCT($H$42:$H$57,$E$131:$E$146)</f>
        <v>1.492155131239231E-2</v>
      </c>
    </row>
    <row r="164" spans="1:9" ht="15.6" x14ac:dyDescent="0.35">
      <c r="A164" t="s">
        <v>366</v>
      </c>
      <c r="B164" s="118">
        <f t="shared" ref="B164:B172" ca="1" si="5">($H26*$B132)/SUMPRODUCT($H$25:$H$34,$B$131:$B$140)</f>
        <v>0.23582710294549775</v>
      </c>
      <c r="C164" s="4"/>
      <c r="D164" t="s">
        <v>367</v>
      </c>
      <c r="E164" s="118">
        <f t="shared" ca="1" si="4"/>
        <v>5.2698233530292141E-2</v>
      </c>
    </row>
    <row r="165" spans="1:9" ht="15.6" x14ac:dyDescent="0.35">
      <c r="A165" t="s">
        <v>368</v>
      </c>
      <c r="B165" s="118">
        <f t="shared" ca="1" si="5"/>
        <v>0.17915996641916868</v>
      </c>
      <c r="C165" s="4"/>
      <c r="D165" t="s">
        <v>369</v>
      </c>
      <c r="E165" s="118">
        <f t="shared" ca="1" si="4"/>
        <v>0.10847499810910813</v>
      </c>
      <c r="H165" s="119"/>
      <c r="I165" s="119"/>
    </row>
    <row r="166" spans="1:9" ht="15.6" x14ac:dyDescent="0.35">
      <c r="A166" t="s">
        <v>370</v>
      </c>
      <c r="B166" s="118">
        <f t="shared" ca="1" si="5"/>
        <v>0</v>
      </c>
      <c r="C166" s="4"/>
      <c r="D166" t="s">
        <v>371</v>
      </c>
      <c r="E166" s="118">
        <f t="shared" ca="1" si="4"/>
        <v>1.4200166270235183E-2</v>
      </c>
    </row>
    <row r="167" spans="1:9" ht="15.6" x14ac:dyDescent="0.35">
      <c r="A167" t="s">
        <v>372</v>
      </c>
      <c r="B167" s="118">
        <f t="shared" ca="1" si="5"/>
        <v>0</v>
      </c>
      <c r="C167" s="4"/>
      <c r="D167" t="s">
        <v>373</v>
      </c>
      <c r="E167" s="118">
        <f t="shared" ca="1" si="4"/>
        <v>0.2130594590487378</v>
      </c>
    </row>
    <row r="168" spans="1:9" ht="15.6" x14ac:dyDescent="0.35">
      <c r="A168" t="s">
        <v>374</v>
      </c>
      <c r="B168" s="118">
        <f t="shared" ca="1" si="5"/>
        <v>0</v>
      </c>
      <c r="C168" s="4"/>
      <c r="D168" t="s">
        <v>375</v>
      </c>
      <c r="E168" s="118">
        <f t="shared" ca="1" si="4"/>
        <v>0.10018729637207513</v>
      </c>
    </row>
    <row r="169" spans="1:9" ht="15.6" x14ac:dyDescent="0.35">
      <c r="A169" t="s">
        <v>376</v>
      </c>
      <c r="B169" s="118">
        <f t="shared" ca="1" si="5"/>
        <v>0.29171925964896328</v>
      </c>
      <c r="C169" s="4"/>
      <c r="D169" t="s">
        <v>377</v>
      </c>
      <c r="E169" s="118">
        <f t="shared" ca="1" si="4"/>
        <v>2.3516076979752287E-2</v>
      </c>
    </row>
    <row r="170" spans="1:9" ht="15.6" x14ac:dyDescent="0.35">
      <c r="A170" t="s">
        <v>378</v>
      </c>
      <c r="B170" s="118">
        <f t="shared" ca="1" si="5"/>
        <v>0</v>
      </c>
      <c r="C170" s="4"/>
      <c r="D170" t="s">
        <v>379</v>
      </c>
      <c r="E170" s="118">
        <f t="shared" ca="1" si="4"/>
        <v>5.1851771170696344E-3</v>
      </c>
    </row>
    <row r="171" spans="1:9" ht="15.6" x14ac:dyDescent="0.35">
      <c r="A171" t="s">
        <v>380</v>
      </c>
      <c r="B171" s="118">
        <f t="shared" ca="1" si="5"/>
        <v>0</v>
      </c>
      <c r="D171" t="s">
        <v>381</v>
      </c>
      <c r="E171" s="118">
        <f t="shared" ca="1" si="4"/>
        <v>2.5815276683259426E-2</v>
      </c>
    </row>
    <row r="172" spans="1:9" ht="15.6" x14ac:dyDescent="0.35">
      <c r="A172" t="s">
        <v>382</v>
      </c>
      <c r="B172" s="118">
        <f t="shared" ca="1" si="5"/>
        <v>0</v>
      </c>
      <c r="D172" t="s">
        <v>383</v>
      </c>
      <c r="E172" s="118">
        <f t="shared" ca="1" si="4"/>
        <v>2.8399215023429455E-2</v>
      </c>
    </row>
    <row r="173" spans="1:9" ht="15.6" x14ac:dyDescent="0.35">
      <c r="B173" s="237">
        <f ca="1">SUM(B163:B172)</f>
        <v>0.99999999999999989</v>
      </c>
      <c r="D173" t="s">
        <v>384</v>
      </c>
      <c r="E173" s="118">
        <f t="shared" ca="1" si="4"/>
        <v>6.620424507038708E-2</v>
      </c>
    </row>
    <row r="174" spans="1:9" ht="15.6" x14ac:dyDescent="0.35">
      <c r="B174" s="118"/>
      <c r="D174" t="s">
        <v>385</v>
      </c>
      <c r="E174" s="118">
        <f t="shared" ca="1" si="4"/>
        <v>0.24025304725923827</v>
      </c>
    </row>
    <row r="175" spans="1:9" ht="15.6" x14ac:dyDescent="0.35">
      <c r="B175" s="118"/>
      <c r="D175" t="s">
        <v>386</v>
      </c>
      <c r="E175" s="118">
        <f t="shared" ca="1" si="4"/>
        <v>0.10708525722402315</v>
      </c>
    </row>
    <row r="176" spans="1:9" ht="15.6" x14ac:dyDescent="0.35">
      <c r="B176" s="118"/>
      <c r="D176" t="s">
        <v>387</v>
      </c>
      <c r="E176" s="118">
        <f t="shared" ca="1" si="4"/>
        <v>0</v>
      </c>
    </row>
    <row r="177" spans="1:5" ht="15.6" x14ac:dyDescent="0.35">
      <c r="B177" s="118"/>
      <c r="D177" t="s">
        <v>388</v>
      </c>
      <c r="E177" s="118">
        <f t="shared" ca="1" si="4"/>
        <v>0</v>
      </c>
    </row>
    <row r="178" spans="1:5" ht="15.6" x14ac:dyDescent="0.35">
      <c r="B178" s="118"/>
      <c r="D178" t="s">
        <v>389</v>
      </c>
      <c r="E178" s="118">
        <f t="shared" ca="1" si="4"/>
        <v>0</v>
      </c>
    </row>
    <row r="179" spans="1:5" x14ac:dyDescent="0.3">
      <c r="E179" s="237">
        <f ca="1">SUM(E163:E178)</f>
        <v>1.0000000000000002</v>
      </c>
    </row>
    <row r="181" spans="1:5" s="98" customFormat="1" x14ac:dyDescent="0.3">
      <c r="A181" s="98" t="s">
        <v>155</v>
      </c>
      <c r="B181" s="98" t="s">
        <v>156</v>
      </c>
    </row>
    <row r="183" spans="1:5" x14ac:dyDescent="0.3">
      <c r="A183" t="s">
        <v>125</v>
      </c>
      <c r="B183" t="s">
        <v>126</v>
      </c>
    </row>
    <row r="184" spans="1:5" ht="15.6" x14ac:dyDescent="0.35">
      <c r="A184" t="s">
        <v>390</v>
      </c>
      <c r="B184" t="s">
        <v>157</v>
      </c>
    </row>
    <row r="185" spans="1:5" ht="15.6" x14ac:dyDescent="0.35">
      <c r="A185" t="s">
        <v>391</v>
      </c>
      <c r="B185" t="s">
        <v>158</v>
      </c>
    </row>
    <row r="187" spans="1:5" x14ac:dyDescent="0.3">
      <c r="A187" t="s">
        <v>147</v>
      </c>
    </row>
    <row r="188" spans="1:5" x14ac:dyDescent="0.3">
      <c r="A188" s="109"/>
      <c r="B188" s="109"/>
    </row>
    <row r="189" spans="1:5" x14ac:dyDescent="0.3">
      <c r="A189" s="109"/>
      <c r="B189" s="109"/>
    </row>
    <row r="190" spans="1:5" x14ac:dyDescent="0.3">
      <c r="A190" s="109"/>
      <c r="B190" s="109"/>
    </row>
    <row r="191" spans="1:5" x14ac:dyDescent="0.3">
      <c r="A191" s="109"/>
      <c r="B191" s="109"/>
    </row>
    <row r="193" spans="1:5" ht="15.6" x14ac:dyDescent="0.3">
      <c r="A193" s="110" t="s">
        <v>362</v>
      </c>
      <c r="B193" s="111" t="s">
        <v>148</v>
      </c>
      <c r="D193" s="110" t="s">
        <v>363</v>
      </c>
      <c r="E193" s="111" t="s">
        <v>148</v>
      </c>
    </row>
    <row r="194" spans="1:5" ht="15.6" x14ac:dyDescent="0.35">
      <c r="A194" t="s">
        <v>392</v>
      </c>
      <c r="B194" s="7">
        <f t="shared" ref="B194:B203" ca="1" si="6">$B163*$D$6</f>
        <v>937.69251916288806</v>
      </c>
      <c r="C194" s="47"/>
      <c r="D194" t="s">
        <v>393</v>
      </c>
      <c r="E194" s="6">
        <f t="shared" ref="E194:E209" ca="1" si="7">$E163*$D$9</f>
        <v>20.364876845248013</v>
      </c>
    </row>
    <row r="195" spans="1:5" ht="15.6" x14ac:dyDescent="0.35">
      <c r="A195" t="s">
        <v>394</v>
      </c>
      <c r="B195" s="7">
        <f t="shared" ca="1" si="6"/>
        <v>753.96550325876603</v>
      </c>
      <c r="D195" t="s">
        <v>395</v>
      </c>
      <c r="E195" s="6">
        <f t="shared" ca="1" si="7"/>
        <v>71.922349984832664</v>
      </c>
    </row>
    <row r="196" spans="1:5" ht="15.6" x14ac:dyDescent="0.35">
      <c r="A196" t="s">
        <v>396</v>
      </c>
      <c r="B196" s="7">
        <f t="shared" ca="1" si="6"/>
        <v>572.79435890908064</v>
      </c>
      <c r="D196" t="s">
        <v>397</v>
      </c>
      <c r="E196" s="6">
        <f t="shared" ca="1" si="7"/>
        <v>148.04626751146597</v>
      </c>
    </row>
    <row r="197" spans="1:5" ht="15.6" x14ac:dyDescent="0.35">
      <c r="A197" t="s">
        <v>398</v>
      </c>
      <c r="B197" s="7">
        <f t="shared" ca="1" si="6"/>
        <v>0</v>
      </c>
      <c r="D197" t="s">
        <v>399</v>
      </c>
      <c r="E197" s="6">
        <f t="shared" ca="1" si="7"/>
        <v>19.380333265698535</v>
      </c>
    </row>
    <row r="198" spans="1:5" ht="15.6" x14ac:dyDescent="0.35">
      <c r="A198" t="s">
        <v>400</v>
      </c>
      <c r="B198" s="7">
        <f t="shared" ca="1" si="6"/>
        <v>0</v>
      </c>
      <c r="D198" t="s">
        <v>401</v>
      </c>
      <c r="E198" s="6">
        <f t="shared" ca="1" si="7"/>
        <v>290.78274459568001</v>
      </c>
    </row>
    <row r="199" spans="1:5" ht="15.6" x14ac:dyDescent="0.35">
      <c r="A199" t="s">
        <v>402</v>
      </c>
      <c r="B199" s="7">
        <f t="shared" ca="1" si="6"/>
        <v>0</v>
      </c>
      <c r="D199" t="s">
        <v>403</v>
      </c>
      <c r="E199" s="6">
        <f t="shared" ca="1" si="7"/>
        <v>136.73524349852335</v>
      </c>
    </row>
    <row r="200" spans="1:5" ht="15.6" x14ac:dyDescent="0.35">
      <c r="A200" t="s">
        <v>404</v>
      </c>
      <c r="B200" s="7">
        <f t="shared" ca="1" si="6"/>
        <v>932.65895083457497</v>
      </c>
      <c r="D200" t="s">
        <v>405</v>
      </c>
      <c r="E200" s="6">
        <f t="shared" ca="1" si="7"/>
        <v>32.094652998867502</v>
      </c>
    </row>
    <row r="201" spans="1:5" ht="15.6" x14ac:dyDescent="0.35">
      <c r="A201" t="s">
        <v>406</v>
      </c>
      <c r="B201" s="7">
        <f t="shared" ca="1" si="6"/>
        <v>0</v>
      </c>
      <c r="D201" t="s">
        <v>407</v>
      </c>
      <c r="E201" s="6">
        <f t="shared" ca="1" si="7"/>
        <v>7.0767101355087956</v>
      </c>
    </row>
    <row r="202" spans="1:5" ht="15.6" x14ac:dyDescent="0.35">
      <c r="A202" t="s">
        <v>408</v>
      </c>
      <c r="B202" s="7">
        <f t="shared" ca="1" si="6"/>
        <v>0</v>
      </c>
      <c r="D202" t="s">
        <v>409</v>
      </c>
      <c r="E202" s="6">
        <f t="shared" ca="1" si="7"/>
        <v>35.23259206594475</v>
      </c>
    </row>
    <row r="203" spans="1:5" ht="15.6" x14ac:dyDescent="0.35">
      <c r="A203" t="s">
        <v>410</v>
      </c>
      <c r="B203" s="7">
        <f t="shared" ca="1" si="6"/>
        <v>0</v>
      </c>
      <c r="D203" t="s">
        <v>411</v>
      </c>
      <c r="E203" s="6">
        <f t="shared" ca="1" si="7"/>
        <v>38.759141348362533</v>
      </c>
    </row>
    <row r="204" spans="1:5" ht="15.6" x14ac:dyDescent="0.35">
      <c r="B204" s="7">
        <f ca="1">SUM(B194:B203)</f>
        <v>3197.1113321653097</v>
      </c>
      <c r="D204" t="s">
        <v>412</v>
      </c>
      <c r="E204" s="6">
        <f t="shared" ca="1" si="7"/>
        <v>90.355303497923813</v>
      </c>
    </row>
    <row r="205" spans="1:5" ht="15.6" x14ac:dyDescent="0.35">
      <c r="B205" s="7"/>
      <c r="D205" t="s">
        <v>413</v>
      </c>
      <c r="E205" s="6">
        <f t="shared" ca="1" si="7"/>
        <v>327.89645102560769</v>
      </c>
    </row>
    <row r="206" spans="1:5" ht="15.6" x14ac:dyDescent="0.35">
      <c r="B206" s="7"/>
      <c r="D206" t="s">
        <v>414</v>
      </c>
      <c r="E206" s="6">
        <f t="shared" ca="1" si="7"/>
        <v>146.14955440308717</v>
      </c>
    </row>
    <row r="207" spans="1:5" ht="15.6" x14ac:dyDescent="0.35">
      <c r="B207" s="7"/>
      <c r="D207" t="s">
        <v>415</v>
      </c>
      <c r="E207" s="6">
        <f t="shared" ca="1" si="7"/>
        <v>0</v>
      </c>
    </row>
    <row r="208" spans="1:5" ht="15.6" x14ac:dyDescent="0.35">
      <c r="B208" s="7"/>
      <c r="D208" t="s">
        <v>416</v>
      </c>
      <c r="E208" s="6">
        <f t="shared" ca="1" si="7"/>
        <v>0</v>
      </c>
    </row>
    <row r="209" spans="1:5" ht="15.6" x14ac:dyDescent="0.35">
      <c r="B209" s="7"/>
      <c r="D209" t="s">
        <v>417</v>
      </c>
      <c r="E209" s="6">
        <f t="shared" ca="1" si="7"/>
        <v>0</v>
      </c>
    </row>
    <row r="210" spans="1:5" x14ac:dyDescent="0.3">
      <c r="B210" s="7"/>
      <c r="E210" s="6">
        <f ca="1">SUM(E194:E209)</f>
        <v>1364.7962211767508</v>
      </c>
    </row>
    <row r="211" spans="1:5" x14ac:dyDescent="0.3">
      <c r="B211" s="119"/>
      <c r="E211" s="120"/>
    </row>
    <row r="212" spans="1:5" s="98" customFormat="1" x14ac:dyDescent="0.3">
      <c r="A212" s="98" t="s">
        <v>159</v>
      </c>
      <c r="B212" s="98" t="s">
        <v>160</v>
      </c>
    </row>
    <row r="214" spans="1:5" x14ac:dyDescent="0.3">
      <c r="A214" t="s">
        <v>125</v>
      </c>
      <c r="B214" t="s">
        <v>126</v>
      </c>
    </row>
    <row r="215" spans="1:5" ht="15.6" x14ac:dyDescent="0.35">
      <c r="A215" t="s">
        <v>418</v>
      </c>
      <c r="B215" t="s">
        <v>161</v>
      </c>
    </row>
    <row r="216" spans="1:5" ht="15.6" x14ac:dyDescent="0.35">
      <c r="A216" t="s">
        <v>419</v>
      </c>
      <c r="B216" t="s">
        <v>162</v>
      </c>
    </row>
    <row r="218" spans="1:5" x14ac:dyDescent="0.3">
      <c r="A218" t="s">
        <v>147</v>
      </c>
    </row>
    <row r="219" spans="1:5" x14ac:dyDescent="0.3">
      <c r="A219" s="109"/>
      <c r="B219" s="109"/>
    </row>
    <row r="220" spans="1:5" x14ac:dyDescent="0.3">
      <c r="A220" s="109"/>
      <c r="B220" s="109"/>
    </row>
    <row r="221" spans="1:5" x14ac:dyDescent="0.3">
      <c r="A221" s="109"/>
      <c r="B221" s="109"/>
    </row>
    <row r="222" spans="1:5" x14ac:dyDescent="0.3">
      <c r="A222" s="109"/>
      <c r="B222" s="109"/>
    </row>
    <row r="223" spans="1:5" x14ac:dyDescent="0.3">
      <c r="A223" s="109"/>
      <c r="B223" s="109"/>
    </row>
    <row r="224" spans="1:5" x14ac:dyDescent="0.3">
      <c r="A224" s="109"/>
      <c r="B224" s="109"/>
    </row>
    <row r="226" spans="1:21" ht="15.6" x14ac:dyDescent="0.3">
      <c r="A226" s="111" t="s">
        <v>420</v>
      </c>
      <c r="B226" s="111" t="s">
        <v>163</v>
      </c>
      <c r="C226" s="111" t="s">
        <v>421</v>
      </c>
      <c r="E226" s="121"/>
      <c r="F226" s="121"/>
      <c r="G226" s="122"/>
      <c r="H226" s="110" t="s">
        <v>422</v>
      </c>
      <c r="I226" s="111" t="s">
        <v>164</v>
      </c>
      <c r="J226" s="111" t="s">
        <v>423</v>
      </c>
      <c r="Q226" s="123"/>
      <c r="R226" s="122"/>
      <c r="S226" s="121"/>
      <c r="T226" s="121"/>
      <c r="U226" s="121"/>
    </row>
    <row r="227" spans="1:21" ht="15.6" x14ac:dyDescent="0.3">
      <c r="A227" s="49" t="s">
        <v>424</v>
      </c>
      <c r="B227" s="49" t="str">
        <f>B25</f>
        <v>PR-CARAGUATATUBA</v>
      </c>
      <c r="C227" s="12">
        <f ca="1">IFERROR($B194/$H25*1000000," ")</f>
        <v>7.2367770494312502</v>
      </c>
      <c r="D227" s="124"/>
      <c r="E227" s="8"/>
      <c r="F227" s="8"/>
      <c r="G227" s="125"/>
      <c r="H227" s="49" t="s">
        <v>425</v>
      </c>
      <c r="I227" s="49" t="str">
        <f t="shared" ref="I227:I242" si="8">B42</f>
        <v>NTS MG 1</v>
      </c>
      <c r="J227" s="12">
        <f ca="1">IFERROR($E194/$H42*1000000," ")</f>
        <v>3.6710712268292336</v>
      </c>
      <c r="L227" s="21"/>
      <c r="M227" s="126"/>
      <c r="Q227" s="8"/>
      <c r="R227" s="127"/>
      <c r="S227" s="128"/>
      <c r="T227" s="128"/>
      <c r="U227" s="128"/>
    </row>
    <row r="228" spans="1:21" ht="15.6" x14ac:dyDescent="0.3">
      <c r="A228" s="49" t="s">
        <v>426</v>
      </c>
      <c r="B228" s="49" t="str">
        <f t="shared" ref="B228:B236" si="9">B26</f>
        <v>PR-GNLBGB</v>
      </c>
      <c r="C228" s="12">
        <f t="shared" ref="C228:C236" ca="1" si="10">IFERROR($B195/$H26*1000000," ")</f>
        <v>4.1249737949393239</v>
      </c>
      <c r="D228" s="124"/>
      <c r="E228" s="8"/>
      <c r="F228" s="8"/>
      <c r="G228" s="125"/>
      <c r="H228" s="49" t="s">
        <v>427</v>
      </c>
      <c r="I228" s="49" t="str">
        <f t="shared" si="8"/>
        <v>NTS MG 2</v>
      </c>
      <c r="J228" s="12">
        <f t="shared" ref="J228:J242" ca="1" si="11">IFERROR($E195/$H43*1000000," ")</f>
        <v>4.6899868650799732</v>
      </c>
      <c r="L228" s="21"/>
      <c r="M228" s="126"/>
      <c r="Q228" s="8"/>
      <c r="R228" s="127"/>
      <c r="S228" s="128"/>
      <c r="T228" s="128"/>
      <c r="U228" s="128"/>
    </row>
    <row r="229" spans="1:21" ht="15.6" x14ac:dyDescent="0.3">
      <c r="A229" s="49" t="s">
        <v>428</v>
      </c>
      <c r="B229" s="49" t="str">
        <f t="shared" si="9"/>
        <v>PR-ITABORAÍ</v>
      </c>
      <c r="C229" s="12">
        <f t="shared" ca="1" si="10"/>
        <v>4.8211993992517872</v>
      </c>
      <c r="D229" s="124"/>
      <c r="E229" s="8"/>
      <c r="F229" s="8"/>
      <c r="G229" s="125"/>
      <c r="H229" s="49" t="s">
        <v>429</v>
      </c>
      <c r="I229" s="49" t="str">
        <f t="shared" si="8"/>
        <v>NTS MG 3</v>
      </c>
      <c r="J229" s="12">
        <f t="shared" ca="1" si="11"/>
        <v>5.9186461888910085</v>
      </c>
      <c r="L229" s="21"/>
      <c r="M229" s="126"/>
      <c r="Q229" s="8"/>
      <c r="R229" s="127"/>
      <c r="S229" s="128"/>
      <c r="T229" s="128"/>
      <c r="U229" s="128"/>
    </row>
    <row r="230" spans="1:21" ht="15.6" x14ac:dyDescent="0.3">
      <c r="A230" s="49" t="s">
        <v>430</v>
      </c>
      <c r="B230" s="49" t="str">
        <f t="shared" si="9"/>
        <v>PR-GASPAJ (INTERCONEXÃO)</v>
      </c>
      <c r="C230" s="12" t="str">
        <f t="shared" ca="1" si="10"/>
        <v xml:space="preserve"> </v>
      </c>
      <c r="D230" s="124"/>
      <c r="E230" s="8"/>
      <c r="F230" s="8"/>
      <c r="G230" s="125"/>
      <c r="H230" s="49" t="s">
        <v>431</v>
      </c>
      <c r="I230" s="49" t="str">
        <f t="shared" si="8"/>
        <v>NTS MG 4</v>
      </c>
      <c r="J230" s="12">
        <f t="shared" ca="1" si="11"/>
        <v>6.3301812871594194</v>
      </c>
      <c r="L230" s="21"/>
      <c r="M230" s="126"/>
      <c r="Q230" s="8"/>
      <c r="R230" s="127"/>
      <c r="S230" s="128"/>
      <c r="T230" s="128"/>
      <c r="U230" s="128"/>
    </row>
    <row r="231" spans="1:21" ht="15.6" x14ac:dyDescent="0.3">
      <c r="A231" s="49" t="s">
        <v>432</v>
      </c>
      <c r="B231" s="49" t="str">
        <f t="shared" si="9"/>
        <v>PR-REDUC</v>
      </c>
      <c r="C231" s="12" t="str">
        <f t="shared" ca="1" si="10"/>
        <v xml:space="preserve"> </v>
      </c>
      <c r="D231" s="124"/>
      <c r="E231" s="8"/>
      <c r="F231" s="8"/>
      <c r="G231" s="125"/>
      <c r="H231" s="49" t="s">
        <v>433</v>
      </c>
      <c r="I231" s="49" t="str">
        <f t="shared" si="8"/>
        <v>NTS RJ 1</v>
      </c>
      <c r="J231" s="12">
        <f t="shared" ca="1" si="11"/>
        <v>1.7882126651759211</v>
      </c>
      <c r="L231" s="21"/>
      <c r="M231" s="126"/>
      <c r="Q231" s="8"/>
      <c r="R231" s="127"/>
      <c r="S231" s="128"/>
      <c r="T231" s="128"/>
      <c r="U231" s="128"/>
    </row>
    <row r="232" spans="1:21" ht="15.6" x14ac:dyDescent="0.3">
      <c r="A232" s="49" t="s">
        <v>434</v>
      </c>
      <c r="B232" s="49" t="str">
        <f t="shared" si="9"/>
        <v>PR-RPBC</v>
      </c>
      <c r="C232" s="12" t="str">
        <f t="shared" ca="1" si="10"/>
        <v xml:space="preserve"> </v>
      </c>
      <c r="D232" s="124"/>
      <c r="E232" s="8"/>
      <c r="F232" s="8"/>
      <c r="G232" s="125"/>
      <c r="H232" s="49" t="s">
        <v>435</v>
      </c>
      <c r="I232" s="49" t="str">
        <f t="shared" si="8"/>
        <v>NTS RJ 2</v>
      </c>
      <c r="J232" s="12">
        <f t="shared" ca="1" si="11"/>
        <v>1.7798803012549227</v>
      </c>
      <c r="L232" s="21"/>
      <c r="M232" s="126"/>
      <c r="Q232" s="8"/>
      <c r="R232" s="127"/>
      <c r="S232" s="128"/>
      <c r="T232" s="128"/>
      <c r="U232" s="128"/>
    </row>
    <row r="233" spans="1:21" ht="15.6" x14ac:dyDescent="0.3">
      <c r="A233" s="49" t="s">
        <v>436</v>
      </c>
      <c r="B233" s="49" t="str">
        <f t="shared" si="9"/>
        <v>PR-TECAB</v>
      </c>
      <c r="C233" s="12">
        <f t="shared" ca="1" si="10"/>
        <v>6.8698921677150828</v>
      </c>
      <c r="D233" s="124"/>
      <c r="E233" s="8"/>
      <c r="F233" s="8"/>
      <c r="G233" s="125"/>
      <c r="H233" s="49" t="s">
        <v>437</v>
      </c>
      <c r="I233" s="49" t="str">
        <f t="shared" si="8"/>
        <v>NTS RJ 3</v>
      </c>
      <c r="J233" s="12">
        <f t="shared" ca="1" si="11"/>
        <v>2.0489038608152721</v>
      </c>
      <c r="L233" s="21"/>
      <c r="M233" s="126"/>
      <c r="Q233" s="8"/>
      <c r="R233" s="127"/>
      <c r="S233" s="128"/>
      <c r="T233" s="128"/>
      <c r="U233" s="128"/>
    </row>
    <row r="234" spans="1:21" ht="15.6" x14ac:dyDescent="0.3">
      <c r="A234" s="49" t="s">
        <v>438</v>
      </c>
      <c r="B234" s="49" t="str">
        <f t="shared" si="9"/>
        <v>PR-GUARAREMA (INTERCONEXÃO)</v>
      </c>
      <c r="C234" s="12" t="str">
        <f t="shared" ca="1" si="10"/>
        <v xml:space="preserve"> </v>
      </c>
      <c r="D234" s="124"/>
      <c r="E234" s="8"/>
      <c r="F234" s="8"/>
      <c r="G234" s="125"/>
      <c r="H234" s="49" t="s">
        <v>439</v>
      </c>
      <c r="I234" s="49" t="str">
        <f t="shared" si="8"/>
        <v>NTS RJ 4</v>
      </c>
      <c r="J234" s="12">
        <f t="shared" ca="1" si="11"/>
        <v>2.3973342973222627</v>
      </c>
      <c r="L234" s="21"/>
      <c r="M234" s="126"/>
      <c r="Q234" s="8"/>
      <c r="R234" s="127"/>
      <c r="S234" s="128"/>
      <c r="T234" s="128"/>
      <c r="U234" s="128"/>
    </row>
    <row r="235" spans="1:21" ht="15.6" x14ac:dyDescent="0.3">
      <c r="A235" s="49" t="s">
        <v>440</v>
      </c>
      <c r="B235" s="49" t="str">
        <f t="shared" si="9"/>
        <v>PR-REPLAN (INTERCONEXÃO)</v>
      </c>
      <c r="C235" s="12" t="str">
        <f t="shared" ca="1" si="10"/>
        <v xml:space="preserve"> </v>
      </c>
      <c r="D235" s="119"/>
      <c r="E235" s="8"/>
      <c r="F235" s="8"/>
      <c r="G235" s="119"/>
      <c r="H235" s="49" t="s">
        <v>441</v>
      </c>
      <c r="I235" s="49" t="str">
        <f t="shared" si="8"/>
        <v>NTS RJ 5</v>
      </c>
      <c r="J235" s="12">
        <f t="shared" ca="1" si="11"/>
        <v>1.8116432728677543</v>
      </c>
      <c r="L235" s="21"/>
      <c r="Q235" s="8"/>
      <c r="R235" s="127"/>
      <c r="S235" s="128"/>
      <c r="T235" s="128"/>
      <c r="U235" s="128"/>
    </row>
    <row r="236" spans="1:21" ht="15.6" x14ac:dyDescent="0.3">
      <c r="A236" s="49" t="s">
        <v>442</v>
      </c>
      <c r="B236" s="49" t="str">
        <f t="shared" si="9"/>
        <v>PR-TECAB (INTERCONEXÃO)</v>
      </c>
      <c r="C236" s="12" t="str">
        <f t="shared" ca="1" si="10"/>
        <v xml:space="preserve"> </v>
      </c>
      <c r="D236" s="119"/>
      <c r="E236" s="8"/>
      <c r="F236" s="8"/>
      <c r="G236" s="119"/>
      <c r="H236" s="49" t="s">
        <v>443</v>
      </c>
      <c r="I236" s="49" t="str">
        <f t="shared" si="8"/>
        <v>NTS SP 1</v>
      </c>
      <c r="J236" s="12">
        <f t="shared" ca="1" si="11"/>
        <v>3.4285000612086129</v>
      </c>
      <c r="L236" s="21"/>
      <c r="Q236" s="8"/>
      <c r="R236" s="127"/>
      <c r="S236" s="128"/>
      <c r="T236" s="128"/>
      <c r="U236" s="128"/>
    </row>
    <row r="237" spans="1:21" ht="15.6" x14ac:dyDescent="0.3">
      <c r="D237" s="119"/>
      <c r="E237" s="8"/>
      <c r="F237" s="8"/>
      <c r="G237" s="119"/>
      <c r="H237" s="49" t="s">
        <v>444</v>
      </c>
      <c r="I237" s="49" t="str">
        <f t="shared" si="8"/>
        <v>NTS SP 2</v>
      </c>
      <c r="J237" s="12">
        <f t="shared" ca="1" si="11"/>
        <v>3.3266304446103145</v>
      </c>
      <c r="K237" s="119"/>
      <c r="L237" s="21"/>
      <c r="Q237" s="8"/>
      <c r="R237" s="127"/>
      <c r="S237" s="128"/>
      <c r="T237" s="128"/>
      <c r="U237" s="128"/>
    </row>
    <row r="238" spans="1:21" ht="15.6" x14ac:dyDescent="0.3">
      <c r="D238" s="119"/>
      <c r="E238" s="8"/>
      <c r="F238" s="8"/>
      <c r="G238" s="119"/>
      <c r="H238" s="49" t="s">
        <v>445</v>
      </c>
      <c r="I238" s="49" t="str">
        <f t="shared" si="8"/>
        <v>NTS SP 3</v>
      </c>
      <c r="J238" s="12">
        <f t="shared" ca="1" si="11"/>
        <v>4.5022810632827532</v>
      </c>
      <c r="L238" s="21"/>
      <c r="Q238" s="8"/>
      <c r="R238" s="127"/>
      <c r="S238" s="128"/>
      <c r="T238" s="128"/>
      <c r="U238" s="128"/>
    </row>
    <row r="239" spans="1:21" ht="15.6" x14ac:dyDescent="0.3">
      <c r="D239" s="119"/>
      <c r="E239" s="8"/>
      <c r="F239" s="8"/>
      <c r="G239" s="119"/>
      <c r="H239" s="49" t="s">
        <v>446</v>
      </c>
      <c r="I239" s="49" t="str">
        <f t="shared" si="8"/>
        <v>NTS SP 4</v>
      </c>
      <c r="J239" s="12">
        <f t="shared" ca="1" si="11"/>
        <v>4.8740612116478745</v>
      </c>
      <c r="L239" s="21"/>
      <c r="Q239" s="8"/>
      <c r="R239" s="127"/>
      <c r="S239" s="128"/>
      <c r="T239" s="128"/>
      <c r="U239" s="128"/>
    </row>
    <row r="240" spans="1:21" ht="15.6" x14ac:dyDescent="0.3">
      <c r="D240" s="119"/>
      <c r="E240" s="8"/>
      <c r="F240" s="8"/>
      <c r="G240" s="119"/>
      <c r="H240" s="49" t="s">
        <v>447</v>
      </c>
      <c r="I240" s="49" t="str">
        <f t="shared" si="8"/>
        <v>PE-GUARAREMA (INTERCONEXÃO)</v>
      </c>
      <c r="J240" s="12" t="str">
        <f t="shared" ca="1" si="11"/>
        <v xml:space="preserve"> </v>
      </c>
      <c r="L240" s="21"/>
      <c r="Q240" s="8"/>
      <c r="R240" s="127"/>
      <c r="S240" s="10"/>
      <c r="T240" s="10"/>
      <c r="U240" s="10"/>
    </row>
    <row r="241" spans="1:22" ht="15.6" x14ac:dyDescent="0.3">
      <c r="E241" s="8"/>
      <c r="F241" s="8"/>
      <c r="G241" s="119"/>
      <c r="H241" s="49" t="s">
        <v>448</v>
      </c>
      <c r="I241" s="49" t="str">
        <f t="shared" si="8"/>
        <v>PE-REPLAN (INTERCONEXÃO)</v>
      </c>
      <c r="J241" s="12" t="str">
        <f t="shared" ca="1" si="11"/>
        <v xml:space="preserve"> </v>
      </c>
      <c r="L241" s="21"/>
      <c r="Q241" s="8"/>
      <c r="R241" s="129"/>
      <c r="S241" s="10"/>
      <c r="T241" s="10"/>
      <c r="U241" s="10"/>
      <c r="V241" s="119"/>
    </row>
    <row r="242" spans="1:22" ht="15.6" x14ac:dyDescent="0.3">
      <c r="E242" s="8"/>
      <c r="F242" s="8"/>
      <c r="G242" s="119"/>
      <c r="H242" s="49" t="s">
        <v>449</v>
      </c>
      <c r="I242" s="49" t="str">
        <f t="shared" si="8"/>
        <v>PE-TECAB (INTERCONEXÃO)</v>
      </c>
      <c r="J242" s="12" t="str">
        <f t="shared" ca="1" si="11"/>
        <v xml:space="preserve"> </v>
      </c>
      <c r="L242" s="21"/>
      <c r="P242" s="125"/>
      <c r="Q242" s="129"/>
      <c r="R242" s="129"/>
      <c r="S242" s="8"/>
      <c r="T242" s="8"/>
      <c r="U242" s="8"/>
      <c r="V242" s="119"/>
    </row>
    <row r="243" spans="1:22" x14ac:dyDescent="0.3">
      <c r="L243" s="21"/>
    </row>
    <row r="244" spans="1:22" x14ac:dyDescent="0.3">
      <c r="L244" s="21"/>
    </row>
    <row r="245" spans="1:22" ht="15.6" x14ac:dyDescent="0.3">
      <c r="A245" s="111" t="s">
        <v>420</v>
      </c>
      <c r="B245" s="111" t="s">
        <v>163</v>
      </c>
      <c r="C245" s="111" t="s">
        <v>421</v>
      </c>
      <c r="D245" s="111" t="s">
        <v>450</v>
      </c>
      <c r="E245" s="111" t="s">
        <v>451</v>
      </c>
      <c r="F245" s="264" t="s">
        <v>467</v>
      </c>
      <c r="G245" s="122"/>
      <c r="H245" s="111" t="s">
        <v>422</v>
      </c>
      <c r="I245" s="111" t="s">
        <v>164</v>
      </c>
      <c r="J245" s="111" t="s">
        <v>423</v>
      </c>
      <c r="K245" s="111" t="s">
        <v>452</v>
      </c>
      <c r="L245" s="111" t="s">
        <v>453</v>
      </c>
      <c r="M245" s="264" t="s">
        <v>467</v>
      </c>
    </row>
    <row r="246" spans="1:22" ht="15.6" x14ac:dyDescent="0.3">
      <c r="A246" s="49" t="s">
        <v>424</v>
      </c>
      <c r="B246" s="49" t="str">
        <f t="shared" ref="B246:B255" si="12">B227</f>
        <v>PR-CARAGUATATUBA</v>
      </c>
      <c r="C246" s="12">
        <f ca="1">IF(H25=0," ",C227*(1-$C$12))</f>
        <v>1.4473554098862498</v>
      </c>
      <c r="D246" s="12">
        <f t="shared" ref="D246:D252" ca="1" si="13">$F$8*$C$12</f>
        <v>4.5115385842671296</v>
      </c>
      <c r="E246" s="12">
        <f ca="1">IFERROR(C246+D246," ")</f>
        <v>5.9588939941533798</v>
      </c>
      <c r="F246" s="261">
        <f ca="1">E246*H25</f>
        <v>772113094.35619915</v>
      </c>
      <c r="G246" s="126"/>
      <c r="H246" s="49" t="s">
        <v>425</v>
      </c>
      <c r="I246" s="49" t="str">
        <f t="shared" ref="I246:I261" si="14">I227</f>
        <v>NTS MG 1</v>
      </c>
      <c r="J246" s="12">
        <f ca="1">IF(H42=0," ",J227*(1-$C$12))</f>
        <v>0.73421424536584656</v>
      </c>
      <c r="K246" s="12">
        <f t="shared" ref="K246:K258" ca="1" si="15">$F$11*$C$12</f>
        <v>2.3343030132748037</v>
      </c>
      <c r="L246" s="12">
        <f ca="1">IFERROR(J246+K246," ")</f>
        <v>3.0685172586406502</v>
      </c>
      <c r="M246" s="261">
        <f ca="1">L246*H42</f>
        <v>17022272.848600797</v>
      </c>
      <c r="N246" s="134"/>
    </row>
    <row r="247" spans="1:22" ht="15.6" x14ac:dyDescent="0.3">
      <c r="A247" s="49" t="s">
        <v>426</v>
      </c>
      <c r="B247" s="49" t="str">
        <f t="shared" si="12"/>
        <v>PR-GNLBGB</v>
      </c>
      <c r="C247" s="12">
        <f t="shared" ref="C247:C255" ca="1" si="16">IF(H26=0," ",C228*(1-$C$12))</f>
        <v>0.82499475898786456</v>
      </c>
      <c r="D247" s="12">
        <f t="shared" ca="1" si="13"/>
        <v>4.5115385842671296</v>
      </c>
      <c r="E247" s="12">
        <f t="shared" ref="E247:E252" ca="1" si="17">IFERROR(C247+D247," ")</f>
        <v>5.3365333432549944</v>
      </c>
      <c r="F247" s="261">
        <f t="shared" ref="F247:F252" ca="1" si="18">E247*H26</f>
        <v>975415177.84687436</v>
      </c>
      <c r="G247" s="126"/>
      <c r="H247" s="49" t="s">
        <v>427</v>
      </c>
      <c r="I247" s="49" t="str">
        <f t="shared" si="14"/>
        <v>NTS MG 2</v>
      </c>
      <c r="J247" s="12">
        <f t="shared" ref="J247:J248" ca="1" si="19">IF(H43=0," ",J228*(1-$C$12))</f>
        <v>0.9379973730159944</v>
      </c>
      <c r="K247" s="12">
        <f t="shared" ca="1" si="15"/>
        <v>2.3343030132748037</v>
      </c>
      <c r="L247" s="12">
        <f t="shared" ref="L247:L258" ca="1" si="20">IFERROR(J247+K247," ")</f>
        <v>3.272300386290798</v>
      </c>
      <c r="M247" s="261">
        <f t="shared" ref="M247:M258" ca="1" si="21">L247*H43</f>
        <v>50181704.215561099</v>
      </c>
    </row>
    <row r="248" spans="1:22" ht="15.6" x14ac:dyDescent="0.3">
      <c r="A248" s="49" t="s">
        <v>428</v>
      </c>
      <c r="B248" s="49" t="str">
        <f t="shared" si="12"/>
        <v>PR-ITABORAÍ</v>
      </c>
      <c r="C248" s="12">
        <f t="shared" ca="1" si="16"/>
        <v>0.9642398798503572</v>
      </c>
      <c r="D248" s="12">
        <f t="shared" ca="1" si="13"/>
        <v>4.5115385842671296</v>
      </c>
      <c r="E248" s="12">
        <f t="shared" ca="1" si="17"/>
        <v>5.4757784641174867</v>
      </c>
      <c r="F248" s="261">
        <f t="shared" ca="1" si="18"/>
        <v>650563221.95864499</v>
      </c>
      <c r="G248" s="126"/>
      <c r="H248" s="49" t="s">
        <v>429</v>
      </c>
      <c r="I248" s="49" t="str">
        <f t="shared" si="14"/>
        <v>NTS MG 3</v>
      </c>
      <c r="J248" s="12">
        <f t="shared" ca="1" si="19"/>
        <v>1.1837292377782014</v>
      </c>
      <c r="K248" s="12">
        <f t="shared" ca="1" si="15"/>
        <v>2.3343030132748037</v>
      </c>
      <c r="L248" s="12">
        <f t="shared" ca="1" si="20"/>
        <v>3.5180322510530049</v>
      </c>
      <c r="M248" s="261">
        <f t="shared" ca="1" si="21"/>
        <v>87998425.168737367</v>
      </c>
    </row>
    <row r="249" spans="1:22" ht="15.6" x14ac:dyDescent="0.3">
      <c r="A249" s="49" t="s">
        <v>430</v>
      </c>
      <c r="B249" s="49" t="str">
        <f t="shared" si="12"/>
        <v>PR-GASPAJ (INTERCONEXÃO)</v>
      </c>
      <c r="C249" s="12" t="str">
        <f t="shared" si="16"/>
        <v xml:space="preserve"> </v>
      </c>
      <c r="D249" s="12"/>
      <c r="E249" s="130">
        <f ca="1">E271</f>
        <v>0.55066712588946132</v>
      </c>
      <c r="F249" s="261">
        <f t="shared" ca="1" si="18"/>
        <v>0</v>
      </c>
      <c r="G249" s="126"/>
      <c r="H249" s="49" t="s">
        <v>431</v>
      </c>
      <c r="I249" s="49" t="str">
        <f t="shared" si="14"/>
        <v>NTS MG 4</v>
      </c>
      <c r="J249" s="12">
        <f ca="1">IF(H45=0," ",J230*(1-$C$12))</f>
        <v>1.2660362574318835</v>
      </c>
      <c r="K249" s="12">
        <f t="shared" ca="1" si="15"/>
        <v>2.3343030132748037</v>
      </c>
      <c r="L249" s="12">
        <f t="shared" ca="1" si="20"/>
        <v>3.6003392707066872</v>
      </c>
      <c r="M249" s="261">
        <f t="shared" ca="1" si="21"/>
        <v>11022713.532298934</v>
      </c>
    </row>
    <row r="250" spans="1:22" ht="15.6" x14ac:dyDescent="0.3">
      <c r="A250" s="49" t="s">
        <v>432</v>
      </c>
      <c r="B250" s="49" t="str">
        <f t="shared" si="12"/>
        <v>PR-REDUC</v>
      </c>
      <c r="C250" s="12" t="str">
        <f t="shared" si="16"/>
        <v xml:space="preserve"> </v>
      </c>
      <c r="D250" s="12"/>
      <c r="E250" s="12" t="str">
        <f t="shared" si="17"/>
        <v xml:space="preserve"> </v>
      </c>
      <c r="F250" s="261"/>
      <c r="G250" s="126"/>
      <c r="H250" s="49" t="s">
        <v>433</v>
      </c>
      <c r="I250" s="49" t="str">
        <f t="shared" si="14"/>
        <v>NTS RJ 1</v>
      </c>
      <c r="J250" s="12">
        <f t="shared" ref="J250:J261" ca="1" si="22">IF(H46=0," ",J231*(1-$C$12))</f>
        <v>0.35764253303518417</v>
      </c>
      <c r="K250" s="12">
        <f t="shared" ca="1" si="15"/>
        <v>2.3343030132748037</v>
      </c>
      <c r="L250" s="12">
        <f t="shared" ca="1" si="20"/>
        <v>2.6919455463099879</v>
      </c>
      <c r="M250" s="261">
        <f t="shared" ca="1" si="21"/>
        <v>437739497.9366886</v>
      </c>
    </row>
    <row r="251" spans="1:22" ht="15.6" x14ac:dyDescent="0.3">
      <c r="A251" s="49" t="s">
        <v>434</v>
      </c>
      <c r="B251" s="49" t="str">
        <f t="shared" si="12"/>
        <v>PR-RPBC</v>
      </c>
      <c r="C251" s="12" t="str">
        <f t="shared" si="16"/>
        <v xml:space="preserve"> </v>
      </c>
      <c r="D251" s="12"/>
      <c r="E251" s="12" t="str">
        <f t="shared" si="17"/>
        <v xml:space="preserve"> </v>
      </c>
      <c r="F251" s="261"/>
      <c r="G251" s="126"/>
      <c r="H251" s="49" t="s">
        <v>435</v>
      </c>
      <c r="I251" s="49" t="str">
        <f t="shared" si="14"/>
        <v>NTS RJ 2</v>
      </c>
      <c r="J251" s="12">
        <f t="shared" ca="1" si="22"/>
        <v>0.35597606025098444</v>
      </c>
      <c r="K251" s="12">
        <f t="shared" ca="1" si="15"/>
        <v>2.3343030132748037</v>
      </c>
      <c r="L251" s="12">
        <f t="shared" ca="1" si="20"/>
        <v>2.690279073525788</v>
      </c>
      <c r="M251" s="261">
        <f t="shared" ca="1" si="21"/>
        <v>206674552.18093589</v>
      </c>
    </row>
    <row r="252" spans="1:22" ht="15.6" x14ac:dyDescent="0.3">
      <c r="A252" s="49" t="s">
        <v>436</v>
      </c>
      <c r="B252" s="49" t="str">
        <f t="shared" si="12"/>
        <v>PR-TECAB</v>
      </c>
      <c r="C252" s="12">
        <f t="shared" ca="1" si="16"/>
        <v>1.3739784335430163</v>
      </c>
      <c r="D252" s="12">
        <f t="shared" ca="1" si="13"/>
        <v>4.5115385842671296</v>
      </c>
      <c r="E252" s="12">
        <f t="shared" ca="1" si="17"/>
        <v>5.8855170178101464</v>
      </c>
      <c r="F252" s="261">
        <f t="shared" ca="1" si="18"/>
        <v>799019838.00359142</v>
      </c>
      <c r="G252" s="126"/>
      <c r="H252" s="49" t="s">
        <v>437</v>
      </c>
      <c r="I252" s="49" t="str">
        <f t="shared" si="14"/>
        <v>NTS RJ 3</v>
      </c>
      <c r="J252" s="12">
        <f t="shared" ca="1" si="22"/>
        <v>0.40978077216305431</v>
      </c>
      <c r="K252" s="12">
        <f t="shared" ca="1" si="15"/>
        <v>2.3343030132748037</v>
      </c>
      <c r="L252" s="12">
        <f t="shared" ca="1" si="20"/>
        <v>2.7440837854378581</v>
      </c>
      <c r="M252" s="261">
        <f t="shared" ca="1" si="21"/>
        <v>42984162.691949368</v>
      </c>
    </row>
    <row r="253" spans="1:22" ht="15.6" x14ac:dyDescent="0.3">
      <c r="A253" s="49" t="s">
        <v>438</v>
      </c>
      <c r="B253" s="49" t="str">
        <f t="shared" si="12"/>
        <v>PR-GUARAREMA (INTERCONEXÃO)</v>
      </c>
      <c r="C253" s="12" t="str">
        <f t="shared" si="16"/>
        <v xml:space="preserve"> </v>
      </c>
      <c r="D253" s="12"/>
      <c r="E253" s="130">
        <f ca="1">E269</f>
        <v>0.51227093820544889</v>
      </c>
      <c r="F253" s="262"/>
      <c r="G253" s="126"/>
      <c r="H253" s="49" t="s">
        <v>439</v>
      </c>
      <c r="I253" s="49" t="str">
        <f t="shared" si="14"/>
        <v>NTS RJ 4</v>
      </c>
      <c r="J253" s="12">
        <f t="shared" ca="1" si="22"/>
        <v>0.47946685946445244</v>
      </c>
      <c r="K253" s="12">
        <f t="shared" ca="1" si="15"/>
        <v>2.3343030132748037</v>
      </c>
      <c r="L253" s="12">
        <f t="shared" ca="1" si="20"/>
        <v>2.8137698727392562</v>
      </c>
      <c r="M253" s="261">
        <f t="shared" ca="1" si="21"/>
        <v>8305989.6150672212</v>
      </c>
    </row>
    <row r="254" spans="1:22" ht="15.6" x14ac:dyDescent="0.3">
      <c r="A254" s="49" t="s">
        <v>440</v>
      </c>
      <c r="B254" s="49" t="str">
        <f t="shared" si="12"/>
        <v>PR-REPLAN (INTERCONEXÃO)</v>
      </c>
      <c r="C254" s="12" t="str">
        <f t="shared" si="16"/>
        <v xml:space="preserve"> </v>
      </c>
      <c r="D254" s="12"/>
      <c r="E254" s="130">
        <f ca="1">E268</f>
        <v>0.55066712588946121</v>
      </c>
      <c r="F254" s="263">
        <f ca="1">SUM(F246:F252)</f>
        <v>3197111332.1653099</v>
      </c>
      <c r="G254" s="126"/>
      <c r="H254" s="49" t="s">
        <v>441</v>
      </c>
      <c r="I254" s="49" t="str">
        <f t="shared" si="14"/>
        <v>NTS RJ 5</v>
      </c>
      <c r="J254" s="12">
        <f t="shared" ca="1" si="22"/>
        <v>0.36232865457355079</v>
      </c>
      <c r="K254" s="12">
        <f t="shared" ca="1" si="15"/>
        <v>2.3343030132748037</v>
      </c>
      <c r="L254" s="12">
        <f t="shared" ca="1" si="20"/>
        <v>2.6966316678483544</v>
      </c>
      <c r="M254" s="261">
        <f t="shared" ca="1" si="21"/>
        <v>52443726.051549636</v>
      </c>
    </row>
    <row r="255" spans="1:22" ht="15.6" x14ac:dyDescent="0.3">
      <c r="A255" s="49" t="s">
        <v>442</v>
      </c>
      <c r="B255" s="49" t="str">
        <f t="shared" si="12"/>
        <v>PR-TECAB (INTERCONEXÃO)</v>
      </c>
      <c r="C255" s="12" t="str">
        <f t="shared" si="16"/>
        <v xml:space="preserve"> </v>
      </c>
      <c r="D255" s="12"/>
      <c r="E255" s="130">
        <f ca="1">E270</f>
        <v>0.53804463820174631</v>
      </c>
      <c r="G255" s="126"/>
      <c r="H255" s="49" t="s">
        <v>443</v>
      </c>
      <c r="I255" s="49" t="str">
        <f t="shared" si="14"/>
        <v>NTS SP 1</v>
      </c>
      <c r="J255" s="12">
        <f t="shared" ca="1" si="22"/>
        <v>0.68570001224172239</v>
      </c>
      <c r="K255" s="12">
        <f t="shared" ca="1" si="15"/>
        <v>2.3343030132748037</v>
      </c>
      <c r="L255" s="12">
        <f t="shared" ca="1" si="20"/>
        <v>3.0200030255165262</v>
      </c>
      <c r="M255" s="261">
        <f t="shared" ca="1" si="21"/>
        <v>34141088.536896273</v>
      </c>
    </row>
    <row r="256" spans="1:22" ht="15.6" x14ac:dyDescent="0.3">
      <c r="F256" s="134"/>
      <c r="H256" s="49" t="s">
        <v>444</v>
      </c>
      <c r="I256" s="49" t="str">
        <f t="shared" si="14"/>
        <v>NTS SP 2</v>
      </c>
      <c r="J256" s="12">
        <f t="shared" ca="1" si="22"/>
        <v>0.6653260889220628</v>
      </c>
      <c r="K256" s="12">
        <f t="shared" ca="1" si="15"/>
        <v>2.3343030132748037</v>
      </c>
      <c r="L256" s="12">
        <f t="shared" ca="1" si="20"/>
        <v>2.9996291021968666</v>
      </c>
      <c r="M256" s="261">
        <f t="shared" ca="1" si="21"/>
        <v>81473551.818573475</v>
      </c>
    </row>
    <row r="257" spans="1:13" ht="15.6" x14ac:dyDescent="0.3">
      <c r="H257" s="49" t="s">
        <v>445</v>
      </c>
      <c r="I257" s="49" t="str">
        <f t="shared" si="14"/>
        <v>NTS SP 3</v>
      </c>
      <c r="J257" s="12">
        <f t="shared" ca="1" si="22"/>
        <v>0.9004562126565504</v>
      </c>
      <c r="K257" s="12">
        <f t="shared" ca="1" si="15"/>
        <v>2.3343030132748037</v>
      </c>
      <c r="L257" s="12">
        <f t="shared" ca="1" si="20"/>
        <v>3.234759225931354</v>
      </c>
      <c r="M257" s="261">
        <f t="shared" ca="1" si="21"/>
        <v>235584152.83204651</v>
      </c>
    </row>
    <row r="258" spans="1:13" ht="15.6" x14ac:dyDescent="0.3">
      <c r="H258" s="49" t="s">
        <v>446</v>
      </c>
      <c r="I258" s="49" t="str">
        <f t="shared" si="14"/>
        <v>NTS SP 4</v>
      </c>
      <c r="J258" s="12">
        <f t="shared" ca="1" si="22"/>
        <v>0.97481224232957464</v>
      </c>
      <c r="K258" s="12">
        <f t="shared" ca="1" si="15"/>
        <v>2.3343030132748037</v>
      </c>
      <c r="L258" s="12">
        <f t="shared" ca="1" si="20"/>
        <v>3.3091152556043784</v>
      </c>
      <c r="M258" s="261">
        <f t="shared" ca="1" si="21"/>
        <v>99224383.747845545</v>
      </c>
    </row>
    <row r="259" spans="1:13" ht="15.6" x14ac:dyDescent="0.3">
      <c r="H259" s="49" t="s">
        <v>447</v>
      </c>
      <c r="I259" s="49" t="str">
        <f t="shared" si="14"/>
        <v>PE-GUARAREMA (INTERCONEXÃO)</v>
      </c>
      <c r="J259" s="12" t="str">
        <f t="shared" si="22"/>
        <v xml:space="preserve"> </v>
      </c>
      <c r="K259" s="12"/>
      <c r="L259" s="12">
        <f>0</f>
        <v>0</v>
      </c>
      <c r="M259" s="262"/>
    </row>
    <row r="260" spans="1:13" ht="15.6" x14ac:dyDescent="0.3">
      <c r="H260" s="49" t="s">
        <v>448</v>
      </c>
      <c r="I260" s="49" t="str">
        <f t="shared" si="14"/>
        <v>PE-REPLAN (INTERCONEXÃO)</v>
      </c>
      <c r="J260" s="12" t="str">
        <f t="shared" si="22"/>
        <v xml:space="preserve"> </v>
      </c>
      <c r="K260" s="12"/>
      <c r="L260" s="130">
        <f ca="1">E272</f>
        <v>0.28952028224655169</v>
      </c>
      <c r="M260" s="263">
        <f ca="1">SUM(M246:M258)</f>
        <v>1364796221.1767507</v>
      </c>
    </row>
    <row r="261" spans="1:13" ht="15.6" x14ac:dyDescent="0.3">
      <c r="H261" s="49" t="s">
        <v>449</v>
      </c>
      <c r="I261" s="49" t="str">
        <f t="shared" si="14"/>
        <v>PE-TECAB (INTERCONEXÃO)</v>
      </c>
      <c r="J261" s="12" t="str">
        <f t="shared" si="22"/>
        <v xml:space="preserve"> </v>
      </c>
      <c r="K261" s="12"/>
      <c r="L261" s="130">
        <f ca="1">E273</f>
        <v>0.25036738427119104</v>
      </c>
    </row>
    <row r="263" spans="1:13" x14ac:dyDescent="0.3">
      <c r="A263" t="s">
        <v>165</v>
      </c>
      <c r="C263" s="97">
        <v>0.9</v>
      </c>
    </row>
    <row r="264" spans="1:13" x14ac:dyDescent="0.3">
      <c r="J264" s="126"/>
      <c r="K264" s="126"/>
      <c r="L264" s="126"/>
      <c r="M264" s="126"/>
    </row>
    <row r="265" spans="1:13" x14ac:dyDescent="0.3">
      <c r="A265" s="249" t="s">
        <v>474</v>
      </c>
      <c r="J265" s="126"/>
      <c r="K265" s="126"/>
      <c r="L265" s="126"/>
      <c r="M265" s="126"/>
    </row>
    <row r="266" spans="1:13" x14ac:dyDescent="0.3">
      <c r="E266" s="265"/>
      <c r="L266" s="131"/>
    </row>
    <row r="267" spans="1:13" ht="36" x14ac:dyDescent="0.3">
      <c r="B267" s="250" t="s">
        <v>459</v>
      </c>
      <c r="C267" s="269" t="s">
        <v>466</v>
      </c>
      <c r="D267" s="269" t="s">
        <v>465</v>
      </c>
      <c r="E267" s="275" t="s">
        <v>472</v>
      </c>
      <c r="F267" s="250" t="s">
        <v>477</v>
      </c>
      <c r="L267" s="131"/>
    </row>
    <row r="268" spans="1:13" ht="18" x14ac:dyDescent="0.35">
      <c r="B268" s="251" t="s">
        <v>460</v>
      </c>
      <c r="C268" s="276">
        <f>Oferta!E11</f>
        <v>200</v>
      </c>
      <c r="D268" s="270">
        <f ca="1">'CWD NTS 2024 (sem desconto)'!D267</f>
        <v>5.5066712588946132</v>
      </c>
      <c r="E268" s="273">
        <f ca="1">D268*(1-$C$263)</f>
        <v>0.55066712588946121</v>
      </c>
      <c r="F268" s="271">
        <f ca="1">C268*E268*Premissas!$C$44*Premissas!$E$20*1000</f>
        <v>1006513.1012678666</v>
      </c>
      <c r="L268" s="131"/>
    </row>
    <row r="269" spans="1:13" ht="18" x14ac:dyDescent="0.35">
      <c r="B269" s="252" t="s">
        <v>461</v>
      </c>
      <c r="C269" s="276">
        <f>Oferta!E10</f>
        <v>6000</v>
      </c>
      <c r="D269" s="270">
        <f ca="1">'CWD NTS 2024 (sem desconto)'!D268</f>
        <v>5.1227093820544898</v>
      </c>
      <c r="E269" s="273">
        <f t="shared" ref="E269:E271" ca="1" si="23">D269*(1-$C$263)</f>
        <v>0.51227093820544889</v>
      </c>
      <c r="F269" s="271">
        <f ca="1">C269*E269*Premissas!$C$44*Premissas!$E$20*1000</f>
        <v>28089968.68315326</v>
      </c>
      <c r="G269" s="132"/>
      <c r="K269" s="132"/>
      <c r="L269" s="131"/>
    </row>
    <row r="270" spans="1:13" ht="18" x14ac:dyDescent="0.35">
      <c r="B270" s="253" t="s">
        <v>462</v>
      </c>
      <c r="C270" s="276">
        <f>Oferta!E12</f>
        <v>200</v>
      </c>
      <c r="D270" s="270">
        <f ca="1">'CWD NTS 2024 (sem desconto)'!D269</f>
        <v>5.3804463820174639</v>
      </c>
      <c r="E270" s="273">
        <f t="shared" ca="1" si="23"/>
        <v>0.53804463820174631</v>
      </c>
      <c r="F270" s="271">
        <f ca="1">C270*E270*Premissas!$C$44*Premissas!$E$20*1000</f>
        <v>983441.63280539715</v>
      </c>
      <c r="K270" s="132"/>
      <c r="L270" s="131"/>
    </row>
    <row r="271" spans="1:13" ht="18" x14ac:dyDescent="0.35">
      <c r="B271" s="253" t="s">
        <v>253</v>
      </c>
      <c r="C271" s="276">
        <f>Oferta!E6</f>
        <v>335</v>
      </c>
      <c r="D271" s="270">
        <f ca="1">'CWD NTS 2024 (sem desconto)'!D270</f>
        <v>5.5066712588946141</v>
      </c>
      <c r="E271" s="273">
        <f t="shared" ca="1" si="23"/>
        <v>0.55066712588946132</v>
      </c>
      <c r="F271" s="271">
        <f ca="1">C271*E271*Premissas!$C$44*Premissas!$E$20*1000</f>
        <v>1685909.4446236768</v>
      </c>
      <c r="K271" s="132"/>
      <c r="L271" s="131"/>
    </row>
    <row r="272" spans="1:13" ht="18" x14ac:dyDescent="0.35">
      <c r="B272" s="251" t="s">
        <v>463</v>
      </c>
      <c r="C272" s="276">
        <f>Demanda!E17</f>
        <v>7011</v>
      </c>
      <c r="D272" s="270">
        <f ca="1">'CWD NTS 2024 (sem desconto)'!D271</f>
        <v>2.8952028224655173</v>
      </c>
      <c r="E272" s="273">
        <f ca="1">D272*(1-$C$263)</f>
        <v>0.28952028224655169</v>
      </c>
      <c r="F272" s="271">
        <f ca="1">C272*E272*Premissas!$C$44*Premissas!$E$20*1000</f>
        <v>18550654.920395505</v>
      </c>
      <c r="K272" s="132"/>
      <c r="L272" s="131"/>
    </row>
    <row r="273" spans="2:13" ht="18" x14ac:dyDescent="0.35">
      <c r="B273" s="253" t="s">
        <v>464</v>
      </c>
      <c r="C273" s="276">
        <f>Demanda!E18</f>
        <v>200</v>
      </c>
      <c r="D273" s="270">
        <f ca="1">'CWD NTS 2024 (sem desconto)'!D272</f>
        <v>2.503673842711911</v>
      </c>
      <c r="E273" s="273">
        <f ca="1">D273*(1-$C$263)</f>
        <v>0.25036738427119104</v>
      </c>
      <c r="F273" s="271">
        <f ca="1">C273*E273*Premissas!$C$44*Premissas!$E$20*1000</f>
        <v>457623.20020844188</v>
      </c>
      <c r="K273" s="132"/>
      <c r="L273" s="131"/>
    </row>
    <row r="274" spans="2:13" ht="18.600000000000001" thickBot="1" x14ac:dyDescent="0.4">
      <c r="B274" s="253"/>
      <c r="C274" s="274"/>
      <c r="D274" s="274"/>
      <c r="E274" s="274"/>
      <c r="F274" s="272">
        <f ca="1">SUM(F268:F273)</f>
        <v>50774110.982454143</v>
      </c>
      <c r="K274" s="132"/>
      <c r="L274" s="131"/>
    </row>
    <row r="275" spans="2:13" ht="15" thickTop="1" x14ac:dyDescent="0.3">
      <c r="K275" s="132"/>
      <c r="L275" s="131"/>
    </row>
    <row r="276" spans="2:13" x14ac:dyDescent="0.3">
      <c r="E276" t="s">
        <v>110</v>
      </c>
      <c r="F276" s="239">
        <f ca="1">F254+M260+F274</f>
        <v>4612681664.3245144</v>
      </c>
      <c r="K276" s="132"/>
      <c r="L276" s="131"/>
    </row>
    <row r="277" spans="2:13" x14ac:dyDescent="0.3">
      <c r="E277" s="255" t="s">
        <v>467</v>
      </c>
      <c r="F277" s="256">
        <f ca="1">(F276/10^6)-D4</f>
        <v>0</v>
      </c>
      <c r="K277" s="132"/>
      <c r="L277" s="131"/>
    </row>
    <row r="278" spans="2:13" x14ac:dyDescent="0.3">
      <c r="K278" s="132"/>
    </row>
    <row r="279" spans="2:13" x14ac:dyDescent="0.3">
      <c r="K279" s="132"/>
    </row>
    <row r="280" spans="2:13" x14ac:dyDescent="0.3">
      <c r="K280" s="132"/>
      <c r="M280" s="133"/>
    </row>
    <row r="281" spans="2:13" x14ac:dyDescent="0.3">
      <c r="K281" s="132"/>
      <c r="M281" s="133"/>
    </row>
    <row r="282" spans="2:13" x14ac:dyDescent="0.3">
      <c r="K282" s="132"/>
      <c r="M282" s="133"/>
    </row>
    <row r="283" spans="2:13" x14ac:dyDescent="0.3">
      <c r="K283" s="132"/>
      <c r="M283" s="133"/>
    </row>
    <row r="284" spans="2:13" x14ac:dyDescent="0.3">
      <c r="K284" s="132"/>
      <c r="M284" s="133"/>
    </row>
    <row r="285" spans="2:13" x14ac:dyDescent="0.3">
      <c r="K285" s="132"/>
      <c r="M285" s="133"/>
    </row>
    <row r="286" spans="2:13" x14ac:dyDescent="0.3">
      <c r="K286" s="132"/>
      <c r="M286" s="133"/>
    </row>
    <row r="287" spans="2:13" x14ac:dyDescent="0.3">
      <c r="K287" s="132"/>
      <c r="M287" s="133"/>
    </row>
    <row r="288" spans="2:13" x14ac:dyDescent="0.3">
      <c r="M288" s="133"/>
    </row>
    <row r="289" spans="13:14" x14ac:dyDescent="0.3">
      <c r="M289" s="133"/>
    </row>
    <row r="290" spans="13:14" x14ac:dyDescent="0.3">
      <c r="M290" s="133"/>
    </row>
    <row r="291" spans="13:14" x14ac:dyDescent="0.3">
      <c r="M291" s="133"/>
    </row>
    <row r="292" spans="13:14" x14ac:dyDescent="0.3">
      <c r="M292" s="133"/>
    </row>
    <row r="293" spans="13:14" x14ac:dyDescent="0.3">
      <c r="M293" s="133"/>
    </row>
    <row r="294" spans="13:14" x14ac:dyDescent="0.3">
      <c r="M294" s="133"/>
    </row>
    <row r="295" spans="13:14" x14ac:dyDescent="0.3">
      <c r="M295" s="133"/>
    </row>
    <row r="296" spans="13:14" x14ac:dyDescent="0.3">
      <c r="M296" s="133"/>
    </row>
    <row r="297" spans="13:14" x14ac:dyDescent="0.3">
      <c r="M297" s="133"/>
    </row>
    <row r="298" spans="13:14" x14ac:dyDescent="0.3">
      <c r="M298" s="133"/>
    </row>
    <row r="299" spans="13:14" x14ac:dyDescent="0.3">
      <c r="M299" s="133"/>
    </row>
    <row r="303" spans="13:14" x14ac:dyDescent="0.3">
      <c r="N303" s="134"/>
    </row>
  </sheetData>
  <mergeCells count="8">
    <mergeCell ref="C40:D40"/>
    <mergeCell ref="G40:H40"/>
    <mergeCell ref="C22:D22"/>
    <mergeCell ref="G22:H22"/>
    <mergeCell ref="C23:D23"/>
    <mergeCell ref="G23:H23"/>
    <mergeCell ref="C39:D39"/>
    <mergeCell ref="G39:H39"/>
  </mergeCell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FEE94C0A9010240990A4363A5ED286B" ma:contentTypeVersion="11" ma:contentTypeDescription="Create a new document." ma:contentTypeScope="" ma:versionID="1abf01342ef8df9e02b6c77aeeb972aa">
  <xsd:schema xmlns:xsd="http://www.w3.org/2001/XMLSchema" xmlns:xs="http://www.w3.org/2001/XMLSchema" xmlns:p="http://schemas.microsoft.com/office/2006/metadata/properties" xmlns:ns3="9013a8ec-cd0d-4ed2-9eb4-8c9215e056db" xmlns:ns4="9a3f325f-f21d-41c6-a148-0a40bc62e7e3" targetNamespace="http://schemas.microsoft.com/office/2006/metadata/properties" ma:root="true" ma:fieldsID="df10ba2b9b500ee1dd7447e5a061244d" ns3:_="" ns4:_="">
    <xsd:import namespace="9013a8ec-cd0d-4ed2-9eb4-8c9215e056db"/>
    <xsd:import namespace="9a3f325f-f21d-41c6-a148-0a40bc62e7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13a8ec-cd0d-4ed2-9eb4-8c9215e05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3f325f-f21d-41c6-a148-0a40bc62e7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CA2FEC-9D62-4292-B626-2BF4A8523E1B}">
  <ds:schemaRefs>
    <ds:schemaRef ds:uri="http://schemas.microsoft.com/sharepoint/v3/contenttype/forms"/>
  </ds:schemaRefs>
</ds:datastoreItem>
</file>

<file path=customXml/itemProps2.xml><?xml version="1.0" encoding="utf-8"?>
<ds:datastoreItem xmlns:ds="http://schemas.openxmlformats.org/officeDocument/2006/customXml" ds:itemID="{BB0C8CA6-5879-41EA-B962-5FE34E05E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13a8ec-cd0d-4ed2-9eb4-8c9215e056db"/>
    <ds:schemaRef ds:uri="9a3f325f-f21d-41c6-a148-0a40bc62e7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B0B382-BF91-412E-8496-3117C204FF0B}">
  <ds:schemaRefs>
    <ds:schemaRef ds:uri="9a3f325f-f21d-41c6-a148-0a40bc62e7e3"/>
    <ds:schemaRef ds:uri="9013a8ec-cd0d-4ed2-9eb4-8c9215e056db"/>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Premissas</vt:lpstr>
      <vt:lpstr>Conta Regulatória (C.Reg)</vt:lpstr>
      <vt:lpstr>Oferta</vt:lpstr>
      <vt:lpstr>Demanda</vt:lpstr>
      <vt:lpstr>Oferta x Demanda</vt:lpstr>
      <vt:lpstr>Matriz Distâncias NTS</vt:lpstr>
      <vt:lpstr>Planilha1</vt:lpstr>
      <vt:lpstr>CWD NTS 2024 (sem desconto)</vt:lpstr>
      <vt:lpstr>CWD NTS 2024 (Final)</vt:lpstr>
      <vt:lpstr>Tarifa Ponderada 2024</vt:lpstr>
      <vt:lpstr>CWD NTS 2025 (sem desconto)</vt:lpstr>
      <vt:lpstr>CWD NTS 2025 (Final)</vt:lpstr>
      <vt:lpstr>Tarifa Ponderada 2025</vt:lpstr>
      <vt:lpstr>CWD NTS 2025 (sem desc e C.Reg)</vt:lpstr>
      <vt:lpstr>CWD NTS 2025 (Final-sem C.Reg)</vt:lpstr>
      <vt:lpstr>Tarifa Ponderada 2025-sem C.Reg</vt:lpstr>
      <vt:lpstr>Consolidado</vt:lpstr>
      <vt:lpstr>Tarifas Finais</vt:lpstr>
      <vt:lpstr>SITGN Redux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Luciano Veloso</dc:creator>
  <cp:keywords/>
  <dc:description/>
  <cp:lastModifiedBy>Karine</cp:lastModifiedBy>
  <cp:revision/>
  <dcterms:created xsi:type="dcterms:W3CDTF">2021-08-05T19:07:08Z</dcterms:created>
  <dcterms:modified xsi:type="dcterms:W3CDTF">2023-12-26T13:07:52Z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0x010100EFEE94C0A9010240990A4363A5ED286B</vt:lpwstr>
  </property>
</Properties>
</file>